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seworks\DavWWWRoot\376\DataRequests\20563\Library\Red lines\"/>
    </mc:Choice>
  </mc:AlternateContent>
  <xr:revisionPtr revIDLastSave="0" documentId="13_ncr:1_{FD826F9E-DBA4-47D6-A97D-14A468BDE7C3}" xr6:coauthVersionLast="36" xr6:coauthVersionMax="36" xr10:uidLastSave="{00000000-0000-0000-0000-000000000000}"/>
  <bookViews>
    <workbookView xWindow="120" yWindow="225" windowWidth="15240" windowHeight="5355" xr2:uid="{00000000-000D-0000-FFFF-FFFF00000000}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16" l="1"/>
  <c r="D38" i="16" l="1"/>
  <c r="D24" i="16" l="1"/>
  <c r="D39" i="16" l="1"/>
  <c r="D25" i="1" l="1"/>
  <c r="D26" i="1"/>
  <c r="K13" i="15" l="1"/>
  <c r="J13" i="15"/>
  <c r="I8" i="4"/>
  <c r="D6" i="10" l="1"/>
  <c r="D5" i="10"/>
  <c r="B29" i="10"/>
  <c r="A26" i="10"/>
  <c r="A27" i="10" s="1"/>
  <c r="A28" i="10" s="1"/>
  <c r="A29" i="10" s="1"/>
  <c r="A30" i="10" s="1"/>
  <c r="A31" i="10" s="1"/>
  <c r="D25" i="10"/>
  <c r="D26" i="10" l="1"/>
  <c r="D27" i="10" s="1"/>
  <c r="B30" i="10"/>
  <c r="D28" i="10" l="1"/>
  <c r="D29" i="10" s="1"/>
  <c r="B31" i="10"/>
  <c r="D30" i="10" l="1"/>
  <c r="D32" i="10" l="1"/>
  <c r="D31" i="10"/>
  <c r="D30" i="16" l="1"/>
  <c r="D29" i="16"/>
  <c r="D12" i="16"/>
  <c r="I38" i="1"/>
  <c r="H38" i="1"/>
  <c r="G38" i="1"/>
  <c r="F38" i="1"/>
  <c r="E38" i="1"/>
  <c r="D38" i="1"/>
  <c r="E20" i="16" l="1"/>
  <c r="G20" i="16"/>
  <c r="G19" i="16"/>
  <c r="F19" i="16"/>
  <c r="E19" i="16"/>
  <c r="F20" i="16"/>
  <c r="H20" i="16" l="1"/>
  <c r="H19" i="16"/>
  <c r="I20" i="16" l="1"/>
  <c r="I19" i="16"/>
  <c r="J20" i="16" l="1"/>
  <c r="J19" i="16"/>
  <c r="L22" i="1" l="1"/>
  <c r="K22" i="1"/>
  <c r="J22" i="1"/>
  <c r="L21" i="1"/>
  <c r="K21" i="1"/>
  <c r="J21" i="1"/>
  <c r="B6" i="4"/>
  <c r="B5" i="4"/>
  <c r="I13" i="15" l="1"/>
  <c r="H13" i="15"/>
  <c r="G13" i="15"/>
  <c r="F13" i="15"/>
  <c r="E13" i="15"/>
  <c r="I12" i="15"/>
  <c r="H12" i="15"/>
  <c r="G12" i="15"/>
  <c r="F12" i="15"/>
  <c r="E12" i="15"/>
  <c r="I11" i="15"/>
  <c r="H11" i="15"/>
  <c r="G11" i="15"/>
  <c r="F11" i="15"/>
  <c r="E11" i="15"/>
  <c r="I10" i="15"/>
  <c r="H10" i="15"/>
  <c r="G10" i="15"/>
  <c r="F10" i="15"/>
  <c r="E10" i="15"/>
  <c r="D13" i="15"/>
  <c r="D12" i="15"/>
  <c r="D11" i="15"/>
  <c r="D10" i="15"/>
  <c r="F23" i="16" l="1"/>
  <c r="G23" i="16"/>
  <c r="E23" i="16"/>
  <c r="H23" i="16" l="1"/>
  <c r="G24" i="16"/>
  <c r="E24" i="16"/>
  <c r="I23" i="16" l="1"/>
  <c r="J23" i="16"/>
  <c r="H24" i="16"/>
  <c r="F24" i="16"/>
  <c r="I24" i="16" l="1"/>
  <c r="J24" i="16" l="1"/>
  <c r="I16" i="9" l="1"/>
  <c r="I15" i="9"/>
  <c r="H16" i="9"/>
  <c r="H15" i="9"/>
  <c r="G16" i="9"/>
  <c r="G15" i="9"/>
  <c r="F16" i="9"/>
  <c r="F15" i="9"/>
  <c r="J16" i="16"/>
  <c r="J15" i="16"/>
  <c r="I16" i="16"/>
  <c r="I15" i="16"/>
  <c r="H16" i="16"/>
  <c r="H15" i="16"/>
  <c r="G16" i="16"/>
  <c r="G15" i="16"/>
  <c r="I16" i="11"/>
  <c r="I15" i="11"/>
  <c r="H16" i="11"/>
  <c r="H15" i="11"/>
  <c r="G16" i="11"/>
  <c r="G15" i="11"/>
  <c r="F16" i="11"/>
  <c r="F15" i="11"/>
  <c r="I26" i="15"/>
  <c r="I25" i="15"/>
  <c r="H26" i="15"/>
  <c r="H25" i="15"/>
  <c r="G26" i="15"/>
  <c r="G25" i="15"/>
  <c r="F26" i="15"/>
  <c r="F25" i="15"/>
  <c r="I22" i="15"/>
  <c r="I21" i="15"/>
  <c r="H22" i="15"/>
  <c r="H21" i="15"/>
  <c r="G22" i="15"/>
  <c r="G21" i="15"/>
  <c r="F22" i="15"/>
  <c r="F21" i="15"/>
  <c r="I26" i="1"/>
  <c r="I25" i="1"/>
  <c r="H26" i="1"/>
  <c r="H25" i="1"/>
  <c r="G26" i="1"/>
  <c r="G25" i="1"/>
  <c r="F26" i="1"/>
  <c r="F25" i="1"/>
  <c r="I22" i="1"/>
  <c r="I21" i="1"/>
  <c r="H22" i="1"/>
  <c r="H21" i="1"/>
  <c r="G22" i="1"/>
  <c r="G21" i="1"/>
  <c r="F22" i="1"/>
  <c r="F21" i="1"/>
  <c r="F12" i="9" l="1"/>
  <c r="E12" i="9"/>
  <c r="D12" i="9"/>
  <c r="E22" i="1" l="1"/>
  <c r="E21" i="15" l="1"/>
  <c r="E22" i="15"/>
  <c r="D21" i="15"/>
  <c r="D21" i="1"/>
  <c r="E21" i="1" l="1"/>
  <c r="D22" i="1" l="1"/>
  <c r="D22" i="15"/>
  <c r="D15" i="9" l="1"/>
  <c r="D16" i="9"/>
  <c r="E16" i="9"/>
  <c r="E15" i="9" l="1"/>
  <c r="D16" i="11" l="1"/>
  <c r="D26" i="15"/>
  <c r="E26" i="15"/>
  <c r="E16" i="16"/>
  <c r="E16" i="11"/>
  <c r="E26" i="1"/>
  <c r="F15" i="16" l="1"/>
  <c r="E25" i="1" l="1"/>
  <c r="E25" i="15"/>
  <c r="F16" i="16"/>
  <c r="D25" i="15"/>
  <c r="D15" i="11"/>
  <c r="E15" i="16" l="1"/>
  <c r="E15" i="11"/>
  <c r="C40" i="1" l="1"/>
  <c r="B45" i="1" l="1"/>
  <c r="B39" i="9" l="1"/>
  <c r="B43" i="16"/>
  <c r="B43" i="11"/>
  <c r="B45" i="15"/>
  <c r="E9" i="1" l="1"/>
  <c r="F9" i="1" s="1"/>
  <c r="G9" i="1" s="1"/>
  <c r="H9" i="1" s="1"/>
  <c r="I9" i="1" s="1"/>
  <c r="J9" i="1" s="1"/>
  <c r="K9" i="1" s="1"/>
  <c r="L9" i="1" s="1"/>
  <c r="A2" i="8" l="1"/>
  <c r="A1" i="8"/>
  <c r="C10" i="10" l="1"/>
  <c r="C39" i="13" l="1"/>
  <c r="F26" i="13"/>
  <c r="E26" i="13"/>
  <c r="D26" i="13"/>
  <c r="C26" i="13"/>
  <c r="C30" i="13" s="1"/>
  <c r="F25" i="13"/>
  <c r="E25" i="13"/>
  <c r="D25" i="13"/>
  <c r="C25" i="13"/>
  <c r="C29" i="13" s="1"/>
  <c r="H26" i="13"/>
  <c r="J12" i="13"/>
  <c r="I12" i="13"/>
  <c r="I25" i="13"/>
  <c r="H25" i="13"/>
  <c r="G25" i="13"/>
  <c r="K12" i="13"/>
  <c r="G12" i="13"/>
  <c r="F12" i="13"/>
  <c r="E12" i="13"/>
  <c r="D12" i="13"/>
  <c r="D11" i="13"/>
  <c r="E11" i="13" s="1"/>
  <c r="F11" i="13" s="1"/>
  <c r="G11" i="13" s="1"/>
  <c r="H11" i="13" s="1"/>
  <c r="I11" i="13" s="1"/>
  <c r="J11" i="13" s="1"/>
  <c r="K11" i="13" s="1"/>
  <c r="L11" i="13" s="1"/>
  <c r="C10" i="13"/>
  <c r="B10" i="13"/>
  <c r="G5" i="13"/>
  <c r="G4" i="13"/>
  <c r="A1" i="13"/>
  <c r="G6" i="13" l="1"/>
  <c r="D30" i="13"/>
  <c r="D29" i="13"/>
  <c r="I26" i="13"/>
  <c r="E5" i="13"/>
  <c r="E4" i="13"/>
  <c r="G26" i="13"/>
  <c r="H12" i="13"/>
  <c r="E6" i="13" l="1"/>
  <c r="C39" i="9" l="1"/>
  <c r="D26" i="9"/>
  <c r="C26" i="9"/>
  <c r="C30" i="9" s="1"/>
  <c r="C25" i="9"/>
  <c r="C29" i="9" s="1"/>
  <c r="I26" i="9"/>
  <c r="H26" i="9"/>
  <c r="G26" i="9"/>
  <c r="F26" i="9"/>
  <c r="E26" i="9"/>
  <c r="I25" i="9"/>
  <c r="H25" i="9"/>
  <c r="G25" i="9"/>
  <c r="F25" i="9"/>
  <c r="E25" i="9"/>
  <c r="D25" i="9"/>
  <c r="K12" i="9"/>
  <c r="J12" i="9"/>
  <c r="I12" i="9"/>
  <c r="H12" i="9"/>
  <c r="G12" i="9"/>
  <c r="D11" i="9"/>
  <c r="E11" i="9" s="1"/>
  <c r="F11" i="9" s="1"/>
  <c r="G11" i="9" s="1"/>
  <c r="H11" i="9" s="1"/>
  <c r="I11" i="9" s="1"/>
  <c r="J11" i="9" s="1"/>
  <c r="K11" i="9" s="1"/>
  <c r="L11" i="9" s="1"/>
  <c r="C10" i="9"/>
  <c r="B10" i="9"/>
  <c r="G5" i="9"/>
  <c r="E5" i="9"/>
  <c r="G4" i="9"/>
  <c r="E4" i="9"/>
  <c r="A1" i="9"/>
  <c r="A1" i="10"/>
  <c r="A2" i="10"/>
  <c r="E6" i="9" l="1"/>
  <c r="G6" i="9"/>
  <c r="D30" i="9"/>
  <c r="D29" i="9"/>
  <c r="L16" i="13" l="1"/>
  <c r="L26" i="13" s="1"/>
  <c r="L16" i="9"/>
  <c r="L26" i="9" s="1"/>
  <c r="J15" i="13"/>
  <c r="J15" i="9"/>
  <c r="L15" i="13"/>
  <c r="L25" i="13" s="1"/>
  <c r="L15" i="9"/>
  <c r="L25" i="9" s="1"/>
  <c r="K15" i="13"/>
  <c r="K25" i="13" s="1"/>
  <c r="K15" i="9"/>
  <c r="K25" i="9" s="1"/>
  <c r="J16" i="13"/>
  <c r="J16" i="9"/>
  <c r="K16" i="13"/>
  <c r="K26" i="13" s="1"/>
  <c r="K16" i="9"/>
  <c r="K26" i="9" s="1"/>
  <c r="J25" i="13" l="1"/>
  <c r="D4" i="13"/>
  <c r="J25" i="9"/>
  <c r="D4" i="9"/>
  <c r="J26" i="9"/>
  <c r="D5" i="9"/>
  <c r="F5" i="9" s="1"/>
  <c r="J26" i="13"/>
  <c r="D5" i="13"/>
  <c r="F5" i="13" s="1"/>
  <c r="D6" i="13" l="1"/>
  <c r="F4" i="13"/>
  <c r="F4" i="9"/>
  <c r="D6" i="9"/>
  <c r="F6" i="13" l="1"/>
  <c r="F6" i="9"/>
  <c r="I32" i="13" l="1"/>
  <c r="I32" i="9"/>
  <c r="H32" i="13" l="1"/>
  <c r="H32" i="9"/>
  <c r="G32" i="13" l="1"/>
  <c r="G32" i="9"/>
  <c r="D32" i="13"/>
  <c r="D32" i="9"/>
  <c r="E32" i="13"/>
  <c r="E32" i="9"/>
  <c r="F32" i="13"/>
  <c r="F32" i="9"/>
  <c r="D35" i="13" l="1"/>
  <c r="D34" i="13"/>
  <c r="D34" i="9"/>
  <c r="D35" i="9"/>
  <c r="D37" i="9" l="1"/>
  <c r="E34" i="9"/>
  <c r="D39" i="9"/>
  <c r="E29" i="9"/>
  <c r="E30" i="9"/>
  <c r="E35" i="9"/>
  <c r="D37" i="13"/>
  <c r="D39" i="13"/>
  <c r="E34" i="13"/>
  <c r="E29" i="13"/>
  <c r="E35" i="13"/>
  <c r="E30" i="13"/>
  <c r="E37" i="13" l="1"/>
  <c r="F29" i="9"/>
  <c r="F34" i="9"/>
  <c r="F29" i="13"/>
  <c r="F34" i="13"/>
  <c r="E39" i="9"/>
  <c r="D36" i="9"/>
  <c r="F35" i="13"/>
  <c r="F30" i="13"/>
  <c r="F35" i="9"/>
  <c r="F30" i="9"/>
  <c r="E37" i="9"/>
  <c r="E39" i="13"/>
  <c r="D36" i="13"/>
  <c r="E36" i="13" l="1"/>
  <c r="F39" i="13"/>
  <c r="G29" i="13"/>
  <c r="G34" i="13"/>
  <c r="G35" i="13"/>
  <c r="G30" i="13"/>
  <c r="G35" i="9"/>
  <c r="G30" i="9"/>
  <c r="F37" i="9"/>
  <c r="F37" i="13"/>
  <c r="F39" i="9"/>
  <c r="E36" i="9"/>
  <c r="G29" i="9"/>
  <c r="G34" i="9"/>
  <c r="G37" i="13" l="1"/>
  <c r="H29" i="13"/>
  <c r="H34" i="13"/>
  <c r="F36" i="9"/>
  <c r="G39" i="9"/>
  <c r="H30" i="9"/>
  <c r="H35" i="9"/>
  <c r="G37" i="9"/>
  <c r="H34" i="9"/>
  <c r="H29" i="9"/>
  <c r="H30" i="13"/>
  <c r="H35" i="13"/>
  <c r="G39" i="13"/>
  <c r="F36" i="13"/>
  <c r="I30" i="13" l="1"/>
  <c r="I35" i="13"/>
  <c r="I29" i="9"/>
  <c r="I34" i="9"/>
  <c r="I35" i="9"/>
  <c r="I30" i="9"/>
  <c r="I29" i="13"/>
  <c r="I34" i="13"/>
  <c r="H37" i="9"/>
  <c r="H39" i="9"/>
  <c r="G36" i="9"/>
  <c r="G36" i="13"/>
  <c r="H39" i="13"/>
  <c r="H37" i="13"/>
  <c r="I39" i="9" l="1"/>
  <c r="I39" i="13"/>
  <c r="H36" i="13"/>
  <c r="H36" i="9"/>
  <c r="I37" i="13" l="1"/>
  <c r="I37" i="9"/>
  <c r="J30" i="9"/>
  <c r="J29" i="9"/>
  <c r="J29" i="13"/>
  <c r="J30" i="13"/>
  <c r="B14" i="8"/>
  <c r="I36" i="9" l="1"/>
  <c r="I36" i="13"/>
  <c r="C13" i="8"/>
  <c r="C12" i="8"/>
  <c r="C14" i="8" l="1"/>
  <c r="I18" i="15" l="1"/>
  <c r="I17" i="15"/>
  <c r="C18" i="15"/>
  <c r="C17" i="15"/>
  <c r="G18" i="15"/>
  <c r="C10" i="16"/>
  <c r="B10" i="16"/>
  <c r="C8" i="15"/>
  <c r="B8" i="15"/>
  <c r="G17" i="15" l="1"/>
  <c r="F18" i="15"/>
  <c r="E18" i="15"/>
  <c r="H18" i="15"/>
  <c r="H17" i="15"/>
  <c r="D17" i="15"/>
  <c r="E17" i="15"/>
  <c r="D18" i="15"/>
  <c r="F17" i="15"/>
  <c r="I36" i="16"/>
  <c r="H36" i="16"/>
  <c r="G36" i="16"/>
  <c r="F36" i="16"/>
  <c r="E36" i="16"/>
  <c r="H5" i="11"/>
  <c r="H4" i="11"/>
  <c r="C43" i="11"/>
  <c r="H38" i="15" l="1"/>
  <c r="G38" i="15"/>
  <c r="F38" i="15"/>
  <c r="E38" i="15"/>
  <c r="D38" i="15"/>
  <c r="J36" i="16" l="1"/>
  <c r="I38" i="15"/>
  <c r="C43" i="16" l="1"/>
  <c r="D43" i="16" s="1"/>
  <c r="L22" i="15" l="1"/>
  <c r="K22" i="15"/>
  <c r="J22" i="15"/>
  <c r="L21" i="15"/>
  <c r="K21" i="15"/>
  <c r="J21" i="15"/>
  <c r="D9" i="15"/>
  <c r="E9" i="15" s="1"/>
  <c r="F9" i="15" s="1"/>
  <c r="G9" i="15" s="1"/>
  <c r="H9" i="15" s="1"/>
  <c r="I9" i="15" s="1"/>
  <c r="J9" i="15" s="1"/>
  <c r="K9" i="15" s="1"/>
  <c r="L9" i="15" s="1"/>
  <c r="M19" i="11" l="1"/>
  <c r="C10" i="11" l="1"/>
  <c r="B10" i="11"/>
  <c r="J38" i="1" l="1"/>
  <c r="C18" i="1"/>
  <c r="C17" i="1"/>
  <c r="J32" i="13" l="1"/>
  <c r="J32" i="9"/>
  <c r="K36" i="16"/>
  <c r="J38" i="15"/>
  <c r="C30" i="16"/>
  <c r="C34" i="16" s="1"/>
  <c r="D34" i="16" s="1"/>
  <c r="C29" i="16"/>
  <c r="C33" i="16" s="1"/>
  <c r="D33" i="16" s="1"/>
  <c r="M16" i="16"/>
  <c r="M30" i="16" s="1"/>
  <c r="L16" i="16"/>
  <c r="K16" i="16"/>
  <c r="M15" i="16"/>
  <c r="M29" i="16" s="1"/>
  <c r="L15" i="16"/>
  <c r="K15" i="16"/>
  <c r="E11" i="16"/>
  <c r="F11" i="16" s="1"/>
  <c r="G11" i="16" s="1"/>
  <c r="H11" i="16" s="1"/>
  <c r="I11" i="16" s="1"/>
  <c r="J11" i="16" s="1"/>
  <c r="K11" i="16" s="1"/>
  <c r="L11" i="16" s="1"/>
  <c r="M11" i="16" s="1"/>
  <c r="I5" i="16"/>
  <c r="I4" i="16"/>
  <c r="A1" i="16"/>
  <c r="C45" i="15"/>
  <c r="L43" i="15"/>
  <c r="C32" i="15"/>
  <c r="C36" i="15" s="1"/>
  <c r="C31" i="15"/>
  <c r="C35" i="15" s="1"/>
  <c r="L26" i="15"/>
  <c r="K26" i="15"/>
  <c r="J26" i="15"/>
  <c r="A26" i="15"/>
  <c r="L25" i="15"/>
  <c r="K25" i="15"/>
  <c r="J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H5" i="15"/>
  <c r="E5" i="15"/>
  <c r="H4" i="15"/>
  <c r="E4" i="15"/>
  <c r="A1" i="15"/>
  <c r="J34" i="9" l="1"/>
  <c r="J35" i="9"/>
  <c r="J35" i="13"/>
  <c r="J34" i="13"/>
  <c r="H6" i="15"/>
  <c r="D5" i="15"/>
  <c r="D36" i="15"/>
  <c r="D41" i="15"/>
  <c r="D40" i="15"/>
  <c r="D35" i="15"/>
  <c r="I6" i="16"/>
  <c r="E6" i="15"/>
  <c r="D4" i="15"/>
  <c r="L32" i="15"/>
  <c r="L31" i="15"/>
  <c r="E5" i="16"/>
  <c r="E4" i="16"/>
  <c r="G32" i="15"/>
  <c r="J37" i="13" l="1"/>
  <c r="K29" i="13"/>
  <c r="J39" i="13"/>
  <c r="K30" i="13"/>
  <c r="K30" i="9"/>
  <c r="J37" i="9"/>
  <c r="K29" i="9"/>
  <c r="J39" i="9"/>
  <c r="D6" i="15"/>
  <c r="E36" i="15"/>
  <c r="E41" i="15"/>
  <c r="E35" i="15"/>
  <c r="E40" i="15"/>
  <c r="E6" i="16"/>
  <c r="D43" i="15"/>
  <c r="D45" i="15"/>
  <c r="D42" i="15" s="1"/>
  <c r="J36" i="9" l="1"/>
  <c r="J36" i="13"/>
  <c r="F36" i="15"/>
  <c r="F41" i="15"/>
  <c r="F40" i="15"/>
  <c r="F35" i="15"/>
  <c r="E43" i="15"/>
  <c r="E45" i="15"/>
  <c r="E42" i="15" s="1"/>
  <c r="K16" i="11"/>
  <c r="J16" i="11"/>
  <c r="K15" i="11"/>
  <c r="J15" i="11"/>
  <c r="G41" i="15" l="1"/>
  <c r="G36" i="15"/>
  <c r="G35" i="15"/>
  <c r="G40" i="15"/>
  <c r="F45" i="15"/>
  <c r="F42" i="15" s="1"/>
  <c r="F43" i="15"/>
  <c r="F5" i="11"/>
  <c r="F4" i="11"/>
  <c r="G43" i="15" l="1"/>
  <c r="H35" i="15"/>
  <c r="H36" i="15"/>
  <c r="H41" i="15"/>
  <c r="H40" i="15"/>
  <c r="K38" i="1"/>
  <c r="J36" i="1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I36" i="15" l="1"/>
  <c r="I41" i="15"/>
  <c r="I35" i="15"/>
  <c r="I40" i="15"/>
  <c r="K32" i="13"/>
  <c r="K32" i="9"/>
  <c r="L36" i="16"/>
  <c r="K38" i="15"/>
  <c r="K36" i="11"/>
  <c r="H45" i="15"/>
  <c r="H42" i="15" s="1"/>
  <c r="H43" i="15"/>
  <c r="K31" i="1"/>
  <c r="J32" i="1"/>
  <c r="K32" i="1"/>
  <c r="J31" i="1"/>
  <c r="I45" i="15" l="1"/>
  <c r="K34" i="9"/>
  <c r="K35" i="9"/>
  <c r="K35" i="13"/>
  <c r="K34" i="13"/>
  <c r="H5" i="13" l="1"/>
  <c r="I5" i="13" s="1"/>
  <c r="F17" i="5" s="1"/>
  <c r="L30" i="13"/>
  <c r="L35" i="13"/>
  <c r="K37" i="13"/>
  <c r="H4" i="13"/>
  <c r="L29" i="13"/>
  <c r="L34" i="13"/>
  <c r="K39" i="13"/>
  <c r="H5" i="9"/>
  <c r="I5" i="9" s="1"/>
  <c r="L35" i="9"/>
  <c r="L30" i="9"/>
  <c r="K37" i="9"/>
  <c r="H4" i="9"/>
  <c r="L34" i="9"/>
  <c r="K39" i="9"/>
  <c r="L29" i="9"/>
  <c r="I42" i="15"/>
  <c r="I43" i="15"/>
  <c r="G36" i="11"/>
  <c r="H36" i="11"/>
  <c r="L37" i="13" l="1"/>
  <c r="E17" i="5"/>
  <c r="L37" i="9"/>
  <c r="J5" i="9"/>
  <c r="L39" i="9"/>
  <c r="L36" i="9" s="1"/>
  <c r="K36" i="9"/>
  <c r="J5" i="13"/>
  <c r="K36" i="13"/>
  <c r="L39" i="13"/>
  <c r="L36" i="13" s="1"/>
  <c r="H6" i="9"/>
  <c r="I4" i="9"/>
  <c r="I4" i="13"/>
  <c r="H6" i="13"/>
  <c r="H5" i="1"/>
  <c r="H4" i="1"/>
  <c r="I6" i="13" l="1"/>
  <c r="F16" i="5"/>
  <c r="J4" i="13"/>
  <c r="E16" i="5"/>
  <c r="J4" i="9"/>
  <c r="I6" i="9"/>
  <c r="H6" i="11"/>
  <c r="H6" i="1"/>
  <c r="C30" i="11"/>
  <c r="C34" i="11" s="1"/>
  <c r="C29" i="11"/>
  <c r="C33" i="11" s="1"/>
  <c r="I36" i="11" l="1"/>
  <c r="F36" i="11"/>
  <c r="E36" i="11"/>
  <c r="D36" i="11"/>
  <c r="C32" i="1" l="1"/>
  <c r="C36" i="1" s="1"/>
  <c r="C31" i="1"/>
  <c r="C35" i="1" s="1"/>
  <c r="I12" i="11" l="1"/>
  <c r="M20" i="11" l="1"/>
  <c r="E5" i="1"/>
  <c r="E4" i="1"/>
  <c r="C45" i="1" l="1"/>
  <c r="H12" i="11" l="1"/>
  <c r="G12" i="11"/>
  <c r="F12" i="11"/>
  <c r="E12" i="11"/>
  <c r="D12" i="11"/>
  <c r="H30" i="11" l="1"/>
  <c r="H29" i="11"/>
  <c r="G30" i="11"/>
  <c r="G29" i="11"/>
  <c r="F30" i="11"/>
  <c r="F29" i="11"/>
  <c r="H18" i="1"/>
  <c r="H32" i="1" s="1"/>
  <c r="H17" i="1"/>
  <c r="H31" i="1" s="1"/>
  <c r="G18" i="1"/>
  <c r="G17" i="1"/>
  <c r="F18" i="1"/>
  <c r="F32" i="1" s="1"/>
  <c r="F17" i="1"/>
  <c r="F31" i="1" s="1"/>
  <c r="G31" i="1" l="1"/>
  <c r="G32" i="1"/>
  <c r="L16" i="11" l="1"/>
  <c r="L15" i="11"/>
  <c r="L29" i="11" l="1"/>
  <c r="L30" i="11"/>
  <c r="L43" i="1"/>
  <c r="L26" i="1"/>
  <c r="L25" i="1"/>
  <c r="L32" i="1" l="1"/>
  <c r="L31" i="1"/>
  <c r="A1" i="5"/>
  <c r="A1" i="11"/>
  <c r="A1" i="12"/>
  <c r="A1" i="1"/>
  <c r="I18" i="1" l="1"/>
  <c r="E18" i="1"/>
  <c r="D18" i="1"/>
  <c r="F5" i="1" l="1"/>
  <c r="I17" i="1"/>
  <c r="D17" i="1"/>
  <c r="E17" i="1"/>
  <c r="F4" i="1" l="1"/>
  <c r="A2" i="12"/>
  <c r="D11" i="11" l="1"/>
  <c r="E11" i="11" s="1"/>
  <c r="F11" i="11" s="1"/>
  <c r="G11" i="11" s="1"/>
  <c r="H11" i="11" s="1"/>
  <c r="I11" i="11" s="1"/>
  <c r="J11" i="11" s="1"/>
  <c r="K11" i="11" s="1"/>
  <c r="L11" i="11" s="1"/>
  <c r="E6" i="1" l="1"/>
  <c r="E31" i="1" l="1"/>
  <c r="E32" i="1"/>
  <c r="D31" i="1" l="1"/>
  <c r="D32" i="1"/>
  <c r="D41" i="1" s="1"/>
  <c r="D40" i="1" l="1"/>
  <c r="D35" i="1"/>
  <c r="D36" i="1"/>
  <c r="E41" i="1" l="1"/>
  <c r="D45" i="1"/>
  <c r="E35" i="1"/>
  <c r="D43" i="1"/>
  <c r="E40" i="1"/>
  <c r="F40" i="1" l="1"/>
  <c r="D42" i="1"/>
  <c r="E43" i="1"/>
  <c r="F35" i="1"/>
  <c r="E30" i="11"/>
  <c r="E29" i="11"/>
  <c r="G40" i="1" l="1"/>
  <c r="G35" i="1"/>
  <c r="D30" i="11"/>
  <c r="D29" i="11"/>
  <c r="E4" i="11"/>
  <c r="H40" i="1" l="1"/>
  <c r="D34" i="11"/>
  <c r="D39" i="11"/>
  <c r="D33" i="11"/>
  <c r="D38" i="11"/>
  <c r="H35" i="1"/>
  <c r="E5" i="11"/>
  <c r="D43" i="11" l="1"/>
  <c r="E38" i="11"/>
  <c r="E33" i="11"/>
  <c r="F33" i="11" l="1"/>
  <c r="F38" i="11"/>
  <c r="D41" i="11"/>
  <c r="E39" i="11"/>
  <c r="E34" i="11"/>
  <c r="D40" i="11"/>
  <c r="G38" i="11" l="1"/>
  <c r="G33" i="11"/>
  <c r="F34" i="11"/>
  <c r="F39" i="11"/>
  <c r="F41" i="11" s="1"/>
  <c r="E43" i="11"/>
  <c r="E41" i="11"/>
  <c r="D5" i="11"/>
  <c r="H33" i="11" l="1"/>
  <c r="H38" i="11"/>
  <c r="D4" i="11"/>
  <c r="E40" i="11"/>
  <c r="F43" i="11"/>
  <c r="G34" i="11"/>
  <c r="G39" i="11"/>
  <c r="G41" i="11" s="1"/>
  <c r="F40" i="11" l="1"/>
  <c r="G43" i="11"/>
  <c r="H39" i="11"/>
  <c r="H41" i="11" s="1"/>
  <c r="H34" i="11"/>
  <c r="D6" i="11"/>
  <c r="F6" i="1"/>
  <c r="B7" i="4"/>
  <c r="F7" i="4"/>
  <c r="D4" i="1" l="1"/>
  <c r="D5" i="1"/>
  <c r="G40" i="11"/>
  <c r="H43" i="11"/>
  <c r="I32" i="1"/>
  <c r="I31" i="1"/>
  <c r="I35" i="1" l="1"/>
  <c r="I40" i="1"/>
  <c r="H40" i="11"/>
  <c r="D6" i="1"/>
  <c r="G4" i="1"/>
  <c r="G5" i="5" l="1"/>
  <c r="G4" i="5"/>
  <c r="A26" i="1"/>
  <c r="H7" i="4" l="1"/>
  <c r="G7" i="4"/>
  <c r="I7" i="4" l="1"/>
  <c r="G5" i="1"/>
  <c r="G6" i="1" l="1"/>
  <c r="E36" i="1" l="1"/>
  <c r="F41" i="1" s="1"/>
  <c r="F36" i="1" l="1"/>
  <c r="G41" i="1" s="1"/>
  <c r="F43" i="1"/>
  <c r="E45" i="1"/>
  <c r="G43" i="1" l="1"/>
  <c r="J40" i="1"/>
  <c r="J35" i="1"/>
  <c r="E42" i="1"/>
  <c r="F45" i="1"/>
  <c r="G36" i="1"/>
  <c r="K40" i="1" l="1"/>
  <c r="F42" i="1"/>
  <c r="G45" i="1"/>
  <c r="H36" i="1"/>
  <c r="H41" i="1"/>
  <c r="H43" i="1" s="1"/>
  <c r="I36" i="1" l="1"/>
  <c r="I41" i="1"/>
  <c r="G42" i="1"/>
  <c r="H45" i="1"/>
  <c r="I45" i="1" l="1"/>
  <c r="H42" i="1"/>
  <c r="J41" i="1" l="1"/>
  <c r="J36" i="1"/>
  <c r="K41" i="1" l="1"/>
  <c r="J45" i="1"/>
  <c r="I42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29" i="11"/>
  <c r="I39" i="11" l="1"/>
  <c r="I34" i="11"/>
  <c r="I38" i="11"/>
  <c r="I33" i="11"/>
  <c r="J5" i="1"/>
  <c r="I6" i="1"/>
  <c r="K42" i="1"/>
  <c r="L45" i="1"/>
  <c r="L42" i="1" s="1"/>
  <c r="F6" i="11"/>
  <c r="E6" i="11"/>
  <c r="G5" i="11"/>
  <c r="G4" i="11"/>
  <c r="I43" i="11" l="1"/>
  <c r="I40" i="11" s="1"/>
  <c r="J38" i="11"/>
  <c r="J33" i="11"/>
  <c r="J34" i="11"/>
  <c r="J39" i="11"/>
  <c r="K5" i="1"/>
  <c r="J6" i="1"/>
  <c r="G6" i="11"/>
  <c r="I41" i="11"/>
  <c r="K34" i="11" l="1"/>
  <c r="K33" i="11"/>
  <c r="J43" i="11"/>
  <c r="K39" i="11" l="1"/>
  <c r="J41" i="11"/>
  <c r="J40" i="11"/>
  <c r="K38" i="11"/>
  <c r="I5" i="11" l="1"/>
  <c r="J5" i="11" s="1"/>
  <c r="L34" i="11"/>
  <c r="I4" i="11"/>
  <c r="J4" i="11" s="1"/>
  <c r="L33" i="11"/>
  <c r="L39" i="11"/>
  <c r="K43" i="11"/>
  <c r="K40" i="11" s="1"/>
  <c r="K41" i="11"/>
  <c r="L38" i="11"/>
  <c r="K5" i="11" l="1"/>
  <c r="I6" i="11"/>
  <c r="K4" i="11"/>
  <c r="J6" i="11"/>
  <c r="L41" i="11"/>
  <c r="L43" i="11"/>
  <c r="L40" i="11" s="1"/>
  <c r="D9" i="8" l="1"/>
  <c r="D13" i="8" s="1"/>
  <c r="D12" i="8" l="1"/>
  <c r="E11" i="5"/>
  <c r="E10" i="5"/>
  <c r="D14" i="8"/>
  <c r="D15" i="8" s="1"/>
  <c r="L5" i="5" l="1"/>
  <c r="E5" i="5"/>
  <c r="E4" i="5"/>
  <c r="L4" i="5"/>
  <c r="I9" i="4" l="1"/>
  <c r="I10" i="4"/>
  <c r="E30" i="16" l="1"/>
  <c r="E39" i="16" s="1"/>
  <c r="E29" i="16"/>
  <c r="E38" i="16" s="1"/>
  <c r="E12" i="16"/>
  <c r="F30" i="16"/>
  <c r="E43" i="16" l="1"/>
  <c r="E33" i="16"/>
  <c r="E41" i="16"/>
  <c r="E34" i="16"/>
  <c r="F12" i="16"/>
  <c r="F29" i="16"/>
  <c r="G30" i="16"/>
  <c r="E40" i="16" l="1"/>
  <c r="H29" i="16"/>
  <c r="G12" i="16"/>
  <c r="G29" i="16"/>
  <c r="F39" i="16"/>
  <c r="F34" i="16"/>
  <c r="F33" i="16"/>
  <c r="F38" i="16"/>
  <c r="H30" i="16"/>
  <c r="I30" i="16"/>
  <c r="F41" i="16" l="1"/>
  <c r="G33" i="16"/>
  <c r="G38" i="16"/>
  <c r="I12" i="16"/>
  <c r="I29" i="16"/>
  <c r="F43" i="16"/>
  <c r="F40" i="16" s="1"/>
  <c r="H12" i="16"/>
  <c r="G34" i="16"/>
  <c r="G39" i="16"/>
  <c r="G43" i="16" l="1"/>
  <c r="G40" i="16" s="1"/>
  <c r="G41" i="16"/>
  <c r="H39" i="16"/>
  <c r="H34" i="16"/>
  <c r="H38" i="16"/>
  <c r="H33" i="16"/>
  <c r="J30" i="16"/>
  <c r="H43" i="16" l="1"/>
  <c r="H40" i="16" s="1"/>
  <c r="I38" i="16"/>
  <c r="I33" i="16"/>
  <c r="H41" i="16"/>
  <c r="J12" i="16"/>
  <c r="J29" i="16"/>
  <c r="I39" i="16"/>
  <c r="I34" i="16"/>
  <c r="J33" i="16" l="1"/>
  <c r="J38" i="16"/>
  <c r="J34" i="16"/>
  <c r="J39" i="16"/>
  <c r="I43" i="16"/>
  <c r="I40" i="16" s="1"/>
  <c r="I41" i="16"/>
  <c r="J43" i="16" l="1"/>
  <c r="J41" i="16"/>
  <c r="J40" i="16" l="1"/>
  <c r="D9" i="10" l="1"/>
  <c r="D8" i="10"/>
  <c r="F11" i="5" l="1"/>
  <c r="F10" i="5"/>
  <c r="D10" i="10"/>
  <c r="D11" i="10" s="1"/>
  <c r="F5" i="5"/>
  <c r="M5" i="5"/>
  <c r="F4" i="5" l="1"/>
  <c r="M4" i="5"/>
  <c r="K11" i="15" l="1"/>
  <c r="K12" i="15" l="1"/>
  <c r="K18" i="15" s="1"/>
  <c r="K32" i="15" s="1"/>
  <c r="J12" i="15"/>
  <c r="H8" i="4"/>
  <c r="H10" i="4" l="1"/>
  <c r="H9" i="4"/>
  <c r="G8" i="4"/>
  <c r="G10" i="4" l="1"/>
  <c r="G9" i="4"/>
  <c r="K23" i="16" l="1"/>
  <c r="K19" i="16"/>
  <c r="K29" i="16" l="1"/>
  <c r="L19" i="16"/>
  <c r="N19" i="16" s="1"/>
  <c r="F4" i="16" s="1"/>
  <c r="L23" i="16"/>
  <c r="K20" i="16"/>
  <c r="G4" i="16" l="1"/>
  <c r="L29" i="16"/>
  <c r="K38" i="16"/>
  <c r="K33" i="16"/>
  <c r="K24" i="16"/>
  <c r="L20" i="16"/>
  <c r="N20" i="16" l="1"/>
  <c r="F5" i="16" s="1"/>
  <c r="F6" i="16" s="1"/>
  <c r="K30" i="16"/>
  <c r="K12" i="16"/>
  <c r="L33" i="16"/>
  <c r="L38" i="16"/>
  <c r="J4" i="16" s="1"/>
  <c r="H4" i="16"/>
  <c r="L24" i="16"/>
  <c r="M38" i="16" l="1"/>
  <c r="M33" i="16"/>
  <c r="G5" i="16"/>
  <c r="L30" i="16"/>
  <c r="L12" i="16"/>
  <c r="K4" i="16"/>
  <c r="K34" i="16"/>
  <c r="K39" i="16"/>
  <c r="L4" i="16" l="1"/>
  <c r="D16" i="5"/>
  <c r="H5" i="16"/>
  <c r="H6" i="16" s="1"/>
  <c r="G6" i="16"/>
  <c r="K43" i="16"/>
  <c r="K40" i="16" s="1"/>
  <c r="K41" i="16"/>
  <c r="L39" i="16"/>
  <c r="L34" i="16"/>
  <c r="M34" i="16" l="1"/>
  <c r="M39" i="16"/>
  <c r="J5" i="16"/>
  <c r="L41" i="16"/>
  <c r="L43" i="16"/>
  <c r="L40" i="16" l="1"/>
  <c r="M43" i="16"/>
  <c r="M40" i="16" s="1"/>
  <c r="K5" i="16"/>
  <c r="L5" i="16" s="1"/>
  <c r="J6" i="16"/>
  <c r="M41" i="16"/>
  <c r="C6" i="12"/>
  <c r="B6" i="12"/>
  <c r="D10" i="5" l="1"/>
  <c r="D17" i="5"/>
  <c r="K6" i="16"/>
  <c r="K4" i="5" l="1"/>
  <c r="D4" i="5"/>
  <c r="B7" i="12"/>
  <c r="B8" i="12" s="1"/>
  <c r="C7" i="12"/>
  <c r="D11" i="5" l="1"/>
  <c r="C8" i="12"/>
  <c r="K5" i="5" l="1"/>
  <c r="D5" i="5"/>
  <c r="J10" i="15" l="1"/>
  <c r="J17" i="15" l="1"/>
  <c r="J31" i="15" l="1"/>
  <c r="K10" i="15"/>
  <c r="J35" i="15" l="1"/>
  <c r="J40" i="15"/>
  <c r="K17" i="15"/>
  <c r="K31" i="15" l="1"/>
  <c r="K35" i="15" s="1"/>
  <c r="F4" i="15"/>
  <c r="K40" i="15"/>
  <c r="I4" i="15" l="1"/>
  <c r="L35" i="15"/>
  <c r="G4" i="15"/>
  <c r="J4" i="15" l="1"/>
  <c r="C16" i="5" l="1"/>
  <c r="K4" i="15"/>
  <c r="F8" i="4" l="1"/>
  <c r="F9" i="4" l="1"/>
  <c r="C5" i="4" s="1"/>
  <c r="F10" i="4"/>
  <c r="C6" i="4" s="1"/>
  <c r="C11" i="5" l="1"/>
  <c r="C10" i="5"/>
  <c r="C7" i="4"/>
  <c r="C8" i="4" s="1"/>
  <c r="C4" i="5" l="1"/>
  <c r="J4" i="5"/>
  <c r="H4" i="5" l="1"/>
  <c r="J11" i="15" l="1"/>
  <c r="J18" i="15" l="1"/>
  <c r="J32" i="15" l="1"/>
  <c r="F5" i="15"/>
  <c r="G5" i="15" l="1"/>
  <c r="G6" i="15" s="1"/>
  <c r="F6" i="15"/>
  <c r="J36" i="15"/>
  <c r="J41" i="15"/>
  <c r="J43" i="15" l="1"/>
  <c r="J45" i="15"/>
  <c r="J42" i="15" s="1"/>
  <c r="K41" i="15"/>
  <c r="K36" i="15"/>
  <c r="L36" i="15" l="1"/>
  <c r="K43" i="15"/>
  <c r="K45" i="15"/>
  <c r="L45" i="15" s="1"/>
  <c r="L42" i="15" s="1"/>
  <c r="I5" i="15"/>
  <c r="J5" i="15" l="1"/>
  <c r="I6" i="15"/>
  <c r="K42" i="15"/>
  <c r="J6" i="15" l="1"/>
  <c r="C17" i="5"/>
  <c r="K5" i="15"/>
  <c r="J5" i="5" l="1"/>
  <c r="C5" i="5"/>
  <c r="H5" i="5" l="1"/>
</calcChain>
</file>

<file path=xl/sharedStrings.xml><?xml version="1.0" encoding="utf-8"?>
<sst xmlns="http://schemas.openxmlformats.org/spreadsheetml/2006/main" count="382" uniqueCount="153">
  <si>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</si>
  <si>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</si>
  <si>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</si>
  <si>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</si>
  <si>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</si>
  <si>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</si>
  <si>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</si>
  <si>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</si>
  <si>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</si>
  <si>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</si>
  <si>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</si>
  <si>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</si>
  <si>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</si>
  <si>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</si>
  <si>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</si>
  <si>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</si>
  <si>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</si>
  <si>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</si>
  <si>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</si>
  <si>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</si>
  <si>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</si>
  <si>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</si>
  <si>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</si>
  <si>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</si>
  <si>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</si>
  <si>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</si>
  <si>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</si>
  <si>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</si>
  <si>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</si>
  <si>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</si>
  <si>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</si>
  <si>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</si>
  <si>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</si>
  <si>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</si>
  <si>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</si>
  <si>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</si>
  <si>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</si>
  <si>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</si>
  <si>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</si>
  <si>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</si>
  <si>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</si>
  <si>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</si>
  <si>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</si>
  <si>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</si>
  <si>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</si>
  <si>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</si>
  <si>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</si>
  <si>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</si>
  <si>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</si>
  <si>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</si>
  <si>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</si>
  <si>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</si>
  <si>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</si>
  <si>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</si>
  <si>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</si>
  <si>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</si>
  <si>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</si>
  <si>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</si>
  <si>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</si>
  <si>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</si>
  <si>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</si>
  <si>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</si>
  <si>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</si>
  <si>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</si>
  <si>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</si>
  <si>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</si>
  <si>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</si>
  <si>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</si>
  <si>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</si>
  <si>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</si>
  <si>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TD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</si>
  <si>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</si>
  <si>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</si>
  <si>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</si>
  <si>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</si>
  <si>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</si>
  <si>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</si>
  <si>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</si>
  <si>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</si>
  <si>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</si>
  <si>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</si>
  <si>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</si>
  <si>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</si>
  <si>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</si>
  <si>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</si>
  <si>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Program Costs (PPC) Calculation</t>
  </si>
  <si>
    <t>Cycle 1 Throughput Disincentive TD-NSB Reconciliation (TDR) Calculation</t>
  </si>
  <si>
    <t>Cycle 2 Projected Throughput Disincentive (PTD) TD Calculation</t>
  </si>
  <si>
    <t>1. Forecasted kWh Sales Impact</t>
  </si>
  <si>
    <t>3. kWh Sales Impact</t>
  </si>
  <si>
    <t>4. Actual/Forecasted TD-NSB</t>
  </si>
  <si>
    <t>5. Total monthly interest - Source: calculated</t>
  </si>
  <si>
    <t>7. Actual TD-NSB rate component of the tariff rate</t>
  </si>
  <si>
    <t>7. Current Tariff Rate</t>
  </si>
  <si>
    <t>4. Actual/Forecasted TD</t>
  </si>
  <si>
    <t>7. Actual TD rate component of the tariff rate</t>
  </si>
  <si>
    <t>Cumulative kWh Sales Impact</t>
  </si>
  <si>
    <t>Cycle 1 Earnings Opportunity (EO) Calculation</t>
  </si>
  <si>
    <t>EO Rate</t>
  </si>
  <si>
    <t>OA Rate</t>
  </si>
  <si>
    <t>1. Calculated Performance Incentive</t>
  </si>
  <si>
    <t>2. Performance Incentive Award</t>
  </si>
  <si>
    <t>5. Allocation % - Calculated % of Residential and Non-Residential kWh Savings to Total Savings.</t>
  </si>
  <si>
    <t>3. Performance Incentive Award Recovery in Effective Period</t>
  </si>
  <si>
    <t>4. Verified kWh Savings</t>
  </si>
  <si>
    <t>5. Allocation %</t>
  </si>
  <si>
    <t>1. Ordered Adjustment</t>
  </si>
  <si>
    <t>2. Carrying Costs on OA</t>
  </si>
  <si>
    <t>Cycle 1 Earnings Opportunity Reconciliation (EOR) Calculation</t>
  </si>
  <si>
    <t>1. Actual/Forecasted Earnings Opportunity</t>
  </si>
  <si>
    <t>2. Actual Revenues - EO Only</t>
  </si>
  <si>
    <t>4. Short-Term Interest Rate</t>
  </si>
  <si>
    <t>3. Actual/Forecasted EO Amortization</t>
  </si>
  <si>
    <t>2. Actual Revenues - OA Only</t>
  </si>
  <si>
    <t>1. Actual/Forecasted Ordered Adjustments</t>
  </si>
  <si>
    <t>3. Actual/Forecasted Ordered Adjustments</t>
  </si>
  <si>
    <t>1. &amp; 4. Actual monthly TD-NSB - Source: None
    Forecasted monthly TD-NSB - Source: None</t>
  </si>
  <si>
    <t>3. Energy Savings (kWh) - Source: none</t>
  </si>
  <si>
    <t>1. Actual monthly program costs by allocation bucket Residential, Non-Residential, Low Income, Common/General, Programmable Thermostat) - Source: None</t>
  </si>
  <si>
    <t>EO Fully amortized into rates over 18 months beginning February 1, 2017 - July 31, 2018.</t>
  </si>
  <si>
    <t>1. Calculated Performance Incentive - Source: None</t>
  </si>
  <si>
    <t>2. Performance Incentive Award - Source:  None</t>
  </si>
  <si>
    <t>3. Performance Incentive Award Recovery in Effective Period - None</t>
  </si>
  <si>
    <t>4. Verified kWh Savings per final EM&amp;V Report summarized by Residential/Non-Residential programs - Source: None</t>
  </si>
  <si>
    <t>1. Forecasted kWh by Residential/Non-Residential (Reduced for Opt-Out) - Source: Billed kWh Budget KCPL 2018-2019.xlsx</t>
  </si>
  <si>
    <t>3. Actual/Forecasted EO Amortization - Source:  None</t>
  </si>
  <si>
    <t>2. Forecasted program costs by allocation bucket (Residential, Non-Residential, Income-Eligible, Common/General) - Source: KCPL MEEIA Cycle 2 Forecast 2017-2019 102018 actuals 11072018.xlsx</t>
  </si>
  <si>
    <t>Projections for Cycle 2 July 2019 - December 2019 DSIM</t>
  </si>
  <si>
    <t>Cumulative Over/Under Carryover From 12/01/2018 Filing</t>
  </si>
  <si>
    <t>Reverse November-18 - January-19  Forecast From 12/01/2018 Filing</t>
  </si>
  <si>
    <t>Correction of Reported Results for April - October 2018</t>
  </si>
  <si>
    <t>Res/Non-Res Allocation</t>
  </si>
  <si>
    <t>2. Carrying Costs on OA - Source: Calculated</t>
  </si>
  <si>
    <t>3. Monthly Short-Term Borrowing Rate - Source: GMO Short-Term Borrowing Rate November 2018 - April 2019.xlsx</t>
  </si>
  <si>
    <t>3. Monthly Short-Term Interest Rate</t>
  </si>
  <si>
    <t>1. Ordered Adjustment - Order Dated March 17, 2019 File No. EO-2018-363</t>
  </si>
  <si>
    <t>3. Actual monthly billed revenues by Residential/Non-Residential (program cost revenues only) - KCPLMO MEEIA 2018 Revenue Analysis.xlsx, KCPLMO MEEIA 2019 Revenue Analysis.xlsx
    Forecasted monthly billed revenues by Residential/Non-Residential (program cost revenues only) - Source: calculated = Forecasted billed kWh sales X tariff rate</t>
  </si>
  <si>
    <t>5. Monthly Short-Term Borrowing Rate - Source: KCPL Short-Term Borrowing Rate November 2018 - April 2019.xlsx</t>
  </si>
  <si>
    <t>1. Forecasted Residential/Non-Residential kWh savings  - Source: KCPL MEEIA Cycle 2 Forecast 2017-2020 042019 actuals 05102019.xlsx</t>
  </si>
  <si>
    <t>2. Forecasted Throughput Disincentive - Source: KCPL MEEIA Cycle 2 Forecast 2017-2020 042019 actuals 05102019.xlsx</t>
  </si>
  <si>
    <t>2. Actual monthly kWh billed sales by Residential/Non-Residential (reduced for opt-out) - Source: KCPLMO MEEIA 2018 Revenue Analysis.xlsx, KCPLMO MEEIA 2019 Revenue Analysis.xlsx
    Forecasted monthly kWh billed sales by Residential/Non-Residential (reduced for opt-out) - Source: Billed kWh Budget KCPL 2019-2020.xlsx</t>
  </si>
  <si>
    <t>1. Actual monthly program costs by allocation bucket Residential, Non-Residential, Income-Eligible, Common/General) - Source: SI Projects 112018-042019 KCPL.xlsx
    Forecasted monthly program costs by allocation bucket - Source: KCPL MEEIA Cycle 2 Forecast 2017-2020 042019 actuals 05102019.xlsx</t>
  </si>
  <si>
    <t>2. Actual monthly billed revenues by Residential/Non-Residential (TD-NSB revenues only) - KCPLMO MEEIA 2018 Revenue Analysis.xlsx, KCPLMO MEEIA 2019 Revenue Analysis.xlsx
Forecasted monthly billed revenues by Residential/Non-Residential (TD-NSB revenues only) - Source: calculated = Forecasted billed kWh sales X tariff rate</t>
  </si>
  <si>
    <t>1. &amp; 4. Actual monthly TD - Source: TD Model KCPL-MO 042019 05062019.xlsx
    Forecasted monthly TD - Source: KCPL MEEIA Cycle 2 Forecast 2017-2020 042019 actuals 05102019.xlsx</t>
  </si>
  <si>
    <t>2. Actual monthly billed revenues by Residential/Non-Residential (TD revenues only) - KCPLMO MEEIA 2018 Revenue Analysis.xlsx, KCPLMO MEEIA 2019 Revenue Analysis.xlsx
Forecasted monthly billed revenues by Residential/Non-Residential (TD revenues only) - Source: calculated = Forecasted billed kWh sales X tariff rate</t>
  </si>
  <si>
    <t>3. Actual kWh Sales Impact - Source:  TD Model KCPL-MO 042019 05062019.xlsx
    Forecasted kWh Sales Impact - Source: KCPL MEEIA Cycle 2 Forecast 2017-2020 042019 actuals 05102019.xlsx</t>
  </si>
  <si>
    <t>2. Actual monthly billed revenues by Residential/Non-Residential (EO revenues only) - KCPLMO MEEIA 2018 Revenue Analysis.xlsx, KCPLMO MEEIA 2019 Revenue Analysis.xlsx
Forecasted monthly billed revenues by Residential/Non-Residential (EO revenues only) - Source: calculated = Forecasted billed kWh sales X tariff rate</t>
  </si>
  <si>
    <t>1.  Actual monthly EO - Source: None
    Forecasted monthly EO - Source: None</t>
  </si>
  <si>
    <t>6. Actual EO rate component of the tariff rate</t>
  </si>
  <si>
    <t>1. Ordered Adjustment - Source: Order Dated March 17, 2019 File No. EO-2018-363</t>
  </si>
  <si>
    <t>Cycle 2 Ordered Adjustments Reconciliation (OAR) Calculation</t>
  </si>
  <si>
    <t>Cycle 2 Ordered Adjustment (OA) Calculation</t>
  </si>
  <si>
    <t>Kansas City Power &amp; Light Company - DSIM Rider Update Filed 05/31/2019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</si>
</sst>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%"/>
    <numFmt numFmtId="169" formatCode="0.0000%"/>
    <numFmt numFmtId="170" formatCode="_(&quot;$&quot;* #,##0.00000_);_(&quot;$&quot;* \(#,##0.00000\);_(&quot;$&quot;* &quot;-&quot;?????_);_(@_)"/>
    <numFmt numFmtId="171" formatCode="0.000000%"/>
    <numFmt numFmtId="172" formatCode="_(&quot;$&quot;* #,##0.0_);_(&quot;$&quot;* \(#,##0.0\);_(&quot;$&quot;* &quot;-&quot;??_);_(@_)"/>
    <numFmt numFmtId="173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7F7F7F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69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168" fontId="0" fillId="0" borderId="0" xfId="2" applyNumberFormat="1" applyFont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9" fontId="0" fillId="0" borderId="9" xfId="0" applyNumberFormat="1" applyBorder="1"/>
    <xf numFmtId="170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171" fontId="0" fillId="0" borderId="0" xfId="2" applyNumberFormat="1" applyFont="1" applyBorder="1"/>
    <xf numFmtId="171" fontId="0" fillId="0" borderId="9" xfId="2" applyNumberFormat="1" applyFont="1" applyBorder="1"/>
    <xf numFmtId="171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1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1" fontId="0" fillId="0" borderId="9" xfId="0" applyNumberFormat="1" applyFill="1" applyBorder="1"/>
    <xf numFmtId="164" fontId="0" fillId="0" borderId="7" xfId="0" applyNumberFormat="1" applyFill="1" applyBorder="1"/>
    <xf numFmtId="171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1" fontId="10" fillId="0" borderId="6" xfId="0" applyNumberFormat="1" applyFont="1" applyBorder="1" applyAlignment="1">
      <alignment vertical="center"/>
    </xf>
    <xf numFmtId="170" fontId="10" fillId="0" borderId="6" xfId="0" applyNumberFormat="1" applyFont="1" applyFill="1" applyBorder="1" applyAlignment="1">
      <alignment vertical="center"/>
    </xf>
    <xf numFmtId="170" fontId="0" fillId="0" borderId="0" xfId="0" applyNumberFormat="1" applyFill="1" applyAlignment="1"/>
    <xf numFmtId="170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0" fontId="8" fillId="0" borderId="0" xfId="0" applyFont="1" applyAlignment="1">
      <alignment horizontal="left" vertical="center" wrapText="1"/>
    </xf>
    <xf numFmtId="42" fontId="5" fillId="5" borderId="1" xfId="6" applyNumberFormat="1" applyBorder="1"/>
    <xf numFmtId="44" fontId="6" fillId="6" borderId="54" xfId="7" applyNumberFormat="1" applyBorder="1"/>
    <xf numFmtId="165" fontId="5" fillId="0" borderId="11" xfId="6" applyNumberFormat="1" applyFill="1" applyBorder="1"/>
    <xf numFmtId="43" fontId="5" fillId="0" borderId="12" xfId="1" applyFont="1" applyFill="1" applyBorder="1"/>
    <xf numFmtId="43" fontId="5" fillId="0" borderId="0" xfId="1" applyFont="1" applyFill="1" applyBorder="1"/>
    <xf numFmtId="0" fontId="0" fillId="0" borderId="0" xfId="0" applyFill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0" fillId="39" borderId="19" xfId="0" applyFill="1" applyBorder="1" applyAlignment="1">
      <alignment horizontal="center" wrapText="1"/>
    </xf>
    <xf numFmtId="43" fontId="8" fillId="0" borderId="0" xfId="1" applyNumberFormat="1" applyFont="1" applyAlignment="1">
      <alignment horizontal="center"/>
    </xf>
    <xf numFmtId="10" fontId="5" fillId="5" borderId="1" xfId="2" applyNumberFormat="1" applyFont="1" applyFill="1" applyBorder="1"/>
    <xf numFmtId="10" fontId="14" fillId="7" borderId="1" xfId="2" applyNumberFormat="1" applyFont="1" applyFill="1" applyBorder="1"/>
    <xf numFmtId="42" fontId="8" fillId="0" borderId="0" xfId="1" applyNumberFormat="1" applyFont="1" applyAlignment="1">
      <alignment horizontal="center"/>
    </xf>
    <xf numFmtId="42" fontId="11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left"/>
    </xf>
    <xf numFmtId="0" fontId="32" fillId="3" borderId="20" xfId="4" applyFont="1" applyBorder="1" applyAlignment="1"/>
    <xf numFmtId="0" fontId="32" fillId="3" borderId="4" xfId="4" applyFont="1" applyBorder="1" applyAlignment="1"/>
    <xf numFmtId="165" fontId="4" fillId="4" borderId="55" xfId="5" applyNumberFormat="1" applyBorder="1"/>
    <xf numFmtId="41" fontId="4" fillId="4" borderId="56" xfId="5" applyNumberFormat="1" applyBorder="1"/>
    <xf numFmtId="165" fontId="4" fillId="4" borderId="56" xfId="5" applyNumberFormat="1" applyBorder="1"/>
    <xf numFmtId="165" fontId="4" fillId="4" borderId="57" xfId="11" applyNumberFormat="1" applyFont="1" applyFill="1" applyBorder="1"/>
    <xf numFmtId="165" fontId="14" fillId="7" borderId="52" xfId="13" applyNumberFormat="1" applyBorder="1"/>
    <xf numFmtId="44" fontId="6" fillId="6" borderId="58" xfId="7" applyNumberFormat="1" applyBorder="1"/>
    <xf numFmtId="44" fontId="6" fillId="6" borderId="59" xfId="7" applyNumberFormat="1" applyBorder="1"/>
    <xf numFmtId="165" fontId="5" fillId="5" borderId="14" xfId="6" applyNumberFormat="1" applyBorder="1"/>
    <xf numFmtId="0" fontId="7" fillId="0" borderId="10" xfId="8" applyBorder="1"/>
    <xf numFmtId="165" fontId="5" fillId="5" borderId="33" xfId="6" applyNumberFormat="1" applyBorder="1"/>
    <xf numFmtId="44" fontId="0" fillId="0" borderId="10" xfId="0" applyNumberFormat="1" applyFill="1" applyBorder="1"/>
    <xf numFmtId="44" fontId="7" fillId="0" borderId="10" xfId="8" applyNumberFormat="1" applyFill="1" applyBorder="1"/>
    <xf numFmtId="41" fontId="5" fillId="5" borderId="14" xfId="6" applyNumberFormat="1" applyBorder="1"/>
    <xf numFmtId="165" fontId="5" fillId="0" borderId="10" xfId="6" applyNumberFormat="1" applyFill="1" applyBorder="1"/>
    <xf numFmtId="165" fontId="5" fillId="5" borderId="60" xfId="11" applyNumberFormat="1" applyFont="1" applyFill="1" applyBorder="1"/>
    <xf numFmtId="165" fontId="5" fillId="0" borderId="10" xfId="11" applyNumberFormat="1" applyFont="1" applyFill="1" applyBorder="1"/>
    <xf numFmtId="10" fontId="5" fillId="0" borderId="10" xfId="2" applyNumberFormat="1" applyFont="1" applyFill="1" applyBorder="1"/>
    <xf numFmtId="0" fontId="8" fillId="0" borderId="19" xfId="0" applyFont="1" applyBorder="1" applyAlignment="1"/>
    <xf numFmtId="0" fontId="8" fillId="0" borderId="20" xfId="0" applyFont="1" applyBorder="1" applyAlignment="1"/>
    <xf numFmtId="0" fontId="8" fillId="0" borderId="4" xfId="0" applyFont="1" applyBorder="1" applyAlignment="1"/>
    <xf numFmtId="165" fontId="4" fillId="4" borderId="56" xfId="11" applyNumberFormat="1" applyFont="1" applyFill="1" applyBorder="1"/>
    <xf numFmtId="3" fontId="4" fillId="4" borderId="56" xfId="5" applyNumberFormat="1" applyBorder="1"/>
    <xf numFmtId="165" fontId="4" fillId="4" borderId="57" xfId="5" applyNumberFormat="1" applyBorder="1"/>
    <xf numFmtId="42" fontId="5" fillId="5" borderId="14" xfId="1" applyNumberFormat="1" applyFont="1" applyFill="1" applyBorder="1"/>
    <xf numFmtId="165" fontId="5" fillId="5" borderId="21" xfId="11" applyNumberFormat="1" applyFont="1" applyFill="1" applyBorder="1"/>
    <xf numFmtId="42" fontId="5" fillId="5" borderId="14" xfId="6" applyNumberFormat="1" applyBorder="1"/>
    <xf numFmtId="41" fontId="5" fillId="5" borderId="33" xfId="6" applyNumberForma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1" fontId="5" fillId="5" borderId="61" xfId="6" applyNumberFormat="1" applyBorder="1"/>
    <xf numFmtId="42" fontId="5" fillId="5" borderId="13" xfId="6" applyNumberFormat="1" applyBorder="1"/>
    <xf numFmtId="42" fontId="5" fillId="37" borderId="22" xfId="6" applyNumberFormat="1" applyFill="1" applyBorder="1"/>
    <xf numFmtId="41" fontId="5" fillId="5" borderId="62" xfId="6" applyNumberFormat="1" applyBorder="1"/>
    <xf numFmtId="10" fontId="8" fillId="0" borderId="0" xfId="0" applyNumberFormat="1" applyFont="1" applyAlignment="1">
      <alignment horizontal="center" wrapText="1"/>
    </xf>
    <xf numFmtId="44" fontId="33" fillId="0" borderId="0" xfId="1" applyNumberFormat="1" applyFont="1" applyAlignment="1">
      <alignment horizontal="right"/>
    </xf>
    <xf numFmtId="172" fontId="14" fillId="7" borderId="13" xfId="13" applyNumberFormat="1" applyBorder="1"/>
    <xf numFmtId="43" fontId="0" fillId="0" borderId="0" xfId="1" applyFont="1"/>
    <xf numFmtId="171" fontId="0" fillId="0" borderId="0" xfId="0" applyNumberFormat="1"/>
    <xf numFmtId="171" fontId="0" fillId="0" borderId="0" xfId="2" applyNumberFormat="1" applyFont="1" applyFill="1" applyBorder="1"/>
    <xf numFmtId="0" fontId="8" fillId="0" borderId="0" xfId="0" applyFont="1" applyFill="1" applyAlignment="1">
      <alignment horizontal="left" vertical="center" wrapText="1"/>
    </xf>
    <xf numFmtId="170" fontId="10" fillId="0" borderId="3" xfId="0" applyNumberFormat="1" applyFont="1" applyFill="1" applyBorder="1" applyAlignment="1">
      <alignment vertical="center"/>
    </xf>
    <xf numFmtId="170" fontId="10" fillId="0" borderId="5" xfId="0" applyNumberFormat="1" applyFont="1" applyFill="1" applyBorder="1" applyAlignment="1">
      <alignment vertical="center"/>
    </xf>
    <xf numFmtId="165" fontId="5" fillId="0" borderId="61" xfId="6" applyNumberFormat="1" applyFill="1" applyBorder="1"/>
    <xf numFmtId="41" fontId="5" fillId="0" borderId="61" xfId="6" applyNumberFormat="1" applyFill="1" applyBorder="1"/>
    <xf numFmtId="165" fontId="5" fillId="0" borderId="63" xfId="11" applyNumberFormat="1" applyFont="1" applyFill="1" applyBorder="1"/>
    <xf numFmtId="165" fontId="5" fillId="0" borderId="64" xfId="6" applyNumberFormat="1" applyFill="1" applyBorder="1"/>
    <xf numFmtId="0" fontId="0" fillId="0" borderId="65" xfId="0" applyFill="1" applyBorder="1"/>
    <xf numFmtId="44" fontId="0" fillId="0" borderId="65" xfId="0" applyNumberFormat="1" applyFill="1" applyBorder="1"/>
    <xf numFmtId="41" fontId="5" fillId="0" borderId="64" xfId="6" applyNumberFormat="1" applyFill="1" applyBorder="1"/>
    <xf numFmtId="165" fontId="5" fillId="0" borderId="65" xfId="6" applyNumberFormat="1" applyFill="1" applyBorder="1"/>
    <xf numFmtId="165" fontId="5" fillId="0" borderId="66" xfId="11" applyNumberFormat="1" applyFont="1" applyFill="1" applyBorder="1"/>
    <xf numFmtId="165" fontId="14" fillId="0" borderId="61" xfId="13" applyNumberFormat="1" applyFill="1" applyBorder="1"/>
    <xf numFmtId="44" fontId="6" fillId="0" borderId="68" xfId="7" applyNumberFormat="1" applyFill="1" applyBorder="1"/>
    <xf numFmtId="165" fontId="5" fillId="0" borderId="69" xfId="11" applyNumberFormat="1" applyFont="1" applyFill="1" applyBorder="1"/>
    <xf numFmtId="10" fontId="5" fillId="0" borderId="65" xfId="2" applyNumberFormat="1" applyFont="1" applyFill="1" applyBorder="1"/>
    <xf numFmtId="165" fontId="14" fillId="0" borderId="64" xfId="13" applyNumberFormat="1" applyFill="1" applyBorder="1"/>
    <xf numFmtId="171" fontId="0" fillId="0" borderId="65" xfId="0" applyNumberFormat="1" applyFill="1" applyBorder="1"/>
    <xf numFmtId="171" fontId="0" fillId="0" borderId="65" xfId="2" applyNumberFormat="1" applyFont="1" applyFill="1" applyBorder="1"/>
    <xf numFmtId="44" fontId="6" fillId="0" borderId="70" xfId="7" applyNumberFormat="1" applyFill="1" applyBorder="1"/>
    <xf numFmtId="0" fontId="0" fillId="0" borderId="65" xfId="0" applyBorder="1"/>
    <xf numFmtId="165" fontId="5" fillId="0" borderId="71" xfId="6" applyNumberFormat="1" applyFill="1" applyBorder="1"/>
    <xf numFmtId="0" fontId="0" fillId="39" borderId="67" xfId="0" applyFill="1" applyBorder="1" applyAlignment="1">
      <alignment horizontal="center" wrapText="1"/>
    </xf>
    <xf numFmtId="164" fontId="0" fillId="0" borderId="72" xfId="0" applyNumberFormat="1" applyFill="1" applyBorder="1"/>
    <xf numFmtId="173" fontId="0" fillId="0" borderId="0" xfId="0" applyNumberFormat="1"/>
    <xf numFmtId="171" fontId="0" fillId="0" borderId="0" xfId="2" applyNumberFormat="1" applyFont="1"/>
    <xf numFmtId="43" fontId="34" fillId="0" borderId="0" xfId="1" applyFont="1"/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 xr:uid="{00000000-0005-0000-0000-000001000000}"/>
    <cellStyle name="20% - Accent2" xfId="28" builtinId="34" customBuiltin="1"/>
    <cellStyle name="20% - Accent2 2" xfId="56" xr:uid="{00000000-0005-0000-0000-000003000000}"/>
    <cellStyle name="20% - Accent3" xfId="32" builtinId="38" customBuiltin="1"/>
    <cellStyle name="20% - Accent3 2" xfId="58" xr:uid="{00000000-0005-0000-0000-000005000000}"/>
    <cellStyle name="20% - Accent4" xfId="36" builtinId="42" customBuiltin="1"/>
    <cellStyle name="20% - Accent4 2" xfId="60" xr:uid="{00000000-0005-0000-0000-000007000000}"/>
    <cellStyle name="20% - Accent5" xfId="40" builtinId="46" customBuiltin="1"/>
    <cellStyle name="20% - Accent5 2" xfId="62" xr:uid="{00000000-0005-0000-0000-000009000000}"/>
    <cellStyle name="20% - Accent6" xfId="44" builtinId="50" customBuiltin="1"/>
    <cellStyle name="20% - Accent6 2" xfId="64" xr:uid="{00000000-0005-0000-0000-00000B000000}"/>
    <cellStyle name="40% - Accent1" xfId="25" builtinId="31" customBuiltin="1"/>
    <cellStyle name="40% - Accent1 2" xfId="55" xr:uid="{00000000-0005-0000-0000-00000D000000}"/>
    <cellStyle name="40% - Accent2" xfId="29" builtinId="35" customBuiltin="1"/>
    <cellStyle name="40% - Accent2 2" xfId="57" xr:uid="{00000000-0005-0000-0000-00000F000000}"/>
    <cellStyle name="40% - Accent3" xfId="33" builtinId="39" customBuiltin="1"/>
    <cellStyle name="40% - Accent3 2" xfId="59" xr:uid="{00000000-0005-0000-0000-000011000000}"/>
    <cellStyle name="40% - Accent4" xfId="37" builtinId="43" customBuiltin="1"/>
    <cellStyle name="40% - Accent4 2" xfId="61" xr:uid="{00000000-0005-0000-0000-000013000000}"/>
    <cellStyle name="40% - Accent5" xfId="41" builtinId="47" customBuiltin="1"/>
    <cellStyle name="40% - Accent5 2" xfId="63" xr:uid="{00000000-0005-0000-0000-000015000000}"/>
    <cellStyle name="40% - Accent6" xfId="45" builtinId="51" customBuiltin="1"/>
    <cellStyle name="40% - Accent6 2" xfId="65" xr:uid="{00000000-0005-0000-0000-000017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 xr:uid="{00000000-0005-0000-0000-000028000000}"/>
    <cellStyle name="Comma 2 2" xfId="282" xr:uid="{00000000-0005-0000-0000-000029000000}"/>
    <cellStyle name="Comma 3" xfId="66" xr:uid="{00000000-0005-0000-0000-00002A000000}"/>
    <cellStyle name="Comma 3 2" xfId="9" xr:uid="{00000000-0005-0000-0000-00002B000000}"/>
    <cellStyle name="Comma 4" xfId="192" xr:uid="{00000000-0005-0000-0000-00002C000000}"/>
    <cellStyle name="Comma 5" xfId="52" xr:uid="{00000000-0005-0000-0000-00002D000000}"/>
    <cellStyle name="Currency" xfId="11" builtinId="4"/>
    <cellStyle name="Currency [0] 2" xfId="114" xr:uid="{00000000-0005-0000-0000-00002F000000}"/>
    <cellStyle name="Currency [0] 2 2" xfId="203" xr:uid="{00000000-0005-0000-0000-000030000000}"/>
    <cellStyle name="Currency 10" xfId="193" xr:uid="{00000000-0005-0000-0000-000031000000}"/>
    <cellStyle name="Currency 11" xfId="112" xr:uid="{00000000-0005-0000-0000-000032000000}"/>
    <cellStyle name="Currency 12" xfId="197" xr:uid="{00000000-0005-0000-0000-000033000000}"/>
    <cellStyle name="Currency 13" xfId="50" xr:uid="{00000000-0005-0000-0000-000034000000}"/>
    <cellStyle name="Currency 13 2" xfId="288" xr:uid="{00000000-0005-0000-0000-000035000000}"/>
    <cellStyle name="Currency 14" xfId="285" xr:uid="{00000000-0005-0000-0000-000036000000}"/>
    <cellStyle name="Currency 15" xfId="289" xr:uid="{00000000-0005-0000-0000-000037000000}"/>
    <cellStyle name="Currency 16" xfId="291" xr:uid="{00000000-0005-0000-0000-000038000000}"/>
    <cellStyle name="Currency 17" xfId="292" xr:uid="{00000000-0005-0000-0000-000039000000}"/>
    <cellStyle name="Currency 18" xfId="293" xr:uid="{00000000-0005-0000-0000-00003A000000}"/>
    <cellStyle name="Currency 19" xfId="294" xr:uid="{00000000-0005-0000-0000-00003B000000}"/>
    <cellStyle name="Currency 2" xfId="69" xr:uid="{00000000-0005-0000-0000-00003C000000}"/>
    <cellStyle name="Currency 2 2" xfId="111" xr:uid="{00000000-0005-0000-0000-00003D000000}"/>
    <cellStyle name="Currency 2 2 2" xfId="202" xr:uid="{00000000-0005-0000-0000-00003E000000}"/>
    <cellStyle name="Currency 2 3" xfId="280" xr:uid="{00000000-0005-0000-0000-00003F000000}"/>
    <cellStyle name="Currency 20" xfId="295" xr:uid="{00000000-0005-0000-0000-000040000000}"/>
    <cellStyle name="Currency 21" xfId="296" xr:uid="{00000000-0005-0000-0000-000041000000}"/>
    <cellStyle name="Currency 22" xfId="297" xr:uid="{00000000-0005-0000-0000-000042000000}"/>
    <cellStyle name="Currency 3" xfId="67" xr:uid="{00000000-0005-0000-0000-000043000000}"/>
    <cellStyle name="Currency 3 2" xfId="279" xr:uid="{00000000-0005-0000-0000-000044000000}"/>
    <cellStyle name="Currency 4" xfId="115" xr:uid="{00000000-0005-0000-0000-000045000000}"/>
    <cellStyle name="Currency 4 2" xfId="204" xr:uid="{00000000-0005-0000-0000-000046000000}"/>
    <cellStyle name="Currency 4 3" xfId="281" xr:uid="{00000000-0005-0000-0000-000047000000}"/>
    <cellStyle name="Currency 5" xfId="116" xr:uid="{00000000-0005-0000-0000-000048000000}"/>
    <cellStyle name="Currency 5 2" xfId="205" xr:uid="{00000000-0005-0000-0000-000049000000}"/>
    <cellStyle name="Currency 6" xfId="117" xr:uid="{00000000-0005-0000-0000-00004A000000}"/>
    <cellStyle name="Currency 6 2" xfId="206" xr:uid="{00000000-0005-0000-0000-00004B000000}"/>
    <cellStyle name="Currency 7" xfId="118" xr:uid="{00000000-0005-0000-0000-00004C000000}"/>
    <cellStyle name="Currency 7 2" xfId="207" xr:uid="{00000000-0005-0000-0000-00004D000000}"/>
    <cellStyle name="Currency 8" xfId="194" xr:uid="{00000000-0005-0000-0000-00004E000000}"/>
    <cellStyle name="Currency 9" xfId="195" xr:uid="{00000000-0005-0000-0000-00004F000000}"/>
    <cellStyle name="Data Field" xfId="119" xr:uid="{00000000-0005-0000-0000-000050000000}"/>
    <cellStyle name="Data Field 2" xfId="208" xr:uid="{00000000-0005-0000-0000-000051000000}"/>
    <cellStyle name="Data Name" xfId="120" xr:uid="{00000000-0005-0000-0000-000052000000}"/>
    <cellStyle name="Data Name 2" xfId="209" xr:uid="{00000000-0005-0000-0000-000053000000}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 xr:uid="{00000000-0005-0000-0000-00005C000000}"/>
    <cellStyle name="Hyperlink 3" xfId="122" xr:uid="{00000000-0005-0000-0000-00005D000000}"/>
    <cellStyle name="Hyperlink 4" xfId="300" xr:uid="{00000000-0005-0000-0000-00005E000000}"/>
    <cellStyle name="Hyperlink 5" xfId="298" xr:uid="{00000000-0005-0000-0000-00005F000000}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 xr:uid="{00000000-0005-0000-0000-000064000000}"/>
    <cellStyle name="Normal 10 2" xfId="124" xr:uid="{00000000-0005-0000-0000-000065000000}"/>
    <cellStyle name="Normal 10 2 2" xfId="211" xr:uid="{00000000-0005-0000-0000-000066000000}"/>
    <cellStyle name="Normal 10 3" xfId="210" xr:uid="{00000000-0005-0000-0000-000067000000}"/>
    <cellStyle name="Normal 11" xfId="125" xr:uid="{00000000-0005-0000-0000-000068000000}"/>
    <cellStyle name="Normal 11 2" xfId="212" xr:uid="{00000000-0005-0000-0000-000069000000}"/>
    <cellStyle name="Normal 12" xfId="126" xr:uid="{00000000-0005-0000-0000-00006A000000}"/>
    <cellStyle name="Normal 12 2" xfId="213" xr:uid="{00000000-0005-0000-0000-00006B000000}"/>
    <cellStyle name="Normal 13" xfId="127" xr:uid="{00000000-0005-0000-0000-00006C000000}"/>
    <cellStyle name="Normal 13 2" xfId="214" xr:uid="{00000000-0005-0000-0000-00006D000000}"/>
    <cellStyle name="Normal 14" xfId="128" xr:uid="{00000000-0005-0000-0000-00006E000000}"/>
    <cellStyle name="Normal 14 2" xfId="215" xr:uid="{00000000-0005-0000-0000-00006F000000}"/>
    <cellStyle name="Normal 15" xfId="129" xr:uid="{00000000-0005-0000-0000-000070000000}"/>
    <cellStyle name="Normal 16" xfId="130" xr:uid="{00000000-0005-0000-0000-000071000000}"/>
    <cellStyle name="Normal 16 2" xfId="216" xr:uid="{00000000-0005-0000-0000-000072000000}"/>
    <cellStyle name="Normal 17" xfId="48" xr:uid="{00000000-0005-0000-0000-000073000000}"/>
    <cellStyle name="Normal 18" xfId="131" xr:uid="{00000000-0005-0000-0000-000074000000}"/>
    <cellStyle name="Normal 18 2" xfId="217" xr:uid="{00000000-0005-0000-0000-000075000000}"/>
    <cellStyle name="Normal 19" xfId="132" xr:uid="{00000000-0005-0000-0000-000076000000}"/>
    <cellStyle name="Normal 19 2" xfId="218" xr:uid="{00000000-0005-0000-0000-000077000000}"/>
    <cellStyle name="Normal 2" xfId="51" xr:uid="{00000000-0005-0000-0000-000078000000}"/>
    <cellStyle name="Normal 2 2" xfId="71" xr:uid="{00000000-0005-0000-0000-000079000000}"/>
    <cellStyle name="Normal 2 2 2" xfId="72" xr:uid="{00000000-0005-0000-0000-00007A000000}"/>
    <cellStyle name="Normal 2 2 3" xfId="73" xr:uid="{00000000-0005-0000-0000-00007B000000}"/>
    <cellStyle name="Normal 2 2 4" xfId="74" xr:uid="{00000000-0005-0000-0000-00007C000000}"/>
    <cellStyle name="Normal 2 2 5" xfId="75" xr:uid="{00000000-0005-0000-0000-00007D000000}"/>
    <cellStyle name="Normal 2 2 6" xfId="76" xr:uid="{00000000-0005-0000-0000-00007E000000}"/>
    <cellStyle name="Normal 2 2 7" xfId="77" xr:uid="{00000000-0005-0000-0000-00007F000000}"/>
    <cellStyle name="Normal 2 2 8" xfId="78" xr:uid="{00000000-0005-0000-0000-000080000000}"/>
    <cellStyle name="Normal 2 2 9" xfId="79" xr:uid="{00000000-0005-0000-0000-000081000000}"/>
    <cellStyle name="Normal 2 3" xfId="80" xr:uid="{00000000-0005-0000-0000-000082000000}"/>
    <cellStyle name="Normal 2 4" xfId="81" xr:uid="{00000000-0005-0000-0000-000083000000}"/>
    <cellStyle name="Normal 2 4 2" xfId="82" xr:uid="{00000000-0005-0000-0000-000084000000}"/>
    <cellStyle name="Normal 2 5" xfId="110" xr:uid="{00000000-0005-0000-0000-000085000000}"/>
    <cellStyle name="Normal 2 5 2" xfId="201" xr:uid="{00000000-0005-0000-0000-000086000000}"/>
    <cellStyle name="Normal 2 6" xfId="47" xr:uid="{00000000-0005-0000-0000-000087000000}"/>
    <cellStyle name="Normal 2 6 2" xfId="70" xr:uid="{00000000-0005-0000-0000-000088000000}"/>
    <cellStyle name="Normal 2 7" xfId="299" xr:uid="{00000000-0005-0000-0000-000089000000}"/>
    <cellStyle name="Normal 26" xfId="106" xr:uid="{00000000-0005-0000-0000-00008A000000}"/>
    <cellStyle name="Normal 26 2" xfId="199" xr:uid="{00000000-0005-0000-0000-00008B000000}"/>
    <cellStyle name="Normal 27" xfId="107" xr:uid="{00000000-0005-0000-0000-00008C000000}"/>
    <cellStyle name="Normal 27 2" xfId="200" xr:uid="{00000000-0005-0000-0000-00008D000000}"/>
    <cellStyle name="Normal 28" xfId="133" xr:uid="{00000000-0005-0000-0000-00008E000000}"/>
    <cellStyle name="Normal 28 2" xfId="219" xr:uid="{00000000-0005-0000-0000-00008F000000}"/>
    <cellStyle name="Normal 3" xfId="83" xr:uid="{00000000-0005-0000-0000-000090000000}"/>
    <cellStyle name="Normal 3 2" xfId="84" xr:uid="{00000000-0005-0000-0000-000091000000}"/>
    <cellStyle name="Normal 3 2 2" xfId="85" xr:uid="{00000000-0005-0000-0000-000092000000}"/>
    <cellStyle name="Normal 3 2 3" xfId="86" xr:uid="{00000000-0005-0000-0000-000093000000}"/>
    <cellStyle name="Normal 3 2 4" xfId="87" xr:uid="{00000000-0005-0000-0000-000094000000}"/>
    <cellStyle name="Normal 3 2 5" xfId="88" xr:uid="{00000000-0005-0000-0000-000095000000}"/>
    <cellStyle name="Normal 3 2 6" xfId="89" xr:uid="{00000000-0005-0000-0000-000096000000}"/>
    <cellStyle name="Normal 3 2 7" xfId="90" xr:uid="{00000000-0005-0000-0000-000097000000}"/>
    <cellStyle name="Normal 3 2 8" xfId="91" xr:uid="{00000000-0005-0000-0000-000098000000}"/>
    <cellStyle name="Normal 3 2 9" xfId="92" xr:uid="{00000000-0005-0000-0000-000099000000}"/>
    <cellStyle name="Normal 3 3" xfId="108" xr:uid="{00000000-0005-0000-0000-00009A000000}"/>
    <cellStyle name="Normal 3 40" xfId="109" xr:uid="{00000000-0005-0000-0000-00009B000000}"/>
    <cellStyle name="Normal 33" xfId="277" xr:uid="{00000000-0005-0000-0000-00009C000000}"/>
    <cellStyle name="Normal 35" xfId="301" xr:uid="{00000000-0005-0000-0000-00009D000000}"/>
    <cellStyle name="Normal 36" xfId="134" xr:uid="{00000000-0005-0000-0000-00009E000000}"/>
    <cellStyle name="Normal 36 2" xfId="220" xr:uid="{00000000-0005-0000-0000-00009F000000}"/>
    <cellStyle name="Normal 37" xfId="135" xr:uid="{00000000-0005-0000-0000-0000A0000000}"/>
    <cellStyle name="Normal 37 2" xfId="221" xr:uid="{00000000-0005-0000-0000-0000A1000000}"/>
    <cellStyle name="Normal 38" xfId="136" xr:uid="{00000000-0005-0000-0000-0000A2000000}"/>
    <cellStyle name="Normal 38 2" xfId="222" xr:uid="{00000000-0005-0000-0000-0000A3000000}"/>
    <cellStyle name="Normal 39" xfId="137" xr:uid="{00000000-0005-0000-0000-0000A4000000}"/>
    <cellStyle name="Normal 39 2" xfId="223" xr:uid="{00000000-0005-0000-0000-0000A5000000}"/>
    <cellStyle name="Normal 4" xfId="10" xr:uid="{00000000-0005-0000-0000-0000A6000000}"/>
    <cellStyle name="Normal 4 2" xfId="94" xr:uid="{00000000-0005-0000-0000-0000A7000000}"/>
    <cellStyle name="Normal 4 3" xfId="93" xr:uid="{00000000-0005-0000-0000-0000A8000000}"/>
    <cellStyle name="Normal 4 4" xfId="278" xr:uid="{00000000-0005-0000-0000-0000A9000000}"/>
    <cellStyle name="Normal 40" xfId="138" xr:uid="{00000000-0005-0000-0000-0000AA000000}"/>
    <cellStyle name="Normal 40 2" xfId="224" xr:uid="{00000000-0005-0000-0000-0000AB000000}"/>
    <cellStyle name="Normal 41" xfId="139" xr:uid="{00000000-0005-0000-0000-0000AC000000}"/>
    <cellStyle name="Normal 41 2" xfId="225" xr:uid="{00000000-0005-0000-0000-0000AD000000}"/>
    <cellStyle name="Normal 42" xfId="140" xr:uid="{00000000-0005-0000-0000-0000AE000000}"/>
    <cellStyle name="Normal 42 2" xfId="226" xr:uid="{00000000-0005-0000-0000-0000AF000000}"/>
    <cellStyle name="Normal 43" xfId="141" xr:uid="{00000000-0005-0000-0000-0000B0000000}"/>
    <cellStyle name="Normal 43 2" xfId="227" xr:uid="{00000000-0005-0000-0000-0000B1000000}"/>
    <cellStyle name="Normal 44" xfId="142" xr:uid="{00000000-0005-0000-0000-0000B2000000}"/>
    <cellStyle name="Normal 44 2" xfId="228" xr:uid="{00000000-0005-0000-0000-0000B3000000}"/>
    <cellStyle name="Normal 45" xfId="143" xr:uid="{00000000-0005-0000-0000-0000B4000000}"/>
    <cellStyle name="Normal 45 2" xfId="229" xr:uid="{00000000-0005-0000-0000-0000B5000000}"/>
    <cellStyle name="Normal 46" xfId="144" xr:uid="{00000000-0005-0000-0000-0000B6000000}"/>
    <cellStyle name="Normal 46 2" xfId="230" xr:uid="{00000000-0005-0000-0000-0000B7000000}"/>
    <cellStyle name="Normal 47" xfId="145" xr:uid="{00000000-0005-0000-0000-0000B8000000}"/>
    <cellStyle name="Normal 47 2" xfId="231" xr:uid="{00000000-0005-0000-0000-0000B9000000}"/>
    <cellStyle name="Normal 48" xfId="146" xr:uid="{00000000-0005-0000-0000-0000BA000000}"/>
    <cellStyle name="Normal 48 2" xfId="232" xr:uid="{00000000-0005-0000-0000-0000BB000000}"/>
    <cellStyle name="Normal 49" xfId="147" xr:uid="{00000000-0005-0000-0000-0000BC000000}"/>
    <cellStyle name="Normal 49 2" xfId="233" xr:uid="{00000000-0005-0000-0000-0000BD000000}"/>
    <cellStyle name="Normal 5" xfId="95" xr:uid="{00000000-0005-0000-0000-0000BE000000}"/>
    <cellStyle name="Normal 5 2" xfId="96" xr:uid="{00000000-0005-0000-0000-0000BF000000}"/>
    <cellStyle name="Normal 5 3" xfId="97" xr:uid="{00000000-0005-0000-0000-0000C0000000}"/>
    <cellStyle name="Normal 5 4" xfId="98" xr:uid="{00000000-0005-0000-0000-0000C1000000}"/>
    <cellStyle name="Normal 50" xfId="148" xr:uid="{00000000-0005-0000-0000-0000C2000000}"/>
    <cellStyle name="Normal 50 2" xfId="234" xr:uid="{00000000-0005-0000-0000-0000C3000000}"/>
    <cellStyle name="Normal 51" xfId="149" xr:uid="{00000000-0005-0000-0000-0000C4000000}"/>
    <cellStyle name="Normal 51 2" xfId="235" xr:uid="{00000000-0005-0000-0000-0000C5000000}"/>
    <cellStyle name="Normal 52" xfId="150" xr:uid="{00000000-0005-0000-0000-0000C6000000}"/>
    <cellStyle name="Normal 52 2" xfId="236" xr:uid="{00000000-0005-0000-0000-0000C7000000}"/>
    <cellStyle name="Normal 53" xfId="151" xr:uid="{00000000-0005-0000-0000-0000C8000000}"/>
    <cellStyle name="Normal 53 2" xfId="237" xr:uid="{00000000-0005-0000-0000-0000C9000000}"/>
    <cellStyle name="Normal 54" xfId="152" xr:uid="{00000000-0005-0000-0000-0000CA000000}"/>
    <cellStyle name="Normal 54 2" xfId="238" xr:uid="{00000000-0005-0000-0000-0000CB000000}"/>
    <cellStyle name="Normal 55" xfId="153" xr:uid="{00000000-0005-0000-0000-0000CC000000}"/>
    <cellStyle name="Normal 55 2" xfId="239" xr:uid="{00000000-0005-0000-0000-0000CD000000}"/>
    <cellStyle name="Normal 56" xfId="154" xr:uid="{00000000-0005-0000-0000-0000CE000000}"/>
    <cellStyle name="Normal 56 2" xfId="240" xr:uid="{00000000-0005-0000-0000-0000CF000000}"/>
    <cellStyle name="Normal 57" xfId="155" xr:uid="{00000000-0005-0000-0000-0000D0000000}"/>
    <cellStyle name="Normal 57 2" xfId="241" xr:uid="{00000000-0005-0000-0000-0000D1000000}"/>
    <cellStyle name="Normal 58" xfId="156" xr:uid="{00000000-0005-0000-0000-0000D2000000}"/>
    <cellStyle name="Normal 58 2" xfId="242" xr:uid="{00000000-0005-0000-0000-0000D3000000}"/>
    <cellStyle name="Normal 59" xfId="157" xr:uid="{00000000-0005-0000-0000-0000D4000000}"/>
    <cellStyle name="Normal 59 2" xfId="243" xr:uid="{00000000-0005-0000-0000-0000D5000000}"/>
    <cellStyle name="Normal 6" xfId="99" xr:uid="{00000000-0005-0000-0000-0000D6000000}"/>
    <cellStyle name="Normal 6 2" xfId="100" xr:uid="{00000000-0005-0000-0000-0000D7000000}"/>
    <cellStyle name="Normal 6 3" xfId="101" xr:uid="{00000000-0005-0000-0000-0000D8000000}"/>
    <cellStyle name="Normal 60" xfId="158" xr:uid="{00000000-0005-0000-0000-0000D9000000}"/>
    <cellStyle name="Normal 60 2" xfId="244" xr:uid="{00000000-0005-0000-0000-0000DA000000}"/>
    <cellStyle name="Normal 61" xfId="159" xr:uid="{00000000-0005-0000-0000-0000DB000000}"/>
    <cellStyle name="Normal 61 2" xfId="245" xr:uid="{00000000-0005-0000-0000-0000DC000000}"/>
    <cellStyle name="Normal 62" xfId="160" xr:uid="{00000000-0005-0000-0000-0000DD000000}"/>
    <cellStyle name="Normal 62 2" xfId="246" xr:uid="{00000000-0005-0000-0000-0000DE000000}"/>
    <cellStyle name="Normal 63" xfId="161" xr:uid="{00000000-0005-0000-0000-0000DF000000}"/>
    <cellStyle name="Normal 63 2" xfId="247" xr:uid="{00000000-0005-0000-0000-0000E0000000}"/>
    <cellStyle name="Normal 64" xfId="162" xr:uid="{00000000-0005-0000-0000-0000E1000000}"/>
    <cellStyle name="Normal 64 2" xfId="248" xr:uid="{00000000-0005-0000-0000-0000E2000000}"/>
    <cellStyle name="Normal 65" xfId="163" xr:uid="{00000000-0005-0000-0000-0000E3000000}"/>
    <cellStyle name="Normal 65 2" xfId="249" xr:uid="{00000000-0005-0000-0000-0000E4000000}"/>
    <cellStyle name="Normal 66" xfId="164" xr:uid="{00000000-0005-0000-0000-0000E5000000}"/>
    <cellStyle name="Normal 66 2" xfId="250" xr:uid="{00000000-0005-0000-0000-0000E6000000}"/>
    <cellStyle name="Normal 67" xfId="165" xr:uid="{00000000-0005-0000-0000-0000E7000000}"/>
    <cellStyle name="Normal 67 2" xfId="251" xr:uid="{00000000-0005-0000-0000-0000E8000000}"/>
    <cellStyle name="Normal 69" xfId="166" xr:uid="{00000000-0005-0000-0000-0000E9000000}"/>
    <cellStyle name="Normal 69 2" xfId="252" xr:uid="{00000000-0005-0000-0000-0000EA000000}"/>
    <cellStyle name="Normal 7" xfId="102" xr:uid="{00000000-0005-0000-0000-0000EB000000}"/>
    <cellStyle name="Normal 70" xfId="167" xr:uid="{00000000-0005-0000-0000-0000EC000000}"/>
    <cellStyle name="Normal 70 2" xfId="253" xr:uid="{00000000-0005-0000-0000-0000ED000000}"/>
    <cellStyle name="Normal 71" xfId="168" xr:uid="{00000000-0005-0000-0000-0000EE000000}"/>
    <cellStyle name="Normal 71 2" xfId="254" xr:uid="{00000000-0005-0000-0000-0000EF000000}"/>
    <cellStyle name="Normal 72" xfId="169" xr:uid="{00000000-0005-0000-0000-0000F0000000}"/>
    <cellStyle name="Normal 72 2" xfId="255" xr:uid="{00000000-0005-0000-0000-0000F1000000}"/>
    <cellStyle name="Normal 73" xfId="170" xr:uid="{00000000-0005-0000-0000-0000F2000000}"/>
    <cellStyle name="Normal 73 2" xfId="256" xr:uid="{00000000-0005-0000-0000-0000F3000000}"/>
    <cellStyle name="Normal 74" xfId="171" xr:uid="{00000000-0005-0000-0000-0000F4000000}"/>
    <cellStyle name="Normal 74 2" xfId="257" xr:uid="{00000000-0005-0000-0000-0000F5000000}"/>
    <cellStyle name="Normal 75" xfId="172" xr:uid="{00000000-0005-0000-0000-0000F6000000}"/>
    <cellStyle name="Normal 75 2" xfId="258" xr:uid="{00000000-0005-0000-0000-0000F7000000}"/>
    <cellStyle name="Normal 76" xfId="173" xr:uid="{00000000-0005-0000-0000-0000F8000000}"/>
    <cellStyle name="Normal 76 2" xfId="259" xr:uid="{00000000-0005-0000-0000-0000F9000000}"/>
    <cellStyle name="Normal 77" xfId="174" xr:uid="{00000000-0005-0000-0000-0000FA000000}"/>
    <cellStyle name="Normal 77 2" xfId="260" xr:uid="{00000000-0005-0000-0000-0000FB000000}"/>
    <cellStyle name="Normal 78" xfId="175" xr:uid="{00000000-0005-0000-0000-0000FC000000}"/>
    <cellStyle name="Normal 78 2" xfId="261" xr:uid="{00000000-0005-0000-0000-0000FD000000}"/>
    <cellStyle name="Normal 79" xfId="176" xr:uid="{00000000-0005-0000-0000-0000FE000000}"/>
    <cellStyle name="Normal 79 2" xfId="262" xr:uid="{00000000-0005-0000-0000-0000FF000000}"/>
    <cellStyle name="Normal 8" xfId="103" xr:uid="{00000000-0005-0000-0000-000000010000}"/>
    <cellStyle name="Normal 80" xfId="177" xr:uid="{00000000-0005-0000-0000-000001010000}"/>
    <cellStyle name="Normal 80 2" xfId="263" xr:uid="{00000000-0005-0000-0000-000002010000}"/>
    <cellStyle name="Normal 81" xfId="178" xr:uid="{00000000-0005-0000-0000-000003010000}"/>
    <cellStyle name="Normal 81 2" xfId="264" xr:uid="{00000000-0005-0000-0000-000004010000}"/>
    <cellStyle name="Normal 82" xfId="179" xr:uid="{00000000-0005-0000-0000-000005010000}"/>
    <cellStyle name="Normal 82 2" xfId="265" xr:uid="{00000000-0005-0000-0000-000006010000}"/>
    <cellStyle name="Normal 83" xfId="180" xr:uid="{00000000-0005-0000-0000-000007010000}"/>
    <cellStyle name="Normal 83 2" xfId="266" xr:uid="{00000000-0005-0000-0000-000008010000}"/>
    <cellStyle name="Normal 84" xfId="181" xr:uid="{00000000-0005-0000-0000-000009010000}"/>
    <cellStyle name="Normal 84 2" xfId="267" xr:uid="{00000000-0005-0000-0000-00000A010000}"/>
    <cellStyle name="Normal 85" xfId="182" xr:uid="{00000000-0005-0000-0000-00000B010000}"/>
    <cellStyle name="Normal 85 2" xfId="268" xr:uid="{00000000-0005-0000-0000-00000C010000}"/>
    <cellStyle name="Normal 86" xfId="183" xr:uid="{00000000-0005-0000-0000-00000D010000}"/>
    <cellStyle name="Normal 86 2" xfId="269" xr:uid="{00000000-0005-0000-0000-00000E010000}"/>
    <cellStyle name="Normal 87" xfId="184" xr:uid="{00000000-0005-0000-0000-00000F010000}"/>
    <cellStyle name="Normal 87 2" xfId="270" xr:uid="{00000000-0005-0000-0000-000010010000}"/>
    <cellStyle name="Normal 9" xfId="104" xr:uid="{00000000-0005-0000-0000-000011010000}"/>
    <cellStyle name="Normal 9 2" xfId="105" xr:uid="{00000000-0005-0000-0000-000012010000}"/>
    <cellStyle name="Normal 9 2 2" xfId="198" xr:uid="{00000000-0005-0000-0000-000013010000}"/>
    <cellStyle name="Note" xfId="14" builtinId="10" customBuiltin="1"/>
    <cellStyle name="Note 2" xfId="53" xr:uid="{00000000-0005-0000-0000-000015010000}"/>
    <cellStyle name="Output" xfId="12" builtinId="21" customBuiltin="1"/>
    <cellStyle name="Percent" xfId="2" builtinId="5"/>
    <cellStyle name="Percent 10" xfId="113" xr:uid="{00000000-0005-0000-0000-000018010000}"/>
    <cellStyle name="Percent 11" xfId="49" xr:uid="{00000000-0005-0000-0000-000019010000}"/>
    <cellStyle name="Percent 11 2" xfId="290" xr:uid="{00000000-0005-0000-0000-00001A010000}"/>
    <cellStyle name="Percent 2" xfId="185" xr:uid="{00000000-0005-0000-0000-00001B010000}"/>
    <cellStyle name="Percent 2 2" xfId="271" xr:uid="{00000000-0005-0000-0000-00001C010000}"/>
    <cellStyle name="Percent 3" xfId="186" xr:uid="{00000000-0005-0000-0000-00001D010000}"/>
    <cellStyle name="Percent 3 2" xfId="272" xr:uid="{00000000-0005-0000-0000-00001E010000}"/>
    <cellStyle name="Percent 3 3" xfId="283" xr:uid="{00000000-0005-0000-0000-00001F010000}"/>
    <cellStyle name="Percent 4" xfId="187" xr:uid="{00000000-0005-0000-0000-000020010000}"/>
    <cellStyle name="Percent 4 2" xfId="273" xr:uid="{00000000-0005-0000-0000-000021010000}"/>
    <cellStyle name="Percent 4 3" xfId="284" xr:uid="{00000000-0005-0000-0000-000022010000}"/>
    <cellStyle name="Percent 5" xfId="188" xr:uid="{00000000-0005-0000-0000-000023010000}"/>
    <cellStyle name="Percent 5 2" xfId="274" xr:uid="{00000000-0005-0000-0000-000024010000}"/>
    <cellStyle name="Percent 6" xfId="189" xr:uid="{00000000-0005-0000-0000-000025010000}"/>
    <cellStyle name="Percent 6 2" xfId="275" xr:uid="{00000000-0005-0000-0000-000026010000}"/>
    <cellStyle name="Percent 7" xfId="190" xr:uid="{00000000-0005-0000-0000-000027010000}"/>
    <cellStyle name="Percent 8" xfId="191" xr:uid="{00000000-0005-0000-0000-000028010000}"/>
    <cellStyle name="Percent 8 2" xfId="276" xr:uid="{00000000-0005-0000-0000-000029010000}"/>
    <cellStyle name="Percent 9" xfId="196" xr:uid="{00000000-0005-0000-0000-00002A010000}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00FF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Billed%20kWh%20Budget%20KCPL%202019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%20MEEIA%20Cycle%202%20Forecast%20Model%202017-2020%20042019%20actuals%20051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MO%20MEEIA%202018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MO%20MEEIA%202019%20Revenue%20Analys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KCPL%20Short-Term%20Borrowing%20Rate%20November%202018%20-%20April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SI%20Projects%20112018-042019%20KCP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TD%20Model%20KCPL-MO%20042019%200506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20">
          <cell r="G20">
            <v>147540153</v>
          </cell>
          <cell r="H20">
            <v>193046185</v>
          </cell>
          <cell r="I20">
            <v>278099025</v>
          </cell>
        </row>
        <row r="21">
          <cell r="G21">
            <v>342311241</v>
          </cell>
          <cell r="H21">
            <v>375891474</v>
          </cell>
          <cell r="I21">
            <v>415780141</v>
          </cell>
        </row>
        <row r="29">
          <cell r="D29">
            <v>1368937393</v>
          </cell>
        </row>
        <row r="30">
          <cell r="D30">
            <v>2302186184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KCPL Monthly TD Calc"/>
      <sheetName val="Program Costs - KCP&amp;L"/>
      <sheetName val="Cap &amp; Amort KCP&amp;L"/>
      <sheetName val="Compare Cap &amp; Amort to Current"/>
      <sheetName val="Program Costs - GMO"/>
      <sheetName val="MEEIA Outlook"/>
      <sheetName val="KCPL Actual kWh Savings (Gross)"/>
      <sheetName val="GMO Actual kWh Savings (Gross)"/>
      <sheetName val="kW Actuals (Gross)"/>
      <sheetName val="Actual Program Costs"/>
      <sheetName val="EM&amp;V Inputs"/>
      <sheetName val="Inputs - kWh-kW-Incent"/>
      <sheetName val="Thermostat Cycle 2 Extension"/>
      <sheetName val="Programmable Thermostat"/>
      <sheetName val="Nest 2016"/>
      <sheetName val="Nest 2017"/>
      <sheetName val="Nest 2018"/>
      <sheetName val="Bus Tstat"/>
      <sheetName val="Demand Response"/>
      <sheetName val="Custom-Standard"/>
      <sheetName val="SEM"/>
      <sheetName val="Block Bid"/>
      <sheetName val="SBDI"/>
      <sheetName val="ICF Extension"/>
      <sheetName val="Whole House"/>
      <sheetName val="Home Lighting"/>
      <sheetName val="IEMF"/>
      <sheetName val="Home Lighting-IEMF kWh-kW"/>
      <sheetName val="ICF Summary"/>
      <sheetName val="IEW"/>
      <sheetName val="HER"/>
      <sheetName val="Analyzer"/>
      <sheetName val="MEEIA 2019 Labor - KCPL"/>
      <sheetName val="MEEIA 2019 Labor - GMO"/>
      <sheetName val="Tracking Tool"/>
      <sheetName val="Marketing"/>
      <sheetName val="Extension Marketing"/>
      <sheetName val="EM&amp;V"/>
      <sheetName val="Research &amp; Pilot"/>
      <sheetName val="Potential Study"/>
      <sheetName val="Labor and Loadings"/>
      <sheetName val="KCPL Billed kWh Sales"/>
      <sheetName val="GMO Billed kWh Sales"/>
      <sheetName val="Extension Budget - Savings"/>
      <sheetName val="Contract Prog Cost KCP&amp;L"/>
      <sheetName val="Contract Prog Cost GMO"/>
      <sheetName val="Contract kWh KCP&amp;L"/>
      <sheetName val="Contract kWh GMO"/>
      <sheetName val="Contract kW KCP&amp;L"/>
      <sheetName val="Contract kW GMO"/>
    </sheetNames>
    <sheetDataSet>
      <sheetData sheetId="0"/>
      <sheetData sheetId="1"/>
      <sheetData sheetId="2"/>
      <sheetData sheetId="3">
        <row r="351">
          <cell r="AN351">
            <v>69120.41</v>
          </cell>
          <cell r="AO351">
            <v>127882.16</v>
          </cell>
        </row>
        <row r="352">
          <cell r="AN352">
            <v>140436.31</v>
          </cell>
          <cell r="AO352">
            <v>200500.9</v>
          </cell>
        </row>
        <row r="355">
          <cell r="AU355">
            <v>886979.54</v>
          </cell>
        </row>
        <row r="356">
          <cell r="AU356">
            <v>1298505.95</v>
          </cell>
        </row>
        <row r="372">
          <cell r="AN372">
            <v>1180599.5282989964</v>
          </cell>
          <cell r="AO372">
            <v>1424167.2456280503</v>
          </cell>
        </row>
        <row r="373">
          <cell r="AN373">
            <v>3645557.4332247623</v>
          </cell>
          <cell r="AO373">
            <v>3951557.4131044107</v>
          </cell>
        </row>
        <row r="377">
          <cell r="AU377">
            <v>11952683.905522367</v>
          </cell>
        </row>
        <row r="378">
          <cell r="AU378">
            <v>30981314.354736056</v>
          </cell>
        </row>
      </sheetData>
      <sheetData sheetId="4">
        <row r="153">
          <cell r="AZ153">
            <v>432466.09</v>
          </cell>
          <cell r="BA153">
            <v>516719.77999999997</v>
          </cell>
        </row>
        <row r="154">
          <cell r="AZ154">
            <v>839601.29</v>
          </cell>
          <cell r="BA154">
            <v>879042.35999999975</v>
          </cell>
        </row>
        <row r="155">
          <cell r="AZ155">
            <v>76860.490000000005</v>
          </cell>
          <cell r="BA155">
            <v>106594.02000000002</v>
          </cell>
        </row>
        <row r="159">
          <cell r="BG159">
            <v>2968951.57</v>
          </cell>
        </row>
        <row r="160">
          <cell r="BG160">
            <v>4913991.9799999995</v>
          </cell>
        </row>
        <row r="161">
          <cell r="BG161">
            <v>755750.18</v>
          </cell>
        </row>
        <row r="162">
          <cell r="BG16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-MO Revenue Analysis"/>
      <sheetName val="December 2018 Combined"/>
      <sheetName val="November 2018 Combined"/>
      <sheetName val="October 2018 Combined"/>
      <sheetName val="September 2018 Combined"/>
      <sheetName val="August 2018 Combined"/>
      <sheetName val="July 2018 Combined"/>
      <sheetName val="June 2018 Combined"/>
      <sheetName val="May 2018 Combined"/>
      <sheetName val="KCP&amp;L MO DSIM Rate Table"/>
      <sheetName val="DSIM Rates - Initial RP"/>
      <sheetName val="DSIM Rates - 2nd RP"/>
      <sheetName val="DSIM Rates - 3rd RP"/>
      <sheetName val="DSIM Rates - 4th RP"/>
      <sheetName val="DSIM Rates - 4th RP Cycle 2"/>
      <sheetName val="DSIM Rates 5th RP"/>
      <sheetName val="DSIM Rates 6th RP"/>
      <sheetName val="DSIM Rates 7th RP"/>
      <sheetName val="DSIM Rates 8th RP"/>
      <sheetName val="DSIM Rates 9th RP"/>
    </sheetNames>
    <sheetDataSet>
      <sheetData sheetId="0"/>
      <sheetData sheetId="1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17657.3</v>
          </cell>
        </row>
        <row r="19">
          <cell r="F19">
            <v>-0.47</v>
          </cell>
        </row>
        <row r="20">
          <cell r="F20">
            <v>8711.1400000000012</v>
          </cell>
        </row>
        <row r="24">
          <cell r="F24">
            <v>2290.2799999999997</v>
          </cell>
        </row>
        <row r="25">
          <cell r="F25">
            <v>-329.89999999999964</v>
          </cell>
        </row>
        <row r="34">
          <cell r="F34">
            <v>510469.04000000004</v>
          </cell>
        </row>
        <row r="35">
          <cell r="F35">
            <v>822383.33000000007</v>
          </cell>
        </row>
        <row r="39">
          <cell r="F39">
            <v>2269.84</v>
          </cell>
        </row>
        <row r="40">
          <cell r="F40">
            <v>-96152.409999999989</v>
          </cell>
        </row>
        <row r="44">
          <cell r="F44">
            <v>459872.1</v>
          </cell>
        </row>
        <row r="45">
          <cell r="F45">
            <v>467891.68999999994</v>
          </cell>
        </row>
        <row r="55">
          <cell r="F55">
            <v>229938340.5652</v>
          </cell>
        </row>
        <row r="56">
          <cell r="F56">
            <v>382244800.77529997</v>
          </cell>
        </row>
        <row r="61">
          <cell r="F61">
            <v>229938340.5652</v>
          </cell>
        </row>
        <row r="62">
          <cell r="F62">
            <v>382244800.77529997</v>
          </cell>
        </row>
      </sheetData>
      <sheetData sheetId="2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10642.58</v>
          </cell>
        </row>
        <row r="19">
          <cell r="F19">
            <v>-0.5</v>
          </cell>
        </row>
        <row r="20">
          <cell r="F20">
            <v>5479.82</v>
          </cell>
        </row>
        <row r="24">
          <cell r="F24">
            <v>1666.52</v>
          </cell>
        </row>
        <row r="25">
          <cell r="F25">
            <v>26291.77</v>
          </cell>
        </row>
        <row r="34">
          <cell r="F34">
            <v>366322.11</v>
          </cell>
        </row>
        <row r="35">
          <cell r="F35">
            <v>656797.5</v>
          </cell>
        </row>
        <row r="39">
          <cell r="F39">
            <v>1712.8200000000002</v>
          </cell>
        </row>
        <row r="40">
          <cell r="F40">
            <v>-33986.25</v>
          </cell>
        </row>
        <row r="44">
          <cell r="F44">
            <v>330049.74</v>
          </cell>
        </row>
        <row r="45">
          <cell r="F45">
            <v>385451.81</v>
          </cell>
        </row>
        <row r="55">
          <cell r="F55">
            <v>165013792.27160001</v>
          </cell>
        </row>
        <row r="56">
          <cell r="F56">
            <v>336003203.11070007</v>
          </cell>
        </row>
        <row r="61">
          <cell r="F61">
            <v>165013792.27160001</v>
          </cell>
        </row>
        <row r="62">
          <cell r="F62">
            <v>336003203.11070007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-MO Revenue Analysis"/>
      <sheetName val="January 2019 Combined"/>
      <sheetName val="February 2019 Combined"/>
      <sheetName val="March 2019 Combined"/>
      <sheetName val="April 2019 Combined"/>
      <sheetName val="May 2019 Combined"/>
      <sheetName val="June 2019 Combined"/>
      <sheetName val="July 2019 Combined"/>
      <sheetName val="August 2019 Combined"/>
      <sheetName val="September 2019 Combined"/>
      <sheetName val="October 2019 Combined"/>
      <sheetName val="November 2019 Combined"/>
      <sheetName val="December 2019 Combined"/>
      <sheetName val="KCP&amp;L MO DSIM Rate Table"/>
      <sheetName val="DSIM Rates - Initial RP"/>
      <sheetName val="DSIM Rates - 2nd RP"/>
      <sheetName val="DSIM Rates - 3rd RP"/>
      <sheetName val="DSIM Rates - 4th RP"/>
      <sheetName val="DSIM Rates - 4th RP Cycle 2"/>
      <sheetName val="DSIM Rates 5th RP"/>
      <sheetName val="DSIM Rates 6th RP"/>
      <sheetName val="DSIM Rates 7th RP"/>
      <sheetName val="DSIM Rates 8th RP"/>
      <sheetName val="DSIM Rates 9th RP"/>
      <sheetName val="DSIM Rates 10th RP"/>
      <sheetName val="DSIM Rates 11th RP"/>
    </sheetNames>
    <sheetDataSet>
      <sheetData sheetId="0"/>
      <sheetData sheetId="1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14658.65</v>
          </cell>
        </row>
        <row r="19">
          <cell r="F19">
            <v>2.93</v>
          </cell>
        </row>
        <row r="20">
          <cell r="F20">
            <v>7329.2300000000005</v>
          </cell>
        </row>
        <row r="24">
          <cell r="F24">
            <v>2324.0699999999997</v>
          </cell>
        </row>
        <row r="25">
          <cell r="F25">
            <v>10987.74</v>
          </cell>
        </row>
        <row r="34">
          <cell r="F34">
            <v>500848.29</v>
          </cell>
        </row>
        <row r="35">
          <cell r="F35">
            <v>751206.78</v>
          </cell>
        </row>
        <row r="39">
          <cell r="F39">
            <v>2402.98</v>
          </cell>
        </row>
        <row r="40">
          <cell r="F40">
            <v>-69634.14</v>
          </cell>
        </row>
        <row r="44">
          <cell r="F44">
            <v>451184.43</v>
          </cell>
        </row>
        <row r="45">
          <cell r="F45">
            <v>432399.99999999994</v>
          </cell>
        </row>
        <row r="55">
          <cell r="F55">
            <v>334829343.77099997</v>
          </cell>
        </row>
        <row r="56">
          <cell r="F56">
            <v>278215554.43029994</v>
          </cell>
        </row>
        <row r="61">
          <cell r="F61">
            <v>334829343.77099997</v>
          </cell>
        </row>
        <row r="62">
          <cell r="F62">
            <v>278215554.43029994</v>
          </cell>
        </row>
      </sheetData>
      <sheetData sheetId="2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12988.01</v>
          </cell>
        </row>
        <row r="19">
          <cell r="F19">
            <v>0.35</v>
          </cell>
        </row>
        <row r="20">
          <cell r="F20">
            <v>6494.0999999999995</v>
          </cell>
        </row>
        <row r="24">
          <cell r="F24">
            <v>-5347.26</v>
          </cell>
        </row>
        <row r="25">
          <cell r="F25">
            <v>17431</v>
          </cell>
        </row>
        <row r="34">
          <cell r="F34">
            <v>435101.37</v>
          </cell>
        </row>
        <row r="35">
          <cell r="F35">
            <v>823062.97000000009</v>
          </cell>
        </row>
        <row r="39">
          <cell r="F39">
            <v>-97966.1</v>
          </cell>
        </row>
        <row r="40">
          <cell r="F40">
            <v>-51206.7</v>
          </cell>
        </row>
        <row r="44">
          <cell r="F44">
            <v>367805.39999999997</v>
          </cell>
        </row>
        <row r="45">
          <cell r="F45">
            <v>371941.43999999994</v>
          </cell>
        </row>
        <row r="55">
          <cell r="F55">
            <v>260599630.74290001</v>
          </cell>
        </row>
        <row r="56">
          <cell r="F56">
            <v>413827384.73039997</v>
          </cell>
        </row>
        <row r="61">
          <cell r="F61">
            <v>260599630.74290001</v>
          </cell>
        </row>
        <row r="62">
          <cell r="F62">
            <v>413827384.73039997</v>
          </cell>
        </row>
      </sheetData>
      <sheetData sheetId="3">
        <row r="9">
          <cell r="F9">
            <v>0</v>
          </cell>
        </row>
        <row r="10">
          <cell r="F10">
            <v>0.21</v>
          </cell>
        </row>
        <row r="14">
          <cell r="F14">
            <v>0</v>
          </cell>
        </row>
        <row r="15">
          <cell r="F15">
            <v>7033.29</v>
          </cell>
        </row>
        <row r="19">
          <cell r="F19">
            <v>0.84</v>
          </cell>
        </row>
        <row r="20">
          <cell r="F20">
            <v>3516.8700000000003</v>
          </cell>
        </row>
        <row r="24">
          <cell r="F24">
            <v>-16970.22</v>
          </cell>
        </row>
        <row r="25">
          <cell r="F25">
            <v>24565.24</v>
          </cell>
        </row>
        <row r="34">
          <cell r="F34">
            <v>192181.80000000002</v>
          </cell>
        </row>
        <row r="35">
          <cell r="F35">
            <v>755055.08</v>
          </cell>
        </row>
        <row r="39">
          <cell r="F39">
            <v>-243148.23</v>
          </cell>
        </row>
        <row r="40">
          <cell r="F40">
            <v>-7106.99</v>
          </cell>
        </row>
        <row r="44">
          <cell r="F44">
            <v>114074.74</v>
          </cell>
        </row>
        <row r="45">
          <cell r="F45">
            <v>179443.56999999998</v>
          </cell>
        </row>
        <row r="55">
          <cell r="F55">
            <v>244314540.61629993</v>
          </cell>
        </row>
        <row r="56">
          <cell r="F56">
            <v>351210091.47879994</v>
          </cell>
        </row>
        <row r="61">
          <cell r="F61">
            <v>244314540.61629993</v>
          </cell>
        </row>
        <row r="62">
          <cell r="F62">
            <v>351210091.47879994</v>
          </cell>
        </row>
      </sheetData>
      <sheetData sheetId="4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6247.04</v>
          </cell>
        </row>
        <row r="19">
          <cell r="F19">
            <v>0.11</v>
          </cell>
        </row>
        <row r="20">
          <cell r="F20">
            <v>3123.6099999999997</v>
          </cell>
        </row>
        <row r="24">
          <cell r="F24">
            <v>-10817.75</v>
          </cell>
        </row>
        <row r="25">
          <cell r="F25">
            <v>21809.439999999999</v>
          </cell>
        </row>
        <row r="34">
          <cell r="F34">
            <v>121187.16</v>
          </cell>
        </row>
        <row r="35">
          <cell r="F35">
            <v>670275.22</v>
          </cell>
        </row>
        <row r="39">
          <cell r="F39">
            <v>-154815.67000000001</v>
          </cell>
        </row>
        <row r="40">
          <cell r="F40">
            <v>-6327.2000000000007</v>
          </cell>
        </row>
        <row r="44">
          <cell r="F44">
            <v>71576.969999999987</v>
          </cell>
        </row>
        <row r="45">
          <cell r="F45">
            <v>159436.70000000001</v>
          </cell>
        </row>
        <row r="55">
          <cell r="F55">
            <v>154975325.23040009</v>
          </cell>
        </row>
        <row r="56">
          <cell r="F56">
            <v>331238433.93720001</v>
          </cell>
        </row>
        <row r="61">
          <cell r="F61">
            <v>154975325.23040009</v>
          </cell>
        </row>
        <row r="62">
          <cell r="F62">
            <v>331238433.93720001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8"/>
      <sheetName val="June 2018"/>
      <sheetName val="July 2018"/>
      <sheetName val="Aug 2018"/>
      <sheetName val="Sept 2018"/>
      <sheetName val="Oct 2018"/>
      <sheetName val="Nov 2018"/>
      <sheetName val="Dec 2018"/>
      <sheetName val="Jan 2019"/>
      <sheetName val="Feb 2019"/>
      <sheetName val="Mar 2019"/>
      <sheetName val="Apr 2019"/>
    </sheetNames>
    <sheetDataSet>
      <sheetData sheetId="0"/>
      <sheetData sheetId="1"/>
      <sheetData sheetId="2"/>
      <sheetData sheetId="3"/>
      <sheetData sheetId="4"/>
      <sheetData sheetId="5"/>
      <sheetData sheetId="6">
        <row r="51">
          <cell r="F51">
            <v>2.9731599999999999E-3</v>
          </cell>
        </row>
      </sheetData>
      <sheetData sheetId="7">
        <row r="51">
          <cell r="F51">
            <v>3.0868100000000002E-3</v>
          </cell>
        </row>
      </sheetData>
      <sheetData sheetId="8">
        <row r="51">
          <cell r="F51">
            <v>3.13277E-3</v>
          </cell>
        </row>
      </sheetData>
      <sheetData sheetId="9">
        <row r="51">
          <cell r="F51">
            <v>3.1206900000000002E-3</v>
          </cell>
        </row>
      </sheetData>
      <sheetData sheetId="10">
        <row r="51">
          <cell r="F51">
            <v>3.11648E-3</v>
          </cell>
        </row>
      </sheetData>
      <sheetData sheetId="11">
        <row r="51">
          <cell r="F51">
            <v>3.1080600000000002E-3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42019 PY3 final"/>
    </sheetNames>
    <sheetDataSet>
      <sheetData sheetId="0">
        <row r="29">
          <cell r="C29">
            <v>499854.06999999995</v>
          </cell>
          <cell r="D29">
            <v>185909.80999999997</v>
          </cell>
          <cell r="E29">
            <v>210608.81000000003</v>
          </cell>
          <cell r="F29">
            <v>129926.72</v>
          </cell>
          <cell r="G29">
            <v>183360.94</v>
          </cell>
          <cell r="H29">
            <v>208537.65</v>
          </cell>
        </row>
        <row r="30">
          <cell r="C30">
            <v>556073.39000000013</v>
          </cell>
          <cell r="D30">
            <v>586190.57999999996</v>
          </cell>
          <cell r="E30">
            <v>738057.85000000009</v>
          </cell>
          <cell r="F30">
            <v>483505.17000000004</v>
          </cell>
          <cell r="G30">
            <v>1933354.5099999998</v>
          </cell>
          <cell r="H30">
            <v>442837.53999999992</v>
          </cell>
        </row>
        <row r="31">
          <cell r="C31">
            <v>139395.91</v>
          </cell>
          <cell r="D31">
            <v>127547.89999999997</v>
          </cell>
          <cell r="E31">
            <v>116446.34000000003</v>
          </cell>
          <cell r="F31">
            <v>141044.08999999997</v>
          </cell>
          <cell r="G31">
            <v>157699.82599999991</v>
          </cell>
          <cell r="H31">
            <v>48846.96</v>
          </cell>
        </row>
        <row r="32">
          <cell r="C32">
            <v>21230.420000000002</v>
          </cell>
          <cell r="D32">
            <v>73580.27</v>
          </cell>
          <cell r="E32">
            <v>3047.4600000000005</v>
          </cell>
          <cell r="F32">
            <v>40548.870000000003</v>
          </cell>
          <cell r="G32">
            <v>31866.61</v>
          </cell>
          <cell r="H32">
            <v>12853.449999999999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/>
      <sheetData sheetId="1">
        <row r="285">
          <cell r="AH285">
            <v>4492832.7432371089</v>
          </cell>
          <cell r="AI285">
            <v>2282884.3361096657</v>
          </cell>
          <cell r="AJ285">
            <v>2194146.453329077</v>
          </cell>
          <cell r="AK285">
            <v>1972257.9870583927</v>
          </cell>
          <cell r="AL285">
            <v>1913621.9663034007</v>
          </cell>
          <cell r="AM285">
            <v>1828029.0600136956</v>
          </cell>
        </row>
        <row r="286">
          <cell r="AH286">
            <v>10376465.79636794</v>
          </cell>
          <cell r="AI286">
            <v>1472389.4700007821</v>
          </cell>
          <cell r="AJ286">
            <v>1909269.0038277691</v>
          </cell>
          <cell r="AK286">
            <v>2015353.9603798056</v>
          </cell>
          <cell r="AL286">
            <v>2882385.4711485961</v>
          </cell>
          <cell r="AM286">
            <v>3237862.9428333472</v>
          </cell>
        </row>
        <row r="318">
          <cell r="AH318">
            <v>300504.51</v>
          </cell>
          <cell r="AI318">
            <v>137208.76999999999</v>
          </cell>
          <cell r="AJ318">
            <v>120447.72</v>
          </cell>
          <cell r="AK318">
            <v>112485.21</v>
          </cell>
          <cell r="AL318">
            <v>111874.56</v>
          </cell>
          <cell r="AM318">
            <v>109911.77</v>
          </cell>
        </row>
        <row r="319">
          <cell r="AH319">
            <v>441495.88</v>
          </cell>
          <cell r="AI319">
            <v>56346.37</v>
          </cell>
          <cell r="AJ319">
            <v>65716.09</v>
          </cell>
          <cell r="AK319">
            <v>72511.75</v>
          </cell>
          <cell r="AL319">
            <v>102626.48</v>
          </cell>
          <cell r="AM319">
            <v>118927.73</v>
          </cell>
        </row>
        <row r="341">
          <cell r="AG341">
            <v>-27120.28999999995</v>
          </cell>
        </row>
        <row r="342">
          <cell r="AG342">
            <v>-2260.8099999998813</v>
          </cell>
        </row>
        <row r="351">
          <cell r="AG351">
            <v>-185.02999999999997</v>
          </cell>
        </row>
        <row r="352">
          <cell r="AG352">
            <v>-15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0" sqref="H10"/>
    </sheetView>
  </sheetViews>
  <sheetFormatPr defaultRowHeight="15" x14ac:dyDescent="0.25"/>
  <cols>
    <col min="2" max="2" width="18.7109375" customWidth="1"/>
    <col min="3" max="3" width="16" bestFit="1" customWidth="1"/>
    <col min="4" max="4" width="15.5703125" customWidth="1"/>
    <col min="5" max="5" width="14.85546875" bestFit="1" customWidth="1"/>
    <col min="6" max="6" width="11.28515625" bestFit="1" customWidth="1"/>
    <col min="7" max="7" width="18.42578125" bestFit="1" customWidth="1"/>
    <col min="8" max="8" width="13.42578125" customWidth="1"/>
    <col min="9" max="9" width="3.5703125" customWidth="1"/>
    <col min="10" max="10" width="13.7109375" bestFit="1" customWidth="1"/>
    <col min="11" max="11" width="12.42578125" bestFit="1" customWidth="1"/>
    <col min="12" max="13" width="13.7109375" bestFit="1" customWidth="1"/>
  </cols>
  <sheetData>
    <row r="1" spans="1:13" x14ac:dyDescent="0.25">
      <c r="A1" s="3" t="str">
        <f>+PPC!A1</f>
        <v>Kansas City Power &amp; Light Company - DSIM Rider Update Filed 05/31/2019</v>
      </c>
    </row>
    <row r="2" spans="1:13" ht="15.75" thickBot="1" x14ac:dyDescent="0.3">
      <c r="H2" s="62"/>
      <c r="I2" s="62"/>
      <c r="J2" s="64"/>
      <c r="K2" s="64"/>
    </row>
    <row r="3" spans="1:13" ht="27.75" thickBot="1" x14ac:dyDescent="0.3">
      <c r="B3" s="109" t="s">
        <v>8</v>
      </c>
      <c r="C3" s="153" t="s">
        <v>22</v>
      </c>
      <c r="D3" s="153" t="s">
        <v>23</v>
      </c>
      <c r="E3" s="153" t="s">
        <v>76</v>
      </c>
      <c r="F3" s="153" t="s">
        <v>24</v>
      </c>
      <c r="G3" s="153" t="s">
        <v>47</v>
      </c>
      <c r="H3" s="111" t="s">
        <v>33</v>
      </c>
      <c r="I3" s="53"/>
      <c r="J3" s="110" t="s">
        <v>15</v>
      </c>
      <c r="K3" s="111" t="s">
        <v>75</v>
      </c>
      <c r="L3" s="111" t="s">
        <v>98</v>
      </c>
      <c r="M3" s="111" t="s">
        <v>99</v>
      </c>
    </row>
    <row r="4" spans="1:13" ht="15.75" thickBot="1" x14ac:dyDescent="0.3">
      <c r="B4" s="112" t="s">
        <v>29</v>
      </c>
      <c r="C4" s="151">
        <f t="shared" ref="C4:F5" si="0">C10+C16</f>
        <v>4125096.4298599996</v>
      </c>
      <c r="D4" s="152">
        <f t="shared" si="0"/>
        <v>843916.87302000006</v>
      </c>
      <c r="E4" s="152">
        <f t="shared" si="0"/>
        <v>-14821.554589999982</v>
      </c>
      <c r="F4" s="152">
        <f t="shared" si="0"/>
        <v>-4343.54</v>
      </c>
      <c r="G4" s="155">
        <f>PPC!B5</f>
        <v>1368937393</v>
      </c>
      <c r="H4" s="156">
        <f>ROUND(SUM(C4:F4)/G4,5)</f>
        <v>3.62E-3</v>
      </c>
      <c r="I4" s="157"/>
      <c r="J4" s="228">
        <f>ROUND((C10+C16)/G4,5)</f>
        <v>3.0100000000000001E-3</v>
      </c>
      <c r="K4" s="158">
        <f>ROUND((D10+D16)/G4,5)</f>
        <v>6.2E-4</v>
      </c>
      <c r="L4" s="158">
        <f>ROUND((E10+E16)/G4,5)</f>
        <v>-1.0000000000000001E-5</v>
      </c>
      <c r="M4" s="158">
        <f>ROUND((F10+F16)/G4,5)</f>
        <v>0</v>
      </c>
    </row>
    <row r="5" spans="1:13" ht="15.75" thickBot="1" x14ac:dyDescent="0.3">
      <c r="B5" s="112" t="s">
        <v>30</v>
      </c>
      <c r="C5" s="151">
        <f t="shared" si="0"/>
        <v>5167160.0996000003</v>
      </c>
      <c r="D5" s="152">
        <f t="shared" si="0"/>
        <v>650366.40159999963</v>
      </c>
      <c r="E5" s="152">
        <f t="shared" si="0"/>
        <v>-4214.4099200001874</v>
      </c>
      <c r="F5" s="152">
        <f t="shared" si="0"/>
        <v>-4343.54</v>
      </c>
      <c r="G5" s="155">
        <f>PPC!B6</f>
        <v>2302186184</v>
      </c>
      <c r="H5" s="156">
        <f>ROUND(SUM(C5:F5)/G5,5)</f>
        <v>2.5200000000000001E-3</v>
      </c>
      <c r="I5" s="157"/>
      <c r="J5" s="229">
        <f>ROUND((C11+C17)/G5,5)</f>
        <v>2.2399999999999998E-3</v>
      </c>
      <c r="K5" s="158">
        <f>ROUND((D11+D17)/G5,5)</f>
        <v>2.7999999999999998E-4</v>
      </c>
      <c r="L5" s="158">
        <f>ROUND((E11+E17)/G5,5)</f>
        <v>0</v>
      </c>
      <c r="M5" s="158">
        <f>ROUND((F11+F17)/G5,5)</f>
        <v>0</v>
      </c>
    </row>
    <row r="6" spans="1:13" x14ac:dyDescent="0.25">
      <c r="C6" s="150"/>
      <c r="D6" s="150"/>
      <c r="E6" s="150"/>
      <c r="F6" s="150"/>
      <c r="G6" s="149"/>
    </row>
    <row r="7" spans="1:13" x14ac:dyDescent="0.25">
      <c r="C7" s="150"/>
      <c r="D7" s="150"/>
      <c r="E7" s="150"/>
      <c r="F7" s="150"/>
      <c r="G7" s="149"/>
    </row>
    <row r="8" spans="1:13" ht="15.75" thickBot="1" x14ac:dyDescent="0.3">
      <c r="C8" s="150"/>
      <c r="D8" s="150"/>
      <c r="E8" s="150"/>
      <c r="F8" s="150"/>
      <c r="G8" s="149"/>
    </row>
    <row r="9" spans="1:13" ht="15.75" thickBot="1" x14ac:dyDescent="0.3">
      <c r="B9" s="109" t="s">
        <v>8</v>
      </c>
      <c r="C9" s="154" t="s">
        <v>7</v>
      </c>
      <c r="D9" s="154" t="s">
        <v>19</v>
      </c>
      <c r="E9" s="154" t="s">
        <v>77</v>
      </c>
      <c r="F9" s="154" t="s">
        <v>20</v>
      </c>
      <c r="G9" s="149"/>
      <c r="J9" s="17"/>
      <c r="K9" s="17"/>
    </row>
    <row r="10" spans="1:13" ht="15.75" thickBot="1" x14ac:dyDescent="0.3">
      <c r="B10" s="112" t="s">
        <v>29</v>
      </c>
      <c r="C10" s="152">
        <f>PPC!C5</f>
        <v>3346826.6599999997</v>
      </c>
      <c r="D10" s="152">
        <f>PTD!C6</f>
        <v>886979.54</v>
      </c>
      <c r="E10" s="152">
        <f>+EO!D12</f>
        <v>0</v>
      </c>
      <c r="F10" s="151">
        <f>+OA!D8</f>
        <v>-4343.54</v>
      </c>
      <c r="G10" s="149"/>
      <c r="J10" s="184"/>
      <c r="K10" s="17"/>
    </row>
    <row r="11" spans="1:13" ht="15.75" thickBot="1" x14ac:dyDescent="0.3">
      <c r="B11" s="112" t="s">
        <v>30</v>
      </c>
      <c r="C11" s="152">
        <f>PPC!C6</f>
        <v>5291867.07</v>
      </c>
      <c r="D11" s="152">
        <f>PTD!C7</f>
        <v>1298505.95</v>
      </c>
      <c r="E11" s="152">
        <f>+EO!D13</f>
        <v>0</v>
      </c>
      <c r="F11" s="151">
        <f>+OA!D9</f>
        <v>-4343.54</v>
      </c>
      <c r="G11" s="149"/>
      <c r="J11" s="184"/>
      <c r="K11" s="17"/>
    </row>
    <row r="12" spans="1:13" x14ac:dyDescent="0.25">
      <c r="C12" s="150"/>
      <c r="D12" s="150"/>
      <c r="E12" s="150"/>
      <c r="F12" s="150"/>
      <c r="G12" s="149"/>
      <c r="J12" s="17"/>
      <c r="K12" s="17"/>
    </row>
    <row r="13" spans="1:13" x14ac:dyDescent="0.25">
      <c r="C13" s="150"/>
      <c r="D13" s="150"/>
      <c r="E13" s="150"/>
      <c r="F13" s="150"/>
      <c r="G13" s="149"/>
      <c r="J13" s="17"/>
      <c r="K13" s="17"/>
    </row>
    <row r="14" spans="1:13" ht="15.75" thickBot="1" x14ac:dyDescent="0.3">
      <c r="C14" s="150"/>
      <c r="D14" s="150"/>
      <c r="E14" s="150"/>
      <c r="F14" s="150"/>
      <c r="G14" s="149"/>
      <c r="J14" s="17"/>
      <c r="K14" s="17"/>
    </row>
    <row r="15" spans="1:13" ht="15.75" thickBot="1" x14ac:dyDescent="0.3">
      <c r="B15" s="109" t="s">
        <v>8</v>
      </c>
      <c r="C15" s="154" t="s">
        <v>4</v>
      </c>
      <c r="D15" s="154" t="s">
        <v>10</v>
      </c>
      <c r="E15" s="154" t="s">
        <v>78</v>
      </c>
      <c r="F15" s="154" t="s">
        <v>21</v>
      </c>
      <c r="G15" s="149"/>
    </row>
    <row r="16" spans="1:13" ht="15.75" thickBot="1" x14ac:dyDescent="0.3">
      <c r="B16" s="112" t="s">
        <v>29</v>
      </c>
      <c r="C16" s="152">
        <f>+'PCR Cycle 1'!J4+'PCR Cycle 2'!J4</f>
        <v>778269.76986</v>
      </c>
      <c r="D16" s="152">
        <f>+'TDR Cycle 1'!J4+'TDR Cycle 2'!K4</f>
        <v>-43062.666979999987</v>
      </c>
      <c r="E16" s="152">
        <f>+EOR!I4</f>
        <v>-14821.554589999982</v>
      </c>
      <c r="F16" s="151">
        <f>+OAR!I4</f>
        <v>0</v>
      </c>
      <c r="G16" s="149"/>
    </row>
    <row r="17" spans="2:7" ht="15.75" thickBot="1" x14ac:dyDescent="0.3">
      <c r="B17" s="112" t="s">
        <v>30</v>
      </c>
      <c r="C17" s="152">
        <f>+'PCR Cycle 1'!J5+'PCR Cycle 2'!J5</f>
        <v>-124706.97040000024</v>
      </c>
      <c r="D17" s="152">
        <f>+'TDR Cycle 1'!J5+'TDR Cycle 2'!K5</f>
        <v>-648139.54840000032</v>
      </c>
      <c r="E17" s="152">
        <f>+EOR!I5</f>
        <v>-4214.4099200001874</v>
      </c>
      <c r="F17" s="151">
        <f>+OAR!I5</f>
        <v>0</v>
      </c>
      <c r="G17" s="149"/>
    </row>
    <row r="19" spans="2:7" x14ac:dyDescent="0.25">
      <c r="B19" s="116" t="s">
        <v>48</v>
      </c>
    </row>
    <row r="20" spans="2:7" x14ac:dyDescent="0.25">
      <c r="B20" s="117" t="s">
        <v>49</v>
      </c>
    </row>
    <row r="21" spans="2:7" x14ac:dyDescent="0.25">
      <c r="B21" s="117" t="s">
        <v>59</v>
      </c>
    </row>
    <row r="22" spans="2:7" x14ac:dyDescent="0.25">
      <c r="B22" s="117" t="s">
        <v>50</v>
      </c>
    </row>
    <row r="23" spans="2:7" x14ac:dyDescent="0.25">
      <c r="B23" s="117" t="s">
        <v>51</v>
      </c>
    </row>
    <row r="24" spans="2:7" x14ac:dyDescent="0.25">
      <c r="B24" s="117" t="s">
        <v>52</v>
      </c>
    </row>
    <row r="25" spans="2:7" x14ac:dyDescent="0.25">
      <c r="B25" s="117" t="s">
        <v>53</v>
      </c>
    </row>
    <row r="26" spans="2:7" x14ac:dyDescent="0.25">
      <c r="B26" s="117" t="s">
        <v>64</v>
      </c>
    </row>
    <row r="27" spans="2:7" x14ac:dyDescent="0.25">
      <c r="B27" s="117" t="s">
        <v>54</v>
      </c>
    </row>
    <row r="28" spans="2:7" x14ac:dyDescent="0.25">
      <c r="B28" s="117" t="s">
        <v>72</v>
      </c>
    </row>
    <row r="29" spans="2:7" x14ac:dyDescent="0.25">
      <c r="B29" s="117" t="s">
        <v>74</v>
      </c>
    </row>
    <row r="30" spans="2:7" x14ac:dyDescent="0.25">
      <c r="B30" s="117" t="s">
        <v>73</v>
      </c>
    </row>
    <row r="31" spans="2:7" x14ac:dyDescent="0.25">
      <c r="B31" s="117" t="s">
        <v>55</v>
      </c>
    </row>
    <row r="32" spans="2:7" x14ac:dyDescent="0.25">
      <c r="B32" s="117" t="s">
        <v>56</v>
      </c>
    </row>
    <row r="33" spans="2:2" x14ac:dyDescent="0.25">
      <c r="B33" s="117" t="s">
        <v>57</v>
      </c>
    </row>
    <row r="34" spans="2:2" x14ac:dyDescent="0.25">
      <c r="B34" s="117" t="s">
        <v>58</v>
      </c>
    </row>
  </sheetData>
  <pageMargins left="0.2" right="0.2" top="0.75" bottom="0.25" header="0.3" footer="0.3"/>
  <pageSetup scale="77"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2"/>
  <sheetViews>
    <sheetView workbookViewId="0">
      <selection activeCell="H1" sqref="H1"/>
    </sheetView>
  </sheetViews>
  <sheetFormatPr defaultRowHeight="15" x14ac:dyDescent="0.25"/>
  <cols>
    <col min="1" max="1" width="43.140625" style="62" customWidth="1"/>
    <col min="2" max="2" width="14.28515625" style="62" bestFit="1" customWidth="1"/>
    <col min="3" max="3" width="14.28515625" style="62" customWidth="1"/>
    <col min="4" max="4" width="13.28515625" style="62" bestFit="1" customWidth="1"/>
    <col min="5" max="16384" width="9.140625" style="62"/>
  </cols>
  <sheetData>
    <row r="1" spans="1:5" x14ac:dyDescent="0.25">
      <c r="A1" s="79" t="str">
        <f>+PPC!A1</f>
        <v>Kansas City Power &amp; Light Company - DSIM Rider Update Filed 05/31/2019</v>
      </c>
    </row>
    <row r="2" spans="1:5" x14ac:dyDescent="0.25">
      <c r="A2" s="9" t="str">
        <f>+PPC!A2</f>
        <v>Projections for Cycle 2 July 2019 - December 2019 DSIM</v>
      </c>
    </row>
    <row r="3" spans="1:5" ht="45.75" customHeight="1" x14ac:dyDescent="0.25">
      <c r="B3" s="254" t="s">
        <v>151</v>
      </c>
      <c r="C3" s="254"/>
      <c r="D3" s="254"/>
    </row>
    <row r="4" spans="1:5" x14ac:dyDescent="0.25">
      <c r="B4" s="86"/>
      <c r="C4" s="86"/>
      <c r="D4" s="64" t="s">
        <v>20</v>
      </c>
    </row>
    <row r="5" spans="1:5" x14ac:dyDescent="0.25">
      <c r="A5" s="22" t="s">
        <v>106</v>
      </c>
      <c r="B5" s="86"/>
      <c r="C5" s="86"/>
      <c r="D5" s="222">
        <f>+D22</f>
        <v>-8500</v>
      </c>
    </row>
    <row r="6" spans="1:5" x14ac:dyDescent="0.25">
      <c r="A6" s="22" t="s">
        <v>107</v>
      </c>
      <c r="B6" s="86"/>
      <c r="C6" s="86"/>
      <c r="D6" s="222">
        <f>+D32</f>
        <v>-187.07</v>
      </c>
    </row>
    <row r="7" spans="1:5" ht="30" x14ac:dyDescent="0.25">
      <c r="A7" s="22"/>
      <c r="B7" s="86"/>
      <c r="C7" s="86" t="s">
        <v>131</v>
      </c>
      <c r="D7" s="180"/>
    </row>
    <row r="8" spans="1:5" x14ac:dyDescent="0.25">
      <c r="A8" s="22" t="s">
        <v>29</v>
      </c>
      <c r="B8" s="86"/>
      <c r="C8" s="221">
        <v>0.5</v>
      </c>
      <c r="D8" s="36">
        <f>ROUND(SUM(D5:D6)*C8,2)</f>
        <v>-4343.54</v>
      </c>
      <c r="E8" s="4"/>
    </row>
    <row r="9" spans="1:5" x14ac:dyDescent="0.25">
      <c r="A9" s="22" t="s">
        <v>30</v>
      </c>
      <c r="B9" s="86"/>
      <c r="C9" s="221">
        <v>0.5</v>
      </c>
      <c r="D9" s="36">
        <f>ROUND(SUM(D5:D6)*C9,2)</f>
        <v>-4343.54</v>
      </c>
      <c r="E9" s="4"/>
    </row>
    <row r="10" spans="1:5" ht="15.75" thickBot="1" x14ac:dyDescent="0.3">
      <c r="A10" s="22" t="s">
        <v>6</v>
      </c>
      <c r="B10" s="86"/>
      <c r="C10" s="221">
        <f>SUM(C8:C9)</f>
        <v>1</v>
      </c>
      <c r="D10" s="24">
        <f>SUM(D8:D9)</f>
        <v>-8687.08</v>
      </c>
      <c r="E10" s="4"/>
    </row>
    <row r="11" spans="1:5" ht="16.5" thickTop="1" thickBot="1" x14ac:dyDescent="0.3">
      <c r="B11" s="33"/>
      <c r="C11" s="33"/>
      <c r="D11" s="21">
        <f>ROUND(D5+D6,2)-D10</f>
        <v>1.0000000000218279E-2</v>
      </c>
      <c r="E11" s="2"/>
    </row>
    <row r="12" spans="1:5" ht="15.75" thickTop="1" x14ac:dyDescent="0.25">
      <c r="E12" s="4"/>
    </row>
    <row r="13" spans="1:5" x14ac:dyDescent="0.25">
      <c r="E13" s="4"/>
    </row>
    <row r="17" spans="1:4" x14ac:dyDescent="0.25">
      <c r="A17" s="69" t="s">
        <v>13</v>
      </c>
    </row>
    <row r="18" spans="1:4" s="53" customFormat="1" x14ac:dyDescent="0.25">
      <c r="A18" s="3" t="s">
        <v>149</v>
      </c>
      <c r="B18" s="62"/>
      <c r="C18" s="62"/>
      <c r="D18" s="62"/>
    </row>
    <row r="19" spans="1:4" s="53" customFormat="1" x14ac:dyDescent="0.25">
      <c r="A19" s="3" t="s">
        <v>132</v>
      </c>
      <c r="B19" s="62"/>
      <c r="C19" s="62"/>
      <c r="D19" s="62"/>
    </row>
    <row r="20" spans="1:4" s="53" customFormat="1" x14ac:dyDescent="0.25">
      <c r="A20" s="3" t="s">
        <v>133</v>
      </c>
      <c r="B20" s="62"/>
      <c r="C20" s="62"/>
      <c r="D20" s="62"/>
    </row>
    <row r="22" spans="1:4" x14ac:dyDescent="0.25">
      <c r="A22" s="3" t="s">
        <v>135</v>
      </c>
      <c r="D22" s="224">
        <v>-8500</v>
      </c>
    </row>
    <row r="23" spans="1:4" x14ac:dyDescent="0.25">
      <c r="D23" s="224"/>
    </row>
    <row r="24" spans="1:4" ht="45" x14ac:dyDescent="0.25">
      <c r="B24" s="86" t="s">
        <v>134</v>
      </c>
      <c r="D24" s="224"/>
    </row>
    <row r="25" spans="1:4" x14ac:dyDescent="0.25">
      <c r="A25" s="251">
        <v>43496</v>
      </c>
      <c r="B25" s="252">
        <v>3.13277E-3</v>
      </c>
      <c r="D25" s="224">
        <f>ROUND(SUM(D$22:D24)*B25,2)</f>
        <v>-26.63</v>
      </c>
    </row>
    <row r="26" spans="1:4" x14ac:dyDescent="0.25">
      <c r="A26" s="251">
        <f>EOMONTH(A25,1)</f>
        <v>43524</v>
      </c>
      <c r="B26" s="252">
        <v>3.1206900000000002E-3</v>
      </c>
      <c r="D26" s="224">
        <f>ROUND(SUM(D$22:D25)*B26,2)</f>
        <v>-26.61</v>
      </c>
    </row>
    <row r="27" spans="1:4" x14ac:dyDescent="0.25">
      <c r="A27" s="251">
        <f t="shared" ref="A27:A30" si="0">EOMONTH(A26,1)</f>
        <v>43555</v>
      </c>
      <c r="B27" s="252">
        <v>3.11648E-3</v>
      </c>
      <c r="D27" s="224">
        <f>ROUND(SUM(D$22:D26)*B27,2)</f>
        <v>-26.66</v>
      </c>
    </row>
    <row r="28" spans="1:4" x14ac:dyDescent="0.25">
      <c r="A28" s="251">
        <f t="shared" si="0"/>
        <v>43585</v>
      </c>
      <c r="B28" s="252">
        <v>3.1080600000000002E-3</v>
      </c>
      <c r="D28" s="224">
        <f>ROUND(SUM(D$22:D27)*B28,2)</f>
        <v>-26.67</v>
      </c>
    </row>
    <row r="29" spans="1:4" x14ac:dyDescent="0.25">
      <c r="A29" s="251">
        <f t="shared" si="0"/>
        <v>43616</v>
      </c>
      <c r="B29" s="225">
        <f>+B28</f>
        <v>3.1080600000000002E-3</v>
      </c>
      <c r="D29" s="224">
        <f>ROUND(SUM(D$22:D28)*B29,2)</f>
        <v>-26.75</v>
      </c>
    </row>
    <row r="30" spans="1:4" x14ac:dyDescent="0.25">
      <c r="A30" s="251">
        <f t="shared" si="0"/>
        <v>43646</v>
      </c>
      <c r="B30" s="225">
        <f t="shared" ref="B30:B31" si="1">+B29</f>
        <v>3.1080600000000002E-3</v>
      </c>
      <c r="D30" s="224">
        <f>ROUND(SUM(D$22:D29)*B30,2)</f>
        <v>-26.83</v>
      </c>
    </row>
    <row r="31" spans="1:4" ht="17.25" x14ac:dyDescent="0.4">
      <c r="A31" s="251">
        <f>EOMONTH(A30,1)</f>
        <v>43677</v>
      </c>
      <c r="B31" s="225">
        <f t="shared" si="1"/>
        <v>3.1080600000000002E-3</v>
      </c>
      <c r="D31" s="253">
        <f>ROUND(SUM(D$22:D30)*B31,2)</f>
        <v>-26.92</v>
      </c>
    </row>
    <row r="32" spans="1:4" x14ac:dyDescent="0.25">
      <c r="A32" s="251"/>
      <c r="D32" s="224">
        <f>SUM(D25:D31)</f>
        <v>-187.07</v>
      </c>
    </row>
  </sheetData>
  <mergeCells count="1">
    <mergeCell ref="B3:D3"/>
  </mergeCells>
  <pageMargins left="0.2" right="0.2" top="0.75" bottom="0.25" header="0.3" footer="0.3"/>
  <pageSetup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50"/>
  <sheetViews>
    <sheetView workbookViewId="0">
      <selection activeCell="D15" sqref="D15"/>
    </sheetView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7.85546875" style="62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+PPC!A1</f>
        <v>Kansas City Power &amp; Light Company - DSIM Rider Update Filed 05/31/2019</v>
      </c>
      <c r="B1" s="3"/>
      <c r="C1" s="3"/>
    </row>
    <row r="2" spans="1:35" x14ac:dyDescent="0.25">
      <c r="D2" s="3" t="s">
        <v>150</v>
      </c>
    </row>
    <row r="3" spans="1:35" ht="30" x14ac:dyDescent="0.25">
      <c r="D3" s="64" t="s">
        <v>62</v>
      </c>
      <c r="E3" s="86" t="s">
        <v>20</v>
      </c>
      <c r="F3" s="64" t="s">
        <v>3</v>
      </c>
      <c r="G3" s="86" t="s">
        <v>71</v>
      </c>
      <c r="H3" s="64" t="s">
        <v>11</v>
      </c>
      <c r="I3" s="64" t="s">
        <v>21</v>
      </c>
      <c r="S3" s="64"/>
    </row>
    <row r="4" spans="1:35" x14ac:dyDescent="0.25">
      <c r="A4" s="22" t="s">
        <v>29</v>
      </c>
      <c r="B4" s="22"/>
      <c r="C4" s="22"/>
      <c r="D4" s="24">
        <f>SUM(C15:L15)</f>
        <v>0</v>
      </c>
      <c r="E4" s="24">
        <f>SUM(C19:K19)</f>
        <v>0</v>
      </c>
      <c r="F4" s="24">
        <f>E4-D4</f>
        <v>0</v>
      </c>
      <c r="G4" s="24">
        <f>+B29</f>
        <v>0</v>
      </c>
      <c r="H4" s="24">
        <f>SUM(C34:K34)</f>
        <v>0</v>
      </c>
      <c r="I4" s="36">
        <f>SUM(F4:H4)</f>
        <v>0</v>
      </c>
      <c r="J4" s="63">
        <f>+I4-L29</f>
        <v>0</v>
      </c>
      <c r="M4" s="63"/>
    </row>
    <row r="5" spans="1:35" ht="15.75" thickBot="1" x14ac:dyDescent="0.3">
      <c r="A5" s="22" t="s">
        <v>30</v>
      </c>
      <c r="B5" s="22"/>
      <c r="C5" s="22"/>
      <c r="D5" s="24">
        <f>SUM(C16:L16)</f>
        <v>0</v>
      </c>
      <c r="E5" s="24">
        <f>SUM(C20:K20)</f>
        <v>0</v>
      </c>
      <c r="F5" s="24">
        <f>E5-D5</f>
        <v>0</v>
      </c>
      <c r="G5" s="24">
        <f>+B30</f>
        <v>0</v>
      </c>
      <c r="H5" s="24">
        <f>SUM(C35:K35)</f>
        <v>0</v>
      </c>
      <c r="I5" s="36">
        <f>SUM(F5:H5)</f>
        <v>0</v>
      </c>
      <c r="J5" s="63">
        <f>+I5-L30</f>
        <v>0</v>
      </c>
      <c r="M5" s="63"/>
    </row>
    <row r="6" spans="1:35" ht="16.5" thickTop="1" thickBot="1" x14ac:dyDescent="0.3">
      <c r="D6" s="40">
        <f t="shared" ref="D6" si="0">SUM(D4:D5)</f>
        <v>0</v>
      </c>
      <c r="E6" s="40">
        <f>SUM(E4:E5)</f>
        <v>0</v>
      </c>
      <c r="F6" s="40">
        <f>SUM(F4:F5)</f>
        <v>0</v>
      </c>
      <c r="G6" s="40">
        <f>SUM(G4:G5)</f>
        <v>0</v>
      </c>
      <c r="H6" s="40">
        <f>SUM(H4:H5)</f>
        <v>0</v>
      </c>
      <c r="I6" s="40">
        <f>SUM(I4:I5)</f>
        <v>0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105.75" thickBot="1" x14ac:dyDescent="0.3">
      <c r="B10" s="141" t="str">
        <f>+'PCR Cycle 1'!B8</f>
        <v>Cumulative Over/Under Carryover From 12/01/2018 Filing</v>
      </c>
      <c r="C10" s="179" t="str">
        <f>+'PCR Cycle 1'!C8</f>
        <v>Reverse November-18 - January-19  Forecast From 12/01/2018 Filing</v>
      </c>
      <c r="D10" s="260" t="s">
        <v>39</v>
      </c>
      <c r="E10" s="260"/>
      <c r="F10" s="261"/>
      <c r="G10" s="266" t="s">
        <v>39</v>
      </c>
      <c r="H10" s="267"/>
      <c r="I10" s="268"/>
      <c r="J10" s="262" t="s">
        <v>9</v>
      </c>
      <c r="K10" s="263"/>
      <c r="L10" s="264"/>
    </row>
    <row r="11" spans="1:35" x14ac:dyDescent="0.25">
      <c r="A11" s="62" t="s">
        <v>114</v>
      </c>
      <c r="C11" s="128"/>
      <c r="D11" s="20">
        <f>+'PCR Cycle 1'!D9</f>
        <v>43434</v>
      </c>
      <c r="E11" s="20">
        <f t="shared" ref="E11:L11" si="1">EOMONTH(D11,1)</f>
        <v>43465</v>
      </c>
      <c r="F11" s="20">
        <f t="shared" si="1"/>
        <v>43496</v>
      </c>
      <c r="G11" s="14">
        <f t="shared" si="1"/>
        <v>43524</v>
      </c>
      <c r="H11" s="20">
        <f t="shared" si="1"/>
        <v>43555</v>
      </c>
      <c r="I11" s="15">
        <f t="shared" si="1"/>
        <v>43585</v>
      </c>
      <c r="J11" s="20">
        <f t="shared" si="1"/>
        <v>43616</v>
      </c>
      <c r="K11" s="20">
        <f t="shared" si="1"/>
        <v>43646</v>
      </c>
      <c r="L11" s="15">
        <f t="shared" si="1"/>
        <v>43677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2" t="s">
        <v>6</v>
      </c>
      <c r="C12" s="120">
        <v>0</v>
      </c>
      <c r="D12" s="132">
        <f>SUM(D19:D20)</f>
        <v>0</v>
      </c>
      <c r="E12" s="132">
        <f t="shared" ref="E12:H12" si="2">SUM(E19:E20)</f>
        <v>0</v>
      </c>
      <c r="F12" s="133">
        <f t="shared" si="2"/>
        <v>0</v>
      </c>
      <c r="G12" s="16">
        <f t="shared" si="2"/>
        <v>0</v>
      </c>
      <c r="H12" s="71">
        <f t="shared" si="2"/>
        <v>0</v>
      </c>
      <c r="I12" s="195">
        <f>+I19+I20</f>
        <v>0</v>
      </c>
      <c r="J12" s="188">
        <f t="shared" ref="J12:K12" si="3">+J19+J20</f>
        <v>0</v>
      </c>
      <c r="K12" s="97">
        <f t="shared" si="3"/>
        <v>0</v>
      </c>
      <c r="L12" s="98"/>
    </row>
    <row r="13" spans="1:35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5" x14ac:dyDescent="0.25">
      <c r="A14" s="62" t="s">
        <v>113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5" x14ac:dyDescent="0.25">
      <c r="A15" s="62" t="s">
        <v>29</v>
      </c>
      <c r="C15" s="120">
        <v>0</v>
      </c>
      <c r="D15" s="159">
        <v>0</v>
      </c>
      <c r="E15" s="159">
        <v>0</v>
      </c>
      <c r="F15" s="219">
        <v>0</v>
      </c>
      <c r="G15" s="16">
        <v>0</v>
      </c>
      <c r="H15" s="144">
        <v>0</v>
      </c>
      <c r="I15" s="197">
        <v>0</v>
      </c>
      <c r="J15" s="146">
        <f>'PCR Cycle 1'!J21*$M15</f>
        <v>0</v>
      </c>
      <c r="K15" s="55">
        <f>'PCR Cycle 1'!K21*$M15</f>
        <v>0</v>
      </c>
      <c r="L15" s="77">
        <f>'PCR Cycle 1'!L21*$M15</f>
        <v>0</v>
      </c>
      <c r="M15" s="88">
        <v>0</v>
      </c>
      <c r="N15" s="4"/>
    </row>
    <row r="16" spans="1:35" x14ac:dyDescent="0.25">
      <c r="A16" s="62" t="s">
        <v>30</v>
      </c>
      <c r="C16" s="120">
        <v>0</v>
      </c>
      <c r="D16" s="159">
        <v>0</v>
      </c>
      <c r="E16" s="159">
        <v>0</v>
      </c>
      <c r="F16" s="219">
        <v>0</v>
      </c>
      <c r="G16" s="16">
        <v>0</v>
      </c>
      <c r="H16" s="144">
        <v>0</v>
      </c>
      <c r="I16" s="197">
        <v>0</v>
      </c>
      <c r="J16" s="146">
        <f>'PCR Cycle 1'!J22*$M16</f>
        <v>0</v>
      </c>
      <c r="K16" s="55">
        <f>'PCR Cycle 1'!K22*$M16</f>
        <v>0</v>
      </c>
      <c r="L16" s="77">
        <f>'PCR Cycle 1'!L22*$M16</f>
        <v>0</v>
      </c>
      <c r="M16" s="88">
        <v>0</v>
      </c>
      <c r="N16" s="4"/>
    </row>
    <row r="17" spans="1:14" x14ac:dyDescent="0.25">
      <c r="C17" s="83"/>
      <c r="D17" s="84"/>
      <c r="E17" s="84"/>
      <c r="F17" s="84"/>
      <c r="G17" s="121"/>
      <c r="H17" s="84"/>
      <c r="I17" s="198"/>
      <c r="J17" s="72"/>
      <c r="K17" s="72"/>
      <c r="L17" s="13"/>
      <c r="N17" s="4"/>
    </row>
    <row r="18" spans="1:14" x14ac:dyDescent="0.25">
      <c r="A18" s="62" t="s">
        <v>115</v>
      </c>
      <c r="C18" s="50"/>
      <c r="D18" s="51"/>
      <c r="E18" s="51"/>
      <c r="F18" s="51"/>
      <c r="G18" s="50"/>
      <c r="H18" s="51"/>
      <c r="I18" s="201"/>
      <c r="J18" s="68"/>
      <c r="K18" s="68"/>
      <c r="L18" s="52"/>
    </row>
    <row r="19" spans="1:14" x14ac:dyDescent="0.25">
      <c r="A19" s="62" t="s">
        <v>29</v>
      </c>
      <c r="C19" s="120">
        <v>0</v>
      </c>
      <c r="D19" s="132">
        <v>0</v>
      </c>
      <c r="E19" s="132">
        <v>0</v>
      </c>
      <c r="F19" s="133">
        <v>0</v>
      </c>
      <c r="G19" s="16">
        <v>0</v>
      </c>
      <c r="H19" s="71">
        <v>0</v>
      </c>
      <c r="I19" s="195">
        <v>0</v>
      </c>
      <c r="J19" s="190">
        <v>0</v>
      </c>
      <c r="K19" s="167">
        <v>0</v>
      </c>
      <c r="L19" s="98"/>
    </row>
    <row r="20" spans="1:14" x14ac:dyDescent="0.25">
      <c r="A20" s="62" t="s">
        <v>30</v>
      </c>
      <c r="C20" s="120">
        <v>0</v>
      </c>
      <c r="D20" s="132">
        <v>0</v>
      </c>
      <c r="E20" s="132">
        <v>0</v>
      </c>
      <c r="F20" s="133">
        <v>0</v>
      </c>
      <c r="G20" s="16">
        <v>0</v>
      </c>
      <c r="H20" s="71">
        <v>0</v>
      </c>
      <c r="I20" s="195">
        <v>0</v>
      </c>
      <c r="J20" s="190">
        <v>0</v>
      </c>
      <c r="K20" s="167">
        <v>0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6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0</v>
      </c>
      <c r="D22" s="159">
        <v>0</v>
      </c>
      <c r="E22" s="159">
        <v>0</v>
      </c>
      <c r="F22" s="160">
        <v>0</v>
      </c>
      <c r="G22" s="39">
        <v>0</v>
      </c>
      <c r="H22" s="145">
        <v>0</v>
      </c>
      <c r="I22" s="202">
        <v>0</v>
      </c>
      <c r="J22" s="191"/>
      <c r="K22" s="169"/>
      <c r="L22" s="101"/>
    </row>
    <row r="23" spans="1:14" x14ac:dyDescent="0.25">
      <c r="C23" s="80"/>
      <c r="D23" s="174"/>
      <c r="E23" s="174"/>
      <c r="F23" s="175"/>
      <c r="G23" s="80"/>
      <c r="H23" s="47"/>
      <c r="I23" s="203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4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0</v>
      </c>
      <c r="D25" s="55">
        <f t="shared" si="4"/>
        <v>0</v>
      </c>
      <c r="E25" s="55">
        <f t="shared" si="4"/>
        <v>0</v>
      </c>
      <c r="F25" s="131">
        <f t="shared" si="4"/>
        <v>0</v>
      </c>
      <c r="G25" s="54">
        <f t="shared" si="4"/>
        <v>0</v>
      </c>
      <c r="H25" s="55">
        <f t="shared" si="4"/>
        <v>0</v>
      </c>
      <c r="I25" s="77">
        <f t="shared" si="4"/>
        <v>0</v>
      </c>
      <c r="J25" s="146">
        <f t="shared" si="4"/>
        <v>0</v>
      </c>
      <c r="K25" s="55">
        <f t="shared" si="4"/>
        <v>0</v>
      </c>
      <c r="L25" s="77">
        <f t="shared" si="4"/>
        <v>0</v>
      </c>
    </row>
    <row r="26" spans="1:14" x14ac:dyDescent="0.25">
      <c r="A26" s="62" t="s">
        <v>30</v>
      </c>
      <c r="C26" s="123">
        <f t="shared" ref="C26:L26" si="5">C20-C16</f>
        <v>0</v>
      </c>
      <c r="D26" s="55">
        <f t="shared" si="5"/>
        <v>0</v>
      </c>
      <c r="E26" s="55">
        <f t="shared" si="5"/>
        <v>0</v>
      </c>
      <c r="F26" s="131">
        <f t="shared" si="5"/>
        <v>0</v>
      </c>
      <c r="G26" s="54">
        <f t="shared" si="5"/>
        <v>0</v>
      </c>
      <c r="H26" s="55">
        <f t="shared" si="5"/>
        <v>0</v>
      </c>
      <c r="I26" s="77">
        <f t="shared" si="5"/>
        <v>0</v>
      </c>
      <c r="J26" s="146">
        <f t="shared" si="5"/>
        <v>0</v>
      </c>
      <c r="K26" s="55">
        <f t="shared" si="5"/>
        <v>0</v>
      </c>
      <c r="L26" s="77">
        <f t="shared" si="5"/>
        <v>0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0</v>
      </c>
      <c r="C29" s="123">
        <f>B29+C25+B34</f>
        <v>0</v>
      </c>
      <c r="D29" s="55">
        <f t="shared" ref="D29:L30" si="6">C29+D25+C34</f>
        <v>0</v>
      </c>
      <c r="E29" s="55">
        <f t="shared" si="6"/>
        <v>0</v>
      </c>
      <c r="F29" s="131">
        <f t="shared" si="6"/>
        <v>0</v>
      </c>
      <c r="G29" s="54">
        <f t="shared" si="6"/>
        <v>0</v>
      </c>
      <c r="H29" s="55">
        <f t="shared" si="6"/>
        <v>0</v>
      </c>
      <c r="I29" s="77">
        <f t="shared" si="6"/>
        <v>0</v>
      </c>
      <c r="J29" s="146">
        <f t="shared" si="6"/>
        <v>0</v>
      </c>
      <c r="K29" s="55">
        <f t="shared" si="6"/>
        <v>0</v>
      </c>
      <c r="L29" s="77">
        <f t="shared" si="6"/>
        <v>0</v>
      </c>
    </row>
    <row r="30" spans="1:14" ht="15.75" thickBot="1" x14ac:dyDescent="0.3">
      <c r="A30" s="62" t="s">
        <v>30</v>
      </c>
      <c r="B30" s="140">
        <v>0</v>
      </c>
      <c r="C30" s="123">
        <f>B30+C26+B35</f>
        <v>0</v>
      </c>
      <c r="D30" s="55">
        <f t="shared" si="6"/>
        <v>0</v>
      </c>
      <c r="E30" s="55">
        <f t="shared" si="6"/>
        <v>0</v>
      </c>
      <c r="F30" s="131">
        <f t="shared" si="6"/>
        <v>0</v>
      </c>
      <c r="G30" s="54">
        <f t="shared" si="6"/>
        <v>0</v>
      </c>
      <c r="H30" s="55">
        <f t="shared" si="6"/>
        <v>0</v>
      </c>
      <c r="I30" s="77">
        <f t="shared" si="6"/>
        <v>0</v>
      </c>
      <c r="J30" s="146">
        <f t="shared" si="6"/>
        <v>0</v>
      </c>
      <c r="K30" s="55">
        <f t="shared" si="6"/>
        <v>0</v>
      </c>
      <c r="L30" s="77">
        <f t="shared" si="6"/>
        <v>0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111</v>
      </c>
      <c r="B32" s="53"/>
      <c r="C32" s="127"/>
      <c r="D32" s="102">
        <f>+'PCR Cycle 1'!D38</f>
        <v>2.9731599999999999E-3</v>
      </c>
      <c r="E32" s="102">
        <f>+'PCR Cycle 1'!E38</f>
        <v>3.0868100000000002E-3</v>
      </c>
      <c r="F32" s="102">
        <f>+'PCR Cycle 1'!F38</f>
        <v>3.13277E-3</v>
      </c>
      <c r="G32" s="103">
        <f>+'PCR Cycle 1'!G38</f>
        <v>3.1206900000000002E-3</v>
      </c>
      <c r="H32" s="102">
        <f>+'PCR Cycle 1'!H38</f>
        <v>3.11648E-3</v>
      </c>
      <c r="I32" s="115">
        <f>+'PCR Cycle 1'!I38</f>
        <v>3.1080600000000002E-3</v>
      </c>
      <c r="J32" s="102">
        <f>+'PCR Cycle 1'!J38</f>
        <v>3.1080600000000002E-3</v>
      </c>
      <c r="K32" s="102">
        <f>+'PCR Cycle 1'!K38</f>
        <v>3.1080600000000002E-3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0</v>
      </c>
      <c r="D34" s="55">
        <f t="shared" ref="D34:L35" si="7">ROUND((C29+C34+D25/2)*D$32,2)</f>
        <v>0</v>
      </c>
      <c r="E34" s="55">
        <f t="shared" si="7"/>
        <v>0</v>
      </c>
      <c r="F34" s="131">
        <f t="shared" si="7"/>
        <v>0</v>
      </c>
      <c r="G34" s="54">
        <f t="shared" si="7"/>
        <v>0</v>
      </c>
      <c r="H34" s="146">
        <f t="shared" si="7"/>
        <v>0</v>
      </c>
      <c r="I34" s="65">
        <f t="shared" si="7"/>
        <v>0</v>
      </c>
      <c r="J34" s="192">
        <f t="shared" si="7"/>
        <v>0</v>
      </c>
      <c r="K34" s="131">
        <f t="shared" si="7"/>
        <v>0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0</v>
      </c>
      <c r="D35" s="55">
        <f t="shared" si="7"/>
        <v>0</v>
      </c>
      <c r="E35" s="55">
        <f t="shared" si="7"/>
        <v>0</v>
      </c>
      <c r="F35" s="131">
        <f t="shared" si="7"/>
        <v>0</v>
      </c>
      <c r="G35" s="54">
        <f t="shared" si="7"/>
        <v>0</v>
      </c>
      <c r="H35" s="146">
        <f t="shared" si="7"/>
        <v>0</v>
      </c>
      <c r="I35" s="65">
        <f t="shared" si="7"/>
        <v>0</v>
      </c>
      <c r="J35" s="192">
        <f t="shared" si="7"/>
        <v>0</v>
      </c>
      <c r="K35" s="131">
        <f t="shared" si="7"/>
        <v>0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0</v>
      </c>
      <c r="H36" s="66">
        <f t="shared" si="9"/>
        <v>0</v>
      </c>
      <c r="I36" s="78">
        <f t="shared" si="8"/>
        <v>0</v>
      </c>
      <c r="J36" s="193">
        <f t="shared" ref="J36:L36" si="10">SUM(J34:J35)+SUM(J29:J30)-J39</f>
        <v>0</v>
      </c>
      <c r="K36" s="66">
        <f t="shared" si="10"/>
        <v>0</v>
      </c>
      <c r="L36" s="78">
        <f t="shared" si="10"/>
        <v>0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0</v>
      </c>
      <c r="E37" s="56">
        <f t="shared" si="11"/>
        <v>0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0</v>
      </c>
      <c r="I37" s="78">
        <f t="shared" si="11"/>
        <v>0</v>
      </c>
      <c r="J37" s="194">
        <f t="shared" ref="J37:L37" si="13">SUM(J34:J35)-J22</f>
        <v>0</v>
      </c>
      <c r="K37" s="56">
        <f t="shared" si="13"/>
        <v>0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v>0</v>
      </c>
      <c r="C39" s="123">
        <f t="shared" ref="C39:L39" si="14">(C12-SUM(C15:C16))+SUM(C34:C35)+B39</f>
        <v>0</v>
      </c>
      <c r="D39" s="55">
        <f t="shared" si="14"/>
        <v>0</v>
      </c>
      <c r="E39" s="55">
        <f t="shared" si="14"/>
        <v>0</v>
      </c>
      <c r="F39" s="131">
        <f t="shared" si="14"/>
        <v>0</v>
      </c>
      <c r="G39" s="54">
        <f t="shared" si="14"/>
        <v>0</v>
      </c>
      <c r="H39" s="55">
        <f t="shared" si="14"/>
        <v>0</v>
      </c>
      <c r="I39" s="77">
        <f t="shared" si="14"/>
        <v>0</v>
      </c>
      <c r="J39" s="192">
        <f t="shared" si="14"/>
        <v>0</v>
      </c>
      <c r="K39" s="131">
        <f t="shared" si="14"/>
        <v>0</v>
      </c>
      <c r="L39" s="77">
        <f t="shared" si="14"/>
        <v>0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ht="31.5" customHeight="1" x14ac:dyDescent="0.25">
      <c r="A44" s="259"/>
      <c r="B44" s="259"/>
      <c r="C44" s="259"/>
      <c r="D44" s="259"/>
      <c r="E44" s="259"/>
      <c r="F44" s="259"/>
      <c r="G44" s="259"/>
      <c r="H44" s="259"/>
      <c r="I44" s="259"/>
      <c r="J44" s="215"/>
      <c r="K44" s="215"/>
      <c r="L44" s="215"/>
    </row>
    <row r="45" spans="1:12" ht="45.75" customHeight="1" x14ac:dyDescent="0.25">
      <c r="A45" s="259"/>
      <c r="B45" s="259"/>
      <c r="C45" s="259"/>
      <c r="D45" s="259"/>
      <c r="E45" s="259"/>
      <c r="F45" s="259"/>
      <c r="G45" s="259"/>
      <c r="H45" s="259"/>
      <c r="I45" s="216"/>
      <c r="J45" s="215"/>
      <c r="K45" s="215"/>
    </row>
    <row r="46" spans="1:12" ht="18.75" customHeight="1" x14ac:dyDescent="0.25">
      <c r="A46" s="259"/>
      <c r="B46" s="259"/>
      <c r="C46" s="259"/>
      <c r="D46" s="259"/>
      <c r="E46" s="259"/>
      <c r="F46" s="259"/>
      <c r="G46" s="259"/>
      <c r="H46" s="259"/>
      <c r="I46" s="259"/>
      <c r="J46" s="215"/>
      <c r="K46" s="215"/>
      <c r="L46" s="215"/>
    </row>
    <row r="47" spans="1:12" x14ac:dyDescent="0.25">
      <c r="A47" s="79"/>
      <c r="B47" s="79"/>
      <c r="C47" s="79"/>
      <c r="D47" s="53"/>
      <c r="E47" s="53"/>
      <c r="F47" s="53"/>
      <c r="G47" s="53"/>
      <c r="H47" s="53"/>
      <c r="I47" s="53"/>
    </row>
    <row r="48" spans="1:12" x14ac:dyDescent="0.25">
      <c r="A48" s="79"/>
      <c r="B48" s="79"/>
      <c r="C48" s="79"/>
      <c r="D48" s="53"/>
      <c r="E48" s="53"/>
      <c r="F48" s="53"/>
      <c r="G48" s="53"/>
      <c r="H48" s="53"/>
      <c r="I48" s="53"/>
    </row>
    <row r="49" spans="1:9" x14ac:dyDescent="0.25">
      <c r="A49" s="79"/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6">
    <mergeCell ref="A46:I46"/>
    <mergeCell ref="D10:F10"/>
    <mergeCell ref="G10:I10"/>
    <mergeCell ref="J10:L10"/>
    <mergeCell ref="A44:I44"/>
    <mergeCell ref="A45:H45"/>
  </mergeCells>
  <pageMargins left="0.2" right="0.2" top="0.75" bottom="0.25" header="0.3" footer="0.3"/>
  <pageSetup scale="62"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2"/>
  <sheetViews>
    <sheetView workbookViewId="0">
      <selection activeCell="A2" sqref="A2"/>
    </sheetView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9" width="17.7109375" customWidth="1"/>
  </cols>
  <sheetData>
    <row r="1" spans="1:32" s="62" customFormat="1" x14ac:dyDescent="0.25">
      <c r="A1" s="79" t="s">
        <v>152</v>
      </c>
    </row>
    <row r="2" spans="1:32" ht="15.75" thickBot="1" x14ac:dyDescent="0.3">
      <c r="A2" s="9" t="s">
        <v>127</v>
      </c>
    </row>
    <row r="3" spans="1:32" ht="35.25" customHeight="1" thickBot="1" x14ac:dyDescent="0.3">
      <c r="B3" s="254" t="s">
        <v>85</v>
      </c>
      <c r="C3" s="254"/>
      <c r="E3" s="255" t="s">
        <v>5</v>
      </c>
      <c r="F3" s="256"/>
      <c r="G3" s="256"/>
      <c r="H3" s="256"/>
      <c r="I3" s="257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80</v>
      </c>
      <c r="I4" s="91" t="s">
        <v>1</v>
      </c>
    </row>
    <row r="5" spans="1:32" x14ac:dyDescent="0.25">
      <c r="A5" s="22" t="s">
        <v>29</v>
      </c>
      <c r="B5" s="93">
        <f>+'[1]Billed kWh Sales'!D29</f>
        <v>1368937393</v>
      </c>
      <c r="C5" s="36">
        <f>SUM(F9:I9)</f>
        <v>3346826.6599999997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+'[1]Billed kWh Sales'!D30</f>
        <v>2302186184</v>
      </c>
      <c r="C6" s="36">
        <f>SUM(F10:I10)</f>
        <v>5291867.07</v>
      </c>
      <c r="D6" s="4"/>
      <c r="E6" s="25"/>
      <c r="F6" s="27">
        <v>0</v>
      </c>
      <c r="G6" s="27"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3671123577</v>
      </c>
      <c r="C7" s="24">
        <f>SUM(C5:C6)</f>
        <v>8638693.7300000004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KCP&amp;L'!$BG$159,2)</f>
        <v>2968951.57</v>
      </c>
      <c r="G8" s="37">
        <f>ROUND('[2]Program Costs - KCP&amp;L'!$BG$160,2)</f>
        <v>4913991.9800000004</v>
      </c>
      <c r="H8" s="37">
        <f>ROUND('[2]Program Costs - KCP&amp;L'!$BG$161,2)</f>
        <v>755750.18</v>
      </c>
      <c r="I8" s="38">
        <f>ROUND('[2]Program Costs - KCP&amp;L'!$BG$162,2)</f>
        <v>0</v>
      </c>
    </row>
    <row r="9" spans="1:32" ht="15.75" thickTop="1" x14ac:dyDescent="0.25">
      <c r="D9" s="4"/>
      <c r="E9" s="106" t="s">
        <v>29</v>
      </c>
      <c r="F9" s="107">
        <f t="shared" ref="F9:I10" si="0">F5*F$8</f>
        <v>2968951.57</v>
      </c>
      <c r="G9" s="107">
        <f t="shared" si="0"/>
        <v>0</v>
      </c>
      <c r="H9" s="107">
        <f t="shared" si="0"/>
        <v>377875.09</v>
      </c>
      <c r="I9" s="108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4913991.9800000004</v>
      </c>
      <c r="H10" s="29">
        <f t="shared" si="0"/>
        <v>377875.09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9" t="s">
        <v>13</v>
      </c>
      <c r="F14" s="61"/>
      <c r="G14" s="61"/>
      <c r="H14" s="61"/>
      <c r="I14" s="176"/>
      <c r="J14" s="61"/>
    </row>
    <row r="15" spans="1:32" x14ac:dyDescent="0.25">
      <c r="A15" s="258" t="s">
        <v>124</v>
      </c>
      <c r="B15" s="258"/>
      <c r="C15" s="258"/>
      <c r="D15" s="258"/>
      <c r="E15" s="258"/>
      <c r="F15" s="258"/>
      <c r="G15" s="258"/>
      <c r="H15" s="258"/>
      <c r="I15" s="258"/>
    </row>
    <row r="16" spans="1:32" x14ac:dyDescent="0.25">
      <c r="A16" s="258" t="s">
        <v>126</v>
      </c>
      <c r="B16" s="258"/>
      <c r="C16" s="258"/>
      <c r="D16" s="258"/>
      <c r="E16" s="258"/>
      <c r="F16" s="258"/>
      <c r="G16" s="258"/>
      <c r="H16" s="258"/>
      <c r="I16" s="258"/>
    </row>
    <row r="17" spans="1:10" x14ac:dyDescent="0.25">
      <c r="I17" s="176"/>
    </row>
    <row r="18" spans="1:10" x14ac:dyDescent="0.25">
      <c r="I18" s="176"/>
    </row>
    <row r="19" spans="1:10" x14ac:dyDescent="0.25">
      <c r="I19" s="176"/>
    </row>
    <row r="26" spans="1:10" x14ac:dyDescent="0.25">
      <c r="C26" s="2"/>
    </row>
    <row r="28" spans="1:10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25">
      <c r="A29" s="62"/>
      <c r="B29" s="62"/>
      <c r="C29" s="62"/>
      <c r="E29" s="62"/>
      <c r="F29" s="62"/>
      <c r="G29" s="62"/>
      <c r="H29" s="62"/>
      <c r="I29" s="62"/>
      <c r="J29" s="62"/>
    </row>
    <row r="30" spans="1:10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</row>
    <row r="42" spans="1:10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80"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65"/>
  <sheetViews>
    <sheetView workbookViewId="0">
      <pane xSplit="3" ySplit="9" topLeftCell="D10" activePane="bottomRight" state="frozen"/>
      <selection activeCell="J18" sqref="J18"/>
      <selection pane="topRight" activeCell="J18" sqref="J18"/>
      <selection pane="bottomLeft" activeCell="J18" sqref="J18"/>
      <selection pane="bottomRight" activeCell="D10" sqref="D10"/>
    </sheetView>
  </sheetViews>
  <sheetFormatPr defaultRowHeight="15" x14ac:dyDescent="0.25"/>
  <cols>
    <col min="1" max="1" width="54.5703125" customWidth="1"/>
    <col min="2" max="2" width="14.7109375" style="62" bestFit="1" customWidth="1"/>
    <col min="3" max="3" width="15" style="62" bestFit="1" customWidth="1"/>
    <col min="4" max="4" width="15.140625" customWidth="1"/>
    <col min="5" max="5" width="15.85546875" bestFit="1" customWidth="1"/>
    <col min="6" max="6" width="17.5703125" style="62" bestFit="1" customWidth="1"/>
    <col min="7" max="8" width="13.28515625" style="62" bestFit="1" customWidth="1"/>
    <col min="9" max="9" width="12.5703125" bestFit="1" customWidth="1"/>
    <col min="10" max="11" width="12.5703125" style="62" bestFit="1" customWidth="1"/>
    <col min="12" max="12" width="12.28515625" style="62" bestFit="1" customWidth="1"/>
    <col min="13" max="13" width="15" bestFit="1" customWidth="1"/>
    <col min="14" max="14" width="16.28515625" bestFit="1" customWidth="1"/>
    <col min="15" max="15" width="15.5703125" customWidth="1"/>
    <col min="16" max="16" width="13" customWidth="1"/>
    <col min="18" max="18" width="14.28515625" bestFit="1" customWidth="1"/>
  </cols>
  <sheetData>
    <row r="1" spans="1:31" x14ac:dyDescent="0.25">
      <c r="A1" s="3" t="str">
        <f>+PPC!A1</f>
        <v>Kansas City Power &amp; Light Company - DSIM Rider Update Filed 05/31/2019</v>
      </c>
      <c r="B1" s="3"/>
      <c r="C1" s="3"/>
    </row>
    <row r="2" spans="1:31" x14ac:dyDescent="0.25">
      <c r="D2" s="3" t="s">
        <v>79</v>
      </c>
    </row>
    <row r="3" spans="1:31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71</v>
      </c>
      <c r="I3" s="6" t="s">
        <v>11</v>
      </c>
      <c r="J3" s="6" t="s">
        <v>4</v>
      </c>
    </row>
    <row r="4" spans="1:31" x14ac:dyDescent="0.25">
      <c r="A4" s="62" t="s">
        <v>29</v>
      </c>
      <c r="D4" s="24">
        <f>SUM(C25:L25)</f>
        <v>0</v>
      </c>
      <c r="E4" s="161">
        <f>SUM(C21:L21)</f>
        <v>1342931546.1974001</v>
      </c>
      <c r="F4" s="24">
        <f>SUM(C17:K17)</f>
        <v>0</v>
      </c>
      <c r="G4" s="24">
        <f>F4-D4</f>
        <v>0</v>
      </c>
      <c r="H4" s="24">
        <f>+B35</f>
        <v>0</v>
      </c>
      <c r="I4" s="24">
        <f>SUM(C40:K40)</f>
        <v>0</v>
      </c>
      <c r="J4" s="36">
        <f>SUM(G4:I4)</f>
        <v>0</v>
      </c>
      <c r="K4" s="63">
        <f>+J4-L35</f>
        <v>0</v>
      </c>
      <c r="M4" s="45"/>
    </row>
    <row r="5" spans="1:31" ht="15.75" thickBot="1" x14ac:dyDescent="0.3">
      <c r="A5" t="s">
        <v>30</v>
      </c>
      <c r="D5" s="24">
        <f>SUM(C26:L26)</f>
        <v>49597.837120000004</v>
      </c>
      <c r="E5" s="161">
        <f>SUM(C22:L22)</f>
        <v>2168999728.4626999</v>
      </c>
      <c r="F5" s="24">
        <f>SUM(C18:K18)</f>
        <v>0</v>
      </c>
      <c r="G5" s="24">
        <f>F5-D5</f>
        <v>-49597.837120000004</v>
      </c>
      <c r="H5" s="24">
        <f>+B36</f>
        <v>41704.15</v>
      </c>
      <c r="I5" s="24">
        <f>SUM(C41:K41)</f>
        <v>462.75</v>
      </c>
      <c r="J5" s="36">
        <f>SUM(G5:I5)</f>
        <v>-7430.9371200000023</v>
      </c>
      <c r="K5" s="63">
        <f>+J5-L36</f>
        <v>0</v>
      </c>
      <c r="M5" s="45"/>
    </row>
    <row r="6" spans="1:31" ht="16.5" thickTop="1" thickBot="1" x14ac:dyDescent="0.3">
      <c r="D6" s="40">
        <f t="shared" ref="D6" si="0">SUM(D4:D5)</f>
        <v>49597.837120000004</v>
      </c>
      <c r="E6" s="162">
        <f t="shared" ref="E6:H6" si="1">SUM(E4:E5)</f>
        <v>3511931274.6601</v>
      </c>
      <c r="F6" s="40">
        <f t="shared" si="1"/>
        <v>0</v>
      </c>
      <c r="G6" s="40">
        <f t="shared" si="1"/>
        <v>-49597.837120000004</v>
      </c>
      <c r="H6" s="40">
        <f t="shared" si="1"/>
        <v>41704.15</v>
      </c>
      <c r="I6" s="94">
        <f>SUM(I4:I5)</f>
        <v>462.75</v>
      </c>
      <c r="J6" s="40">
        <f>SUM(J4:J5)</f>
        <v>-7430.9371200000023</v>
      </c>
    </row>
    <row r="7" spans="1:31" ht="16.5" thickTop="1" thickBot="1" x14ac:dyDescent="0.3"/>
    <row r="8" spans="1:31" ht="90.75" thickBot="1" x14ac:dyDescent="0.3">
      <c r="B8" s="141" t="s">
        <v>128</v>
      </c>
      <c r="C8" s="179" t="s">
        <v>129</v>
      </c>
      <c r="D8" s="260" t="s">
        <v>39</v>
      </c>
      <c r="E8" s="260"/>
      <c r="F8" s="261"/>
      <c r="G8" s="205" t="s">
        <v>39</v>
      </c>
      <c r="H8" s="206"/>
      <c r="I8" s="207"/>
      <c r="J8" s="186" t="s">
        <v>9</v>
      </c>
      <c r="K8" s="186"/>
      <c r="L8" s="187"/>
    </row>
    <row r="9" spans="1:31" x14ac:dyDescent="0.25">
      <c r="A9" t="s">
        <v>38</v>
      </c>
      <c r="C9" s="14"/>
      <c r="D9" s="20">
        <v>43434</v>
      </c>
      <c r="E9" s="20">
        <f>EOMONTH(D9,1)</f>
        <v>43465</v>
      </c>
      <c r="F9" s="20">
        <f t="shared" ref="F9:L9" si="2">EOMONTH(E9,1)</f>
        <v>43496</v>
      </c>
      <c r="G9" s="14">
        <f t="shared" si="2"/>
        <v>43524</v>
      </c>
      <c r="H9" s="20">
        <f t="shared" si="2"/>
        <v>43555</v>
      </c>
      <c r="I9" s="15">
        <f t="shared" si="2"/>
        <v>43585</v>
      </c>
      <c r="J9" s="20">
        <f t="shared" si="2"/>
        <v>43616</v>
      </c>
      <c r="K9" s="20">
        <f t="shared" si="2"/>
        <v>43646</v>
      </c>
      <c r="L9" s="118">
        <f t="shared" si="2"/>
        <v>43677</v>
      </c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5">
      <c r="A10" t="s">
        <v>29</v>
      </c>
      <c r="C10" s="120">
        <v>0</v>
      </c>
      <c r="D10" s="132">
        <v>0</v>
      </c>
      <c r="E10" s="132">
        <v>0</v>
      </c>
      <c r="F10" s="133">
        <v>0</v>
      </c>
      <c r="G10" s="16">
        <v>0</v>
      </c>
      <c r="H10" s="71">
        <v>0</v>
      </c>
      <c r="I10" s="195">
        <v>0</v>
      </c>
      <c r="J10" s="208">
        <v>0</v>
      </c>
      <c r="K10" s="164">
        <v>0</v>
      </c>
      <c r="L10" s="95"/>
    </row>
    <row r="11" spans="1:31" x14ac:dyDescent="0.25">
      <c r="A11" t="s">
        <v>30</v>
      </c>
      <c r="C11" s="120">
        <v>0</v>
      </c>
      <c r="D11" s="132">
        <v>0</v>
      </c>
      <c r="E11" s="132">
        <v>0</v>
      </c>
      <c r="F11" s="133">
        <v>0</v>
      </c>
      <c r="G11" s="16">
        <v>0</v>
      </c>
      <c r="H11" s="71">
        <v>0</v>
      </c>
      <c r="I11" s="195">
        <v>0</v>
      </c>
      <c r="J11" s="208">
        <v>0</v>
      </c>
      <c r="K11" s="164">
        <v>0</v>
      </c>
      <c r="L11" s="95"/>
      <c r="M11" s="79" t="s">
        <v>32</v>
      </c>
    </row>
    <row r="12" spans="1:31" x14ac:dyDescent="0.25">
      <c r="A12" t="s">
        <v>0</v>
      </c>
      <c r="C12" s="120">
        <v>0</v>
      </c>
      <c r="D12" s="132">
        <v>0</v>
      </c>
      <c r="E12" s="132">
        <v>0</v>
      </c>
      <c r="F12" s="133">
        <v>0</v>
      </c>
      <c r="G12" s="16">
        <v>0</v>
      </c>
      <c r="H12" s="71">
        <v>0</v>
      </c>
      <c r="I12" s="195">
        <v>0</v>
      </c>
      <c r="J12" s="208">
        <v>0</v>
      </c>
      <c r="K12" s="164">
        <v>0</v>
      </c>
      <c r="L12" s="95"/>
      <c r="M12" s="89">
        <v>0.5</v>
      </c>
    </row>
    <row r="13" spans="1:31" x14ac:dyDescent="0.25">
      <c r="A13" t="s">
        <v>1</v>
      </c>
      <c r="C13" s="120">
        <v>0</v>
      </c>
      <c r="D13" s="132">
        <v>0</v>
      </c>
      <c r="E13" s="132">
        <v>0</v>
      </c>
      <c r="F13" s="133">
        <v>0</v>
      </c>
      <c r="G13" s="16">
        <v>0</v>
      </c>
      <c r="H13" s="71">
        <v>0</v>
      </c>
      <c r="I13" s="195">
        <v>0</v>
      </c>
      <c r="J13" s="208">
        <v>0</v>
      </c>
      <c r="K13" s="164">
        <v>0</v>
      </c>
      <c r="L13" s="95"/>
      <c r="M13" s="79" t="s">
        <v>28</v>
      </c>
    </row>
    <row r="14" spans="1:31" s="62" customFormat="1" x14ac:dyDescent="0.25">
      <c r="A14" s="62" t="s">
        <v>27</v>
      </c>
      <c r="C14" s="120">
        <v>0</v>
      </c>
      <c r="D14" s="132">
        <v>0</v>
      </c>
      <c r="E14" s="132">
        <v>0</v>
      </c>
      <c r="F14" s="133">
        <v>0</v>
      </c>
      <c r="G14" s="16">
        <v>0</v>
      </c>
      <c r="H14" s="71">
        <v>0</v>
      </c>
      <c r="I14" s="195">
        <v>0</v>
      </c>
      <c r="J14" s="208">
        <v>0</v>
      </c>
      <c r="K14" s="164">
        <v>0</v>
      </c>
      <c r="L14" s="95"/>
      <c r="M14" s="89">
        <v>2.4400000000000002E-2</v>
      </c>
    </row>
    <row r="15" spans="1:31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1" x14ac:dyDescent="0.25">
      <c r="A16" t="s">
        <v>41</v>
      </c>
      <c r="C16" s="122"/>
      <c r="D16" s="44"/>
      <c r="E16" s="44"/>
      <c r="F16" s="44"/>
      <c r="G16" s="41"/>
      <c r="H16" s="44"/>
      <c r="I16" s="196"/>
      <c r="J16" s="17"/>
      <c r="K16" s="17"/>
      <c r="L16" s="11"/>
    </row>
    <row r="17" spans="1:14" x14ac:dyDescent="0.25">
      <c r="A17" s="62" t="s">
        <v>29</v>
      </c>
      <c r="C17" s="54">
        <f t="shared" ref="C17:I17" si="3">C10+($M$12*C$12)+($M$12*C$13)+C$14*(1-$M$14)</f>
        <v>0</v>
      </c>
      <c r="D17" s="55">
        <f t="shared" si="3"/>
        <v>0</v>
      </c>
      <c r="E17" s="55">
        <f t="shared" si="3"/>
        <v>0</v>
      </c>
      <c r="F17" s="131">
        <f t="shared" si="3"/>
        <v>0</v>
      </c>
      <c r="G17" s="54">
        <f t="shared" si="3"/>
        <v>0</v>
      </c>
      <c r="H17" s="55">
        <f t="shared" si="3"/>
        <v>0</v>
      </c>
      <c r="I17" s="77">
        <f t="shared" si="3"/>
        <v>0</v>
      </c>
      <c r="J17" s="146">
        <f t="shared" ref="J17:L17" si="4">J10+($M$12*J$12)+($M$12*J$13)+J$14*(1-$M$14)</f>
        <v>0</v>
      </c>
      <c r="K17" s="55">
        <f t="shared" si="4"/>
        <v>0</v>
      </c>
      <c r="L17" s="77">
        <f t="shared" si="4"/>
        <v>0</v>
      </c>
    </row>
    <row r="18" spans="1:14" x14ac:dyDescent="0.25">
      <c r="A18" t="s">
        <v>30</v>
      </c>
      <c r="C18" s="54">
        <f t="shared" ref="C18:I18" si="5">(C$11+$M$12*C$12+C$14*$M$14)+C$13*$M$12</f>
        <v>0</v>
      </c>
      <c r="D18" s="55">
        <f t="shared" si="5"/>
        <v>0</v>
      </c>
      <c r="E18" s="55">
        <f t="shared" si="5"/>
        <v>0</v>
      </c>
      <c r="F18" s="131">
        <f t="shared" si="5"/>
        <v>0</v>
      </c>
      <c r="G18" s="54">
        <f t="shared" si="5"/>
        <v>0</v>
      </c>
      <c r="H18" s="55">
        <f t="shared" si="5"/>
        <v>0</v>
      </c>
      <c r="I18" s="77">
        <f t="shared" si="5"/>
        <v>0</v>
      </c>
      <c r="J18" s="146">
        <f t="shared" ref="J18:L18" si="6">(J$11+$M$12*J$12+J$14*$M$14)+J$13*$M$12</f>
        <v>0</v>
      </c>
      <c r="K18" s="55">
        <f t="shared" si="6"/>
        <v>0</v>
      </c>
      <c r="L18" s="77">
        <f t="shared" si="6"/>
        <v>0</v>
      </c>
    </row>
    <row r="19" spans="1:14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4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4" x14ac:dyDescent="0.25">
      <c r="A21" s="62" t="s">
        <v>29</v>
      </c>
      <c r="C21" s="125">
        <v>-665424790</v>
      </c>
      <c r="D21" s="134">
        <f>+'[3]November 2018 Combined'!F55</f>
        <v>165013792.27160001</v>
      </c>
      <c r="E21" s="134">
        <f>+'[3]December 2018 Combined'!F55</f>
        <v>229938340.5652</v>
      </c>
      <c r="F21" s="134">
        <f>+'[4]January 2019 Combined'!F55</f>
        <v>334829343.77099997</v>
      </c>
      <c r="G21" s="217">
        <f>+'[4]February 2019 Combined'!F55</f>
        <v>260599630.74290001</v>
      </c>
      <c r="H21" s="93">
        <f>+'[4]March 2019 Combined'!F55</f>
        <v>244314540.61629993</v>
      </c>
      <c r="I21" s="214">
        <f>+'[4]April 2019 Combined'!F55</f>
        <v>154975325.23040009</v>
      </c>
      <c r="J21" s="209">
        <f>+'[1]Billed kWh Sales'!G20</f>
        <v>147540153</v>
      </c>
      <c r="K21" s="165">
        <f>+'[1]Billed kWh Sales'!H20</f>
        <v>193046185</v>
      </c>
      <c r="L21" s="96">
        <f>+'[1]Billed kWh Sales'!I20</f>
        <v>278099025</v>
      </c>
    </row>
    <row r="22" spans="1:14" x14ac:dyDescent="0.25">
      <c r="A22" s="62" t="s">
        <v>30</v>
      </c>
      <c r="C22" s="125">
        <v>-1057722596</v>
      </c>
      <c r="D22" s="134">
        <f>+'[3]November 2018 Combined'!F56</f>
        <v>336003203.11070007</v>
      </c>
      <c r="E22" s="134">
        <f>+'[3]December 2018 Combined'!F56</f>
        <v>382244800.77529997</v>
      </c>
      <c r="F22" s="134">
        <f>+'[4]January 2019 Combined'!F56</f>
        <v>278215554.43029994</v>
      </c>
      <c r="G22" s="217">
        <f>+'[4]February 2019 Combined'!F56</f>
        <v>413827384.73039997</v>
      </c>
      <c r="H22" s="93">
        <f>+'[4]March 2019 Combined'!F56</f>
        <v>351210091.47879994</v>
      </c>
      <c r="I22" s="214">
        <f>+'[4]April 2019 Combined'!F56</f>
        <v>331238433.93720001</v>
      </c>
      <c r="J22" s="209">
        <f>+'[1]Billed kWh Sales'!G21</f>
        <v>342311241</v>
      </c>
      <c r="K22" s="165">
        <f>+'[1]Billed kWh Sales'!H21</f>
        <v>375891474</v>
      </c>
      <c r="L22" s="96">
        <f>+'[1]Billed kWh Sales'!I21</f>
        <v>415780141</v>
      </c>
    </row>
    <row r="23" spans="1:14" x14ac:dyDescent="0.25">
      <c r="C23" s="122"/>
      <c r="D23" s="44"/>
      <c r="E23" s="44"/>
      <c r="F23" s="44"/>
      <c r="G23" s="41"/>
      <c r="H23" s="44"/>
      <c r="I23" s="11"/>
      <c r="J23" s="17"/>
      <c r="K23" s="17"/>
      <c r="L23" s="11"/>
    </row>
    <row r="24" spans="1:14" x14ac:dyDescent="0.25">
      <c r="A24" t="s">
        <v>40</v>
      </c>
      <c r="C24" s="122"/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4" x14ac:dyDescent="0.25">
      <c r="A25" s="62" t="s">
        <v>29</v>
      </c>
      <c r="C25" s="120">
        <v>0</v>
      </c>
      <c r="D25" s="132">
        <f>ROUND('[3]November 2018 Combined'!F9+'[3]November 2018 Combined'!F14,2)</f>
        <v>0</v>
      </c>
      <c r="E25" s="132">
        <f>ROUND(+'[3]December 2018 Combined'!F9+'[3]December 2018 Combined'!F14,2)</f>
        <v>0</v>
      </c>
      <c r="F25" s="132">
        <f>ROUND('[4]January 2019 Combined'!F9+'[4]January 2019 Combined'!F14,2)</f>
        <v>0</v>
      </c>
      <c r="G25" s="218">
        <f>ROUND('[4]February 2019 Combined'!F9+'[4]February 2019 Combined'!F14,2)</f>
        <v>0</v>
      </c>
      <c r="H25" s="171">
        <f>ROUND('[4]March 2019 Combined'!F9+'[4]March 2019 Combined'!F14,2)</f>
        <v>0</v>
      </c>
      <c r="I25" s="213">
        <f>ROUND('[4]April 2019 Combined'!F9+'[4]April 2019 Combined'!F14,2)</f>
        <v>0</v>
      </c>
      <c r="J25" s="146">
        <f t="shared" ref="J25:L26" si="7">J21*$M25</f>
        <v>0</v>
      </c>
      <c r="K25" s="55">
        <f t="shared" si="7"/>
        <v>0</v>
      </c>
      <c r="L25" s="77">
        <f t="shared" si="7"/>
        <v>0</v>
      </c>
      <c r="M25" s="88">
        <v>0</v>
      </c>
    </row>
    <row r="26" spans="1:14" x14ac:dyDescent="0.25">
      <c r="A26" t="str">
        <f>A22</f>
        <v>Non-Residential</v>
      </c>
      <c r="C26" s="120">
        <v>-42308.9</v>
      </c>
      <c r="D26" s="132">
        <f>ROUND('[3]November 2018 Combined'!F10+'[3]November 2018 Combined'!F15,2)</f>
        <v>10642.58</v>
      </c>
      <c r="E26" s="132">
        <f>ROUND(+'[3]December 2018 Combined'!F10+'[3]December 2018 Combined'!F15,2)</f>
        <v>17657.3</v>
      </c>
      <c r="F26" s="132">
        <f>ROUND('[4]January 2019 Combined'!F10+'[4]January 2019 Combined'!F15,2)</f>
        <v>14658.65</v>
      </c>
      <c r="G26" s="218">
        <f>ROUND('[4]February 2019 Combined'!F10+'[4]February 2019 Combined'!F15,2)</f>
        <v>12988.01</v>
      </c>
      <c r="H26" s="171">
        <f>ROUND('[4]March 2019 Combined'!F10+'[4]March 2019 Combined'!F15,2)</f>
        <v>7033.5</v>
      </c>
      <c r="I26" s="213">
        <f>ROUND('[4]April 2019 Combined'!F10+'[4]April 2019 Combined'!F15,2)</f>
        <v>6247.04</v>
      </c>
      <c r="J26" s="146">
        <f t="shared" si="7"/>
        <v>6846.2248200000004</v>
      </c>
      <c r="K26" s="55">
        <f t="shared" si="7"/>
        <v>7517.8294800000003</v>
      </c>
      <c r="L26" s="77">
        <f t="shared" si="7"/>
        <v>8315.6028200000001</v>
      </c>
      <c r="M26" s="88">
        <v>2.0000000000000002E-5</v>
      </c>
    </row>
    <row r="27" spans="1:14" x14ac:dyDescent="0.25">
      <c r="C27" s="83"/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4" ht="15.75" thickBot="1" x14ac:dyDescent="0.3">
      <c r="A28" t="s">
        <v>16</v>
      </c>
      <c r="C28" s="126">
        <v>-436.74</v>
      </c>
      <c r="D28" s="135">
        <v>232.67</v>
      </c>
      <c r="E28" s="135">
        <v>198.6</v>
      </c>
      <c r="F28" s="136">
        <v>151.56</v>
      </c>
      <c r="G28" s="39">
        <v>108.3</v>
      </c>
      <c r="H28" s="145">
        <v>77.3</v>
      </c>
      <c r="I28" s="212">
        <v>56.69</v>
      </c>
      <c r="J28" s="210">
        <v>36.520000000000003</v>
      </c>
      <c r="K28" s="166">
        <v>37.85</v>
      </c>
      <c r="L28" s="100"/>
    </row>
    <row r="29" spans="1:14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4" x14ac:dyDescent="0.25">
      <c r="A31" s="62" t="s">
        <v>29</v>
      </c>
      <c r="C31" s="54">
        <f t="shared" ref="C31:C32" si="8">C17-C25</f>
        <v>0</v>
      </c>
      <c r="D31" s="55">
        <f t="shared" ref="D31:I32" si="9">D17-D25</f>
        <v>0</v>
      </c>
      <c r="E31" s="55">
        <f t="shared" si="9"/>
        <v>0</v>
      </c>
      <c r="F31" s="131">
        <f t="shared" ref="F31:H31" si="10">F17-F25</f>
        <v>0</v>
      </c>
      <c r="G31" s="54">
        <f t="shared" si="10"/>
        <v>0</v>
      </c>
      <c r="H31" s="55">
        <f t="shared" si="10"/>
        <v>0</v>
      </c>
      <c r="I31" s="77">
        <f t="shared" si="9"/>
        <v>0</v>
      </c>
      <c r="J31" s="146">
        <f t="shared" ref="J31:K31" si="11">J17-J25</f>
        <v>0</v>
      </c>
      <c r="K31" s="55">
        <f t="shared" si="11"/>
        <v>0</v>
      </c>
      <c r="L31" s="65">
        <f t="shared" ref="L31" si="12">L17-L25</f>
        <v>0</v>
      </c>
    </row>
    <row r="32" spans="1:14" x14ac:dyDescent="0.25">
      <c r="A32" t="s">
        <v>30</v>
      </c>
      <c r="C32" s="54">
        <f t="shared" si="8"/>
        <v>42308.9</v>
      </c>
      <c r="D32" s="55">
        <f t="shared" si="9"/>
        <v>-10642.58</v>
      </c>
      <c r="E32" s="55">
        <f t="shared" si="9"/>
        <v>-17657.3</v>
      </c>
      <c r="F32" s="131">
        <f t="shared" ref="F32:H32" si="13">F18-F26</f>
        <v>-14658.65</v>
      </c>
      <c r="G32" s="54">
        <f t="shared" si="13"/>
        <v>-12988.01</v>
      </c>
      <c r="H32" s="55">
        <f t="shared" si="13"/>
        <v>-7033.5</v>
      </c>
      <c r="I32" s="77">
        <f t="shared" si="9"/>
        <v>-6247.04</v>
      </c>
      <c r="J32" s="146">
        <f t="shared" ref="J32:K32" si="14">J18-J26</f>
        <v>-6846.2248200000004</v>
      </c>
      <c r="K32" s="55">
        <f t="shared" si="14"/>
        <v>-7517.8294800000003</v>
      </c>
      <c r="L32" s="65">
        <f t="shared" ref="L32" si="15">L18-L26</f>
        <v>-8315.6028200000001</v>
      </c>
    </row>
    <row r="33" spans="1:13" x14ac:dyDescent="0.25">
      <c r="A33" s="62"/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0</v>
      </c>
      <c r="C35" s="55">
        <f>B35+C31+B40</f>
        <v>0</v>
      </c>
      <c r="D35" s="55">
        <f t="shared" ref="D35" si="16">C35+D31+C40</f>
        <v>0</v>
      </c>
      <c r="E35" s="55">
        <f t="shared" ref="E35:I36" si="17">D35+E31+D40</f>
        <v>0</v>
      </c>
      <c r="F35" s="131">
        <f t="shared" si="17"/>
        <v>0</v>
      </c>
      <c r="G35" s="54">
        <f t="shared" si="17"/>
        <v>0</v>
      </c>
      <c r="H35" s="55">
        <f t="shared" si="17"/>
        <v>0</v>
      </c>
      <c r="I35" s="77">
        <f t="shared" si="17"/>
        <v>0</v>
      </c>
      <c r="J35" s="146">
        <f t="shared" ref="J35:J36" si="18">I35+J31+I40</f>
        <v>0</v>
      </c>
      <c r="K35" s="55">
        <f t="shared" ref="K35:L36" si="19">J35+K31+J40</f>
        <v>0</v>
      </c>
      <c r="L35" s="65">
        <f t="shared" si="19"/>
        <v>0</v>
      </c>
    </row>
    <row r="36" spans="1:13" ht="15.75" thickBot="1" x14ac:dyDescent="0.3">
      <c r="A36" s="62" t="s">
        <v>30</v>
      </c>
      <c r="B36" s="140">
        <v>41704.15</v>
      </c>
      <c r="C36" s="55">
        <f>B36+C32+B41</f>
        <v>84013.05</v>
      </c>
      <c r="D36" s="55">
        <f t="shared" ref="D36" si="20">C36+D32+C41</f>
        <v>72933.73</v>
      </c>
      <c r="E36" s="55">
        <f t="shared" si="17"/>
        <v>55509.09</v>
      </c>
      <c r="F36" s="131">
        <f t="shared" si="17"/>
        <v>41049.039999999994</v>
      </c>
      <c r="G36" s="54">
        <f t="shared" si="17"/>
        <v>28212.589999999993</v>
      </c>
      <c r="H36" s="55">
        <f t="shared" si="17"/>
        <v>21287.399999999994</v>
      </c>
      <c r="I36" s="77">
        <f t="shared" si="17"/>
        <v>15117.659999999993</v>
      </c>
      <c r="J36" s="146">
        <f t="shared" si="18"/>
        <v>8328.1251799999936</v>
      </c>
      <c r="K36" s="55">
        <f t="shared" si="19"/>
        <v>846.81569999999329</v>
      </c>
      <c r="L36" s="65">
        <f t="shared" si="19"/>
        <v>-7430.937120000006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s="62" customFormat="1" x14ac:dyDescent="0.25">
      <c r="A38" s="53" t="s">
        <v>65</v>
      </c>
      <c r="B38" s="53"/>
      <c r="C38" s="127"/>
      <c r="D38" s="226">
        <f>+'[5]Nov 2018'!$F$51</f>
        <v>2.9731599999999999E-3</v>
      </c>
      <c r="E38" s="102">
        <f>+'[5]Dec 2018'!$F$51</f>
        <v>3.0868100000000002E-3</v>
      </c>
      <c r="F38" s="102">
        <f>+'[5]Jan 2019'!$F$51</f>
        <v>3.13277E-3</v>
      </c>
      <c r="G38" s="103">
        <f>+'[5]Feb 2019'!$F$51</f>
        <v>3.1206900000000002E-3</v>
      </c>
      <c r="H38" s="102">
        <f>+'[5]Mar 2019'!$F$51</f>
        <v>3.11648E-3</v>
      </c>
      <c r="I38" s="115">
        <f>+'[5]Apr 2019'!$F$51</f>
        <v>3.1080600000000002E-3</v>
      </c>
      <c r="J38" s="102">
        <f>+I38</f>
        <v>3.1080600000000002E-3</v>
      </c>
      <c r="K38" s="102">
        <f>+J38</f>
        <v>3.1080600000000002E-3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f>((23.44*0)-0)-0</f>
        <v>0</v>
      </c>
      <c r="D40" s="55">
        <f t="shared" ref="D40" si="21">ROUND((C35+C40+D31/2)*D$38,2)</f>
        <v>0</v>
      </c>
      <c r="E40" s="55">
        <f t="shared" ref="E40:I41" si="22">ROUND((D35+D40+E31/2)*E$38,2)</f>
        <v>0</v>
      </c>
      <c r="F40" s="131">
        <f t="shared" si="22"/>
        <v>0</v>
      </c>
      <c r="G40" s="223">
        <f>ROUND((F35+F40+G31/2)*G$38,2)*0</f>
        <v>0</v>
      </c>
      <c r="H40" s="146">
        <f t="shared" si="22"/>
        <v>0</v>
      </c>
      <c r="I40" s="65">
        <f t="shared" si="22"/>
        <v>0</v>
      </c>
      <c r="J40" s="146">
        <f t="shared" ref="J40:J41" si="23">ROUND((I35+I40+J31/2)*J$38,2)</f>
        <v>0</v>
      </c>
      <c r="K40" s="146">
        <f>ROUND((J35+J40+K31/2)*K$38,2)</f>
        <v>0</v>
      </c>
      <c r="L40" s="65"/>
    </row>
    <row r="41" spans="1:13" ht="15.75" thickBot="1" x14ac:dyDescent="0.3">
      <c r="A41" t="s">
        <v>30</v>
      </c>
      <c r="C41" s="137">
        <v>-436.74</v>
      </c>
      <c r="D41" s="55">
        <f>ROUND((C36+C41+D32/2)*D$38,2)</f>
        <v>232.66</v>
      </c>
      <c r="E41" s="55">
        <f t="shared" si="22"/>
        <v>198.6</v>
      </c>
      <c r="F41" s="131">
        <f t="shared" si="22"/>
        <v>151.56</v>
      </c>
      <c r="G41" s="54">
        <f>ROUND((F36+F41+G32/2)*G$38,2)</f>
        <v>108.31</v>
      </c>
      <c r="H41" s="146">
        <f t="shared" si="22"/>
        <v>77.3</v>
      </c>
      <c r="I41" s="65">
        <f t="shared" si="22"/>
        <v>56.69</v>
      </c>
      <c r="J41" s="146">
        <f t="shared" si="23"/>
        <v>36.520000000000003</v>
      </c>
      <c r="K41" s="146">
        <f>ROUND((J36+J41+K32/2)*K$38,2)+23.54</f>
        <v>37.85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I42" si="24">SUM(D40:D41)+SUM(D35:D36)-D45</f>
        <v>0</v>
      </c>
      <c r="E42" s="46">
        <f t="shared" si="24"/>
        <v>0</v>
      </c>
      <c r="F42" s="66">
        <f t="shared" ref="F42:H42" si="25">SUM(F40:F41)+SUM(F35:F36)-F45</f>
        <v>0</v>
      </c>
      <c r="G42" s="147">
        <f t="shared" si="25"/>
        <v>0</v>
      </c>
      <c r="H42" s="46">
        <f t="shared" si="25"/>
        <v>0</v>
      </c>
      <c r="I42" s="78">
        <f t="shared" si="24"/>
        <v>0</v>
      </c>
      <c r="J42" s="194">
        <f t="shared" ref="J42:K42" si="26">SUM(J40:J41)+SUM(J35:J36)-J45</f>
        <v>0</v>
      </c>
      <c r="K42" s="46">
        <f t="shared" si="26"/>
        <v>-9.8907548817805946E-12</v>
      </c>
      <c r="L42" s="119">
        <f t="shared" ref="L42" si="27">SUM(L40:L41)+SUM(L35:L36)-L45</f>
        <v>-9.0949470177292824E-12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28">SUM(D40:D41)-D28</f>
        <v>-9.9999999999909051E-3</v>
      </c>
      <c r="E43" s="46">
        <f t="shared" si="28"/>
        <v>0</v>
      </c>
      <c r="F43" s="66">
        <f t="shared" ref="F43:H43" si="29">SUM(F40:F41)-F28</f>
        <v>0</v>
      </c>
      <c r="G43" s="67">
        <f t="shared" si="29"/>
        <v>1.0000000000005116E-2</v>
      </c>
      <c r="H43" s="46">
        <f t="shared" si="29"/>
        <v>0</v>
      </c>
      <c r="I43" s="78">
        <f t="shared" si="28"/>
        <v>0</v>
      </c>
      <c r="J43" s="194">
        <f t="shared" ref="J43:K43" si="30">SUM(J40:J41)-J28</f>
        <v>0</v>
      </c>
      <c r="K43" s="46">
        <f t="shared" si="30"/>
        <v>0</v>
      </c>
      <c r="L43" s="119">
        <f t="shared" ref="L43" si="31">SUM(L40:L41)-L28</f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t="s">
        <v>42</v>
      </c>
      <c r="B45" s="142">
        <f>+B35+B36</f>
        <v>41704.15</v>
      </c>
      <c r="C45" s="54">
        <f t="shared" ref="C45:I45" si="32">(SUM(C10:C14)-SUM(C25:C26))+SUM(C40:C41)+B45</f>
        <v>83576.31</v>
      </c>
      <c r="D45" s="55">
        <f t="shared" si="32"/>
        <v>73166.39</v>
      </c>
      <c r="E45" s="55">
        <f t="shared" si="32"/>
        <v>55707.69</v>
      </c>
      <c r="F45" s="131">
        <f t="shared" si="32"/>
        <v>41200.600000000006</v>
      </c>
      <c r="G45" s="54">
        <f t="shared" si="32"/>
        <v>28320.900000000005</v>
      </c>
      <c r="H45" s="55">
        <f t="shared" si="32"/>
        <v>21364.700000000004</v>
      </c>
      <c r="I45" s="77">
        <f t="shared" si="32"/>
        <v>15174.350000000004</v>
      </c>
      <c r="J45" s="146">
        <f t="shared" ref="J45" si="33">(SUM(J10:J14)-SUM(J25:J26))+SUM(J40:J41)+I45</f>
        <v>8364.6451800000032</v>
      </c>
      <c r="K45" s="55">
        <f t="shared" ref="K45:L45" si="34">(SUM(K10:K14)-SUM(K25:K26))+SUM(K40:K41)+J45</f>
        <v>884.6657000000032</v>
      </c>
      <c r="L45" s="77">
        <f t="shared" si="34"/>
        <v>-7430.9371199999969</v>
      </c>
    </row>
    <row r="46" spans="1:13" x14ac:dyDescent="0.25">
      <c r="C46" s="143"/>
      <c r="D46" s="72"/>
      <c r="E46" s="19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A47" s="62"/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4" x14ac:dyDescent="0.25">
      <c r="A49" s="85" t="s">
        <v>13</v>
      </c>
      <c r="B49" s="85"/>
      <c r="C49" s="85"/>
      <c r="D49" s="60"/>
      <c r="E49" s="60"/>
      <c r="I49" s="60"/>
      <c r="M49" s="60"/>
      <c r="N49" s="60"/>
    </row>
    <row r="50" spans="1:14" x14ac:dyDescent="0.25">
      <c r="A50" s="259" t="s">
        <v>118</v>
      </c>
      <c r="B50" s="259"/>
      <c r="C50" s="259"/>
      <c r="D50" s="259"/>
      <c r="E50" s="259"/>
      <c r="F50" s="259"/>
      <c r="G50" s="259"/>
      <c r="H50" s="259"/>
      <c r="I50" s="259"/>
      <c r="J50" s="163"/>
      <c r="K50" s="163"/>
      <c r="L50" s="113"/>
      <c r="M50" s="60"/>
      <c r="N50" s="60"/>
    </row>
    <row r="51" spans="1:14" ht="27" customHeight="1" x14ac:dyDescent="0.25">
      <c r="A51" s="259" t="s">
        <v>140</v>
      </c>
      <c r="B51" s="259"/>
      <c r="C51" s="259"/>
      <c r="D51" s="259"/>
      <c r="E51" s="259"/>
      <c r="F51" s="259"/>
      <c r="G51" s="259"/>
      <c r="H51" s="259"/>
      <c r="I51" s="259"/>
      <c r="J51" s="163"/>
      <c r="K51" s="163"/>
      <c r="L51" s="113"/>
      <c r="M51" s="60"/>
      <c r="N51" s="60"/>
    </row>
    <row r="52" spans="1:14" ht="31.5" customHeight="1" x14ac:dyDescent="0.25">
      <c r="A52" s="259" t="s">
        <v>136</v>
      </c>
      <c r="B52" s="259"/>
      <c r="C52" s="259"/>
      <c r="D52" s="259"/>
      <c r="E52" s="259"/>
      <c r="F52" s="259"/>
      <c r="G52" s="259"/>
      <c r="H52" s="259"/>
      <c r="I52" s="259"/>
      <c r="J52" s="163"/>
      <c r="K52" s="163"/>
      <c r="L52" s="113"/>
      <c r="M52" s="60"/>
      <c r="N52" s="60"/>
    </row>
    <row r="53" spans="1:14" x14ac:dyDescent="0.25">
      <c r="A53" s="3" t="s">
        <v>37</v>
      </c>
      <c r="B53" s="3"/>
      <c r="C53" s="3"/>
      <c r="D53" s="60"/>
      <c r="E53" s="60"/>
      <c r="I53" s="4"/>
      <c r="M53" s="60"/>
      <c r="N53" s="60"/>
    </row>
    <row r="54" spans="1:14" s="62" customFormat="1" x14ac:dyDescent="0.25">
      <c r="A54" s="79" t="s">
        <v>137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60"/>
      <c r="E55" s="60"/>
      <c r="I55" s="4"/>
      <c r="M55" s="60"/>
      <c r="N55" s="60"/>
    </row>
    <row r="56" spans="1:14" x14ac:dyDescent="0.25">
      <c r="C56" s="63"/>
      <c r="D56" s="60"/>
      <c r="E56" s="60"/>
      <c r="I56" s="60"/>
      <c r="M56" s="60"/>
      <c r="N56" s="60"/>
    </row>
    <row r="57" spans="1:14" x14ac:dyDescent="0.25">
      <c r="C57" s="63"/>
      <c r="D57" s="60"/>
      <c r="E57" s="60"/>
      <c r="I57" s="60"/>
      <c r="M57" s="60"/>
      <c r="N57" s="60"/>
    </row>
    <row r="58" spans="1:14" x14ac:dyDescent="0.25">
      <c r="C58" s="63"/>
      <c r="D58" s="60"/>
      <c r="E58" s="60"/>
      <c r="G58" s="60"/>
      <c r="I58" s="62"/>
      <c r="M58" s="60"/>
      <c r="N58" s="60"/>
    </row>
    <row r="59" spans="1:14" x14ac:dyDescent="0.25">
      <c r="D59" s="225"/>
      <c r="E59" s="225"/>
      <c r="F59" s="225"/>
      <c r="G59" s="225"/>
      <c r="H59" s="225"/>
      <c r="I59" s="225"/>
      <c r="M59" s="60"/>
      <c r="N59" s="60"/>
    </row>
    <row r="60" spans="1:14" x14ac:dyDescent="0.25">
      <c r="D60" s="60"/>
      <c r="E60" s="60"/>
      <c r="I60" s="60"/>
      <c r="M60" s="60"/>
      <c r="N60" s="60"/>
    </row>
    <row r="61" spans="1:14" x14ac:dyDescent="0.25">
      <c r="D61" s="60"/>
      <c r="E61" s="60"/>
      <c r="I61" s="60"/>
      <c r="M61" s="60"/>
      <c r="N61" s="60"/>
    </row>
    <row r="62" spans="1:14" x14ac:dyDescent="0.25">
      <c r="D62" s="60"/>
      <c r="E62" s="60"/>
      <c r="I62" s="60"/>
      <c r="M62" s="60"/>
      <c r="N62" s="60"/>
    </row>
    <row r="63" spans="1:14" x14ac:dyDescent="0.25">
      <c r="D63" s="60"/>
      <c r="E63" s="60"/>
      <c r="I63" s="60"/>
      <c r="M63" s="60"/>
      <c r="N63" s="60"/>
    </row>
    <row r="65" spans="13:13" x14ac:dyDescent="0.25">
      <c r="M65" s="8"/>
    </row>
  </sheetData>
  <mergeCells count="4">
    <mergeCell ref="A50:I50"/>
    <mergeCell ref="A51:I51"/>
    <mergeCell ref="A52:I52"/>
    <mergeCell ref="D8:F8"/>
  </mergeCells>
  <pageMargins left="0.2" right="0.2" top="0.75" bottom="0.25" header="0.3" footer="0.3"/>
  <pageSetup scale="56"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5"/>
  <sheetViews>
    <sheetView workbookViewId="0">
      <pane xSplit="2" ySplit="9" topLeftCell="C10" activePane="bottomRight" state="frozen"/>
      <selection activeCell="J18" sqref="J18"/>
      <selection pane="topRight" activeCell="J18" sqref="J18"/>
      <selection pane="bottomLeft" activeCell="J18" sqref="J18"/>
      <selection pane="bottomRight" activeCell="C10" sqref="C10"/>
    </sheetView>
  </sheetViews>
  <sheetFormatPr defaultRowHeight="15" x14ac:dyDescent="0.25"/>
  <cols>
    <col min="1" max="1" width="54.5703125" style="62" customWidth="1"/>
    <col min="2" max="2" width="14.7109375" style="62" customWidth="1"/>
    <col min="3" max="3" width="15" style="62" customWidth="1"/>
    <col min="4" max="4" width="15.28515625" style="62" customWidth="1"/>
    <col min="5" max="5" width="15.85546875" style="62" customWidth="1"/>
    <col min="6" max="6" width="17.5703125" style="62" customWidth="1"/>
    <col min="7" max="8" width="13.28515625" style="62" customWidth="1"/>
    <col min="9" max="9" width="15.7109375" style="62" customWidth="1"/>
    <col min="10" max="11" width="12.5703125" style="62" bestFit="1" customWidth="1"/>
    <col min="12" max="12" width="14.42578125" style="62" customWidth="1"/>
    <col min="13" max="13" width="15" style="62" bestFit="1" customWidth="1"/>
    <col min="14" max="14" width="16.28515625" style="62" bestFit="1" customWidth="1"/>
    <col min="15" max="15" width="16.140625" style="62" customWidth="1"/>
    <col min="16" max="16" width="17.28515625" style="62" bestFit="1" customWidth="1"/>
    <col min="17" max="17" width="17.42578125" style="62" customWidth="1"/>
    <col min="18" max="18" width="15.5703125" style="62" customWidth="1"/>
    <col min="19" max="19" width="13" style="62" customWidth="1"/>
    <col min="20" max="20" width="9.140625" style="62"/>
    <col min="21" max="21" width="14.28515625" style="62" bestFit="1" customWidth="1"/>
    <col min="22" max="16384" width="9.140625" style="62"/>
  </cols>
  <sheetData>
    <row r="1" spans="1:34" x14ac:dyDescent="0.25">
      <c r="A1" s="3" t="str">
        <f>+PPC!A1</f>
        <v>Kansas City Power &amp; Light Company - DSIM Rider Update Filed 05/31/2019</v>
      </c>
      <c r="B1" s="3"/>
      <c r="C1" s="3"/>
    </row>
    <row r="2" spans="1:34" x14ac:dyDescent="0.25">
      <c r="D2" s="3" t="s">
        <v>81</v>
      </c>
    </row>
    <row r="3" spans="1:34" ht="30" x14ac:dyDescent="0.25">
      <c r="D3" s="64" t="s">
        <v>62</v>
      </c>
      <c r="E3" s="64" t="s">
        <v>61</v>
      </c>
      <c r="F3" s="86" t="s">
        <v>2</v>
      </c>
      <c r="G3" s="64" t="s">
        <v>3</v>
      </c>
      <c r="H3" s="86" t="s">
        <v>71</v>
      </c>
      <c r="I3" s="64" t="s">
        <v>11</v>
      </c>
      <c r="J3" s="64" t="s">
        <v>4</v>
      </c>
    </row>
    <row r="4" spans="1:34" x14ac:dyDescent="0.25">
      <c r="A4" s="62" t="s">
        <v>29</v>
      </c>
      <c r="D4" s="24">
        <f>SUM(C25:L25)</f>
        <v>16557.350139999922</v>
      </c>
      <c r="E4" s="161">
        <f>SUM(C21:L21)</f>
        <v>1342931546.1974001</v>
      </c>
      <c r="F4" s="24">
        <f>SUM(C17:K17)</f>
        <v>2023347.75</v>
      </c>
      <c r="G4" s="24">
        <f>F4-D4</f>
        <v>2006790.39986</v>
      </c>
      <c r="H4" s="24">
        <f>+B35</f>
        <v>-1219553.25</v>
      </c>
      <c r="I4" s="24">
        <f>SUM(C40:K40)</f>
        <v>-8967.3799999999992</v>
      </c>
      <c r="J4" s="36">
        <f>SUM(G4:I4)</f>
        <v>778269.76986</v>
      </c>
      <c r="K4" s="63">
        <f>+J4-L35</f>
        <v>0</v>
      </c>
    </row>
    <row r="5" spans="1:34" ht="15.75" thickBot="1" x14ac:dyDescent="0.3">
      <c r="A5" s="62" t="s">
        <v>30</v>
      </c>
      <c r="D5" s="24">
        <f>SUM(C26:L26)</f>
        <v>4662386.6432800004</v>
      </c>
      <c r="E5" s="161">
        <f>SUM(C22:L22)</f>
        <v>2168999728.4626999</v>
      </c>
      <c r="F5" s="24">
        <f>SUM(C18:K18)</f>
        <v>4582766.7</v>
      </c>
      <c r="G5" s="24">
        <f>F5-D5</f>
        <v>-79619.94328000024</v>
      </c>
      <c r="H5" s="24">
        <f>+B36</f>
        <v>-36817.94</v>
      </c>
      <c r="I5" s="24">
        <f>SUM(C41:K41)</f>
        <v>-838.15000000000055</v>
      </c>
      <c r="J5" s="36">
        <f>SUM(G5:I5)</f>
        <v>-117276.03328000024</v>
      </c>
      <c r="K5" s="63">
        <f>+J5-L36</f>
        <v>-2.6193447411060333E-10</v>
      </c>
    </row>
    <row r="6" spans="1:34" ht="16.5" thickTop="1" thickBot="1" x14ac:dyDescent="0.3">
      <c r="D6" s="40">
        <f t="shared" ref="D6" si="0">SUM(D4:D5)</f>
        <v>4678943.9934200002</v>
      </c>
      <c r="E6" s="162">
        <f t="shared" ref="E6:H6" si="1">SUM(E4:E5)</f>
        <v>3511931274.6601</v>
      </c>
      <c r="F6" s="40">
        <f t="shared" si="1"/>
        <v>6606114.4500000002</v>
      </c>
      <c r="G6" s="40">
        <f t="shared" si="1"/>
        <v>1927170.4565799998</v>
      </c>
      <c r="H6" s="40">
        <f t="shared" si="1"/>
        <v>-1256371.19</v>
      </c>
      <c r="I6" s="94">
        <f>SUM(I4:I5)</f>
        <v>-9805.5299999999988</v>
      </c>
      <c r="J6" s="40">
        <f>SUM(J4:J5)</f>
        <v>660993.73657999979</v>
      </c>
    </row>
    <row r="7" spans="1:34" ht="16.5" thickTop="1" thickBot="1" x14ac:dyDescent="0.3"/>
    <row r="8" spans="1:34" ht="90.75" thickBot="1" x14ac:dyDescent="0.3">
      <c r="B8" s="141" t="str">
        <f>+'PCR Cycle 1'!B8</f>
        <v>Cumulative Over/Under Carryover From 12/01/2018 Filing</v>
      </c>
      <c r="C8" s="179" t="str">
        <f>+'PCR Cycle 1'!C8</f>
        <v>Reverse November-18 - January-19  Forecast From 12/01/2018 Filing</v>
      </c>
      <c r="D8" s="260" t="s">
        <v>39</v>
      </c>
      <c r="E8" s="260"/>
      <c r="F8" s="261"/>
      <c r="G8" s="255" t="s">
        <v>39</v>
      </c>
      <c r="H8" s="256"/>
      <c r="I8" s="257"/>
      <c r="J8" s="262" t="s">
        <v>9</v>
      </c>
      <c r="K8" s="263"/>
      <c r="L8" s="264"/>
    </row>
    <row r="9" spans="1:34" x14ac:dyDescent="0.25">
      <c r="A9" s="62" t="s">
        <v>38</v>
      </c>
      <c r="C9" s="14"/>
      <c r="D9" s="20">
        <f>+'PCR Cycle 1'!D9</f>
        <v>43434</v>
      </c>
      <c r="E9" s="20">
        <f t="shared" ref="E9:L9" si="2">EOMONTH(D9,1)</f>
        <v>43465</v>
      </c>
      <c r="F9" s="20">
        <f t="shared" si="2"/>
        <v>43496</v>
      </c>
      <c r="G9" s="14">
        <f t="shared" si="2"/>
        <v>43524</v>
      </c>
      <c r="H9" s="20">
        <f t="shared" si="2"/>
        <v>43555</v>
      </c>
      <c r="I9" s="15">
        <f t="shared" si="2"/>
        <v>43585</v>
      </c>
      <c r="J9" s="20">
        <f t="shared" si="2"/>
        <v>43616</v>
      </c>
      <c r="K9" s="20">
        <f t="shared" si="2"/>
        <v>43646</v>
      </c>
      <c r="L9" s="118">
        <f t="shared" si="2"/>
        <v>43677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2" t="s">
        <v>29</v>
      </c>
      <c r="C10" s="120">
        <v>-760202.14</v>
      </c>
      <c r="D10" s="132">
        <f>ROUND([6]Pivot!C29,2)</f>
        <v>499854.07</v>
      </c>
      <c r="E10" s="132">
        <f>ROUND([6]Pivot!D29,2)</f>
        <v>185909.81</v>
      </c>
      <c r="F10" s="133">
        <f>ROUND([6]Pivot!E29,2)</f>
        <v>210608.81</v>
      </c>
      <c r="G10" s="16">
        <f>ROUND([6]Pivot!F29,2)</f>
        <v>129926.72</v>
      </c>
      <c r="H10" s="71">
        <f>ROUND([6]Pivot!G29,2)</f>
        <v>183360.94</v>
      </c>
      <c r="I10" s="195">
        <f>ROUND([6]Pivot!H29,2)</f>
        <v>208537.65</v>
      </c>
      <c r="J10" s="208">
        <f>ROUND('[2]Program Costs - KCP&amp;L'!AZ153,2)</f>
        <v>432466.09</v>
      </c>
      <c r="K10" s="164">
        <f>ROUND('[2]Program Costs - KCP&amp;L'!BA153,2)</f>
        <v>516719.78</v>
      </c>
      <c r="L10" s="95"/>
    </row>
    <row r="11" spans="1:34" x14ac:dyDescent="0.25">
      <c r="A11" s="62" t="s">
        <v>30</v>
      </c>
      <c r="C11" s="120">
        <v>-2292062.0099999998</v>
      </c>
      <c r="D11" s="132">
        <f>ROUND([6]Pivot!C30,2)</f>
        <v>556073.39</v>
      </c>
      <c r="E11" s="132">
        <f>ROUND([6]Pivot!D30,2)</f>
        <v>586190.57999999996</v>
      </c>
      <c r="F11" s="133">
        <f>ROUND([6]Pivot!E30,2)</f>
        <v>738057.85</v>
      </c>
      <c r="G11" s="16">
        <f>ROUND([6]Pivot!F30,2)</f>
        <v>483505.17</v>
      </c>
      <c r="H11" s="71">
        <f>ROUND([6]Pivot!G30,2)</f>
        <v>1933354.51</v>
      </c>
      <c r="I11" s="195">
        <f>ROUND([6]Pivot!H30,2)</f>
        <v>442837.54</v>
      </c>
      <c r="J11" s="208">
        <f>ROUND('[2]Program Costs - KCP&amp;L'!AZ154,2)</f>
        <v>839601.29</v>
      </c>
      <c r="K11" s="164">
        <f>ROUND('[2]Program Costs - KCP&amp;L'!BA154,2)</f>
        <v>879042.36</v>
      </c>
      <c r="L11" s="95"/>
      <c r="M11" s="79" t="s">
        <v>32</v>
      </c>
    </row>
    <row r="12" spans="1:34" x14ac:dyDescent="0.25">
      <c r="A12" s="62" t="s">
        <v>0</v>
      </c>
      <c r="C12" s="120">
        <v>-265230.58</v>
      </c>
      <c r="D12" s="132">
        <f>ROUND([6]Pivot!C31,2)</f>
        <v>139395.91</v>
      </c>
      <c r="E12" s="132">
        <f>ROUND([6]Pivot!D31,2)</f>
        <v>127547.9</v>
      </c>
      <c r="F12" s="133">
        <f>ROUND([6]Pivot!E31,2)</f>
        <v>116446.34</v>
      </c>
      <c r="G12" s="16">
        <f>ROUND([6]Pivot!F31,2)</f>
        <v>141044.09</v>
      </c>
      <c r="H12" s="71">
        <f>ROUND([6]Pivot!G31,2)</f>
        <v>157699.82999999999</v>
      </c>
      <c r="I12" s="195">
        <f>ROUND([6]Pivot!H31,2)</f>
        <v>48846.96</v>
      </c>
      <c r="J12" s="208">
        <f>ROUND('[2]Program Costs - KCP&amp;L'!AZ155,2)</f>
        <v>76860.490000000005</v>
      </c>
      <c r="K12" s="164">
        <f>ROUND('[2]Program Costs - KCP&amp;L'!BA155,2)</f>
        <v>106594.02</v>
      </c>
      <c r="L12" s="95"/>
      <c r="M12" s="89">
        <v>0.5</v>
      </c>
    </row>
    <row r="13" spans="1:34" x14ac:dyDescent="0.25">
      <c r="A13" s="62" t="s">
        <v>1</v>
      </c>
      <c r="C13" s="120">
        <v>0</v>
      </c>
      <c r="D13" s="132">
        <f>ROUND([6]Pivot!C32,2)</f>
        <v>21230.42</v>
      </c>
      <c r="E13" s="132">
        <f>ROUND([6]Pivot!D32,2)</f>
        <v>73580.27</v>
      </c>
      <c r="F13" s="133">
        <f>ROUND([6]Pivot!E32,2)</f>
        <v>3047.46</v>
      </c>
      <c r="G13" s="16">
        <f>ROUND([6]Pivot!F32,2)</f>
        <v>40548.870000000003</v>
      </c>
      <c r="H13" s="71">
        <f>ROUND([6]Pivot!G32,2)</f>
        <v>31866.61</v>
      </c>
      <c r="I13" s="195">
        <f>ROUND([6]Pivot!H32,2)</f>
        <v>12853.45</v>
      </c>
      <c r="J13" s="208">
        <f>ROUND('[2]Program Costs - KCP&amp;L'!AZ156,2)</f>
        <v>0</v>
      </c>
      <c r="K13" s="164">
        <f>ROUND('[2]Program Costs - KCP&amp;L'!BA156,2)</f>
        <v>0</v>
      </c>
      <c r="L13" s="95"/>
      <c r="M13" s="79"/>
    </row>
    <row r="14" spans="1:34" x14ac:dyDescent="0.25">
      <c r="C14" s="121"/>
      <c r="D14" s="44"/>
      <c r="E14" s="44"/>
      <c r="F14" s="44"/>
      <c r="G14" s="41"/>
      <c r="H14" s="44"/>
      <c r="I14" s="11"/>
      <c r="J14" s="44"/>
      <c r="K14" s="44"/>
      <c r="L14" s="42"/>
    </row>
    <row r="15" spans="1:34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4" x14ac:dyDescent="0.25">
      <c r="A16" s="62" t="s">
        <v>41</v>
      </c>
      <c r="C16" s="122"/>
      <c r="D16" s="44"/>
      <c r="E16" s="44"/>
      <c r="F16" s="44"/>
      <c r="G16" s="41"/>
      <c r="H16" s="44"/>
      <c r="I16" s="196"/>
      <c r="J16" s="17"/>
      <c r="K16" s="17"/>
      <c r="L16" s="11"/>
    </row>
    <row r="17" spans="1:14" x14ac:dyDescent="0.25">
      <c r="A17" s="62" t="s">
        <v>29</v>
      </c>
      <c r="C17" s="54">
        <f t="shared" ref="C17:K17" si="3">C10+($M$12*C$12)+($M$12*C$13)</f>
        <v>-892817.43</v>
      </c>
      <c r="D17" s="55">
        <f t="shared" si="3"/>
        <v>580167.23499999999</v>
      </c>
      <c r="E17" s="55">
        <f t="shared" si="3"/>
        <v>286473.89500000002</v>
      </c>
      <c r="F17" s="131">
        <f t="shared" si="3"/>
        <v>270355.70999999996</v>
      </c>
      <c r="G17" s="54">
        <f t="shared" si="3"/>
        <v>220723.20000000001</v>
      </c>
      <c r="H17" s="55">
        <f t="shared" si="3"/>
        <v>278144.15999999997</v>
      </c>
      <c r="I17" s="77">
        <f t="shared" si="3"/>
        <v>239387.85500000001</v>
      </c>
      <c r="J17" s="146">
        <f t="shared" si="3"/>
        <v>470896.33500000002</v>
      </c>
      <c r="K17" s="55">
        <f t="shared" si="3"/>
        <v>570016.79</v>
      </c>
      <c r="L17" s="77">
        <f t="shared" ref="L17" si="4">L10+($M$12*L$12)+($M$12*L$13)+L$14*(1-$M$14)</f>
        <v>0</v>
      </c>
    </row>
    <row r="18" spans="1:14" x14ac:dyDescent="0.25">
      <c r="A18" s="62" t="s">
        <v>30</v>
      </c>
      <c r="C18" s="54">
        <f t="shared" ref="C18:K18" si="5">(C$11+$M$12*C$12)+C$13*$M$12</f>
        <v>-2424677.2999999998</v>
      </c>
      <c r="D18" s="55">
        <f t="shared" si="5"/>
        <v>636386.55499999993</v>
      </c>
      <c r="E18" s="55">
        <f t="shared" si="5"/>
        <v>686754.66499999992</v>
      </c>
      <c r="F18" s="131">
        <f t="shared" si="5"/>
        <v>797804.75</v>
      </c>
      <c r="G18" s="54">
        <f t="shared" si="5"/>
        <v>574301.65</v>
      </c>
      <c r="H18" s="55">
        <f t="shared" si="5"/>
        <v>2028137.73</v>
      </c>
      <c r="I18" s="77">
        <f t="shared" si="5"/>
        <v>473687.74499999994</v>
      </c>
      <c r="J18" s="146">
        <f t="shared" si="5"/>
        <v>878031.53500000003</v>
      </c>
      <c r="K18" s="55">
        <f t="shared" si="5"/>
        <v>932339.37</v>
      </c>
      <c r="L18" s="77">
        <f t="shared" ref="L18" si="6">(L$11+$M$12*L$12+L$14*$M$14)+L$13*$M$12</f>
        <v>0</v>
      </c>
    </row>
    <row r="19" spans="1:14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4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4" x14ac:dyDescent="0.25">
      <c r="A21" s="62" t="s">
        <v>29</v>
      </c>
      <c r="C21" s="125">
        <v>-665424790</v>
      </c>
      <c r="D21" s="134">
        <f>+'[3]November 2018 Combined'!F61</f>
        <v>165013792.27160001</v>
      </c>
      <c r="E21" s="134">
        <f>+'[3]December 2018 Combined'!F61</f>
        <v>229938340.5652</v>
      </c>
      <c r="F21" s="134">
        <f>+'[4]January 2019 Combined'!F61</f>
        <v>334829343.77099997</v>
      </c>
      <c r="G21" s="217">
        <f>+'[4]February 2019 Combined'!F61</f>
        <v>260599630.74290001</v>
      </c>
      <c r="H21" s="220">
        <f>+'[4]March 2019 Combined'!F61</f>
        <v>244314540.61629993</v>
      </c>
      <c r="I21" s="214">
        <f>+'[4]April 2019 Combined'!F61</f>
        <v>154975325.23040009</v>
      </c>
      <c r="J21" s="209">
        <f>+'PCR Cycle 1'!J21</f>
        <v>147540153</v>
      </c>
      <c r="K21" s="165">
        <f>+'PCR Cycle 1'!K21</f>
        <v>193046185</v>
      </c>
      <c r="L21" s="96">
        <f>+'PCR Cycle 1'!L21</f>
        <v>278099025</v>
      </c>
    </row>
    <row r="22" spans="1:14" x14ac:dyDescent="0.25">
      <c r="A22" s="62" t="s">
        <v>30</v>
      </c>
      <c r="C22" s="125">
        <v>-1057722596</v>
      </c>
      <c r="D22" s="134">
        <f>+'[3]November 2018 Combined'!F62</f>
        <v>336003203.11070007</v>
      </c>
      <c r="E22" s="134">
        <f>+'[3]December 2018 Combined'!F62</f>
        <v>382244800.77529997</v>
      </c>
      <c r="F22" s="134">
        <f>+'[4]January 2019 Combined'!F62</f>
        <v>278215554.43029994</v>
      </c>
      <c r="G22" s="217">
        <f>+'[4]February 2019 Combined'!F62</f>
        <v>413827384.73039997</v>
      </c>
      <c r="H22" s="220">
        <f>+'[4]March 2019 Combined'!F62</f>
        <v>351210091.47879994</v>
      </c>
      <c r="I22" s="214">
        <f>+'[4]April 2019 Combined'!F62</f>
        <v>331238433.93720001</v>
      </c>
      <c r="J22" s="209">
        <f>+'PCR Cycle 1'!J22</f>
        <v>342311241</v>
      </c>
      <c r="K22" s="165">
        <f>+'PCR Cycle 1'!K22</f>
        <v>375891474</v>
      </c>
      <c r="L22" s="96">
        <f>+'PCR Cycle 1'!L22</f>
        <v>415780141</v>
      </c>
    </row>
    <row r="23" spans="1:14" x14ac:dyDescent="0.25">
      <c r="C23" s="122"/>
      <c r="D23" s="44"/>
      <c r="E23" s="44"/>
      <c r="F23" s="44"/>
      <c r="G23" s="41"/>
      <c r="H23" s="44"/>
      <c r="I23" s="11"/>
      <c r="J23" s="17"/>
      <c r="K23" s="17"/>
      <c r="L23" s="11"/>
    </row>
    <row r="24" spans="1:14" x14ac:dyDescent="0.25">
      <c r="A24" s="62" t="s">
        <v>40</v>
      </c>
      <c r="C24" s="122"/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4" x14ac:dyDescent="0.25">
      <c r="A25" s="62" t="s">
        <v>29</v>
      </c>
      <c r="C25" s="120">
        <v>-1483897.28</v>
      </c>
      <c r="D25" s="132">
        <f>ROUND('[3]November 2018 Combined'!F34+'[3]November 2018 Combined'!F39,2)</f>
        <v>368034.93</v>
      </c>
      <c r="E25" s="132">
        <f>ROUND('[3]December 2018 Combined'!F34+'[3]December 2018 Combined'!F39,2)</f>
        <v>512738.88</v>
      </c>
      <c r="F25" s="134">
        <f>ROUND('[4]January 2019 Combined'!F34+'[4]January 2019 Combined'!F39,2)</f>
        <v>503251.27</v>
      </c>
      <c r="G25" s="218">
        <f>ROUND('[4]February 2019 Combined'!F34+'[4]February 2019 Combined'!F39,2)</f>
        <v>337135.27</v>
      </c>
      <c r="H25" s="71">
        <f>ROUND('[4]March 2019 Combined'!F34+'[4]March 2019 Combined'!F39,2)</f>
        <v>-50966.43</v>
      </c>
      <c r="I25" s="211">
        <f>ROUND('[4]April 2019 Combined'!F34+'[4]April 2019 Combined'!F39,2)</f>
        <v>-33628.51</v>
      </c>
      <c r="J25" s="146">
        <f t="shared" ref="J25:L26" si="7">J21*$M25</f>
        <v>-32458.833660000004</v>
      </c>
      <c r="K25" s="55">
        <f t="shared" si="7"/>
        <v>-42470.160700000008</v>
      </c>
      <c r="L25" s="77">
        <f t="shared" si="7"/>
        <v>-61181.785500000013</v>
      </c>
      <c r="M25" s="88">
        <v>-2.2000000000000003E-4</v>
      </c>
    </row>
    <row r="26" spans="1:14" x14ac:dyDescent="0.25">
      <c r="A26" s="62" t="str">
        <f>A22</f>
        <v>Non-Residential</v>
      </c>
      <c r="C26" s="120">
        <v>-1967364.03</v>
      </c>
      <c r="D26" s="132">
        <f>ROUND('[3]November 2018 Combined'!F35+'[3]November 2018 Combined'!F40,2)</f>
        <v>622811.25</v>
      </c>
      <c r="E26" s="132">
        <f>ROUND('[3]December 2018 Combined'!F35+'[3]December 2018 Combined'!F40,2)</f>
        <v>726230.92</v>
      </c>
      <c r="F26" s="134">
        <f>ROUND('[4]January 2019 Combined'!F35+'[4]January 2019 Combined'!F40,2)</f>
        <v>681572.64</v>
      </c>
      <c r="G26" s="218">
        <f>ROUND('[4]February 2019 Combined'!F35+'[4]February 2019 Combined'!F40,2)</f>
        <v>771856.27</v>
      </c>
      <c r="H26" s="71">
        <f>ROUND('[4]March 2019 Combined'!F35+'[4]March 2019 Combined'!F40,2)</f>
        <v>747948.09</v>
      </c>
      <c r="I26" s="211">
        <f>ROUND('[4]April 2019 Combined'!F35+'[4]April 2019 Combined'!F40,2)</f>
        <v>663948.02</v>
      </c>
      <c r="J26" s="146">
        <f t="shared" si="7"/>
        <v>729122.94333000004</v>
      </c>
      <c r="K26" s="55">
        <f t="shared" si="7"/>
        <v>800648.83961999998</v>
      </c>
      <c r="L26" s="77">
        <f t="shared" si="7"/>
        <v>885611.70033000002</v>
      </c>
      <c r="M26" s="88">
        <v>2.1299999999999999E-3</v>
      </c>
    </row>
    <row r="27" spans="1:14" x14ac:dyDescent="0.25">
      <c r="C27" s="83"/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4" ht="15.75" thickBot="1" x14ac:dyDescent="0.3">
      <c r="A28" s="62" t="s">
        <v>16</v>
      </c>
      <c r="C28" s="126">
        <v>2351.09</v>
      </c>
      <c r="D28" s="135">
        <v>-2995.16</v>
      </c>
      <c r="E28" s="135">
        <v>-3180.6899999999996</v>
      </c>
      <c r="F28" s="136">
        <v>-3837</v>
      </c>
      <c r="G28" s="39">
        <v>-4506.1100000000006</v>
      </c>
      <c r="H28" s="145">
        <v>-2495.64</v>
      </c>
      <c r="I28" s="212">
        <v>132.8599999999999</v>
      </c>
      <c r="J28" s="210">
        <v>1275.5100000000002</v>
      </c>
      <c r="K28" s="166">
        <v>3449.59</v>
      </c>
      <c r="L28" s="100"/>
    </row>
    <row r="29" spans="1:14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s="62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4" x14ac:dyDescent="0.25">
      <c r="A31" s="62" t="s">
        <v>29</v>
      </c>
      <c r="C31" s="54">
        <f t="shared" ref="C31:L32" si="8">C17-C25</f>
        <v>591079.85</v>
      </c>
      <c r="D31" s="55">
        <f t="shared" si="8"/>
        <v>212132.30499999999</v>
      </c>
      <c r="E31" s="55">
        <f t="shared" si="8"/>
        <v>-226264.98499999999</v>
      </c>
      <c r="F31" s="131">
        <f t="shared" si="8"/>
        <v>-232895.56000000006</v>
      </c>
      <c r="G31" s="54">
        <f t="shared" si="8"/>
        <v>-116412.07</v>
      </c>
      <c r="H31" s="55">
        <f t="shared" si="8"/>
        <v>329110.58999999997</v>
      </c>
      <c r="I31" s="77">
        <f t="shared" si="8"/>
        <v>273016.36499999999</v>
      </c>
      <c r="J31" s="146">
        <f t="shared" si="8"/>
        <v>503355.16866000002</v>
      </c>
      <c r="K31" s="55">
        <f t="shared" si="8"/>
        <v>612486.95070000004</v>
      </c>
      <c r="L31" s="65">
        <f t="shared" si="8"/>
        <v>61181.785500000013</v>
      </c>
    </row>
    <row r="32" spans="1:14" x14ac:dyDescent="0.25">
      <c r="A32" s="62" t="s">
        <v>30</v>
      </c>
      <c r="C32" s="54">
        <f t="shared" si="8"/>
        <v>-457313.26999999979</v>
      </c>
      <c r="D32" s="55">
        <f t="shared" si="8"/>
        <v>13575.304999999935</v>
      </c>
      <c r="E32" s="55">
        <f t="shared" si="8"/>
        <v>-39476.255000000121</v>
      </c>
      <c r="F32" s="131">
        <f t="shared" si="8"/>
        <v>116232.10999999999</v>
      </c>
      <c r="G32" s="54">
        <f t="shared" si="8"/>
        <v>-197554.62</v>
      </c>
      <c r="H32" s="55">
        <f t="shared" si="8"/>
        <v>1280189.6400000001</v>
      </c>
      <c r="I32" s="77">
        <f t="shared" si="8"/>
        <v>-190260.27500000008</v>
      </c>
      <c r="J32" s="146">
        <f t="shared" si="8"/>
        <v>148908.59166999999</v>
      </c>
      <c r="K32" s="55">
        <f t="shared" si="8"/>
        <v>131690.53038000001</v>
      </c>
      <c r="L32" s="65">
        <f t="shared" si="8"/>
        <v>-885611.70033000002</v>
      </c>
    </row>
    <row r="33" spans="1:13" x14ac:dyDescent="0.25"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-1219553.25</v>
      </c>
      <c r="C35" s="55">
        <f>B35+C31+B40</f>
        <v>-628473.4</v>
      </c>
      <c r="D35" s="55">
        <f t="shared" ref="D35:L35" si="9">C35+D31+C40</f>
        <v>-413390.10500000004</v>
      </c>
      <c r="E35" s="55">
        <f t="shared" si="9"/>
        <v>-641199.52000000014</v>
      </c>
      <c r="F35" s="131">
        <f t="shared" si="9"/>
        <v>-875725.12000000023</v>
      </c>
      <c r="G35" s="54">
        <f t="shared" si="9"/>
        <v>-994515.83000000019</v>
      </c>
      <c r="H35" s="55">
        <f t="shared" si="9"/>
        <v>-668327.17000000027</v>
      </c>
      <c r="I35" s="77">
        <f t="shared" si="9"/>
        <v>-397906.46500000026</v>
      </c>
      <c r="J35" s="146">
        <f t="shared" si="9"/>
        <v>103787.71365999976</v>
      </c>
      <c r="K35" s="55">
        <f t="shared" si="9"/>
        <v>715815.0143599998</v>
      </c>
      <c r="L35" s="65">
        <f t="shared" si="9"/>
        <v>778269.76985999977</v>
      </c>
    </row>
    <row r="36" spans="1:13" ht="15.75" thickBot="1" x14ac:dyDescent="0.3">
      <c r="A36" s="62" t="s">
        <v>30</v>
      </c>
      <c r="B36" s="140">
        <v>-36817.94</v>
      </c>
      <c r="C36" s="55">
        <f>B36+C32+B41</f>
        <v>-494131.20999999979</v>
      </c>
      <c r="D36" s="55">
        <f t="shared" ref="D36:L36" si="10">C36+D32+C41</f>
        <v>-481155.80499999988</v>
      </c>
      <c r="E36" s="55">
        <f t="shared" si="10"/>
        <v>-522082.79</v>
      </c>
      <c r="F36" s="131">
        <f t="shared" si="10"/>
        <v>-407401.32</v>
      </c>
      <c r="G36" s="54">
        <f t="shared" si="10"/>
        <v>-606414.29999999993</v>
      </c>
      <c r="H36" s="55">
        <f t="shared" si="10"/>
        <v>672191.16000000015</v>
      </c>
      <c r="I36" s="77">
        <f t="shared" si="10"/>
        <v>482030.9150000001</v>
      </c>
      <c r="J36" s="146">
        <f t="shared" si="10"/>
        <v>632733.35667000001</v>
      </c>
      <c r="K36" s="55">
        <f t="shared" si="10"/>
        <v>766159.04705000005</v>
      </c>
      <c r="L36" s="65">
        <f t="shared" si="10"/>
        <v>-117276.03327999997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x14ac:dyDescent="0.25">
      <c r="A38" s="53" t="s">
        <v>65</v>
      </c>
      <c r="B38" s="53"/>
      <c r="C38" s="127"/>
      <c r="D38" s="102">
        <f>+'PCR Cycle 1'!D38</f>
        <v>2.9731599999999999E-3</v>
      </c>
      <c r="E38" s="102">
        <f>+'PCR Cycle 1'!E38</f>
        <v>3.0868100000000002E-3</v>
      </c>
      <c r="F38" s="102">
        <f>+'PCR Cycle 1'!F38</f>
        <v>3.13277E-3</v>
      </c>
      <c r="G38" s="103">
        <f>+'PCR Cycle 1'!G38</f>
        <v>3.1206900000000002E-3</v>
      </c>
      <c r="H38" s="102">
        <f>+'PCR Cycle 1'!H38</f>
        <v>3.11648E-3</v>
      </c>
      <c r="I38" s="115">
        <f>+'PCR Cycle 1'!I38</f>
        <v>3.1080600000000002E-3</v>
      </c>
      <c r="J38" s="102">
        <f>+'PCR Cycle 1'!J38</f>
        <v>3.1080600000000002E-3</v>
      </c>
      <c r="K38" s="102">
        <f>+'PCR Cycle 1'!K38</f>
        <v>3.1080600000000002E-3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v>2950.99</v>
      </c>
      <c r="D40" s="55">
        <f t="shared" ref="D40" si="11">ROUND((C35+C40+D31/2)*D$38,2)</f>
        <v>-1544.43</v>
      </c>
      <c r="E40" s="55">
        <f t="shared" ref="E40:E41" si="12">ROUND((D35+D40+E31/2)*E$38,2)</f>
        <v>-1630.04</v>
      </c>
      <c r="F40" s="131">
        <f t="shared" ref="F40:F41" si="13">ROUND((E35+E40+F31/2)*F$38,2)</f>
        <v>-2378.64</v>
      </c>
      <c r="G40" s="54">
        <f t="shared" ref="G40:G41" si="14">ROUND((F35+F40+G31/2)*G$38,2)</f>
        <v>-2921.93</v>
      </c>
      <c r="H40" s="146">
        <f t="shared" ref="H40:I41" si="15">ROUND((G35+G40+H31/2)*H$38,2)</f>
        <v>-2595.66</v>
      </c>
      <c r="I40" s="77">
        <f t="shared" si="15"/>
        <v>-1660.99</v>
      </c>
      <c r="J40" s="146">
        <f t="shared" ref="J40:J41" si="16">ROUND((I35+I40+J31/2)*J$38,2)</f>
        <v>-459.65</v>
      </c>
      <c r="K40" s="146">
        <f t="shared" ref="K40:K41" si="17">ROUND((J35+J40+K31/2)*K$38,2)</f>
        <v>1272.97</v>
      </c>
      <c r="L40" s="65"/>
    </row>
    <row r="41" spans="1:13" ht="15.75" thickBot="1" x14ac:dyDescent="0.3">
      <c r="A41" s="62" t="s">
        <v>30</v>
      </c>
      <c r="C41" s="137">
        <v>-599.90000000000009</v>
      </c>
      <c r="D41" s="55">
        <f>ROUND((C36+C41+D32/2)*D$38,2)</f>
        <v>-1450.73</v>
      </c>
      <c r="E41" s="55">
        <f t="shared" si="12"/>
        <v>-1550.64</v>
      </c>
      <c r="F41" s="131">
        <f t="shared" si="13"/>
        <v>-1458.36</v>
      </c>
      <c r="G41" s="54">
        <f t="shared" si="14"/>
        <v>-1584.18</v>
      </c>
      <c r="H41" s="146">
        <f t="shared" si="15"/>
        <v>100.03</v>
      </c>
      <c r="I41" s="77">
        <f t="shared" si="15"/>
        <v>1793.85</v>
      </c>
      <c r="J41" s="146">
        <f t="shared" si="16"/>
        <v>1735.16</v>
      </c>
      <c r="K41" s="146">
        <f t="shared" si="17"/>
        <v>2176.62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L42" si="18">SUM(D40:D41)+SUM(D35:D36)-D45</f>
        <v>0</v>
      </c>
      <c r="E42" s="46">
        <f t="shared" si="18"/>
        <v>0</v>
      </c>
      <c r="F42" s="66">
        <f t="shared" si="18"/>
        <v>0</v>
      </c>
      <c r="G42" s="147">
        <f t="shared" si="18"/>
        <v>0</v>
      </c>
      <c r="H42" s="46">
        <f t="shared" si="18"/>
        <v>-2.2782842279411852E-10</v>
      </c>
      <c r="I42" s="78">
        <f t="shared" si="18"/>
        <v>-1.1641532182693481E-10</v>
      </c>
      <c r="J42" s="194">
        <f t="shared" si="18"/>
        <v>0</v>
      </c>
      <c r="K42" s="46">
        <f t="shared" si="18"/>
        <v>0</v>
      </c>
      <c r="L42" s="119">
        <f t="shared" si="18"/>
        <v>0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19">SUM(D40:D41)-D28</f>
        <v>0</v>
      </c>
      <c r="E43" s="46">
        <f t="shared" si="19"/>
        <v>9.999999999308784E-3</v>
      </c>
      <c r="F43" s="66">
        <f t="shared" ref="F43:H43" si="20">SUM(F40:F41)-F28</f>
        <v>0</v>
      </c>
      <c r="G43" s="67">
        <f t="shared" si="20"/>
        <v>0</v>
      </c>
      <c r="H43" s="46">
        <f t="shared" si="20"/>
        <v>1.0000000000218279E-2</v>
      </c>
      <c r="I43" s="78">
        <f t="shared" si="19"/>
        <v>0</v>
      </c>
      <c r="J43" s="194">
        <f t="shared" ref="J43:L43" si="21">SUM(J40:J41)-J28</f>
        <v>0</v>
      </c>
      <c r="K43" s="46">
        <f t="shared" si="21"/>
        <v>0</v>
      </c>
      <c r="L43" s="119">
        <f t="shared" si="21"/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s="62" t="s">
        <v>42</v>
      </c>
      <c r="B45" s="142">
        <f>+B35+B36</f>
        <v>-1256371.19</v>
      </c>
      <c r="C45" s="54">
        <f t="shared" ref="C45:I45" si="22">(SUM(C10:C14)-SUM(C25:C26))+SUM(C40:C41)+B45</f>
        <v>-1120253.5199999998</v>
      </c>
      <c r="D45" s="55">
        <f t="shared" si="22"/>
        <v>-897541.07</v>
      </c>
      <c r="E45" s="55">
        <f t="shared" si="22"/>
        <v>-1166462.99</v>
      </c>
      <c r="F45" s="131">
        <f t="shared" si="22"/>
        <v>-1286963.4400000002</v>
      </c>
      <c r="G45" s="54">
        <f t="shared" si="22"/>
        <v>-1605436.2400000002</v>
      </c>
      <c r="H45" s="55">
        <f t="shared" si="22"/>
        <v>1368.3600000001024</v>
      </c>
      <c r="I45" s="77">
        <f t="shared" si="22"/>
        <v>84257.309999999954</v>
      </c>
      <c r="J45" s="146">
        <f t="shared" ref="J45" si="23">(SUM(J10:J14)-SUM(J25:J26))+SUM(J40:J41)+I45</f>
        <v>737796.58033000003</v>
      </c>
      <c r="K45" s="55">
        <f t="shared" ref="K45:L45" si="24">(SUM(K10:K14)-SUM(K25:K26))+SUM(K40:K41)+J45</f>
        <v>1485423.6514100002</v>
      </c>
      <c r="L45" s="77">
        <f t="shared" si="24"/>
        <v>660993.73658000014</v>
      </c>
    </row>
    <row r="46" spans="1:13" x14ac:dyDescent="0.25">
      <c r="A46" s="62" t="s">
        <v>14</v>
      </c>
      <c r="C46" s="143"/>
      <c r="D46" s="72"/>
      <c r="E46" s="72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2" x14ac:dyDescent="0.25">
      <c r="A49" s="85" t="s">
        <v>13</v>
      </c>
      <c r="B49" s="85"/>
      <c r="C49" s="85"/>
    </row>
    <row r="50" spans="1:12" ht="42.75" customHeight="1" x14ac:dyDescent="0.25">
      <c r="A50" s="259" t="s">
        <v>141</v>
      </c>
      <c r="B50" s="259"/>
      <c r="C50" s="259"/>
      <c r="D50" s="259"/>
      <c r="E50" s="259"/>
      <c r="F50" s="259"/>
      <c r="G50" s="259"/>
      <c r="H50" s="259"/>
      <c r="I50" s="259"/>
      <c r="J50" s="170"/>
      <c r="K50" s="170"/>
      <c r="L50" s="170"/>
    </row>
    <row r="51" spans="1:12" ht="33.75" customHeight="1" x14ac:dyDescent="0.25">
      <c r="A51" s="259" t="s">
        <v>140</v>
      </c>
      <c r="B51" s="259"/>
      <c r="C51" s="259"/>
      <c r="D51" s="259"/>
      <c r="E51" s="259"/>
      <c r="F51" s="259"/>
      <c r="G51" s="259"/>
      <c r="H51" s="259"/>
      <c r="I51" s="259"/>
      <c r="J51" s="170"/>
      <c r="K51" s="170"/>
      <c r="L51" s="170"/>
    </row>
    <row r="52" spans="1:12" ht="33.75" customHeight="1" x14ac:dyDescent="0.25">
      <c r="A52" s="259" t="s">
        <v>136</v>
      </c>
      <c r="B52" s="259"/>
      <c r="C52" s="259"/>
      <c r="D52" s="259"/>
      <c r="E52" s="259"/>
      <c r="F52" s="259"/>
      <c r="G52" s="259"/>
      <c r="H52" s="259"/>
      <c r="I52" s="259"/>
      <c r="J52" s="170"/>
      <c r="K52" s="170"/>
      <c r="L52" s="170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79" t="s">
        <v>137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J8:L8"/>
    <mergeCell ref="A52:I52"/>
    <mergeCell ref="D8:F8"/>
    <mergeCell ref="A50:I50"/>
    <mergeCell ref="A51:I51"/>
    <mergeCell ref="G8:I8"/>
  </mergeCells>
  <pageMargins left="0.2" right="0.2" top="0.75" bottom="0.25" header="0.3" footer="0.3"/>
  <pageSetup scale="54"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7"/>
  <sheetViews>
    <sheetView workbookViewId="0"/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2" customFormat="1" x14ac:dyDescent="0.25">
      <c r="A1" s="3" t="str">
        <f>+PPC!A1</f>
        <v>Kansas City Power &amp; Light Company - DSIM Rider Update Filed 05/31/2019</v>
      </c>
    </row>
    <row r="2" spans="1:23" x14ac:dyDescent="0.25">
      <c r="A2" s="9" t="str">
        <f>+PPC!A2</f>
        <v>Projections for Cycle 2 July 2019 - December 2019 DSIM</v>
      </c>
    </row>
    <row r="3" spans="1:23" s="62" customFormat="1" x14ac:dyDescent="0.25">
      <c r="A3" s="9"/>
    </row>
    <row r="4" spans="1:23" ht="40.5" customHeight="1" x14ac:dyDescent="0.25">
      <c r="B4" s="254" t="s">
        <v>87</v>
      </c>
      <c r="C4" s="254"/>
    </row>
    <row r="5" spans="1:23" ht="45" x14ac:dyDescent="0.25">
      <c r="B5" s="178" t="s">
        <v>88</v>
      </c>
      <c r="C5" s="6" t="s">
        <v>34</v>
      </c>
    </row>
    <row r="6" spans="1:23" x14ac:dyDescent="0.25">
      <c r="A6" s="22" t="s">
        <v>29</v>
      </c>
      <c r="B6" s="34">
        <f>+'[2]KCPL Monthly TD Calc'!AU377</f>
        <v>11952683.905522367</v>
      </c>
      <c r="C6" s="105">
        <f>ROUND('[2]KCPL Monthly TD Calc'!AU355,2)</f>
        <v>886979.54</v>
      </c>
    </row>
    <row r="7" spans="1:23" x14ac:dyDescent="0.25">
      <c r="A7" s="43" t="s">
        <v>30</v>
      </c>
      <c r="B7" s="34">
        <f>+'[2]KCPL Monthly TD Calc'!AU378</f>
        <v>30981314.354736056</v>
      </c>
      <c r="C7" s="105">
        <f>ROUND('[2]KCPL Monthly TD Calc'!AU356,2)</f>
        <v>1298505.95</v>
      </c>
    </row>
    <row r="8" spans="1:23" x14ac:dyDescent="0.25">
      <c r="A8" s="22" t="s">
        <v>6</v>
      </c>
      <c r="B8" s="35">
        <f>SUM(B6:B7)</f>
        <v>42933998.260258421</v>
      </c>
      <c r="C8" s="24">
        <f>SUM(C6:C7)</f>
        <v>2185485.4900000002</v>
      </c>
    </row>
    <row r="9" spans="1:23" x14ac:dyDescent="0.25">
      <c r="B9" s="33"/>
      <c r="C9" s="62"/>
    </row>
    <row r="10" spans="1:23" x14ac:dyDescent="0.25">
      <c r="A10" s="62"/>
      <c r="B10" s="62"/>
      <c r="C10" s="62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53" customFormat="1" x14ac:dyDescent="0.25">
      <c r="A12" s="258" t="s">
        <v>138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</row>
    <row r="13" spans="1:23" s="53" customFormat="1" x14ac:dyDescent="0.25">
      <c r="A13" s="258" t="s">
        <v>139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M12"/>
    <mergeCell ref="A13:M13"/>
  </mergeCells>
  <pageMargins left="0.2" right="0.2" top="0.75" bottom="0.25" header="0.3" footer="0.3"/>
  <pageSetup scale="96"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4"/>
  <sheetViews>
    <sheetView zoomScaleNormal="100" workbookViewId="0">
      <pane xSplit="3" ySplit="11" topLeftCell="D12" activePane="bottomRight" state="frozen"/>
      <selection activeCell="J18" sqref="J18"/>
      <selection pane="topRight" activeCell="J18" sqref="J18"/>
      <selection pane="bottomLeft" activeCell="J18" sqref="J18"/>
      <selection pane="bottomRight" activeCell="D12" sqref="D12"/>
    </sheetView>
  </sheetViews>
  <sheetFormatPr defaultRowHeight="15" x14ac:dyDescent="0.25"/>
  <cols>
    <col min="1" max="1" width="37.7109375" customWidth="1"/>
    <col min="2" max="2" width="12.28515625" style="62" bestFit="1" customWidth="1"/>
    <col min="3" max="3" width="12.42578125" style="62" bestFit="1" customWidth="1"/>
    <col min="4" max="4" width="15.42578125" customWidth="1"/>
    <col min="5" max="5" width="15.85546875" bestFit="1" customWidth="1"/>
    <col min="6" max="6" width="12.28515625" style="62" bestFit="1" customWidth="1"/>
    <col min="7" max="8" width="13.28515625" style="62" bestFit="1" customWidth="1"/>
    <col min="9" max="9" width="12.28515625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bestFit="1" customWidth="1"/>
    <col min="14" max="14" width="16" bestFit="1" customWidth="1"/>
    <col min="15" max="15" width="15.28515625" bestFit="1" customWidth="1"/>
    <col min="16" max="16" width="17.42578125" bestFit="1" customWidth="1"/>
    <col min="17" max="17" width="16.28515625" bestFit="1" customWidth="1"/>
    <col min="18" max="18" width="15.28515625" bestFit="1" customWidth="1"/>
    <col min="19" max="19" width="12.42578125" customWidth="1"/>
    <col min="20" max="21" width="14.28515625" bestFit="1" customWidth="1"/>
  </cols>
  <sheetData>
    <row r="1" spans="1:34" x14ac:dyDescent="0.25">
      <c r="A1" s="3" t="str">
        <f>+PPC!A1</f>
        <v>Kansas City Power &amp; Light Company - DSIM Rider Update Filed 05/31/2019</v>
      </c>
      <c r="B1" s="3"/>
      <c r="C1" s="3"/>
    </row>
    <row r="2" spans="1:34" x14ac:dyDescent="0.25">
      <c r="D2" s="3" t="s">
        <v>86</v>
      </c>
    </row>
    <row r="3" spans="1:34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71</v>
      </c>
      <c r="I3" s="6" t="s">
        <v>11</v>
      </c>
      <c r="J3" s="6" t="s">
        <v>10</v>
      </c>
      <c r="R3" s="6"/>
    </row>
    <row r="4" spans="1:34" x14ac:dyDescent="0.25">
      <c r="A4" s="22" t="s">
        <v>29</v>
      </c>
      <c r="B4" s="22"/>
      <c r="C4" s="22"/>
      <c r="D4" s="24">
        <f>SUM(C15:L15)</f>
        <v>3.26</v>
      </c>
      <c r="E4" s="161">
        <f>M19</f>
        <v>0</v>
      </c>
      <c r="F4" s="24">
        <f>SUM(C23:K23)</f>
        <v>0</v>
      </c>
      <c r="G4" s="24">
        <f>F4-D4</f>
        <v>-3.26</v>
      </c>
      <c r="H4" s="24">
        <f>+B33</f>
        <v>-806.11</v>
      </c>
      <c r="I4" s="24">
        <f>SUM(C38:K38)</f>
        <v>-15.38</v>
      </c>
      <c r="J4" s="36">
        <f>SUM(G4:I4)</f>
        <v>-824.75</v>
      </c>
      <c r="K4" s="63">
        <f>+J4-L33</f>
        <v>0</v>
      </c>
      <c r="M4" s="63"/>
    </row>
    <row r="5" spans="1:34" ht="15.75" thickBot="1" x14ac:dyDescent="0.3">
      <c r="A5" s="22" t="s">
        <v>30</v>
      </c>
      <c r="B5" s="22"/>
      <c r="C5" s="22"/>
      <c r="D5" s="24">
        <f>SUM(C16:L16)</f>
        <v>24840.148560000001</v>
      </c>
      <c r="E5" s="161">
        <f>M20</f>
        <v>0</v>
      </c>
      <c r="F5" s="24">
        <f>SUM(C24:K24)</f>
        <v>0</v>
      </c>
      <c r="G5" s="24">
        <f>F5-D5</f>
        <v>-24840.148560000001</v>
      </c>
      <c r="H5" s="24">
        <f>+B34</f>
        <v>14269.95</v>
      </c>
      <c r="I5" s="24">
        <f>SUM(C39:K39)</f>
        <v>105.14</v>
      </c>
      <c r="J5" s="36">
        <f>SUM(G5:I5)</f>
        <v>-10465.058560000001</v>
      </c>
      <c r="K5" s="63">
        <f>+J5-L34</f>
        <v>0</v>
      </c>
      <c r="M5" s="63"/>
    </row>
    <row r="6" spans="1:34" ht="16.5" thickTop="1" thickBot="1" x14ac:dyDescent="0.3">
      <c r="D6" s="40">
        <f t="shared" ref="D6" si="0">SUM(D4:D5)</f>
        <v>24843.40856</v>
      </c>
      <c r="E6" s="162">
        <f t="shared" ref="E6:H6" si="1">SUM(E4:E5)</f>
        <v>0</v>
      </c>
      <c r="F6" s="40">
        <f t="shared" si="1"/>
        <v>0</v>
      </c>
      <c r="G6" s="40">
        <f t="shared" si="1"/>
        <v>-24843.40856</v>
      </c>
      <c r="H6" s="40">
        <f t="shared" si="1"/>
        <v>13463.84</v>
      </c>
      <c r="I6" s="40">
        <f>SUM(I4:I5)</f>
        <v>89.76</v>
      </c>
      <c r="J6" s="40">
        <f>SUM(J4:J5)</f>
        <v>-11289.808560000001</v>
      </c>
      <c r="K6"/>
      <c r="M6" s="62"/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105.75" thickBot="1" x14ac:dyDescent="0.3">
      <c r="B10" s="141" t="str">
        <f>+'PCR Cycle 1'!B8</f>
        <v>Cumulative Over/Under Carryover From 12/01/2018 Filing</v>
      </c>
      <c r="C10" s="179" t="str">
        <f>+'PCR Cycle 1'!C8</f>
        <v>Reverse November-18 - January-19  Forecast From 12/01/2018 Filing</v>
      </c>
      <c r="D10" s="260" t="s">
        <v>39</v>
      </c>
      <c r="E10" s="260"/>
      <c r="F10" s="261"/>
      <c r="G10" s="266" t="s">
        <v>39</v>
      </c>
      <c r="H10" s="267"/>
      <c r="I10" s="268"/>
      <c r="J10" s="262" t="s">
        <v>9</v>
      </c>
      <c r="K10" s="263"/>
      <c r="L10" s="264"/>
    </row>
    <row r="11" spans="1:34" x14ac:dyDescent="0.25">
      <c r="A11" t="s">
        <v>43</v>
      </c>
      <c r="C11" s="128"/>
      <c r="D11" s="20">
        <f>+'PCR Cycle 1'!D9</f>
        <v>43434</v>
      </c>
      <c r="E11" s="20">
        <f t="shared" ref="E11:L11" si="2">EOMONTH(D11,1)</f>
        <v>43465</v>
      </c>
      <c r="F11" s="20">
        <f t="shared" si="2"/>
        <v>43496</v>
      </c>
      <c r="G11" s="14">
        <f t="shared" si="2"/>
        <v>43524</v>
      </c>
      <c r="H11" s="20">
        <f t="shared" si="2"/>
        <v>43555</v>
      </c>
      <c r="I11" s="15">
        <f t="shared" si="2"/>
        <v>43585</v>
      </c>
      <c r="J11" s="20">
        <f t="shared" si="2"/>
        <v>43616</v>
      </c>
      <c r="K11" s="20">
        <f t="shared" si="2"/>
        <v>43646</v>
      </c>
      <c r="L11" s="15">
        <f t="shared" si="2"/>
        <v>43677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t="s">
        <v>6</v>
      </c>
      <c r="C12" s="120">
        <v>0</v>
      </c>
      <c r="D12" s="132">
        <f>SUM(D23:D24)</f>
        <v>0</v>
      </c>
      <c r="E12" s="132">
        <f t="shared" ref="E12:H12" si="3">SUM(E23:E24)</f>
        <v>0</v>
      </c>
      <c r="F12" s="133">
        <f t="shared" si="3"/>
        <v>0</v>
      </c>
      <c r="G12" s="16">
        <f t="shared" si="3"/>
        <v>0</v>
      </c>
      <c r="H12" s="71">
        <f t="shared" si="3"/>
        <v>0</v>
      </c>
      <c r="I12" s="195">
        <f>+I23+I24</f>
        <v>0</v>
      </c>
      <c r="J12" s="188">
        <f t="shared" ref="J12:K12" si="4">+J23+J24</f>
        <v>0</v>
      </c>
      <c r="K12" s="97">
        <f t="shared" si="4"/>
        <v>0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t="s">
        <v>17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93</v>
      </c>
      <c r="N14" s="53"/>
    </row>
    <row r="15" spans="1:34" x14ac:dyDescent="0.25">
      <c r="A15" t="s">
        <v>29</v>
      </c>
      <c r="C15" s="120">
        <v>0</v>
      </c>
      <c r="D15" s="159">
        <f>ROUND('[3]November 2018 Combined'!F19,2)</f>
        <v>-0.5</v>
      </c>
      <c r="E15" s="159">
        <f>ROUND('[3]December 2018 Combined'!F19,2)</f>
        <v>-0.47</v>
      </c>
      <c r="F15" s="159">
        <f>ROUND('[4]January 2019 Combined'!F19,2)</f>
        <v>2.93</v>
      </c>
      <c r="G15" s="16">
        <f>ROUND('[4]February 2019 Combined'!F19,2)</f>
        <v>0.35</v>
      </c>
      <c r="H15" s="144">
        <f>ROUND('[4]March 2019 Combined'!F19,2)</f>
        <v>0.84</v>
      </c>
      <c r="I15" s="197">
        <f>ROUND('[4]April 2019 Combined'!F19,2)</f>
        <v>0.11</v>
      </c>
      <c r="J15" s="146">
        <f>'PCR Cycle 1'!J21*'TDR Cycle 1'!$M15</f>
        <v>0</v>
      </c>
      <c r="K15" s="55">
        <f>'PCR Cycle 1'!K21*'TDR Cycle 1'!$M15</f>
        <v>0</v>
      </c>
      <c r="L15" s="77">
        <f>'PCR Cycle 1'!L21*'TDR Cycle 1'!$M15</f>
        <v>0</v>
      </c>
      <c r="M15" s="88">
        <v>0</v>
      </c>
      <c r="N15" s="4"/>
    </row>
    <row r="16" spans="1:34" x14ac:dyDescent="0.25">
      <c r="A16" t="s">
        <v>30</v>
      </c>
      <c r="C16" s="120">
        <v>-21154.45</v>
      </c>
      <c r="D16" s="159">
        <f>ROUND('[3]November 2018 Combined'!F20,2)</f>
        <v>5479.82</v>
      </c>
      <c r="E16" s="159">
        <f>ROUND('[3]December 2018 Combined'!F20,2)</f>
        <v>8711.14</v>
      </c>
      <c r="F16" s="159">
        <f>ROUND('[4]January 2019 Combined'!F20,2)</f>
        <v>7329.23</v>
      </c>
      <c r="G16" s="16">
        <f>ROUND('[4]February 2019 Combined'!F20,2)</f>
        <v>6494.1</v>
      </c>
      <c r="H16" s="144">
        <f>ROUND('[4]March 2019 Combined'!F20,2)</f>
        <v>3516.87</v>
      </c>
      <c r="I16" s="197">
        <f>ROUND('[4]April 2019 Combined'!F20,2)</f>
        <v>3123.61</v>
      </c>
      <c r="J16" s="146">
        <f>'PCR Cycle 1'!J22*'TDR Cycle 1'!$M16</f>
        <v>3423.1124100000002</v>
      </c>
      <c r="K16" s="55">
        <f>'PCR Cycle 1'!K22*'TDR Cycle 1'!$M16</f>
        <v>3758.9147400000002</v>
      </c>
      <c r="L16" s="77">
        <f>'PCR Cycle 1'!L22*'TDR Cycle 1'!$M16</f>
        <v>4157.80141</v>
      </c>
      <c r="M16" s="88">
        <v>1.0000000000000001E-5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8"/>
      <c r="J17" s="72"/>
      <c r="K17" s="72"/>
      <c r="L17" s="13"/>
      <c r="N17" s="4"/>
    </row>
    <row r="18" spans="1:14" x14ac:dyDescent="0.25">
      <c r="A18" s="53" t="s">
        <v>36</v>
      </c>
      <c r="B18" s="53"/>
      <c r="C18" s="83"/>
      <c r="D18" s="72"/>
      <c r="E18" s="72"/>
      <c r="F18" s="72"/>
      <c r="G18" s="12"/>
      <c r="H18" s="72"/>
      <c r="I18" s="199"/>
      <c r="J18" s="72"/>
      <c r="K18" s="72"/>
      <c r="L18" s="13"/>
      <c r="M18" s="7"/>
      <c r="N18" s="62"/>
    </row>
    <row r="19" spans="1:14" x14ac:dyDescent="0.25">
      <c r="A19" s="62" t="s">
        <v>29</v>
      </c>
      <c r="C19" s="125">
        <v>0</v>
      </c>
      <c r="D19" s="134">
        <v>0</v>
      </c>
      <c r="E19" s="134">
        <v>0</v>
      </c>
      <c r="F19" s="148">
        <v>0</v>
      </c>
      <c r="G19" s="92">
        <v>0</v>
      </c>
      <c r="H19" s="93">
        <v>0</v>
      </c>
      <c r="I19" s="200">
        <v>0</v>
      </c>
      <c r="J19" s="189">
        <v>0</v>
      </c>
      <c r="K19" s="168">
        <v>0</v>
      </c>
      <c r="L19" s="99"/>
      <c r="M19" s="75">
        <f>SUM(C19:K19)</f>
        <v>0</v>
      </c>
      <c r="N19" s="62"/>
    </row>
    <row r="20" spans="1:14" x14ac:dyDescent="0.25">
      <c r="A20" t="s">
        <v>30</v>
      </c>
      <c r="C20" s="125">
        <v>0</v>
      </c>
      <c r="D20" s="134">
        <v>0</v>
      </c>
      <c r="E20" s="134">
        <v>0</v>
      </c>
      <c r="F20" s="148">
        <v>0</v>
      </c>
      <c r="G20" s="92">
        <v>0</v>
      </c>
      <c r="H20" s="93">
        <v>0</v>
      </c>
      <c r="I20" s="200">
        <v>0</v>
      </c>
      <c r="J20" s="189">
        <v>0</v>
      </c>
      <c r="K20" s="168">
        <v>0</v>
      </c>
      <c r="L20" s="99"/>
      <c r="M20" s="75">
        <f>SUM(C20:I20)</f>
        <v>0</v>
      </c>
      <c r="N20" s="62"/>
    </row>
    <row r="21" spans="1:14" s="62" customFormat="1" x14ac:dyDescent="0.25">
      <c r="C21" s="83"/>
      <c r="D21" s="84"/>
      <c r="E21" s="84"/>
      <c r="F21" s="84"/>
      <c r="G21" s="83"/>
      <c r="H21" s="84"/>
      <c r="I21" s="198"/>
      <c r="J21" s="72"/>
      <c r="K21" s="72"/>
      <c r="L21" s="13"/>
    </row>
    <row r="22" spans="1:14" x14ac:dyDescent="0.25">
      <c r="A22" s="62" t="s">
        <v>90</v>
      </c>
      <c r="C22" s="50"/>
      <c r="D22" s="51"/>
      <c r="E22" s="51"/>
      <c r="F22" s="51"/>
      <c r="G22" s="50"/>
      <c r="H22" s="51"/>
      <c r="I22" s="201"/>
      <c r="J22" s="68"/>
      <c r="K22" s="68"/>
      <c r="L22" s="52"/>
      <c r="M22" s="62"/>
      <c r="N22" s="62"/>
    </row>
    <row r="23" spans="1:14" x14ac:dyDescent="0.25">
      <c r="A23" s="62" t="s">
        <v>29</v>
      </c>
      <c r="C23" s="120">
        <v>0</v>
      </c>
      <c r="D23" s="132">
        <v>0</v>
      </c>
      <c r="E23" s="132">
        <v>0</v>
      </c>
      <c r="F23" s="133">
        <v>0</v>
      </c>
      <c r="G23" s="16">
        <v>0</v>
      </c>
      <c r="H23" s="71">
        <v>0</v>
      </c>
      <c r="I23" s="195">
        <v>0</v>
      </c>
      <c r="J23" s="190">
        <v>0</v>
      </c>
      <c r="K23" s="167">
        <v>0</v>
      </c>
      <c r="L23" s="98"/>
    </row>
    <row r="24" spans="1:14" x14ac:dyDescent="0.25">
      <c r="A24" s="62" t="s">
        <v>30</v>
      </c>
      <c r="C24" s="120">
        <v>0</v>
      </c>
      <c r="D24" s="132">
        <v>0</v>
      </c>
      <c r="E24" s="132">
        <v>0</v>
      </c>
      <c r="F24" s="133">
        <v>0</v>
      </c>
      <c r="G24" s="16">
        <v>0</v>
      </c>
      <c r="H24" s="71">
        <v>0</v>
      </c>
      <c r="I24" s="195">
        <v>0</v>
      </c>
      <c r="J24" s="190">
        <v>0</v>
      </c>
      <c r="K24" s="167">
        <v>0</v>
      </c>
      <c r="L24" s="98"/>
      <c r="N24" s="63"/>
    </row>
    <row r="25" spans="1:14" s="62" customFormat="1" x14ac:dyDescent="0.25">
      <c r="C25" s="122"/>
      <c r="D25" s="18"/>
      <c r="E25" s="18"/>
      <c r="F25" s="18"/>
      <c r="G25" s="114"/>
      <c r="H25" s="18"/>
      <c r="I25" s="196"/>
      <c r="J25" s="72"/>
      <c r="K25" s="72"/>
      <c r="L25" s="13"/>
    </row>
    <row r="26" spans="1:14" ht="15.75" thickBot="1" x14ac:dyDescent="0.3">
      <c r="A26" s="3" t="s">
        <v>18</v>
      </c>
      <c r="B26" s="3"/>
      <c r="C26" s="126">
        <v>-163.32999999999998</v>
      </c>
      <c r="D26" s="159">
        <v>94.29</v>
      </c>
      <c r="E26" s="159">
        <v>76.289999999999992</v>
      </c>
      <c r="F26" s="160">
        <v>52.54</v>
      </c>
      <c r="G26" s="39">
        <v>30.92</v>
      </c>
      <c r="H26" s="145">
        <v>15.370000000000001</v>
      </c>
      <c r="I26" s="202">
        <v>5.0599999999999996</v>
      </c>
      <c r="J26" s="191">
        <v>-5.0999999999999996</v>
      </c>
      <c r="K26" s="169">
        <v>-16.28</v>
      </c>
      <c r="L26" s="101"/>
    </row>
    <row r="27" spans="1:14" x14ac:dyDescent="0.25">
      <c r="C27" s="80"/>
      <c r="D27" s="174"/>
      <c r="E27" s="174"/>
      <c r="F27" s="175"/>
      <c r="G27" s="80"/>
      <c r="H27" s="47"/>
      <c r="I27" s="203"/>
      <c r="J27" s="48"/>
      <c r="K27" s="48"/>
      <c r="L27" s="76"/>
    </row>
    <row r="28" spans="1:14" x14ac:dyDescent="0.25">
      <c r="A28" t="s">
        <v>68</v>
      </c>
      <c r="C28" s="81"/>
      <c r="D28" s="175"/>
      <c r="E28" s="175"/>
      <c r="F28" s="175"/>
      <c r="G28" s="81"/>
      <c r="H28" s="49"/>
      <c r="I28" s="204"/>
      <c r="J28" s="48"/>
      <c r="K28" s="48"/>
      <c r="L28" s="76"/>
    </row>
    <row r="29" spans="1:14" x14ac:dyDescent="0.25">
      <c r="A29" s="62" t="s">
        <v>29</v>
      </c>
      <c r="C29" s="123">
        <f t="shared" ref="C29:C30" si="5">C23-C15</f>
        <v>0</v>
      </c>
      <c r="D29" s="55">
        <f t="shared" ref="D29:I30" si="6">D23-D15</f>
        <v>0.5</v>
      </c>
      <c r="E29" s="55">
        <f t="shared" si="6"/>
        <v>0.47</v>
      </c>
      <c r="F29" s="131">
        <f t="shared" ref="F29:H29" si="7">F23-F15</f>
        <v>-2.93</v>
      </c>
      <c r="G29" s="54">
        <f t="shared" si="7"/>
        <v>-0.35</v>
      </c>
      <c r="H29" s="55">
        <f t="shared" si="7"/>
        <v>-0.84</v>
      </c>
      <c r="I29" s="77">
        <f t="shared" si="6"/>
        <v>-0.11</v>
      </c>
      <c r="J29" s="146">
        <f t="shared" ref="J29:K29" si="8">J23-J15</f>
        <v>0</v>
      </c>
      <c r="K29" s="55">
        <f t="shared" si="8"/>
        <v>0</v>
      </c>
      <c r="L29" s="77">
        <f t="shared" ref="L29" si="9">L23-L15</f>
        <v>0</v>
      </c>
    </row>
    <row r="30" spans="1:14" x14ac:dyDescent="0.25">
      <c r="A30" t="s">
        <v>30</v>
      </c>
      <c r="C30" s="123">
        <f t="shared" si="5"/>
        <v>21154.45</v>
      </c>
      <c r="D30" s="55">
        <f t="shared" si="6"/>
        <v>-5479.82</v>
      </c>
      <c r="E30" s="55">
        <f t="shared" si="6"/>
        <v>-8711.14</v>
      </c>
      <c r="F30" s="131">
        <f t="shared" ref="F30:H30" si="10">F24-F16</f>
        <v>-7329.23</v>
      </c>
      <c r="G30" s="54">
        <f t="shared" si="10"/>
        <v>-6494.1</v>
      </c>
      <c r="H30" s="55">
        <f t="shared" si="10"/>
        <v>-3516.87</v>
      </c>
      <c r="I30" s="77">
        <f t="shared" si="6"/>
        <v>-3123.61</v>
      </c>
      <c r="J30" s="146">
        <f t="shared" ref="J30:K30" si="11">J24-J16</f>
        <v>-3423.1124100000002</v>
      </c>
      <c r="K30" s="55">
        <f t="shared" si="11"/>
        <v>-3758.9147400000002</v>
      </c>
      <c r="L30" s="77">
        <f t="shared" ref="L30" si="12">L24-L16</f>
        <v>-4157.80141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t="s">
        <v>69</v>
      </c>
      <c r="C32" s="122"/>
      <c r="D32" s="17"/>
      <c r="E32" s="17"/>
      <c r="F32" s="17"/>
      <c r="G32" s="10"/>
      <c r="H32" s="17"/>
      <c r="I32" s="11"/>
      <c r="J32" s="17"/>
      <c r="K32" s="17"/>
      <c r="L32" s="11"/>
    </row>
    <row r="33" spans="1:35" x14ac:dyDescent="0.25">
      <c r="A33" s="62" t="s">
        <v>29</v>
      </c>
      <c r="B33" s="139">
        <v>-806.11</v>
      </c>
      <c r="C33" s="123">
        <f>B33+C29+B38</f>
        <v>-806.11</v>
      </c>
      <c r="D33" s="55">
        <f t="shared" ref="D33" si="13">C33+D29+C38</f>
        <v>-800.88</v>
      </c>
      <c r="E33" s="55">
        <f t="shared" ref="E33:I34" si="14">D33+E29+D38</f>
        <v>-802.79</v>
      </c>
      <c r="F33" s="131">
        <f t="shared" si="14"/>
        <v>-808.19999999999993</v>
      </c>
      <c r="G33" s="54">
        <f t="shared" si="14"/>
        <v>-811.07999999999993</v>
      </c>
      <c r="H33" s="55">
        <f t="shared" si="14"/>
        <v>-814.44999999999993</v>
      </c>
      <c r="I33" s="77">
        <f t="shared" si="14"/>
        <v>-817.09999999999991</v>
      </c>
      <c r="J33" s="146">
        <f t="shared" ref="J33:J34" si="15">I33+J29+I38</f>
        <v>-819.63999999999987</v>
      </c>
      <c r="K33" s="55">
        <f t="shared" ref="K33:K34" si="16">J33+K29+J38</f>
        <v>-822.18999999999983</v>
      </c>
      <c r="L33" s="77">
        <f t="shared" ref="L33:L34" si="17">K33+L29+K38</f>
        <v>-824.74999999999977</v>
      </c>
    </row>
    <row r="34" spans="1:35" ht="15.75" thickBot="1" x14ac:dyDescent="0.3">
      <c r="A34" t="s">
        <v>30</v>
      </c>
      <c r="B34" s="140">
        <v>14269.95</v>
      </c>
      <c r="C34" s="123">
        <f>B34+C30+B39</f>
        <v>35424.400000000001</v>
      </c>
      <c r="D34" s="55">
        <f t="shared" ref="D34" si="18">C34+D30+C39</f>
        <v>29776.52</v>
      </c>
      <c r="E34" s="55">
        <f t="shared" si="14"/>
        <v>21162.06</v>
      </c>
      <c r="F34" s="131">
        <f t="shared" si="14"/>
        <v>13911.600000000002</v>
      </c>
      <c r="G34" s="54">
        <f t="shared" si="14"/>
        <v>7472.5600000000022</v>
      </c>
      <c r="H34" s="55">
        <f t="shared" si="14"/>
        <v>3989.1400000000021</v>
      </c>
      <c r="I34" s="77">
        <f t="shared" si="14"/>
        <v>883.44000000000199</v>
      </c>
      <c r="J34" s="146">
        <f t="shared" si="15"/>
        <v>-2532.0724099999984</v>
      </c>
      <c r="K34" s="55">
        <f t="shared" si="16"/>
        <v>-6293.5371499999992</v>
      </c>
      <c r="L34" s="77">
        <f t="shared" si="17"/>
        <v>-10465.058559999999</v>
      </c>
    </row>
    <row r="35" spans="1:35" x14ac:dyDescent="0.25">
      <c r="C35" s="122"/>
      <c r="D35" s="17"/>
      <c r="E35" s="17"/>
      <c r="F35" s="17"/>
      <c r="G35" s="10"/>
      <c r="H35" s="17"/>
      <c r="I35" s="11"/>
      <c r="J35" s="17"/>
      <c r="K35" s="17"/>
      <c r="L35" s="11"/>
    </row>
    <row r="36" spans="1:35" x14ac:dyDescent="0.25">
      <c r="A36" s="53" t="s">
        <v>65</v>
      </c>
      <c r="B36" s="53"/>
      <c r="C36" s="127"/>
      <c r="D36" s="102">
        <f>+'PCR Cycle 1'!D38</f>
        <v>2.9731599999999999E-3</v>
      </c>
      <c r="E36" s="102">
        <f>+'PCR Cycle 1'!E38</f>
        <v>3.0868100000000002E-3</v>
      </c>
      <c r="F36" s="102">
        <f>+'PCR Cycle 1'!F38</f>
        <v>3.13277E-3</v>
      </c>
      <c r="G36" s="103">
        <f>+'PCR Cycle 1'!G38</f>
        <v>3.1206900000000002E-3</v>
      </c>
      <c r="H36" s="102">
        <f>+'PCR Cycle 1'!H38</f>
        <v>3.11648E-3</v>
      </c>
      <c r="I36" s="115">
        <f>+'PCR Cycle 1'!I38</f>
        <v>3.1080600000000002E-3</v>
      </c>
      <c r="J36" s="102">
        <f>+'PCR Cycle 1'!J38</f>
        <v>3.1080600000000002E-3</v>
      </c>
      <c r="K36" s="102">
        <f>+'PCR Cycle 1'!K38</f>
        <v>3.1080600000000002E-3</v>
      </c>
      <c r="L36" s="104"/>
    </row>
    <row r="37" spans="1:35" s="62" customFormat="1" x14ac:dyDescent="0.25">
      <c r="A37" s="53" t="s">
        <v>44</v>
      </c>
      <c r="B37" s="53"/>
      <c r="C37" s="129"/>
      <c r="D37" s="102"/>
      <c r="E37" s="102"/>
      <c r="F37" s="102"/>
      <c r="G37" s="103"/>
      <c r="H37" s="102"/>
      <c r="I37" s="104"/>
      <c r="J37" s="102"/>
      <c r="K37" s="102"/>
      <c r="L37" s="104"/>
    </row>
    <row r="38" spans="1:35" x14ac:dyDescent="0.25">
      <c r="A38" s="62" t="s">
        <v>29</v>
      </c>
      <c r="C38" s="123">
        <v>4.7300000000000004</v>
      </c>
      <c r="D38" s="55">
        <f t="shared" ref="D38" si="19">ROUND((C33+C38+D29/2)*D$36,2)</f>
        <v>-2.38</v>
      </c>
      <c r="E38" s="55">
        <f t="shared" ref="E38:I39" si="20">ROUND((D33+D38+E29/2)*E$36,2)</f>
        <v>-2.48</v>
      </c>
      <c r="F38" s="131">
        <f t="shared" si="20"/>
        <v>-2.5299999999999998</v>
      </c>
      <c r="G38" s="54">
        <f t="shared" si="20"/>
        <v>-2.5299999999999998</v>
      </c>
      <c r="H38" s="146">
        <f t="shared" si="20"/>
        <v>-2.54</v>
      </c>
      <c r="I38" s="65">
        <f t="shared" si="20"/>
        <v>-2.54</v>
      </c>
      <c r="J38" s="192">
        <f t="shared" ref="J38:J39" si="21">ROUND((I33+I38+J29/2)*J$36,2)</f>
        <v>-2.5499999999999998</v>
      </c>
      <c r="K38" s="131">
        <f t="shared" ref="K38:K39" si="22">ROUND((J33+J38+K29/2)*K$36,2)</f>
        <v>-2.56</v>
      </c>
      <c r="L38" s="77">
        <f t="shared" ref="L38:L39" si="23">ROUND((K33+K38+L29/2)*L$36,2)</f>
        <v>0</v>
      </c>
    </row>
    <row r="39" spans="1:35" ht="15.75" thickBot="1" x14ac:dyDescent="0.3">
      <c r="A39" t="s">
        <v>30</v>
      </c>
      <c r="C39" s="123">
        <v>-168.06</v>
      </c>
      <c r="D39" s="55">
        <f t="shared" ref="D39" si="24">ROUND((C34+C39+D30/2)*D$36,2)</f>
        <v>96.68</v>
      </c>
      <c r="E39" s="55">
        <f t="shared" si="20"/>
        <v>78.77</v>
      </c>
      <c r="F39" s="131">
        <f t="shared" si="20"/>
        <v>55.06</v>
      </c>
      <c r="G39" s="54">
        <f t="shared" si="20"/>
        <v>33.450000000000003</v>
      </c>
      <c r="H39" s="146">
        <f t="shared" si="20"/>
        <v>17.91</v>
      </c>
      <c r="I39" s="65">
        <f t="shared" si="20"/>
        <v>7.6</v>
      </c>
      <c r="J39" s="192">
        <f t="shared" si="21"/>
        <v>-2.5499999999999998</v>
      </c>
      <c r="K39" s="131">
        <f t="shared" si="22"/>
        <v>-13.72</v>
      </c>
      <c r="L39" s="77">
        <f t="shared" si="23"/>
        <v>0</v>
      </c>
    </row>
    <row r="40" spans="1:35" ht="16.5" thickTop="1" thickBot="1" x14ac:dyDescent="0.3">
      <c r="A40" s="70" t="s">
        <v>25</v>
      </c>
      <c r="B40" s="70"/>
      <c r="C40" s="130">
        <v>0</v>
      </c>
      <c r="D40" s="56">
        <f t="shared" ref="D40:I40" si="25">SUM(D38:D39)+SUM(D33:D34)-D43</f>
        <v>0</v>
      </c>
      <c r="E40" s="56">
        <f t="shared" si="25"/>
        <v>0</v>
      </c>
      <c r="F40" s="66">
        <f t="shared" ref="F40:H40" si="26">SUM(F38:F39)+SUM(F33:F34)-F43</f>
        <v>0</v>
      </c>
      <c r="G40" s="172">
        <f t="shared" si="26"/>
        <v>0</v>
      </c>
      <c r="H40" s="66">
        <f t="shared" si="26"/>
        <v>6.3664629124104977E-12</v>
      </c>
      <c r="I40" s="78">
        <f t="shared" si="25"/>
        <v>6.5369931689929217E-12</v>
      </c>
      <c r="J40" s="193">
        <f t="shared" ref="J40:L40" si="27">SUM(J38:J39)+SUM(J33:J34)-J43</f>
        <v>6.3664629124104977E-12</v>
      </c>
      <c r="K40" s="66">
        <f t="shared" si="27"/>
        <v>0</v>
      </c>
      <c r="L40" s="78">
        <f t="shared" si="27"/>
        <v>0</v>
      </c>
    </row>
    <row r="41" spans="1:35" s="62" customFormat="1" ht="16.5" thickTop="1" thickBot="1" x14ac:dyDescent="0.3">
      <c r="A41" s="70" t="s">
        <v>26</v>
      </c>
      <c r="B41" s="70"/>
      <c r="C41" s="130">
        <v>0</v>
      </c>
      <c r="D41" s="56">
        <f t="shared" ref="D41:I41" si="28">SUM(D38:D39)-D26</f>
        <v>1.0000000000005116E-2</v>
      </c>
      <c r="E41" s="56">
        <f t="shared" si="28"/>
        <v>0</v>
      </c>
      <c r="F41" s="66">
        <f t="shared" ref="F41:H41" si="29">SUM(F38:F39)-F26</f>
        <v>-9.9999999999980105E-3</v>
      </c>
      <c r="G41" s="172">
        <f t="shared" si="29"/>
        <v>0</v>
      </c>
      <c r="H41" s="66">
        <f t="shared" si="29"/>
        <v>0</v>
      </c>
      <c r="I41" s="78">
        <f t="shared" si="28"/>
        <v>0</v>
      </c>
      <c r="J41" s="194">
        <f t="shared" ref="J41:L41" si="30">SUM(J38:J39)-J26</f>
        <v>0</v>
      </c>
      <c r="K41" s="56">
        <f t="shared" si="30"/>
        <v>0</v>
      </c>
      <c r="L41" s="56">
        <f t="shared" si="30"/>
        <v>0</v>
      </c>
    </row>
    <row r="42" spans="1:35" ht="16.5" thickTop="1" thickBot="1" x14ac:dyDescent="0.3">
      <c r="C42" s="122"/>
      <c r="D42" s="17"/>
      <c r="E42" s="17"/>
      <c r="F42" s="17"/>
      <c r="G42" s="10"/>
      <c r="H42" s="17"/>
      <c r="I42" s="11"/>
      <c r="J42" s="17"/>
      <c r="K42" s="17"/>
      <c r="L42" s="11"/>
    </row>
    <row r="43" spans="1:35" ht="15.75" thickBot="1" x14ac:dyDescent="0.3">
      <c r="A43" t="s">
        <v>42</v>
      </c>
      <c r="B43" s="142">
        <f>+B33+B34</f>
        <v>13463.84</v>
      </c>
      <c r="C43" s="123">
        <f>(C12-SUM(C15:C16))+SUM(C38:C39)+B43</f>
        <v>34454.959999999999</v>
      </c>
      <c r="D43" s="55">
        <f t="shared" ref="D43:I43" si="31">(D12-SUM(D15:D16))+SUM(D38:D39)+C43</f>
        <v>29069.94</v>
      </c>
      <c r="E43" s="55">
        <f t="shared" si="31"/>
        <v>20435.559999999998</v>
      </c>
      <c r="F43" s="131">
        <f t="shared" si="31"/>
        <v>13155.929999999997</v>
      </c>
      <c r="G43" s="54">
        <f t="shared" si="31"/>
        <v>6692.399999999996</v>
      </c>
      <c r="H43" s="55">
        <f t="shared" si="31"/>
        <v>3190.0599999999959</v>
      </c>
      <c r="I43" s="77">
        <f t="shared" si="31"/>
        <v>71.399999999995543</v>
      </c>
      <c r="J43" s="192">
        <f t="shared" ref="J43" si="32">(J12-SUM(J15:J16))+SUM(J38:J39)+I43</f>
        <v>-3356.8124100000045</v>
      </c>
      <c r="K43" s="131">
        <f t="shared" ref="K43" si="33">(K12-SUM(K15:K16))+SUM(K38:K39)+J43</f>
        <v>-7132.0071500000049</v>
      </c>
      <c r="L43" s="77">
        <f t="shared" ref="L43" si="34">(L12-SUM(L15:L16))+SUM(L38:L39)+K43</f>
        <v>-11289.808560000005</v>
      </c>
    </row>
    <row r="44" spans="1:35" x14ac:dyDescent="0.25">
      <c r="A44" t="s">
        <v>14</v>
      </c>
      <c r="C44" s="143"/>
      <c r="D44" s="17"/>
      <c r="E44" s="17"/>
      <c r="F44" s="17"/>
      <c r="G44" s="10"/>
      <c r="H44" s="17"/>
      <c r="I44" s="11"/>
      <c r="J44" s="17"/>
      <c r="K44" s="17"/>
      <c r="L44" s="11"/>
    </row>
    <row r="45" spans="1:35" ht="15.75" thickBot="1" x14ac:dyDescent="0.3">
      <c r="A45" s="51"/>
      <c r="B45" s="51"/>
      <c r="C45" s="173"/>
      <c r="D45" s="58"/>
      <c r="E45" s="58"/>
      <c r="F45" s="58"/>
      <c r="G45" s="57"/>
      <c r="H45" s="58"/>
      <c r="I45" s="59"/>
      <c r="J45" s="58"/>
      <c r="K45" s="58"/>
      <c r="L45" s="59"/>
    </row>
    <row r="46" spans="1:35" x14ac:dyDescent="0.25">
      <c r="A46" s="62"/>
      <c r="D46" s="62"/>
      <c r="E46" s="62"/>
      <c r="I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</row>
    <row r="47" spans="1:35" x14ac:dyDescent="0.25">
      <c r="A47" s="85" t="s">
        <v>13</v>
      </c>
      <c r="B47" s="85"/>
      <c r="C47" s="85"/>
      <c r="D47" s="62"/>
      <c r="E47" s="62"/>
      <c r="I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</row>
    <row r="48" spans="1:35" ht="31.5" customHeight="1" x14ac:dyDescent="0.25">
      <c r="A48" s="259" t="s">
        <v>116</v>
      </c>
      <c r="B48" s="259"/>
      <c r="C48" s="259"/>
      <c r="D48" s="259"/>
      <c r="E48" s="259"/>
      <c r="F48" s="259"/>
      <c r="G48" s="259"/>
      <c r="H48" s="259"/>
      <c r="I48" s="259"/>
      <c r="J48" s="163"/>
      <c r="K48" s="163"/>
      <c r="L48" s="113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</row>
    <row r="49" spans="1:35" s="62" customFormat="1" ht="44.25" customHeight="1" x14ac:dyDescent="0.25">
      <c r="A49" s="259" t="s">
        <v>142</v>
      </c>
      <c r="B49" s="259"/>
      <c r="C49" s="259"/>
      <c r="D49" s="259"/>
      <c r="E49" s="259"/>
      <c r="F49" s="259"/>
      <c r="G49" s="259"/>
      <c r="H49" s="259"/>
      <c r="I49" s="259"/>
      <c r="J49" s="177"/>
      <c r="K49" s="177"/>
    </row>
    <row r="50" spans="1:35" ht="18.75" customHeight="1" x14ac:dyDescent="0.25">
      <c r="A50" s="265" t="s">
        <v>117</v>
      </c>
      <c r="B50" s="265"/>
      <c r="C50" s="265"/>
      <c r="D50" s="265"/>
      <c r="E50" s="265"/>
      <c r="F50" s="265"/>
      <c r="G50" s="265"/>
      <c r="H50" s="265"/>
      <c r="I50" s="265"/>
      <c r="J50" s="163"/>
      <c r="K50" s="163"/>
      <c r="L50" s="113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</row>
    <row r="51" spans="1:35" x14ac:dyDescent="0.25">
      <c r="A51" s="3" t="s">
        <v>91</v>
      </c>
      <c r="B51" s="3"/>
      <c r="C51" s="3"/>
    </row>
    <row r="52" spans="1:35" x14ac:dyDescent="0.25">
      <c r="A52" s="79" t="s">
        <v>137</v>
      </c>
      <c r="B52" s="3"/>
      <c r="C52" s="3"/>
    </row>
    <row r="53" spans="1:35" x14ac:dyDescent="0.25">
      <c r="A53" s="3" t="s">
        <v>92</v>
      </c>
      <c r="B53" s="3"/>
      <c r="C53" s="3"/>
    </row>
    <row r="54" spans="1:35" x14ac:dyDescent="0.25">
      <c r="A54" s="3"/>
      <c r="B54" s="3"/>
      <c r="C54" s="3"/>
    </row>
  </sheetData>
  <mergeCells count="6">
    <mergeCell ref="J10:L10"/>
    <mergeCell ref="A48:I48"/>
    <mergeCell ref="A50:I50"/>
    <mergeCell ref="D10:F10"/>
    <mergeCell ref="G10:I10"/>
    <mergeCell ref="A49:I49"/>
  </mergeCells>
  <pageMargins left="0.2" right="0.2" top="0.75" bottom="0.25" header="0.3" footer="0.3"/>
  <pageSetup scale="57"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54"/>
  <sheetViews>
    <sheetView zoomScaleNormal="100" workbookViewId="0">
      <pane xSplit="1" ySplit="2" topLeftCell="B3" activePane="bottomRight" state="frozen"/>
      <selection activeCell="J18" sqref="J18"/>
      <selection pane="topRight" activeCell="J18" sqref="J18"/>
      <selection pane="bottomLeft" activeCell="J18" sqref="J18"/>
      <selection pane="bottomRight" activeCell="B3" sqref="B3"/>
    </sheetView>
  </sheetViews>
  <sheetFormatPr defaultRowHeight="15" x14ac:dyDescent="0.25"/>
  <cols>
    <col min="1" max="1" width="61.7109375" style="62" customWidth="1"/>
    <col min="2" max="2" width="12.140625" style="62" customWidth="1"/>
    <col min="3" max="4" width="12.42578125" style="62" customWidth="1"/>
    <col min="5" max="5" width="15.42578125" style="62" customWidth="1"/>
    <col min="6" max="6" width="15.85546875" style="62" customWidth="1"/>
    <col min="7" max="7" width="12.28515625" style="62" customWidth="1"/>
    <col min="8" max="9" width="13.28515625" style="62" customWidth="1"/>
    <col min="10" max="10" width="12.28515625" style="62" bestFit="1" customWidth="1"/>
    <col min="11" max="11" width="11.5703125" style="62" bestFit="1" customWidth="1"/>
    <col min="12" max="12" width="12.85546875" style="62" customWidth="1"/>
    <col min="13" max="13" width="16" style="62" customWidth="1"/>
    <col min="14" max="14" width="15" style="62" bestFit="1" customWidth="1"/>
    <col min="15" max="15" width="16" style="62" bestFit="1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+PPC!A1</f>
        <v>Kansas City Power &amp; Light Company - DSIM Rider Update Filed 05/31/2019</v>
      </c>
      <c r="B1" s="3"/>
      <c r="C1" s="3"/>
      <c r="D1" s="3"/>
    </row>
    <row r="2" spans="1:35" x14ac:dyDescent="0.25">
      <c r="E2" s="3" t="s">
        <v>82</v>
      </c>
    </row>
    <row r="3" spans="1:35" ht="30" x14ac:dyDescent="0.25">
      <c r="E3" s="64" t="s">
        <v>62</v>
      </c>
      <c r="F3" s="86" t="s">
        <v>96</v>
      </c>
      <c r="G3" s="86" t="s">
        <v>70</v>
      </c>
      <c r="H3" s="64" t="s">
        <v>3</v>
      </c>
      <c r="I3" s="86" t="s">
        <v>71</v>
      </c>
      <c r="J3" s="64" t="s">
        <v>11</v>
      </c>
      <c r="K3" s="64" t="s">
        <v>10</v>
      </c>
      <c r="S3" s="64"/>
    </row>
    <row r="4" spans="1:35" x14ac:dyDescent="0.25">
      <c r="A4" s="22" t="s">
        <v>29</v>
      </c>
      <c r="B4" s="22"/>
      <c r="C4" s="22"/>
      <c r="D4" s="22"/>
      <c r="E4" s="24">
        <f>SUM(C15:M15)</f>
        <v>748309.06697999989</v>
      </c>
      <c r="F4" s="161">
        <f>N19</f>
        <v>11434946.628107743</v>
      </c>
      <c r="G4" s="24">
        <f>SUM(C23:L23)</f>
        <v>691644.35000000009</v>
      </c>
      <c r="H4" s="24">
        <f>G4-E4</f>
        <v>-56664.716979999794</v>
      </c>
      <c r="I4" s="24">
        <f>+B33</f>
        <v>12230.999999999804</v>
      </c>
      <c r="J4" s="24">
        <f>SUM(C38:L38)</f>
        <v>2195.8000000000002</v>
      </c>
      <c r="K4" s="36">
        <f>SUM(H4:J4)</f>
        <v>-42237.916979999987</v>
      </c>
      <c r="L4" s="63">
        <f>+K4-M33</f>
        <v>1.964508555829525E-10</v>
      </c>
    </row>
    <row r="5" spans="1:35" ht="15.75" thickBot="1" x14ac:dyDescent="0.3">
      <c r="A5" s="22" t="s">
        <v>30</v>
      </c>
      <c r="B5" s="22"/>
      <c r="C5" s="22"/>
      <c r="D5" s="22"/>
      <c r="E5" s="24">
        <f>SUM(C16:M16)</f>
        <v>1326783.8065600002</v>
      </c>
      <c r="F5" s="161">
        <f>N20</f>
        <v>17001455.419575647</v>
      </c>
      <c r="G5" s="24">
        <f>SUM(C24:L24)</f>
        <v>669204.14</v>
      </c>
      <c r="H5" s="24">
        <f>G5-E5</f>
        <v>-657579.66656000016</v>
      </c>
      <c r="I5" s="24">
        <f>+B34</f>
        <v>24478.136719999864</v>
      </c>
      <c r="J5" s="24">
        <f>SUM(C39:L39)</f>
        <v>-4572.9599999999991</v>
      </c>
      <c r="K5" s="36">
        <f>SUM(H5:J5)</f>
        <v>-637674.48984000029</v>
      </c>
      <c r="L5" s="63">
        <f>+K5-M34</f>
        <v>0</v>
      </c>
    </row>
    <row r="6" spans="1:35" ht="16.5" thickTop="1" thickBot="1" x14ac:dyDescent="0.3">
      <c r="E6" s="40">
        <f t="shared" ref="E6" si="0">SUM(E4:E5)</f>
        <v>2075092.8735400001</v>
      </c>
      <c r="F6" s="162">
        <f t="shared" ref="F6:I6" si="1">SUM(F4:F5)</f>
        <v>28436402.047683388</v>
      </c>
      <c r="G6" s="40">
        <f t="shared" si="1"/>
        <v>1360848.4900000002</v>
      </c>
      <c r="H6" s="40">
        <f t="shared" si="1"/>
        <v>-714244.38353999995</v>
      </c>
      <c r="I6" s="40">
        <f t="shared" si="1"/>
        <v>36709.136719999668</v>
      </c>
      <c r="J6" s="40">
        <f>SUM(J4:J5)</f>
        <v>-2377.1599999999989</v>
      </c>
      <c r="K6" s="40">
        <f>SUM(K4:K5)</f>
        <v>-679912.40682000027</v>
      </c>
      <c r="T6" s="5"/>
    </row>
    <row r="7" spans="1:35" ht="15.75" thickTop="1" x14ac:dyDescent="0.25"/>
    <row r="8" spans="1:35" x14ac:dyDescent="0.25">
      <c r="J8" s="4"/>
      <c r="V8" s="4"/>
    </row>
    <row r="9" spans="1:35" ht="15.75" thickBot="1" x14ac:dyDescent="0.3">
      <c r="V9" s="4"/>
      <c r="W9" s="5"/>
    </row>
    <row r="10" spans="1:35" ht="105.75" thickBot="1" x14ac:dyDescent="0.3">
      <c r="B10" s="141" t="str">
        <f>+'PCR Cycle 1'!B8</f>
        <v>Cumulative Over/Under Carryover From 12/01/2018 Filing</v>
      </c>
      <c r="C10" s="179" t="str">
        <f>+'PCR Cycle 1'!C8</f>
        <v>Reverse November-18 - January-19  Forecast From 12/01/2018 Filing</v>
      </c>
      <c r="D10" s="249" t="s">
        <v>130</v>
      </c>
      <c r="E10" s="260" t="s">
        <v>39</v>
      </c>
      <c r="F10" s="260"/>
      <c r="G10" s="261"/>
      <c r="H10" s="266" t="s">
        <v>39</v>
      </c>
      <c r="I10" s="267"/>
      <c r="J10" s="268"/>
      <c r="K10" s="262" t="s">
        <v>9</v>
      </c>
      <c r="L10" s="263"/>
      <c r="M10" s="264"/>
    </row>
    <row r="11" spans="1:35" x14ac:dyDescent="0.25">
      <c r="A11" s="62" t="s">
        <v>84</v>
      </c>
      <c r="C11" s="128"/>
      <c r="D11" s="250"/>
      <c r="E11" s="20">
        <f>+'PCR Cycle 1'!D9</f>
        <v>43434</v>
      </c>
      <c r="F11" s="20">
        <f t="shared" ref="F11:M11" si="2">EOMONTH(E11,1)</f>
        <v>43465</v>
      </c>
      <c r="G11" s="20">
        <f t="shared" si="2"/>
        <v>43496</v>
      </c>
      <c r="H11" s="14">
        <f t="shared" si="2"/>
        <v>43524</v>
      </c>
      <c r="I11" s="20">
        <f t="shared" si="2"/>
        <v>43555</v>
      </c>
      <c r="J11" s="15">
        <f t="shared" si="2"/>
        <v>43585</v>
      </c>
      <c r="K11" s="20">
        <f t="shared" si="2"/>
        <v>43616</v>
      </c>
      <c r="L11" s="20">
        <f t="shared" si="2"/>
        <v>43646</v>
      </c>
      <c r="M11" s="15">
        <f t="shared" si="2"/>
        <v>43677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2" t="s">
        <v>6</v>
      </c>
      <c r="C12" s="230">
        <v>-897767.03</v>
      </c>
      <c r="D12" s="233">
        <f t="shared" ref="D12:I12" si="3">+D23+D24</f>
        <v>-29381.100000000002</v>
      </c>
      <c r="E12" s="132">
        <f t="shared" si="3"/>
        <v>742000.39</v>
      </c>
      <c r="F12" s="132">
        <f t="shared" si="3"/>
        <v>193555.13999999998</v>
      </c>
      <c r="G12" s="133">
        <f t="shared" si="3"/>
        <v>186163.81</v>
      </c>
      <c r="H12" s="16">
        <f t="shared" si="3"/>
        <v>184996.96000000002</v>
      </c>
      <c r="I12" s="71">
        <f t="shared" si="3"/>
        <v>214501.03999999998</v>
      </c>
      <c r="J12" s="195">
        <f t="shared" ref="J12:L12" si="4">+J23+J24</f>
        <v>228839.5</v>
      </c>
      <c r="K12" s="188">
        <f t="shared" si="4"/>
        <v>209556.72</v>
      </c>
      <c r="L12" s="97">
        <f t="shared" si="4"/>
        <v>328383.06</v>
      </c>
      <c r="M12" s="98"/>
    </row>
    <row r="13" spans="1:35" x14ac:dyDescent="0.25">
      <c r="C13" s="122"/>
      <c r="D13" s="234"/>
      <c r="E13" s="17"/>
      <c r="F13" s="17"/>
      <c r="G13" s="17"/>
      <c r="H13" s="10"/>
      <c r="I13" s="17"/>
      <c r="J13" s="11"/>
      <c r="K13" s="44"/>
      <c r="L13" s="44"/>
      <c r="M13" s="42"/>
    </row>
    <row r="14" spans="1:35" x14ac:dyDescent="0.25">
      <c r="A14" s="62" t="s">
        <v>83</v>
      </c>
      <c r="C14" s="122"/>
      <c r="D14" s="234"/>
      <c r="E14" s="18"/>
      <c r="F14" s="18"/>
      <c r="G14" s="18"/>
      <c r="H14" s="114"/>
      <c r="I14" s="18"/>
      <c r="J14" s="196"/>
      <c r="K14" s="44"/>
      <c r="L14" s="44"/>
      <c r="M14" s="42"/>
      <c r="N14" s="3" t="s">
        <v>93</v>
      </c>
      <c r="O14" s="53"/>
    </row>
    <row r="15" spans="1:35" x14ac:dyDescent="0.25">
      <c r="A15" s="62" t="s">
        <v>29</v>
      </c>
      <c r="C15" s="230">
        <v>-1330849.58</v>
      </c>
      <c r="D15" s="233">
        <v>0</v>
      </c>
      <c r="E15" s="159">
        <f>ROUND('[3]November 2018 Combined'!F44,2)</f>
        <v>330049.74</v>
      </c>
      <c r="F15" s="159">
        <f>ROUND('[3]December 2018 Combined'!F44,2)</f>
        <v>459872.1</v>
      </c>
      <c r="G15" s="159">
        <f>ROUND('[4]January 2019 Combined'!F44,2)</f>
        <v>451184.43</v>
      </c>
      <c r="H15" s="16">
        <f>ROUND('[4]February 2019 Combined'!F44,2)</f>
        <v>367805.4</v>
      </c>
      <c r="I15" s="144">
        <f>ROUND('[4]March 2019 Combined'!F44,2)</f>
        <v>114074.74</v>
      </c>
      <c r="J15" s="200">
        <f>ROUND('[4]April 2019 Combined'!F44,2)</f>
        <v>71576.97</v>
      </c>
      <c r="K15" s="146">
        <f>'PCR Cycle 1'!J21*'TDR Cycle 2'!$N15</f>
        <v>67868.470379999999</v>
      </c>
      <c r="L15" s="55">
        <f>'PCR Cycle 1'!K21*'TDR Cycle 2'!$N15</f>
        <v>88801.2451</v>
      </c>
      <c r="M15" s="77">
        <f>'PCR Cycle 1'!L21*'TDR Cycle 2'!$N15</f>
        <v>127925.5515</v>
      </c>
      <c r="N15" s="88">
        <v>4.6000000000000001E-4</v>
      </c>
      <c r="O15" s="4"/>
    </row>
    <row r="16" spans="1:35" x14ac:dyDescent="0.25">
      <c r="A16" s="62" t="s">
        <v>30</v>
      </c>
      <c r="C16" s="230">
        <v>-1248112.6599999999</v>
      </c>
      <c r="D16" s="233">
        <v>0</v>
      </c>
      <c r="E16" s="159">
        <f>ROUND('[3]November 2018 Combined'!F45,2)</f>
        <v>385451.81</v>
      </c>
      <c r="F16" s="159">
        <f>ROUND('[3]December 2018 Combined'!F45,2)</f>
        <v>467891.69</v>
      </c>
      <c r="G16" s="159">
        <f>ROUND('[4]January 2019 Combined'!F45,2)</f>
        <v>432400</v>
      </c>
      <c r="H16" s="16">
        <f>ROUND('[4]February 2019 Combined'!F45,2)</f>
        <v>371941.44</v>
      </c>
      <c r="I16" s="144">
        <f>ROUND('[4]March 2019 Combined'!F45,2)</f>
        <v>179443.57</v>
      </c>
      <c r="J16" s="200">
        <f>ROUND('[4]April 2019 Combined'!F45,2)</f>
        <v>159436.70000000001</v>
      </c>
      <c r="K16" s="146">
        <f>'PCR Cycle 1'!J22*'TDR Cycle 2'!$N16</f>
        <v>174578.73291000002</v>
      </c>
      <c r="L16" s="55">
        <f>'PCR Cycle 1'!K22*'TDR Cycle 2'!$N16</f>
        <v>191704.65174</v>
      </c>
      <c r="M16" s="77">
        <f>'PCR Cycle 1'!L22*'TDR Cycle 2'!$N16</f>
        <v>212047.87191000002</v>
      </c>
      <c r="N16" s="88">
        <v>5.1000000000000004E-4</v>
      </c>
      <c r="O16" s="4"/>
    </row>
    <row r="17" spans="1:15" x14ac:dyDescent="0.25">
      <c r="C17" s="83"/>
      <c r="D17" s="235"/>
      <c r="E17" s="84"/>
      <c r="F17" s="84"/>
      <c r="G17" s="84"/>
      <c r="H17" s="83"/>
      <c r="I17" s="84"/>
      <c r="J17" s="198"/>
      <c r="K17" s="72"/>
      <c r="L17" s="72"/>
      <c r="M17" s="13"/>
      <c r="O17" s="4"/>
    </row>
    <row r="18" spans="1:15" x14ac:dyDescent="0.25">
      <c r="A18" s="53" t="s">
        <v>89</v>
      </c>
      <c r="B18" s="53"/>
      <c r="C18" s="83"/>
      <c r="D18" s="235"/>
      <c r="E18" s="72"/>
      <c r="F18" s="72"/>
      <c r="G18" s="72"/>
      <c r="H18" s="12"/>
      <c r="I18" s="72"/>
      <c r="J18" s="199"/>
      <c r="K18" s="72"/>
      <c r="L18" s="72"/>
      <c r="M18" s="13"/>
      <c r="N18" s="7"/>
    </row>
    <row r="19" spans="1:15" x14ac:dyDescent="0.25">
      <c r="A19" s="62" t="s">
        <v>29</v>
      </c>
      <c r="C19" s="231">
        <v>-5853592.6918706447</v>
      </c>
      <c r="D19" s="236"/>
      <c r="E19" s="134">
        <f>+'[7]Monthly TD Calc'!AH285</f>
        <v>4492832.7432371089</v>
      </c>
      <c r="F19" s="134">
        <f>+'[7]Monthly TD Calc'!AI285</f>
        <v>2282884.3361096657</v>
      </c>
      <c r="G19" s="148">
        <f>+'[7]Monthly TD Calc'!AJ285</f>
        <v>2194146.453329077</v>
      </c>
      <c r="H19" s="92">
        <f>+'[7]Monthly TD Calc'!AK285</f>
        <v>1972257.9870583927</v>
      </c>
      <c r="I19" s="93">
        <f>+'[7]Monthly TD Calc'!AL285</f>
        <v>1913621.9663034007</v>
      </c>
      <c r="J19" s="200">
        <f>+'[7]Monthly TD Calc'!AM285</f>
        <v>1828029.0600136956</v>
      </c>
      <c r="K19" s="189">
        <f>+'[2]KCPL Monthly TD Calc'!AN372</f>
        <v>1180599.5282989964</v>
      </c>
      <c r="L19" s="168">
        <f>+'[2]KCPL Monthly TD Calc'!AO372</f>
        <v>1424167.2456280503</v>
      </c>
      <c r="M19" s="99"/>
      <c r="N19" s="75">
        <f>SUM(C19:L19)</f>
        <v>11434946.628107743</v>
      </c>
    </row>
    <row r="20" spans="1:15" x14ac:dyDescent="0.25">
      <c r="A20" s="62" t="s">
        <v>30</v>
      </c>
      <c r="C20" s="231">
        <v>-12489386.071311766</v>
      </c>
      <c r="D20" s="236"/>
      <c r="E20" s="134">
        <f>+'[7]Monthly TD Calc'!AH286</f>
        <v>10376465.79636794</v>
      </c>
      <c r="F20" s="134">
        <f>+'[7]Monthly TD Calc'!AI286</f>
        <v>1472389.4700007821</v>
      </c>
      <c r="G20" s="148">
        <f>+'[7]Monthly TD Calc'!AJ286</f>
        <v>1909269.0038277691</v>
      </c>
      <c r="H20" s="92">
        <f>+'[7]Monthly TD Calc'!AK286</f>
        <v>2015353.9603798056</v>
      </c>
      <c r="I20" s="93">
        <f>+'[7]Monthly TD Calc'!AL286</f>
        <v>2882385.4711485961</v>
      </c>
      <c r="J20" s="200">
        <f>+'[7]Monthly TD Calc'!AM286</f>
        <v>3237862.9428333472</v>
      </c>
      <c r="K20" s="189">
        <f>+'[2]KCPL Monthly TD Calc'!AN373</f>
        <v>3645557.4332247623</v>
      </c>
      <c r="L20" s="168">
        <f>+'[2]KCPL Monthly TD Calc'!AO373</f>
        <v>3951557.4131044107</v>
      </c>
      <c r="M20" s="99"/>
      <c r="N20" s="75">
        <f>SUM(C20:L20)</f>
        <v>17001455.419575647</v>
      </c>
    </row>
    <row r="21" spans="1:15" x14ac:dyDescent="0.25">
      <c r="C21" s="83"/>
      <c r="D21" s="235"/>
      <c r="E21" s="84"/>
      <c r="F21" s="84"/>
      <c r="G21" s="84"/>
      <c r="H21" s="83"/>
      <c r="I21" s="84"/>
      <c r="J21" s="198"/>
      <c r="K21" s="72"/>
      <c r="L21" s="72"/>
      <c r="M21" s="13"/>
    </row>
    <row r="22" spans="1:15" x14ac:dyDescent="0.25">
      <c r="A22" s="62" t="s">
        <v>94</v>
      </c>
      <c r="C22" s="50"/>
      <c r="D22" s="237"/>
      <c r="E22" s="51"/>
      <c r="F22" s="51"/>
      <c r="G22" s="51"/>
      <c r="H22" s="50"/>
      <c r="I22" s="51"/>
      <c r="J22" s="201"/>
      <c r="K22" s="68"/>
      <c r="L22" s="68"/>
      <c r="M22" s="52"/>
    </row>
    <row r="23" spans="1:15" x14ac:dyDescent="0.25">
      <c r="A23" s="62" t="s">
        <v>29</v>
      </c>
      <c r="C23" s="230">
        <v>-370670.47000000003</v>
      </c>
      <c r="D23" s="233">
        <f>ROUND('[7]Monthly TD Calc'!AG341,2)</f>
        <v>-27120.29</v>
      </c>
      <c r="E23" s="132">
        <f>ROUND('[7]Monthly TD Calc'!AH318,2)</f>
        <v>300504.51</v>
      </c>
      <c r="F23" s="132">
        <f>ROUND('[7]Monthly TD Calc'!AI318,2)</f>
        <v>137208.76999999999</v>
      </c>
      <c r="G23" s="133">
        <f>ROUND('[7]Monthly TD Calc'!AJ318,2)</f>
        <v>120447.72</v>
      </c>
      <c r="H23" s="16">
        <f>ROUND('[7]Monthly TD Calc'!AK318,2)</f>
        <v>112485.21</v>
      </c>
      <c r="I23" s="71">
        <f>ROUND('[7]Monthly TD Calc'!AL318,2)</f>
        <v>111874.56</v>
      </c>
      <c r="J23" s="200">
        <f>ROUND('[7]Monthly TD Calc'!AM318,2)</f>
        <v>109911.77</v>
      </c>
      <c r="K23" s="190">
        <f>ROUND('[2]KCPL Monthly TD Calc'!AN351,2)</f>
        <v>69120.41</v>
      </c>
      <c r="L23" s="167">
        <f>ROUND('[2]KCPL Monthly TD Calc'!AO351,2)</f>
        <v>127882.16</v>
      </c>
      <c r="M23" s="98"/>
    </row>
    <row r="24" spans="1:15" x14ac:dyDescent="0.25">
      <c r="A24" s="62" t="s">
        <v>30</v>
      </c>
      <c r="C24" s="230">
        <v>-527096.55999999994</v>
      </c>
      <c r="D24" s="233">
        <f>ROUND('[7]Monthly TD Calc'!AG342,2)</f>
        <v>-2260.81</v>
      </c>
      <c r="E24" s="132">
        <f>ROUND('[7]Monthly TD Calc'!AH319,2)</f>
        <v>441495.88</v>
      </c>
      <c r="F24" s="132">
        <f>ROUND('[7]Monthly TD Calc'!AI319,2)</f>
        <v>56346.37</v>
      </c>
      <c r="G24" s="133">
        <f>ROUND('[7]Monthly TD Calc'!AJ319,2)</f>
        <v>65716.09</v>
      </c>
      <c r="H24" s="16">
        <f>ROUND('[7]Monthly TD Calc'!AK319,2)</f>
        <v>72511.75</v>
      </c>
      <c r="I24" s="71">
        <f>ROUND('[7]Monthly TD Calc'!AL319,2)</f>
        <v>102626.48</v>
      </c>
      <c r="J24" s="200">
        <f>ROUND('[7]Monthly TD Calc'!AM319,2)</f>
        <v>118927.73</v>
      </c>
      <c r="K24" s="190">
        <f>ROUND('[2]KCPL Monthly TD Calc'!AN352,2)</f>
        <v>140436.31</v>
      </c>
      <c r="L24" s="167">
        <f>ROUND('[2]KCPL Monthly TD Calc'!AO352,2)</f>
        <v>200500.9</v>
      </c>
      <c r="M24" s="98"/>
      <c r="O24" s="63"/>
    </row>
    <row r="25" spans="1:15" x14ac:dyDescent="0.25">
      <c r="C25" s="122"/>
      <c r="D25" s="234"/>
      <c r="E25" s="18"/>
      <c r="F25" s="18"/>
      <c r="G25" s="18"/>
      <c r="H25" s="114"/>
      <c r="I25" s="18"/>
      <c r="J25" s="196"/>
      <c r="K25" s="72"/>
      <c r="L25" s="72"/>
      <c r="M25" s="13"/>
    </row>
    <row r="26" spans="1:15" ht="15.75" thickBot="1" x14ac:dyDescent="0.3">
      <c r="A26" s="3" t="s">
        <v>18</v>
      </c>
      <c r="B26" s="3"/>
      <c r="C26" s="232">
        <v>-9035.31</v>
      </c>
      <c r="D26" s="238">
        <v>-200.03</v>
      </c>
      <c r="E26" s="159">
        <v>5032.18</v>
      </c>
      <c r="F26" s="159">
        <v>4147.79</v>
      </c>
      <c r="G26" s="160">
        <v>1980.05</v>
      </c>
      <c r="H26" s="39">
        <v>24.79000000000002</v>
      </c>
      <c r="I26" s="145">
        <v>-962.73</v>
      </c>
      <c r="J26" s="202">
        <v>-1089.3</v>
      </c>
      <c r="K26" s="191">
        <v>-1147.18</v>
      </c>
      <c r="L26" s="169">
        <v>-1127.45</v>
      </c>
      <c r="M26" s="101"/>
    </row>
    <row r="27" spans="1:15" x14ac:dyDescent="0.25">
      <c r="C27" s="80"/>
      <c r="D27" s="241"/>
      <c r="E27" s="82"/>
      <c r="F27" s="82"/>
      <c r="G27" s="47"/>
      <c r="H27" s="80"/>
      <c r="I27" s="47"/>
      <c r="J27" s="203"/>
      <c r="K27" s="48"/>
      <c r="L27" s="48"/>
      <c r="M27" s="76"/>
    </row>
    <row r="28" spans="1:15" x14ac:dyDescent="0.25">
      <c r="A28" s="62" t="s">
        <v>68</v>
      </c>
      <c r="C28" s="81"/>
      <c r="D28" s="242"/>
      <c r="E28" s="49"/>
      <c r="F28" s="49"/>
      <c r="G28" s="49"/>
      <c r="H28" s="81"/>
      <c r="I28" s="49"/>
      <c r="J28" s="204"/>
      <c r="K28" s="48"/>
      <c r="L28" s="48"/>
      <c r="M28" s="76"/>
    </row>
    <row r="29" spans="1:15" x14ac:dyDescent="0.25">
      <c r="A29" s="62" t="s">
        <v>29</v>
      </c>
      <c r="C29" s="239">
        <f t="shared" ref="C29:M30" si="5">C23-C15</f>
        <v>960179.1100000001</v>
      </c>
      <c r="D29" s="243">
        <f t="shared" ref="D29" si="6">D23-D15</f>
        <v>-27120.29</v>
      </c>
      <c r="E29" s="55">
        <f t="shared" si="5"/>
        <v>-29545.229999999981</v>
      </c>
      <c r="F29" s="55">
        <f t="shared" si="5"/>
        <v>-322663.32999999996</v>
      </c>
      <c r="G29" s="131">
        <f t="shared" si="5"/>
        <v>-330736.70999999996</v>
      </c>
      <c r="H29" s="54">
        <f t="shared" si="5"/>
        <v>-255320.19</v>
      </c>
      <c r="I29" s="55">
        <f t="shared" si="5"/>
        <v>-2200.1800000000076</v>
      </c>
      <c r="J29" s="77">
        <f t="shared" si="5"/>
        <v>38334.800000000003</v>
      </c>
      <c r="K29" s="146">
        <f t="shared" si="5"/>
        <v>1251.9396200000047</v>
      </c>
      <c r="L29" s="55">
        <f t="shared" si="5"/>
        <v>39080.914900000003</v>
      </c>
      <c r="M29" s="77">
        <f t="shared" si="5"/>
        <v>-127925.5515</v>
      </c>
    </row>
    <row r="30" spans="1:15" x14ac:dyDescent="0.25">
      <c r="A30" s="62" t="s">
        <v>30</v>
      </c>
      <c r="C30" s="239">
        <f t="shared" si="5"/>
        <v>721016.1</v>
      </c>
      <c r="D30" s="243">
        <f t="shared" ref="D30" si="7">D24-D16</f>
        <v>-2260.81</v>
      </c>
      <c r="E30" s="55">
        <f t="shared" si="5"/>
        <v>56044.070000000007</v>
      </c>
      <c r="F30" s="55">
        <f t="shared" si="5"/>
        <v>-411545.32</v>
      </c>
      <c r="G30" s="131">
        <f t="shared" si="5"/>
        <v>-366683.91000000003</v>
      </c>
      <c r="H30" s="54">
        <f t="shared" si="5"/>
        <v>-299429.69</v>
      </c>
      <c r="I30" s="55">
        <f t="shared" si="5"/>
        <v>-76817.090000000011</v>
      </c>
      <c r="J30" s="77">
        <f t="shared" si="5"/>
        <v>-40508.970000000016</v>
      </c>
      <c r="K30" s="146">
        <f t="shared" si="5"/>
        <v>-34142.422910000023</v>
      </c>
      <c r="L30" s="55">
        <f t="shared" si="5"/>
        <v>8796.248259999993</v>
      </c>
      <c r="M30" s="77">
        <f t="shared" si="5"/>
        <v>-212047.87191000002</v>
      </c>
    </row>
    <row r="31" spans="1:15" x14ac:dyDescent="0.25">
      <c r="C31" s="122"/>
      <c r="D31" s="234"/>
      <c r="E31" s="17"/>
      <c r="F31" s="17"/>
      <c r="G31" s="17"/>
      <c r="H31" s="10"/>
      <c r="I31" s="17"/>
      <c r="J31" s="11"/>
      <c r="K31" s="17"/>
      <c r="L31" s="17"/>
      <c r="M31" s="11"/>
    </row>
    <row r="32" spans="1:15" ht="15.75" thickBot="1" x14ac:dyDescent="0.3">
      <c r="A32" s="62" t="s">
        <v>69</v>
      </c>
      <c r="C32" s="122"/>
      <c r="D32" s="234"/>
      <c r="E32" s="17"/>
      <c r="F32" s="17"/>
      <c r="G32" s="17"/>
      <c r="H32" s="10"/>
      <c r="I32" s="17"/>
      <c r="J32" s="11"/>
      <c r="K32" s="17"/>
      <c r="L32" s="17"/>
      <c r="M32" s="11"/>
    </row>
    <row r="33" spans="1:13" x14ac:dyDescent="0.25">
      <c r="A33" s="62" t="s">
        <v>29</v>
      </c>
      <c r="B33" s="139">
        <v>12230.999999999804</v>
      </c>
      <c r="C33" s="239">
        <f t="shared" ref="C33:E34" si="8">+B33+C29+B38</f>
        <v>972410.10999999987</v>
      </c>
      <c r="D33" s="243">
        <f t="shared" si="8"/>
        <v>940382.6599999998</v>
      </c>
      <c r="E33" s="55">
        <f t="shared" si="8"/>
        <v>910652.39999999979</v>
      </c>
      <c r="F33" s="55">
        <f t="shared" ref="F33:M33" si="9">+E33+F29+E38</f>
        <v>590740.50999999978</v>
      </c>
      <c r="G33" s="131">
        <f t="shared" si="9"/>
        <v>262325.29999999981</v>
      </c>
      <c r="H33" s="54">
        <f t="shared" si="9"/>
        <v>8344.9799999998104</v>
      </c>
      <c r="I33" s="55">
        <f t="shared" si="9"/>
        <v>6569.2299999998031</v>
      </c>
      <c r="J33" s="77">
        <f t="shared" si="9"/>
        <v>44927.929999999811</v>
      </c>
      <c r="K33" s="146">
        <f t="shared" si="9"/>
        <v>46259.939619999815</v>
      </c>
      <c r="L33" s="55">
        <f t="shared" si="9"/>
        <v>85482.684519999821</v>
      </c>
      <c r="M33" s="77">
        <f t="shared" si="9"/>
        <v>-42237.916980000184</v>
      </c>
    </row>
    <row r="34" spans="1:13" ht="15.75" thickBot="1" x14ac:dyDescent="0.3">
      <c r="A34" s="62" t="s">
        <v>30</v>
      </c>
      <c r="B34" s="140">
        <v>24478.136719999864</v>
      </c>
      <c r="C34" s="239">
        <f t="shared" si="8"/>
        <v>745494.23671999981</v>
      </c>
      <c r="D34" s="243">
        <f t="shared" si="8"/>
        <v>739105.27671999973</v>
      </c>
      <c r="E34" s="55">
        <f t="shared" si="8"/>
        <v>795134.3467199998</v>
      </c>
      <c r="F34" s="55">
        <f t="shared" ref="F34:M34" si="10">+E34+F30+E39</f>
        <v>385869.77671999979</v>
      </c>
      <c r="G34" s="131">
        <f t="shared" si="10"/>
        <v>21012.156719999759</v>
      </c>
      <c r="H34" s="54">
        <f t="shared" si="10"/>
        <v>-277777.34328000026</v>
      </c>
      <c r="I34" s="55">
        <f t="shared" si="10"/>
        <v>-354994.0732800003</v>
      </c>
      <c r="J34" s="77">
        <f t="shared" si="10"/>
        <v>-396489.67328000034</v>
      </c>
      <c r="K34" s="146">
        <f t="shared" si="10"/>
        <v>-431801.45619000035</v>
      </c>
      <c r="L34" s="55">
        <f t="shared" si="10"/>
        <v>-424294.21793000039</v>
      </c>
      <c r="M34" s="77">
        <f t="shared" si="10"/>
        <v>-637674.4898400004</v>
      </c>
    </row>
    <row r="35" spans="1:13" x14ac:dyDescent="0.25">
      <c r="C35" s="122"/>
      <c r="D35" s="234"/>
      <c r="E35" s="17"/>
      <c r="F35" s="17"/>
      <c r="G35" s="17"/>
      <c r="H35" s="10"/>
      <c r="I35" s="17"/>
      <c r="J35" s="11"/>
      <c r="K35" s="17"/>
      <c r="L35" s="17"/>
      <c r="M35" s="11"/>
    </row>
    <row r="36" spans="1:13" x14ac:dyDescent="0.25">
      <c r="A36" s="53" t="s">
        <v>65</v>
      </c>
      <c r="B36" s="53"/>
      <c r="C36" s="127"/>
      <c r="D36" s="244"/>
      <c r="E36" s="102">
        <f>+'PCR Cycle 1'!D38</f>
        <v>2.9731599999999999E-3</v>
      </c>
      <c r="F36" s="102">
        <f>+'PCR Cycle 1'!E38</f>
        <v>3.0868100000000002E-3</v>
      </c>
      <c r="G36" s="102">
        <f>+'PCR Cycle 1'!F38</f>
        <v>3.13277E-3</v>
      </c>
      <c r="H36" s="103">
        <f>+'PCR Cycle 1'!G38</f>
        <v>3.1206900000000002E-3</v>
      </c>
      <c r="I36" s="102">
        <f>+'PCR Cycle 1'!H38</f>
        <v>3.11648E-3</v>
      </c>
      <c r="J36" s="115">
        <f>+'PCR Cycle 1'!I38</f>
        <v>3.1080600000000002E-3</v>
      </c>
      <c r="K36" s="102">
        <f>+'PCR Cycle 1'!J38</f>
        <v>3.1080600000000002E-3</v>
      </c>
      <c r="L36" s="102">
        <f>+'PCR Cycle 1'!K38</f>
        <v>3.1080600000000002E-3</v>
      </c>
      <c r="M36" s="104"/>
    </row>
    <row r="37" spans="1:13" x14ac:dyDescent="0.25">
      <c r="A37" s="53" t="s">
        <v>44</v>
      </c>
      <c r="B37" s="53"/>
      <c r="C37" s="129"/>
      <c r="D37" s="245"/>
      <c r="E37" s="102"/>
      <c r="F37" s="102"/>
      <c r="G37" s="102"/>
      <c r="H37" s="103"/>
      <c r="I37" s="102"/>
      <c r="J37" s="104"/>
      <c r="K37" s="102"/>
      <c r="L37" s="102"/>
      <c r="M37" s="104"/>
    </row>
    <row r="38" spans="1:13" x14ac:dyDescent="0.25">
      <c r="A38" s="62" t="s">
        <v>29</v>
      </c>
      <c r="C38" s="239">
        <v>-4907.16</v>
      </c>
      <c r="D38" s="243">
        <f>ROUND('[7]Monthly TD Calc'!AG351,2)</f>
        <v>-185.03</v>
      </c>
      <c r="E38" s="55">
        <f>ROUND((D33+D38+E29/2)*E$36,2)</f>
        <v>2751.44</v>
      </c>
      <c r="F38" s="55">
        <f t="shared" ref="F38:F39" si="11">ROUND((E33+E38+F29/2)*F$36,2)</f>
        <v>2321.5</v>
      </c>
      <c r="G38" s="131">
        <f t="shared" ref="G38:G39" si="12">ROUND((F33+F38+G29/2)*G$36,2)</f>
        <v>1339.87</v>
      </c>
      <c r="H38" s="54">
        <f t="shared" ref="H38:H39" si="13">ROUND((G33+G38+H29/2)*H$36,2)</f>
        <v>424.43</v>
      </c>
      <c r="I38" s="146">
        <f t="shared" ref="I38:J39" si="14">ROUND((H33+H38+I29/2)*I$36,2)</f>
        <v>23.9</v>
      </c>
      <c r="J38" s="77">
        <f t="shared" si="14"/>
        <v>80.069999999999993</v>
      </c>
      <c r="K38" s="192">
        <f t="shared" ref="K38:K39" si="15">ROUND((J33+J38+K29/2)*K$36,2)</f>
        <v>141.83000000000001</v>
      </c>
      <c r="L38" s="131">
        <f t="shared" ref="L38:L39" si="16">ROUND((K33+K38+L29/2)*L$36,2)</f>
        <v>204.95</v>
      </c>
      <c r="M38" s="77">
        <f t="shared" ref="M38:M39" si="17">ROUND((L33+L38+M29/2)*M$36,2)</f>
        <v>0</v>
      </c>
    </row>
    <row r="39" spans="1:13" ht="15.75" thickBot="1" x14ac:dyDescent="0.3">
      <c r="A39" s="62" t="s">
        <v>30</v>
      </c>
      <c r="C39" s="239">
        <v>-4128.1499999999996</v>
      </c>
      <c r="D39" s="243">
        <f>ROUND('[7]Monthly TD Calc'!AG352,2)</f>
        <v>-15</v>
      </c>
      <c r="E39" s="55">
        <f>ROUND((D34+D39+E30/2)*E$36,2)</f>
        <v>2280.75</v>
      </c>
      <c r="F39" s="55">
        <f t="shared" si="11"/>
        <v>1826.29</v>
      </c>
      <c r="G39" s="131">
        <f t="shared" si="12"/>
        <v>640.19000000000005</v>
      </c>
      <c r="H39" s="54">
        <f t="shared" si="13"/>
        <v>-399.64</v>
      </c>
      <c r="I39" s="146">
        <f t="shared" si="14"/>
        <v>-986.63</v>
      </c>
      <c r="J39" s="77">
        <f t="shared" si="14"/>
        <v>-1169.3599999999999</v>
      </c>
      <c r="K39" s="192">
        <f t="shared" si="15"/>
        <v>-1289.01</v>
      </c>
      <c r="L39" s="131">
        <f t="shared" si="16"/>
        <v>-1332.4</v>
      </c>
      <c r="M39" s="77">
        <f t="shared" si="17"/>
        <v>0</v>
      </c>
    </row>
    <row r="40" spans="1:13" ht="16.5" thickTop="1" thickBot="1" x14ac:dyDescent="0.3">
      <c r="A40" s="70" t="s">
        <v>25</v>
      </c>
      <c r="B40" s="70"/>
      <c r="C40" s="240">
        <v>0</v>
      </c>
      <c r="D40" s="246"/>
      <c r="E40" s="56">
        <f>SUM(E38:E39)+SUM(E33:E34)-E43</f>
        <v>0</v>
      </c>
      <c r="F40" s="56">
        <f t="shared" ref="F40:M40" si="18">SUM(F38:F39)+SUM(F33:F34)-F43</f>
        <v>0</v>
      </c>
      <c r="G40" s="66">
        <f t="shared" si="18"/>
        <v>-5.2386894822120667E-10</v>
      </c>
      <c r="H40" s="67">
        <f t="shared" si="18"/>
        <v>-4.6566128730773926E-10</v>
      </c>
      <c r="I40" s="56">
        <f t="shared" si="18"/>
        <v>-4.6566128730773926E-10</v>
      </c>
      <c r="J40" s="78">
        <f t="shared" si="18"/>
        <v>-4.6566128730773926E-10</v>
      </c>
      <c r="K40" s="193">
        <f t="shared" si="18"/>
        <v>-4.6566128730773926E-10</v>
      </c>
      <c r="L40" s="66">
        <f t="shared" si="18"/>
        <v>-4.6566128730773926E-10</v>
      </c>
      <c r="M40" s="78">
        <f t="shared" si="18"/>
        <v>0</v>
      </c>
    </row>
    <row r="41" spans="1:13" ht="16.5" thickTop="1" thickBot="1" x14ac:dyDescent="0.3">
      <c r="A41" s="70" t="s">
        <v>26</v>
      </c>
      <c r="B41" s="70"/>
      <c r="C41" s="240">
        <v>0</v>
      </c>
      <c r="D41" s="246"/>
      <c r="E41" s="56">
        <f>SUM(E38:E39)-E26</f>
        <v>1.0000000000218279E-2</v>
      </c>
      <c r="F41" s="56">
        <f t="shared" ref="F41:J41" si="19">SUM(F38:F39)-F26</f>
        <v>0</v>
      </c>
      <c r="G41" s="66">
        <f t="shared" ref="G41:I41" si="20">SUM(G38:G39)-G26</f>
        <v>9.9999999999909051E-3</v>
      </c>
      <c r="H41" s="67">
        <f t="shared" si="20"/>
        <v>0</v>
      </c>
      <c r="I41" s="56">
        <f t="shared" si="20"/>
        <v>0</v>
      </c>
      <c r="J41" s="78">
        <f t="shared" si="19"/>
        <v>9.9999999999909051E-3</v>
      </c>
      <c r="K41" s="194">
        <f t="shared" ref="K41:M41" si="21">SUM(K38:K39)-K26</f>
        <v>0</v>
      </c>
      <c r="L41" s="56">
        <f t="shared" si="21"/>
        <v>0</v>
      </c>
      <c r="M41" s="56">
        <f t="shared" si="21"/>
        <v>0</v>
      </c>
    </row>
    <row r="42" spans="1:13" ht="16.5" thickTop="1" thickBot="1" x14ac:dyDescent="0.3">
      <c r="C42" s="122"/>
      <c r="D42" s="234"/>
      <c r="E42" s="17"/>
      <c r="F42" s="17"/>
      <c r="G42" s="17"/>
      <c r="H42" s="10"/>
      <c r="I42" s="17"/>
      <c r="J42" s="11"/>
      <c r="K42" s="17"/>
      <c r="L42" s="17"/>
      <c r="M42" s="11"/>
    </row>
    <row r="43" spans="1:13" ht="15.75" thickBot="1" x14ac:dyDescent="0.3">
      <c r="A43" s="62" t="s">
        <v>42</v>
      </c>
      <c r="B43" s="142">
        <f>+B33+B34</f>
        <v>36709.136719999668</v>
      </c>
      <c r="C43" s="239">
        <f>(C12-SUM(C15:C16))+SUM(C38:C39)+B43</f>
        <v>1708869.0367199997</v>
      </c>
      <c r="D43" s="243">
        <f>(D12-SUM(D15:D16))+SUM(D38:D39)+C43</f>
        <v>1679287.9067199999</v>
      </c>
      <c r="E43" s="55">
        <f>(E12-SUM(E15:E16))+SUM(E38:E39)+D43</f>
        <v>1710818.9367199999</v>
      </c>
      <c r="F43" s="55">
        <f t="shared" ref="F43:M43" si="22">(F12-SUM(F15:F16))+SUM(F38:F39)+E43</f>
        <v>980758.0767199999</v>
      </c>
      <c r="G43" s="131">
        <f t="shared" si="22"/>
        <v>285317.51672000007</v>
      </c>
      <c r="H43" s="54">
        <f t="shared" si="22"/>
        <v>-269407.57328000001</v>
      </c>
      <c r="I43" s="55">
        <f t="shared" si="22"/>
        <v>-349387.57328000001</v>
      </c>
      <c r="J43" s="77">
        <f t="shared" si="22"/>
        <v>-352651.03328000003</v>
      </c>
      <c r="K43" s="192">
        <f t="shared" si="22"/>
        <v>-386688.69657000009</v>
      </c>
      <c r="L43" s="131">
        <f t="shared" si="22"/>
        <v>-339938.9834100001</v>
      </c>
      <c r="M43" s="77">
        <f t="shared" si="22"/>
        <v>-679912.40682000015</v>
      </c>
    </row>
    <row r="44" spans="1:13" x14ac:dyDescent="0.25">
      <c r="A44" s="62" t="s">
        <v>14</v>
      </c>
      <c r="C44" s="143"/>
      <c r="D44" s="247"/>
      <c r="E44" s="17"/>
      <c r="F44" s="17"/>
      <c r="G44" s="17"/>
      <c r="H44" s="10"/>
      <c r="I44" s="17"/>
      <c r="J44" s="11"/>
      <c r="K44" s="17"/>
      <c r="L44" s="17"/>
      <c r="M44" s="11"/>
    </row>
    <row r="45" spans="1:13" ht="15.75" thickBot="1" x14ac:dyDescent="0.3">
      <c r="A45" s="51"/>
      <c r="B45" s="51"/>
      <c r="C45" s="173"/>
      <c r="D45" s="248"/>
      <c r="E45" s="58"/>
      <c r="F45" s="58"/>
      <c r="G45" s="58"/>
      <c r="H45" s="57"/>
      <c r="I45" s="58"/>
      <c r="J45" s="59"/>
      <c r="K45" s="58"/>
      <c r="L45" s="58"/>
      <c r="M45" s="59"/>
    </row>
    <row r="47" spans="1:13" x14ac:dyDescent="0.25">
      <c r="A47" s="85" t="s">
        <v>13</v>
      </c>
      <c r="B47" s="85"/>
      <c r="C47" s="85"/>
      <c r="D47" s="85"/>
    </row>
    <row r="48" spans="1:13" ht="34.5" customHeight="1" x14ac:dyDescent="0.25">
      <c r="A48" s="259" t="s">
        <v>143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27"/>
      <c r="L48" s="170"/>
      <c r="M48" s="170"/>
    </row>
    <row r="49" spans="1:13" ht="42.75" customHeight="1" x14ac:dyDescent="0.25">
      <c r="A49" s="259" t="s">
        <v>144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170"/>
      <c r="M49" s="170"/>
    </row>
    <row r="50" spans="1:13" ht="33.75" customHeight="1" x14ac:dyDescent="0.25">
      <c r="A50" s="259" t="s">
        <v>145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27"/>
      <c r="L50" s="170"/>
      <c r="M50" s="170"/>
    </row>
    <row r="51" spans="1:13" x14ac:dyDescent="0.25">
      <c r="A51" s="3" t="s">
        <v>91</v>
      </c>
      <c r="B51" s="3"/>
      <c r="C51" s="3"/>
      <c r="D51" s="3"/>
    </row>
    <row r="52" spans="1:13" x14ac:dyDescent="0.25">
      <c r="A52" s="79" t="s">
        <v>137</v>
      </c>
      <c r="B52" s="3"/>
      <c r="C52" s="3"/>
      <c r="D52" s="3"/>
    </row>
    <row r="53" spans="1:13" x14ac:dyDescent="0.25">
      <c r="A53" s="3" t="s">
        <v>95</v>
      </c>
      <c r="B53" s="3"/>
      <c r="C53" s="3"/>
      <c r="D53" s="3"/>
    </row>
    <row r="54" spans="1:13" x14ac:dyDescent="0.25">
      <c r="A54" s="3"/>
      <c r="B54" s="3"/>
      <c r="C54" s="3"/>
      <c r="D54" s="3"/>
    </row>
  </sheetData>
  <mergeCells count="6">
    <mergeCell ref="A50:J50"/>
    <mergeCell ref="E10:G10"/>
    <mergeCell ref="A48:J48"/>
    <mergeCell ref="A49:K49"/>
    <mergeCell ref="H10:J10"/>
    <mergeCell ref="K10:M10"/>
  </mergeCells>
  <pageMargins left="0.2" right="0.2" top="0.75" bottom="0.25" header="0.3" footer="0.3"/>
  <pageSetup scale="52"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6"/>
  <sheetViews>
    <sheetView workbookViewId="0"/>
  </sheetViews>
  <sheetFormatPr defaultRowHeight="15" x14ac:dyDescent="0.25"/>
  <cols>
    <col min="1" max="1" width="58.140625" customWidth="1"/>
    <col min="2" max="2" width="14.28515625" bestFit="1" customWidth="1"/>
    <col min="3" max="3" width="14.28515625" style="62" customWidth="1"/>
    <col min="4" max="4" width="13.28515625" bestFit="1" customWidth="1"/>
  </cols>
  <sheetData>
    <row r="1" spans="1:5" x14ac:dyDescent="0.25">
      <c r="A1" s="79" t="str">
        <f>+PPC!A1</f>
        <v>Kansas City Power &amp; Light Company - DSIM Rider Update Filed 05/31/2019</v>
      </c>
      <c r="B1" s="62"/>
      <c r="D1" s="62"/>
      <c r="E1" s="62"/>
    </row>
    <row r="2" spans="1:5" x14ac:dyDescent="0.25">
      <c r="A2" s="9" t="str">
        <f>+PPC!A2</f>
        <v>Projections for Cycle 2 July 2019 - December 2019 DSIM</v>
      </c>
      <c r="B2" s="62"/>
      <c r="D2" s="62"/>
      <c r="E2" s="62"/>
    </row>
    <row r="3" spans="1:5" ht="45.75" customHeight="1" x14ac:dyDescent="0.25">
      <c r="A3" s="62"/>
      <c r="B3" s="254" t="s">
        <v>97</v>
      </c>
      <c r="C3" s="254"/>
      <c r="D3" s="254"/>
      <c r="E3" s="62"/>
    </row>
    <row r="4" spans="1:5" x14ac:dyDescent="0.25">
      <c r="A4" s="62"/>
      <c r="D4" s="64"/>
      <c r="E4" s="62"/>
    </row>
    <row r="5" spans="1:5" s="62" customFormat="1" x14ac:dyDescent="0.25">
      <c r="A5" s="185" t="s">
        <v>100</v>
      </c>
      <c r="B5" s="86"/>
      <c r="C5" s="86"/>
      <c r="D5" s="183">
        <v>9917518.1799999997</v>
      </c>
    </row>
    <row r="6" spans="1:5" s="62" customFormat="1" x14ac:dyDescent="0.25">
      <c r="A6" s="185"/>
      <c r="B6" s="86"/>
      <c r="C6" s="86"/>
      <c r="D6" s="183"/>
    </row>
    <row r="7" spans="1:5" s="62" customFormat="1" x14ac:dyDescent="0.25">
      <c r="A7" s="185" t="s">
        <v>101</v>
      </c>
      <c r="B7" s="86"/>
      <c r="C7" s="86"/>
      <c r="D7" s="183">
        <v>10412605.24</v>
      </c>
    </row>
    <row r="8" spans="1:5" s="62" customFormat="1" x14ac:dyDescent="0.25">
      <c r="A8" s="22"/>
      <c r="B8" s="86"/>
      <c r="C8" s="86"/>
      <c r="D8" s="183"/>
    </row>
    <row r="9" spans="1:5" s="62" customFormat="1" x14ac:dyDescent="0.25">
      <c r="A9" s="185" t="s">
        <v>103</v>
      </c>
      <c r="B9" s="86"/>
      <c r="C9" s="86"/>
      <c r="D9" s="183">
        <f>ROUND(D7/3,2)*0</f>
        <v>0</v>
      </c>
    </row>
    <row r="10" spans="1:5" s="62" customFormat="1" x14ac:dyDescent="0.25">
      <c r="A10" s="3" t="s">
        <v>119</v>
      </c>
      <c r="B10" s="86"/>
      <c r="C10" s="86"/>
      <c r="D10" s="183"/>
    </row>
    <row r="11" spans="1:5" s="62" customFormat="1" ht="30" x14ac:dyDescent="0.25">
      <c r="A11" s="22"/>
      <c r="B11" s="86" t="s">
        <v>104</v>
      </c>
      <c r="C11" s="86" t="s">
        <v>105</v>
      </c>
      <c r="D11" s="180"/>
    </row>
    <row r="12" spans="1:5" x14ac:dyDescent="0.25">
      <c r="A12" s="22" t="s">
        <v>29</v>
      </c>
      <c r="B12" s="93">
        <v>55891906.5</v>
      </c>
      <c r="C12" s="181">
        <f>+B12/$B$14</f>
        <v>0.29573570798660664</v>
      </c>
      <c r="D12" s="36">
        <f>ROUND($D$9*C12,2)</f>
        <v>0</v>
      </c>
      <c r="E12" s="4"/>
    </row>
    <row r="13" spans="1:5" x14ac:dyDescent="0.25">
      <c r="A13" s="22" t="s">
        <v>30</v>
      </c>
      <c r="B13" s="93">
        <v>133100849.5</v>
      </c>
      <c r="C13" s="181">
        <f>+B13/$B$14</f>
        <v>0.70426429201339336</v>
      </c>
      <c r="D13" s="36">
        <f>ROUND($D$9*C13,2)</f>
        <v>0</v>
      </c>
      <c r="E13" s="4"/>
    </row>
    <row r="14" spans="1:5" ht="15.75" thickBot="1" x14ac:dyDescent="0.3">
      <c r="A14" s="22" t="s">
        <v>6</v>
      </c>
      <c r="B14" s="35">
        <f>SUM(B12:B13)</f>
        <v>188992756</v>
      </c>
      <c r="C14" s="182">
        <f>SUM(C12:C13)</f>
        <v>1</v>
      </c>
      <c r="D14" s="24">
        <f>SUM(D12:D13)</f>
        <v>0</v>
      </c>
      <c r="E14" s="4"/>
    </row>
    <row r="15" spans="1:5" ht="16.5" thickTop="1" thickBot="1" x14ac:dyDescent="0.3">
      <c r="A15" s="62"/>
      <c r="B15" s="33" t="s">
        <v>12</v>
      </c>
      <c r="C15" s="33"/>
      <c r="D15" s="21">
        <f>ROUND(D7/3,2)*0-D14</f>
        <v>0</v>
      </c>
      <c r="E15" s="2"/>
    </row>
    <row r="16" spans="1:5" ht="15.75" thickTop="1" x14ac:dyDescent="0.25">
      <c r="A16" s="62"/>
      <c r="B16" s="62"/>
      <c r="D16" s="62"/>
      <c r="E16" s="4"/>
    </row>
    <row r="17" spans="1:5" x14ac:dyDescent="0.25">
      <c r="A17" s="62"/>
      <c r="B17" s="62"/>
      <c r="D17" s="62"/>
      <c r="E17" s="4"/>
    </row>
    <row r="18" spans="1:5" x14ac:dyDescent="0.25">
      <c r="A18" s="62"/>
      <c r="B18" s="62"/>
      <c r="D18" s="62"/>
      <c r="E18" s="62"/>
    </row>
    <row r="19" spans="1:5" x14ac:dyDescent="0.25">
      <c r="A19" s="62"/>
      <c r="B19" s="62"/>
      <c r="D19" s="62"/>
      <c r="E19" s="62"/>
    </row>
    <row r="20" spans="1:5" x14ac:dyDescent="0.25">
      <c r="A20" s="62"/>
      <c r="B20" s="62"/>
      <c r="D20" s="62"/>
      <c r="E20" s="62"/>
    </row>
    <row r="21" spans="1:5" x14ac:dyDescent="0.25">
      <c r="A21" s="69" t="s">
        <v>13</v>
      </c>
      <c r="B21" s="62"/>
      <c r="D21" s="62"/>
      <c r="E21" s="62"/>
    </row>
    <row r="22" spans="1:5" x14ac:dyDescent="0.25">
      <c r="A22" s="3" t="s">
        <v>120</v>
      </c>
      <c r="B22" s="62"/>
      <c r="D22" s="62"/>
      <c r="E22" s="62"/>
    </row>
    <row r="23" spans="1:5" s="62" customFormat="1" x14ac:dyDescent="0.25">
      <c r="A23" s="3" t="s">
        <v>121</v>
      </c>
    </row>
    <row r="24" spans="1:5" s="62" customFormat="1" x14ac:dyDescent="0.25">
      <c r="A24" s="3" t="s">
        <v>122</v>
      </c>
    </row>
    <row r="25" spans="1:5" x14ac:dyDescent="0.25">
      <c r="A25" s="3" t="s">
        <v>123</v>
      </c>
      <c r="B25" s="62"/>
      <c r="D25" s="62"/>
      <c r="E25" s="62"/>
    </row>
    <row r="26" spans="1:5" s="62" customFormat="1" x14ac:dyDescent="0.25">
      <c r="A26" s="3" t="s">
        <v>102</v>
      </c>
    </row>
  </sheetData>
  <mergeCells count="1">
    <mergeCell ref="B3:D3"/>
  </mergeCells>
  <pageMargins left="0.2" right="0.2" top="0.75" bottom="0.25" header="0.3" footer="0.3"/>
  <pageSetup orientation="landscape" r:id="rId1"/>
  <headerFooter>
    <oddHeader>&amp;C&amp;F &amp;A&amp;RCONFIDENTIAL</oddHeader>
    <oddFooter>&amp;R&amp;1#&amp;"Calibri"&amp;10&amp;KA80000Internal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50"/>
  <sheetViews>
    <sheetView workbookViewId="0"/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5.28515625" style="62" bestFit="1" customWidth="1"/>
    <col min="16" max="16" width="17.42578125" style="62" bestFit="1" customWidth="1"/>
    <col min="17" max="17" width="16.28515625" style="62" bestFit="1" customWidth="1"/>
    <col min="18" max="18" width="15.28515625" style="62" bestFit="1" customWidth="1"/>
    <col min="19" max="19" width="12.42578125" style="62" customWidth="1"/>
    <col min="20" max="21" width="14.28515625" style="62" bestFit="1" customWidth="1"/>
    <col min="22" max="16384" width="9.140625" style="62"/>
  </cols>
  <sheetData>
    <row r="1" spans="1:34" x14ac:dyDescent="0.25">
      <c r="A1" s="3" t="str">
        <f>+PPC!A1</f>
        <v>Kansas City Power &amp; Light Company - DSIM Rider Update Filed 05/31/2019</v>
      </c>
      <c r="B1" s="3"/>
      <c r="C1" s="3"/>
    </row>
    <row r="2" spans="1:34" x14ac:dyDescent="0.25">
      <c r="D2" s="3" t="s">
        <v>108</v>
      </c>
    </row>
    <row r="3" spans="1:34" ht="30" x14ac:dyDescent="0.25">
      <c r="D3" s="64" t="s">
        <v>62</v>
      </c>
      <c r="E3" s="86" t="s">
        <v>77</v>
      </c>
      <c r="F3" s="64" t="s">
        <v>3</v>
      </c>
      <c r="G3" s="86" t="s">
        <v>71</v>
      </c>
      <c r="H3" s="64" t="s">
        <v>11</v>
      </c>
      <c r="I3" s="64" t="s">
        <v>78</v>
      </c>
      <c r="R3" s="64"/>
    </row>
    <row r="4" spans="1:34" x14ac:dyDescent="0.25">
      <c r="A4" s="22" t="s">
        <v>29</v>
      </c>
      <c r="B4" s="22"/>
      <c r="C4" s="22"/>
      <c r="D4" s="24">
        <f>SUM(C15:L15)</f>
        <v>-76816.583310000002</v>
      </c>
      <c r="E4" s="24">
        <f>SUM(C19:K19)</f>
        <v>0</v>
      </c>
      <c r="F4" s="24">
        <f>E4-D4</f>
        <v>76816.583310000002</v>
      </c>
      <c r="G4" s="24">
        <f>+B29</f>
        <v>-90346.117899999983</v>
      </c>
      <c r="H4" s="24">
        <f>SUM(C34:K34)</f>
        <v>-1292.0200000000002</v>
      </c>
      <c r="I4" s="36">
        <f>SUM(F4:H4)</f>
        <v>-14821.554589999982</v>
      </c>
      <c r="J4" s="63">
        <f>+I4-L29</f>
        <v>4.3655745685100555E-11</v>
      </c>
      <c r="M4" s="63"/>
    </row>
    <row r="5" spans="1:34" ht="15.75" thickBot="1" x14ac:dyDescent="0.3">
      <c r="A5" s="22" t="s">
        <v>30</v>
      </c>
      <c r="B5" s="22"/>
      <c r="C5" s="22"/>
      <c r="D5" s="24">
        <f>SUM(C16:L16)</f>
        <v>148402.41204</v>
      </c>
      <c r="E5" s="24">
        <f>SUM(C20:K20)</f>
        <v>0</v>
      </c>
      <c r="F5" s="24">
        <f>E5-D5</f>
        <v>-148402.41204</v>
      </c>
      <c r="G5" s="24">
        <f>+B30</f>
        <v>142452.68211999981</v>
      </c>
      <c r="H5" s="24">
        <f>SUM(C35:K35)</f>
        <v>1735.3200000000002</v>
      </c>
      <c r="I5" s="36">
        <f>SUM(F5:H5)</f>
        <v>-4214.4099200001874</v>
      </c>
      <c r="J5" s="63">
        <f>+I5-L30</f>
        <v>2.6375346351414919E-11</v>
      </c>
      <c r="M5" s="63"/>
    </row>
    <row r="6" spans="1:34" ht="16.5" thickTop="1" thickBot="1" x14ac:dyDescent="0.3">
      <c r="D6" s="40">
        <f t="shared" ref="D6" si="0">SUM(D4:D5)</f>
        <v>71585.828729999994</v>
      </c>
      <c r="E6" s="40">
        <f>SUM(E4:E5)</f>
        <v>0</v>
      </c>
      <c r="F6" s="40">
        <f>SUM(F4:F5)</f>
        <v>-71585.828729999994</v>
      </c>
      <c r="G6" s="40">
        <f>SUM(G4:G5)</f>
        <v>52106.564219999826</v>
      </c>
      <c r="H6" s="40">
        <f>SUM(H4:H5)</f>
        <v>443.29999999999995</v>
      </c>
      <c r="I6" s="40">
        <f>SUM(I4:I5)</f>
        <v>-19035.964510000169</v>
      </c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105.75" thickBot="1" x14ac:dyDescent="0.3">
      <c r="B10" s="141" t="str">
        <f>+'PCR Cycle 1'!B8</f>
        <v>Cumulative Over/Under Carryover From 12/01/2018 Filing</v>
      </c>
      <c r="C10" s="179" t="str">
        <f>+'PCR Cycle 1'!C8</f>
        <v>Reverse November-18 - January-19  Forecast From 12/01/2018 Filing</v>
      </c>
      <c r="D10" s="260" t="s">
        <v>39</v>
      </c>
      <c r="E10" s="260"/>
      <c r="F10" s="261"/>
      <c r="G10" s="266" t="s">
        <v>39</v>
      </c>
      <c r="H10" s="267"/>
      <c r="I10" s="268"/>
      <c r="J10" s="262" t="s">
        <v>9</v>
      </c>
      <c r="K10" s="263"/>
      <c r="L10" s="264"/>
    </row>
    <row r="11" spans="1:34" x14ac:dyDescent="0.25">
      <c r="A11" s="62" t="s">
        <v>109</v>
      </c>
      <c r="C11" s="128"/>
      <c r="D11" s="20">
        <f>+'PCR Cycle 1'!D9</f>
        <v>43434</v>
      </c>
      <c r="E11" s="20">
        <f t="shared" ref="E11:L11" si="1">EOMONTH(D11,1)</f>
        <v>43465</v>
      </c>
      <c r="F11" s="20">
        <f t="shared" si="1"/>
        <v>43496</v>
      </c>
      <c r="G11" s="14">
        <f t="shared" si="1"/>
        <v>43524</v>
      </c>
      <c r="H11" s="20">
        <f t="shared" si="1"/>
        <v>43555</v>
      </c>
      <c r="I11" s="15">
        <f t="shared" si="1"/>
        <v>43585</v>
      </c>
      <c r="J11" s="20">
        <f t="shared" si="1"/>
        <v>43616</v>
      </c>
      <c r="K11" s="20">
        <f t="shared" si="1"/>
        <v>43646</v>
      </c>
      <c r="L11" s="15">
        <f t="shared" si="1"/>
        <v>43677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62" t="s">
        <v>6</v>
      </c>
      <c r="C12" s="120">
        <v>0</v>
      </c>
      <c r="D12" s="132">
        <f t="shared" ref="D12:H12" si="2">SUM(D19:D20)</f>
        <v>0</v>
      </c>
      <c r="E12" s="132">
        <f t="shared" si="2"/>
        <v>0</v>
      </c>
      <c r="F12" s="133">
        <f t="shared" si="2"/>
        <v>0</v>
      </c>
      <c r="G12" s="16">
        <f t="shared" si="2"/>
        <v>0</v>
      </c>
      <c r="H12" s="71">
        <f t="shared" si="2"/>
        <v>0</v>
      </c>
      <c r="I12" s="195">
        <f>+I19+I20</f>
        <v>0</v>
      </c>
      <c r="J12" s="188">
        <f t="shared" ref="J12:K12" si="3">+J19+J20</f>
        <v>0</v>
      </c>
      <c r="K12" s="97">
        <f t="shared" si="3"/>
        <v>0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s="62" t="s">
        <v>110</v>
      </c>
      <c r="C14" s="122"/>
      <c r="D14" s="18"/>
      <c r="E14" s="18"/>
      <c r="F14" s="18"/>
      <c r="G14" s="114"/>
      <c r="H14" s="18"/>
      <c r="I14" s="196"/>
      <c r="J14" s="44"/>
      <c r="K14" s="44"/>
      <c r="L14" s="42"/>
      <c r="M14" s="3" t="s">
        <v>66</v>
      </c>
      <c r="N14" s="53"/>
    </row>
    <row r="15" spans="1:34" x14ac:dyDescent="0.25">
      <c r="A15" s="62" t="s">
        <v>29</v>
      </c>
      <c r="C15" s="120">
        <v>-6654.2479000000003</v>
      </c>
      <c r="D15" s="159">
        <f>ROUND('[3]November 2018 Combined'!F24,2)</f>
        <v>1666.52</v>
      </c>
      <c r="E15" s="159">
        <f>ROUND('[3]December 2018 Combined'!F24,2)</f>
        <v>2290.2800000000002</v>
      </c>
      <c r="F15" s="159">
        <f>ROUND('[4]January 2019 Combined'!F24,2)</f>
        <v>2324.0700000000002</v>
      </c>
      <c r="G15" s="218">
        <f>ROUND('[4]February 2019 Combined'!F24,2)</f>
        <v>-5347.26</v>
      </c>
      <c r="H15" s="144">
        <f>ROUND('[4]March 2019 Combined'!F24,2)</f>
        <v>-16970.22</v>
      </c>
      <c r="I15" s="197">
        <f>ROUND('[4]April 2019 Combined'!F24,2)</f>
        <v>-10817.75</v>
      </c>
      <c r="J15" s="146">
        <f>'PCR Cycle 1'!J21*$M15</f>
        <v>-10327.81071</v>
      </c>
      <c r="K15" s="55">
        <f>'PCR Cycle 1'!K21*$M15</f>
        <v>-13513.23295</v>
      </c>
      <c r="L15" s="77">
        <f>'PCR Cycle 1'!L21*$M15</f>
        <v>-19466.93175</v>
      </c>
      <c r="M15" s="88">
        <v>-6.9999999999999994E-5</v>
      </c>
      <c r="N15" s="4"/>
    </row>
    <row r="16" spans="1:34" x14ac:dyDescent="0.25">
      <c r="A16" s="62" t="s">
        <v>30</v>
      </c>
      <c r="C16" s="120">
        <v>-31731.677879999999</v>
      </c>
      <c r="D16" s="159">
        <f>ROUND('[3]November 2018 Combined'!F25,2)</f>
        <v>26291.77</v>
      </c>
      <c r="E16" s="159">
        <f>ROUND('[3]December 2018 Combined'!F25,2)</f>
        <v>-329.9</v>
      </c>
      <c r="F16" s="159">
        <f>ROUND('[4]January 2019 Combined'!F25,2)</f>
        <v>10987.74</v>
      </c>
      <c r="G16" s="218">
        <f>ROUND('[4]February 2019 Combined'!F25,2)</f>
        <v>17431</v>
      </c>
      <c r="H16" s="144">
        <f>ROUND('[4]March 2019 Combined'!F25,2)</f>
        <v>24565.24</v>
      </c>
      <c r="I16" s="197">
        <f>ROUND('[4]April 2019 Combined'!F25,2)</f>
        <v>21809.439999999999</v>
      </c>
      <c r="J16" s="146">
        <f>'PCR Cycle 1'!J22*$M16</f>
        <v>23961.786869999996</v>
      </c>
      <c r="K16" s="55">
        <f>'PCR Cycle 1'!K22*$M16</f>
        <v>26312.403179999998</v>
      </c>
      <c r="L16" s="77">
        <f>'PCR Cycle 1'!L22*$M16</f>
        <v>29104.609869999997</v>
      </c>
      <c r="M16" s="88">
        <v>6.9999999999999994E-5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8"/>
      <c r="J17" s="72"/>
      <c r="K17" s="72"/>
      <c r="L17" s="13"/>
      <c r="N17" s="4"/>
    </row>
    <row r="18" spans="1:14" x14ac:dyDescent="0.25">
      <c r="A18" s="62" t="s">
        <v>112</v>
      </c>
      <c r="C18" s="50"/>
      <c r="D18" s="51"/>
      <c r="E18" s="51"/>
      <c r="F18" s="51"/>
      <c r="G18" s="50"/>
      <c r="H18" s="51"/>
      <c r="I18" s="201"/>
      <c r="J18" s="68"/>
      <c r="K18" s="68"/>
      <c r="L18" s="52"/>
    </row>
    <row r="19" spans="1:14" x14ac:dyDescent="0.25">
      <c r="A19" s="62" t="s">
        <v>29</v>
      </c>
      <c r="C19" s="120">
        <v>0</v>
      </c>
      <c r="D19" s="132">
        <v>0</v>
      </c>
      <c r="E19" s="132">
        <v>0</v>
      </c>
      <c r="F19" s="133">
        <v>0</v>
      </c>
      <c r="G19" s="16">
        <v>0</v>
      </c>
      <c r="H19" s="71">
        <v>0</v>
      </c>
      <c r="I19" s="195">
        <v>0</v>
      </c>
      <c r="J19" s="190">
        <v>0</v>
      </c>
      <c r="K19" s="167">
        <v>0</v>
      </c>
      <c r="L19" s="98"/>
    </row>
    <row r="20" spans="1:14" x14ac:dyDescent="0.25">
      <c r="A20" s="62" t="s">
        <v>30</v>
      </c>
      <c r="C20" s="120">
        <v>0</v>
      </c>
      <c r="D20" s="132">
        <v>0</v>
      </c>
      <c r="E20" s="132">
        <v>0</v>
      </c>
      <c r="F20" s="133">
        <v>0</v>
      </c>
      <c r="G20" s="16">
        <v>0</v>
      </c>
      <c r="H20" s="71">
        <v>0</v>
      </c>
      <c r="I20" s="195">
        <v>0</v>
      </c>
      <c r="J20" s="190">
        <v>0</v>
      </c>
      <c r="K20" s="167">
        <v>0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6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-460.59</v>
      </c>
      <c r="D22" s="159">
        <v>226.12</v>
      </c>
      <c r="E22" s="159">
        <v>189.28999999999996</v>
      </c>
      <c r="F22" s="160">
        <v>168.77000000000004</v>
      </c>
      <c r="G22" s="39">
        <v>129.01999999999998</v>
      </c>
      <c r="H22" s="145">
        <v>98.579999999999984</v>
      </c>
      <c r="I22" s="202">
        <v>69.739999999999981</v>
      </c>
      <c r="J22" s="191">
        <v>31.680000000000007</v>
      </c>
      <c r="K22" s="169">
        <v>-9.3000000000000114</v>
      </c>
      <c r="L22" s="101"/>
    </row>
    <row r="23" spans="1:14" x14ac:dyDescent="0.25">
      <c r="C23" s="80"/>
      <c r="D23" s="174"/>
      <c r="E23" s="174"/>
      <c r="F23" s="175"/>
      <c r="G23" s="80"/>
      <c r="H23" s="47"/>
      <c r="I23" s="203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4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6654.2479000000003</v>
      </c>
      <c r="D25" s="55">
        <f t="shared" si="4"/>
        <v>-1666.52</v>
      </c>
      <c r="E25" s="55">
        <f t="shared" si="4"/>
        <v>-2290.2800000000002</v>
      </c>
      <c r="F25" s="131">
        <f t="shared" si="4"/>
        <v>-2324.0700000000002</v>
      </c>
      <c r="G25" s="54">
        <f t="shared" si="4"/>
        <v>5347.26</v>
      </c>
      <c r="H25" s="55">
        <f t="shared" si="4"/>
        <v>16970.22</v>
      </c>
      <c r="I25" s="77">
        <f t="shared" si="4"/>
        <v>10817.75</v>
      </c>
      <c r="J25" s="146">
        <f t="shared" si="4"/>
        <v>10327.81071</v>
      </c>
      <c r="K25" s="55">
        <f t="shared" si="4"/>
        <v>13513.23295</v>
      </c>
      <c r="L25" s="77">
        <f t="shared" si="4"/>
        <v>19466.93175</v>
      </c>
    </row>
    <row r="26" spans="1:14" x14ac:dyDescent="0.25">
      <c r="A26" s="62" t="s">
        <v>30</v>
      </c>
      <c r="C26" s="123">
        <f t="shared" ref="C26:L26" si="5">C20-C16</f>
        <v>31731.677879999999</v>
      </c>
      <c r="D26" s="55">
        <f t="shared" si="5"/>
        <v>-26291.77</v>
      </c>
      <c r="E26" s="55">
        <f t="shared" si="5"/>
        <v>329.9</v>
      </c>
      <c r="F26" s="131">
        <f t="shared" si="5"/>
        <v>-10987.74</v>
      </c>
      <c r="G26" s="54">
        <f t="shared" si="5"/>
        <v>-17431</v>
      </c>
      <c r="H26" s="55">
        <f t="shared" si="5"/>
        <v>-24565.24</v>
      </c>
      <c r="I26" s="77">
        <f t="shared" si="5"/>
        <v>-21809.439999999999</v>
      </c>
      <c r="J26" s="146">
        <f t="shared" si="5"/>
        <v>-23961.786869999996</v>
      </c>
      <c r="K26" s="55">
        <f t="shared" si="5"/>
        <v>-26312.403179999998</v>
      </c>
      <c r="L26" s="77">
        <f t="shared" si="5"/>
        <v>-29104.609869999997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-90346.117899999983</v>
      </c>
      <c r="C29" s="123">
        <f>B29+C25+B34</f>
        <v>-83691.869999999981</v>
      </c>
      <c r="D29" s="55">
        <f t="shared" ref="D29:L30" si="6">C29+D25+C34</f>
        <v>-84856.809999999983</v>
      </c>
      <c r="E29" s="55">
        <f t="shared" si="6"/>
        <v>-87396.909999999989</v>
      </c>
      <c r="F29" s="131">
        <f t="shared" si="6"/>
        <v>-89987.22</v>
      </c>
      <c r="G29" s="54">
        <f t="shared" si="6"/>
        <v>-84918.23000000001</v>
      </c>
      <c r="H29" s="55">
        <f t="shared" si="6"/>
        <v>-68221.360000000015</v>
      </c>
      <c r="I29" s="77">
        <f t="shared" si="6"/>
        <v>-57642.660000000018</v>
      </c>
      <c r="J29" s="146">
        <f t="shared" si="6"/>
        <v>-47510.819290000021</v>
      </c>
      <c r="K29" s="55">
        <f t="shared" si="6"/>
        <v>-34161.306340000025</v>
      </c>
      <c r="L29" s="77">
        <f t="shared" si="6"/>
        <v>-14821.554590000025</v>
      </c>
    </row>
    <row r="30" spans="1:14" ht="15.75" thickBot="1" x14ac:dyDescent="0.3">
      <c r="A30" s="62" t="s">
        <v>30</v>
      </c>
      <c r="B30" s="140">
        <v>142452.68211999981</v>
      </c>
      <c r="C30" s="123">
        <f>B30+C26+B35</f>
        <v>174184.35999999981</v>
      </c>
      <c r="D30" s="55">
        <f t="shared" si="6"/>
        <v>146930.41999999981</v>
      </c>
      <c r="E30" s="55">
        <f t="shared" si="6"/>
        <v>147736.2499999998</v>
      </c>
      <c r="F30" s="131">
        <f t="shared" si="6"/>
        <v>137204.0299999998</v>
      </c>
      <c r="G30" s="54">
        <f t="shared" si="6"/>
        <v>120220.06999999979</v>
      </c>
      <c r="H30" s="55">
        <f t="shared" si="6"/>
        <v>96057.199999999779</v>
      </c>
      <c r="I30" s="77">
        <f t="shared" si="6"/>
        <v>74585.399999999776</v>
      </c>
      <c r="J30" s="146">
        <f t="shared" si="6"/>
        <v>50889.323129999779</v>
      </c>
      <c r="K30" s="55">
        <f t="shared" si="6"/>
        <v>24772.319949999783</v>
      </c>
      <c r="L30" s="77">
        <f t="shared" si="6"/>
        <v>-4214.4099200002138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111</v>
      </c>
      <c r="B32" s="53"/>
      <c r="C32" s="127"/>
      <c r="D32" s="102">
        <f>+'PCR Cycle 1'!D38</f>
        <v>2.9731599999999999E-3</v>
      </c>
      <c r="E32" s="102">
        <f>+'PCR Cycle 1'!E38</f>
        <v>3.0868100000000002E-3</v>
      </c>
      <c r="F32" s="102">
        <f>+'PCR Cycle 1'!F38</f>
        <v>3.13277E-3</v>
      </c>
      <c r="G32" s="103">
        <f>+'PCR Cycle 1'!G38</f>
        <v>3.1206900000000002E-3</v>
      </c>
      <c r="H32" s="102">
        <f>+'PCR Cycle 1'!H38</f>
        <v>3.11648E-3</v>
      </c>
      <c r="I32" s="115">
        <f>+'PCR Cycle 1'!I38</f>
        <v>3.1080600000000002E-3</v>
      </c>
      <c r="J32" s="102">
        <f>+'PCR Cycle 1'!J38</f>
        <v>3.1080600000000002E-3</v>
      </c>
      <c r="K32" s="102">
        <f>+'PCR Cycle 1'!K38</f>
        <v>3.1080600000000002E-3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501.58</v>
      </c>
      <c r="D34" s="55">
        <f t="shared" ref="D34:L35" si="7">ROUND((C29+C34+D25/2)*D$32,2)</f>
        <v>-249.82</v>
      </c>
      <c r="E34" s="55">
        <f t="shared" si="7"/>
        <v>-266.24</v>
      </c>
      <c r="F34" s="131">
        <f t="shared" si="7"/>
        <v>-278.27</v>
      </c>
      <c r="G34" s="54">
        <f t="shared" si="7"/>
        <v>-273.35000000000002</v>
      </c>
      <c r="H34" s="146">
        <f t="shared" si="7"/>
        <v>-239.05</v>
      </c>
      <c r="I34" s="65">
        <f t="shared" si="7"/>
        <v>-195.97</v>
      </c>
      <c r="J34" s="192">
        <f t="shared" si="7"/>
        <v>-163.72</v>
      </c>
      <c r="K34" s="131">
        <f t="shared" si="7"/>
        <v>-127.18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-962.17</v>
      </c>
      <c r="D35" s="55">
        <f t="shared" si="7"/>
        <v>475.93</v>
      </c>
      <c r="E35" s="55">
        <f t="shared" si="7"/>
        <v>455.52</v>
      </c>
      <c r="F35" s="131">
        <f t="shared" si="7"/>
        <v>447.04</v>
      </c>
      <c r="G35" s="54">
        <f t="shared" si="7"/>
        <v>402.37</v>
      </c>
      <c r="H35" s="146">
        <f t="shared" si="7"/>
        <v>337.64</v>
      </c>
      <c r="I35" s="65">
        <f t="shared" si="7"/>
        <v>265.70999999999998</v>
      </c>
      <c r="J35" s="192">
        <f t="shared" si="7"/>
        <v>195.4</v>
      </c>
      <c r="K35" s="131">
        <f t="shared" si="7"/>
        <v>117.88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0</v>
      </c>
      <c r="H36" s="66">
        <f t="shared" si="9"/>
        <v>-5.4569682106375694E-11</v>
      </c>
      <c r="I36" s="78">
        <f t="shared" si="8"/>
        <v>-6.184563972055912E-11</v>
      </c>
      <c r="J36" s="193">
        <f t="shared" ref="J36:L36" si="10">SUM(J34:J35)+SUM(J29:J30)-J39</f>
        <v>-6.7757355282083154E-11</v>
      </c>
      <c r="K36" s="66">
        <f t="shared" si="10"/>
        <v>-6.9121597334742546E-11</v>
      </c>
      <c r="L36" s="78">
        <f t="shared" si="10"/>
        <v>-6.9121597334742546E-11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-9.9999999999909051E-3</v>
      </c>
      <c r="E37" s="56">
        <f t="shared" si="11"/>
        <v>-9.9999999999909051E-3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9.9999999999909051E-3</v>
      </c>
      <c r="I37" s="78">
        <f t="shared" si="11"/>
        <v>0</v>
      </c>
      <c r="J37" s="194">
        <f t="shared" ref="J37:L37" si="13">SUM(J34:J35)-J22</f>
        <v>0</v>
      </c>
      <c r="K37" s="56">
        <f t="shared" si="13"/>
        <v>0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f>+B29+B30</f>
        <v>52106.564219999826</v>
      </c>
      <c r="C39" s="123">
        <f t="shared" ref="C39:L39" si="14">(C12-SUM(C15:C16))+SUM(C34:C35)+B39</f>
        <v>90031.89999999982</v>
      </c>
      <c r="D39" s="55">
        <f t="shared" si="14"/>
        <v>62299.719999999819</v>
      </c>
      <c r="E39" s="55">
        <f t="shared" si="14"/>
        <v>60528.619999999821</v>
      </c>
      <c r="F39" s="131">
        <f t="shared" si="14"/>
        <v>47385.57999999982</v>
      </c>
      <c r="G39" s="54">
        <f t="shared" si="14"/>
        <v>35430.859999999819</v>
      </c>
      <c r="H39" s="55">
        <f t="shared" si="14"/>
        <v>27934.429999999818</v>
      </c>
      <c r="I39" s="77">
        <f t="shared" si="14"/>
        <v>17012.479999999821</v>
      </c>
      <c r="J39" s="192">
        <f t="shared" si="14"/>
        <v>3410.1838399998251</v>
      </c>
      <c r="K39" s="131">
        <f t="shared" si="14"/>
        <v>-9398.2863900001721</v>
      </c>
      <c r="L39" s="77">
        <f t="shared" si="14"/>
        <v>-19035.964510000169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ht="31.5" customHeight="1" x14ac:dyDescent="0.25">
      <c r="A44" s="259" t="s">
        <v>147</v>
      </c>
      <c r="B44" s="259"/>
      <c r="C44" s="259"/>
      <c r="D44" s="259"/>
      <c r="E44" s="259"/>
      <c r="F44" s="259"/>
      <c r="G44" s="259"/>
      <c r="H44" s="259"/>
      <c r="I44" s="259"/>
      <c r="J44" s="215"/>
      <c r="K44" s="215"/>
      <c r="L44" s="215"/>
    </row>
    <row r="45" spans="1:12" ht="45" customHeight="1" x14ac:dyDescent="0.25">
      <c r="A45" s="259" t="s">
        <v>146</v>
      </c>
      <c r="B45" s="259"/>
      <c r="C45" s="259"/>
      <c r="D45" s="259"/>
      <c r="E45" s="259"/>
      <c r="F45" s="259"/>
      <c r="G45" s="259"/>
      <c r="H45" s="259"/>
      <c r="I45" s="259"/>
      <c r="J45" s="215"/>
      <c r="K45" s="215"/>
    </row>
    <row r="46" spans="1:12" ht="18.75" customHeight="1" x14ac:dyDescent="0.25">
      <c r="A46" s="259" t="s">
        <v>125</v>
      </c>
      <c r="B46" s="259"/>
      <c r="C46" s="259"/>
      <c r="D46" s="259"/>
      <c r="E46" s="259"/>
      <c r="F46" s="259"/>
      <c r="G46" s="259"/>
      <c r="H46" s="259"/>
      <c r="I46" s="259"/>
      <c r="J46" s="215"/>
      <c r="K46" s="215"/>
      <c r="L46" s="215"/>
    </row>
    <row r="47" spans="1:12" x14ac:dyDescent="0.25">
      <c r="A47" s="79" t="s">
        <v>37</v>
      </c>
      <c r="B47" s="79"/>
      <c r="C47" s="79"/>
      <c r="D47" s="53"/>
      <c r="E47" s="53"/>
      <c r="F47" s="53"/>
      <c r="G47" s="53"/>
      <c r="H47" s="53"/>
      <c r="I47" s="53"/>
    </row>
    <row r="48" spans="1:12" x14ac:dyDescent="0.25">
      <c r="A48" s="79" t="s">
        <v>137</v>
      </c>
      <c r="B48" s="79"/>
      <c r="C48" s="79"/>
      <c r="D48" s="53"/>
      <c r="E48" s="53"/>
      <c r="F48" s="53"/>
      <c r="G48" s="53"/>
      <c r="H48" s="53"/>
      <c r="I48" s="53"/>
    </row>
    <row r="49" spans="1:9" x14ac:dyDescent="0.25">
      <c r="A49" s="79" t="s">
        <v>148</v>
      </c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6">
    <mergeCell ref="A46:I46"/>
    <mergeCell ref="A45:I45"/>
    <mergeCell ref="D10:F10"/>
    <mergeCell ref="G10:I10"/>
    <mergeCell ref="J10:L10"/>
    <mergeCell ref="A44:I44"/>
  </mergeCells>
  <pageMargins left="0.2" right="0.2" top="0.75" bottom="0.25" header="0.3" footer="0.3"/>
  <pageSetup scale="57" orientation="landscape" r:id="rId1"/>
  <headerFooter>
    <oddHeader>&amp;C&amp;F &amp;A&amp;RCONFIDENTIAL</oddHeader>
    <oddFooter>&amp;R&amp;1#&amp;"Calibri"&amp;10&amp;KA80000Internal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EDB18C5607042858DD9C0A8275B18" ma:contentTypeVersion="" ma:contentTypeDescription="Create a new document." ma:contentTypeScope="" ma:versionID="a8e216e06ef6f22d6d5d250416d9321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680F6-EEBC-41A4-AEB5-0B773B5EACA2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c85253b9-0a55-49a1-98ad-b5b6252d7079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DED2EC-B4E2-4E83-8360-B91FFE417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Shelley Jordan</cp:lastModifiedBy>
  <cp:lastPrinted>2019-05-23T21:26:27Z</cp:lastPrinted>
  <dcterms:created xsi:type="dcterms:W3CDTF">2013-08-12T19:20:10Z</dcterms:created>
  <dcterms:modified xsi:type="dcterms:W3CDTF">2019-05-24T20:43:57Z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0x01010060CEDB18C5607042858DD9C0A8275B18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275ac46-98b9-4d64-949f-e82ee8dc823c_Enabled">
    <vt:lpwstr>True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Owner">
    <vt:lpwstr>Mark.Foltz@kcpl.com</vt:lpwstr>
  </property>
  <property fmtid="{D5CDD505-2E9C-101B-9397-08002B2CF9AE}" pid="8" name="MSIP_Label_d275ac46-98b9-4d64-949f-e82ee8dc823c_SetDate">
    <vt:lpwstr>2018-11-14T16:29:38.6736549Z</vt:lpwstr>
  </property>
  <property fmtid="{D5CDD505-2E9C-101B-9397-08002B2CF9AE}" pid="9" name="MSIP_Label_d275ac46-98b9-4d64-949f-e82ee8dc823c_Name">
    <vt:lpwstr>Internal Use Only</vt:lpwstr>
  </property>
  <property fmtid="{D5CDD505-2E9C-101B-9397-08002B2CF9AE}" pid="10" name="MSIP_Label_d275ac46-98b9-4d64-949f-e82ee8dc823c_Application">
    <vt:lpwstr>Microsoft Azure Information Protection</vt:lpwstr>
  </property>
  <property fmtid="{D5CDD505-2E9C-101B-9397-08002B2CF9AE}" pid="11" name="MSIP_Label_d275ac46-98b9-4d64-949f-e82ee8dc823c_Extended_MSFT_Method">
    <vt:lpwstr>Automatic</vt:lpwstr>
  </property>
  <property fmtid="{D5CDD505-2E9C-101B-9397-08002B2CF9AE}" pid="12" name="Sensitivity">
    <vt:lpwstr>Internal Use Only</vt:lpwstr>
  </property>
</Properties>
</file>