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R:\Regulatory\Regulatory Accounting\Projects\KCPL-MO and GMO MEEIA Cycle 3\Cycle 3 semi-annual filing 2021-12\"/>
    </mc:Choice>
  </mc:AlternateContent>
  <xr:revisionPtr revIDLastSave="0" documentId="8_{051AB344-C3A3-4FA9-99D5-81C9855FB236}" xr6:coauthVersionLast="46" xr6:coauthVersionMax="46" xr10:uidLastSave="{00000000-0000-0000-0000-000000000000}"/>
  <bookViews>
    <workbookView xWindow="28680" yWindow="-120" windowWidth="29040" windowHeight="15840" xr2:uid="{00000000-000D-0000-FFFF-FFFF00000000}"/>
  </bookViews>
  <sheets>
    <sheet name="tariff tables" sheetId="5" r:id="rId1"/>
    <sheet name="DSIM Cycle Tables" sheetId="20" r:id="rId2"/>
    <sheet name="PPC Cycle 3" sheetId="18" r:id="rId3"/>
    <sheet name="PCR Cycle 2" sheetId="15" r:id="rId4"/>
    <sheet name="PCR Cycle 3" sheetId="22" r:id="rId5"/>
    <sheet name="PTD Cycle 2" sheetId="12" r:id="rId6"/>
    <sheet name="PTD Cycle 3" sheetId="19" r:id="rId7"/>
    <sheet name="TDR Cycle 2" sheetId="16" r:id="rId8"/>
    <sheet name="TDR Cycle 3" sheetId="24" r:id="rId9"/>
    <sheet name="EO Cycle 2" sheetId="8" r:id="rId10"/>
    <sheet name="EO Cycle 3" sheetId="28" r:id="rId11"/>
    <sheet name="EOR Cycle 2" sheetId="23" r:id="rId12"/>
    <sheet name="OA Cycle 2" sheetId="10" r:id="rId13"/>
    <sheet name="OAR Cycle 2" sheetId="13"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xlnm.Print_Area" localSheetId="3">'PCR Cycle 2'!$A$1:$O$67</definedName>
    <definedName name="_xlnm.Print_Area" localSheetId="4">'PCR Cycle 3'!$A$1:$O$71</definedName>
    <definedName name="solver_adj" localSheetId="3" hidden="1">'PCR Cycle 2'!$F$50</definedName>
    <definedName name="solver_adj" localSheetId="4" hidden="1">'PCR Cycle 3'!$F$51</definedName>
    <definedName name="solver_adj" localSheetId="7" hidden="1">'TDR Cycle 2'!#REF!</definedName>
    <definedName name="solver_adj" localSheetId="8" hidden="1">'TDR Cycle 3'!#REF!</definedName>
    <definedName name="solver_cvg" localSheetId="3" hidden="1">0.0001</definedName>
    <definedName name="solver_cvg" localSheetId="4" hidden="1">0.0001</definedName>
    <definedName name="solver_cvg" localSheetId="7" hidden="1">0.0001</definedName>
    <definedName name="solver_cvg" localSheetId="8" hidden="1">0.0001</definedName>
    <definedName name="solver_drv" localSheetId="3" hidden="1">1</definedName>
    <definedName name="solver_drv" localSheetId="4" hidden="1">1</definedName>
    <definedName name="solver_drv" localSheetId="7" hidden="1">2</definedName>
    <definedName name="solver_drv" localSheetId="8" hidden="1">2</definedName>
    <definedName name="solver_eng" localSheetId="3" hidden="1">1</definedName>
    <definedName name="solver_eng" localSheetId="4" hidden="1">1</definedName>
    <definedName name="solver_eng" localSheetId="7" hidden="1">1</definedName>
    <definedName name="solver_eng" localSheetId="8" hidden="1">1</definedName>
    <definedName name="solver_est" localSheetId="3" hidden="1">1</definedName>
    <definedName name="solver_est" localSheetId="4" hidden="1">1</definedName>
    <definedName name="solver_est" localSheetId="7" hidden="1">1</definedName>
    <definedName name="solver_est" localSheetId="8" hidden="1">1</definedName>
    <definedName name="solver_itr" localSheetId="3" hidden="1">2147483647</definedName>
    <definedName name="solver_itr" localSheetId="4" hidden="1">2147483647</definedName>
    <definedName name="solver_itr" localSheetId="7" hidden="1">2147483647</definedName>
    <definedName name="solver_itr" localSheetId="8" hidden="1">2147483647</definedName>
    <definedName name="solver_mip" localSheetId="3" hidden="1">2147483647</definedName>
    <definedName name="solver_mip" localSheetId="4" hidden="1">2147483647</definedName>
    <definedName name="solver_mip" localSheetId="7" hidden="1">2147483647</definedName>
    <definedName name="solver_mip" localSheetId="8" hidden="1">2147483647</definedName>
    <definedName name="solver_mni" localSheetId="3" hidden="1">30</definedName>
    <definedName name="solver_mni" localSheetId="4" hidden="1">30</definedName>
    <definedName name="solver_mni" localSheetId="7" hidden="1">30</definedName>
    <definedName name="solver_mni" localSheetId="8" hidden="1">30</definedName>
    <definedName name="solver_mrt" localSheetId="3" hidden="1">0.075</definedName>
    <definedName name="solver_mrt" localSheetId="4" hidden="1">0.075</definedName>
    <definedName name="solver_mrt" localSheetId="7" hidden="1">0.075</definedName>
    <definedName name="solver_mrt" localSheetId="8" hidden="1">0.075</definedName>
    <definedName name="solver_msl" localSheetId="3" hidden="1">2</definedName>
    <definedName name="solver_msl" localSheetId="4" hidden="1">2</definedName>
    <definedName name="solver_msl" localSheetId="7" hidden="1">2</definedName>
    <definedName name="solver_msl" localSheetId="8" hidden="1">2</definedName>
    <definedName name="solver_neg" localSheetId="3" hidden="1">1</definedName>
    <definedName name="solver_neg" localSheetId="4" hidden="1">1</definedName>
    <definedName name="solver_neg" localSheetId="7" hidden="1">1</definedName>
    <definedName name="solver_neg" localSheetId="8" hidden="1">1</definedName>
    <definedName name="solver_nod" localSheetId="3" hidden="1">2147483647</definedName>
    <definedName name="solver_nod" localSheetId="4" hidden="1">2147483647</definedName>
    <definedName name="solver_nod" localSheetId="7" hidden="1">2147483647</definedName>
    <definedName name="solver_nod" localSheetId="8" hidden="1">2147483647</definedName>
    <definedName name="solver_num" localSheetId="3" hidden="1">0</definedName>
    <definedName name="solver_num" localSheetId="4" hidden="1">0</definedName>
    <definedName name="solver_num" localSheetId="7" hidden="1">0</definedName>
    <definedName name="solver_num" localSheetId="8" hidden="1">0</definedName>
    <definedName name="solver_nwt" localSheetId="3" hidden="1">1</definedName>
    <definedName name="solver_nwt" localSheetId="4" hidden="1">1</definedName>
    <definedName name="solver_nwt" localSheetId="7" hidden="1">1</definedName>
    <definedName name="solver_nwt" localSheetId="8" hidden="1">1</definedName>
    <definedName name="solver_opt" localSheetId="3" hidden="1">'PCR Cycle 2'!$F$55</definedName>
    <definedName name="solver_opt" localSheetId="4" hidden="1">'PCR Cycle 3'!$F$59</definedName>
    <definedName name="solver_opt" localSheetId="7" hidden="1">'TDR Cycle 2'!#REF!</definedName>
    <definedName name="solver_opt" localSheetId="8" hidden="1">'TDR Cycle 3'!#REF!</definedName>
    <definedName name="solver_pre" localSheetId="3" hidden="1">0.000001</definedName>
    <definedName name="solver_pre" localSheetId="4" hidden="1">0.000001</definedName>
    <definedName name="solver_pre" localSheetId="7" hidden="1">0.000001</definedName>
    <definedName name="solver_pre" localSheetId="8" hidden="1">0.000001</definedName>
    <definedName name="solver_rbv" localSheetId="3" hidden="1">1</definedName>
    <definedName name="solver_rbv" localSheetId="4" hidden="1">1</definedName>
    <definedName name="solver_rbv" localSheetId="7" hidden="1">2</definedName>
    <definedName name="solver_rbv" localSheetId="8" hidden="1">2</definedName>
    <definedName name="solver_rlx" localSheetId="3" hidden="1">2</definedName>
    <definedName name="solver_rlx" localSheetId="4" hidden="1">2</definedName>
    <definedName name="solver_rlx" localSheetId="7" hidden="1">2</definedName>
    <definedName name="solver_rlx" localSheetId="8" hidden="1">2</definedName>
    <definedName name="solver_rsd" localSheetId="3" hidden="1">0</definedName>
    <definedName name="solver_rsd" localSheetId="4" hidden="1">0</definedName>
    <definedName name="solver_rsd" localSheetId="7" hidden="1">0</definedName>
    <definedName name="solver_rsd" localSheetId="8" hidden="1">0</definedName>
    <definedName name="solver_scl" localSheetId="3" hidden="1">1</definedName>
    <definedName name="solver_scl" localSheetId="4" hidden="1">1</definedName>
    <definedName name="solver_scl" localSheetId="7" hidden="1">2</definedName>
    <definedName name="solver_scl" localSheetId="8" hidden="1">2</definedName>
    <definedName name="solver_sho" localSheetId="3" hidden="1">2</definedName>
    <definedName name="solver_sho" localSheetId="4" hidden="1">2</definedName>
    <definedName name="solver_sho" localSheetId="7" hidden="1">2</definedName>
    <definedName name="solver_sho" localSheetId="8" hidden="1">2</definedName>
    <definedName name="solver_ssz" localSheetId="3" hidden="1">100</definedName>
    <definedName name="solver_ssz" localSheetId="4" hidden="1">100</definedName>
    <definedName name="solver_ssz" localSheetId="7" hidden="1">100</definedName>
    <definedName name="solver_ssz" localSheetId="8" hidden="1">100</definedName>
    <definedName name="solver_tim" localSheetId="3" hidden="1">2147483647</definedName>
    <definedName name="solver_tim" localSheetId="4" hidden="1">2147483647</definedName>
    <definedName name="solver_tim" localSheetId="7" hidden="1">2147483647</definedName>
    <definedName name="solver_tim" localSheetId="8" hidden="1">2147483647</definedName>
    <definedName name="solver_tol" localSheetId="3" hidden="1">0.01</definedName>
    <definedName name="solver_tol" localSheetId="4" hidden="1">0.01</definedName>
    <definedName name="solver_tol" localSheetId="7" hidden="1">0.01</definedName>
    <definedName name="solver_tol" localSheetId="8" hidden="1">0.01</definedName>
    <definedName name="solver_typ" localSheetId="3" hidden="1">3</definedName>
    <definedName name="solver_typ" localSheetId="4" hidden="1">3</definedName>
    <definedName name="solver_typ" localSheetId="7" hidden="1">3</definedName>
    <definedName name="solver_typ" localSheetId="8" hidden="1">3</definedName>
    <definedName name="solver_val" localSheetId="3" hidden="1">0</definedName>
    <definedName name="solver_val" localSheetId="4" hidden="1">0</definedName>
    <definedName name="solver_val" localSheetId="7" hidden="1">23888.44</definedName>
    <definedName name="solver_val" localSheetId="8" hidden="1">23888.44</definedName>
    <definedName name="solver_ver" localSheetId="3" hidden="1">3</definedName>
    <definedName name="solver_ver" localSheetId="4" hidden="1">3</definedName>
    <definedName name="solver_ver" localSheetId="7" hidden="1">3</definedName>
    <definedName name="solver_ver" localSheetId="8"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24" l="1"/>
  <c r="E27" i="24"/>
  <c r="E25" i="24"/>
  <c r="E26" i="24"/>
  <c r="F26" i="24" l="1"/>
  <c r="F25" i="24"/>
  <c r="F23" i="24"/>
  <c r="F27" i="24"/>
  <c r="E24" i="24" l="1"/>
  <c r="G26" i="24"/>
  <c r="G25" i="24"/>
  <c r="G23" i="24"/>
  <c r="G27" i="24"/>
  <c r="F24" i="24" l="1"/>
  <c r="H27" i="24"/>
  <c r="H23" i="24"/>
  <c r="H25" i="24"/>
  <c r="H26" i="24"/>
  <c r="G24" i="24" l="1"/>
  <c r="I27" i="24"/>
  <c r="I25" i="24"/>
  <c r="I23" i="24"/>
  <c r="I26" i="24"/>
  <c r="H24" i="24" l="1"/>
  <c r="J25" i="24"/>
  <c r="J23" i="24"/>
  <c r="J27" i="24"/>
  <c r="J26" i="24"/>
  <c r="I24" i="24" l="1"/>
  <c r="J24" i="24" l="1"/>
  <c r="G39" i="13" l="1"/>
  <c r="G38" i="13"/>
  <c r="G24" i="13"/>
  <c r="G23" i="13"/>
  <c r="Z15" i="5" l="1"/>
  <c r="Z14" i="5"/>
  <c r="Z17" i="5"/>
  <c r="Z16" i="5"/>
  <c r="Z13" i="5"/>
  <c r="E54" i="8" l="1"/>
  <c r="E59" i="8" l="1"/>
  <c r="E61" i="8" l="1"/>
  <c r="E60" i="8" l="1"/>
  <c r="E58" i="8" l="1"/>
  <c r="B62" i="8" l="1"/>
  <c r="B56" i="8"/>
  <c r="F54" i="8" l="1"/>
  <c r="G54" i="8" s="1"/>
  <c r="F59" i="8" l="1"/>
  <c r="G59" i="8" s="1"/>
  <c r="F61" i="8" l="1"/>
  <c r="G61" i="8" s="1"/>
  <c r="F60" i="8" l="1"/>
  <c r="G60" i="8" s="1"/>
  <c r="E62" i="8"/>
  <c r="E55" i="8"/>
  <c r="E56" i="8" s="1"/>
  <c r="D62" i="8" l="1"/>
  <c r="D55" i="8"/>
  <c r="D56" i="8" s="1"/>
  <c r="C62" i="8"/>
  <c r="C55" i="8"/>
  <c r="F58" i="8"/>
  <c r="G58" i="8" s="1"/>
  <c r="F62" i="8" l="1"/>
  <c r="F55" i="8"/>
  <c r="C56" i="8"/>
  <c r="G62" i="8" l="1"/>
  <c r="G55" i="8"/>
  <c r="G56" i="8" s="1"/>
  <c r="F56" i="8"/>
  <c r="L11" i="15" l="1"/>
  <c r="L10" i="15"/>
  <c r="L9" i="15"/>
  <c r="L8" i="15"/>
  <c r="M31" i="15" l="1"/>
  <c r="L31" i="15"/>
  <c r="K31" i="15"/>
  <c r="M30" i="15"/>
  <c r="L30" i="15"/>
  <c r="K30" i="15"/>
  <c r="M29" i="15"/>
  <c r="L29" i="15"/>
  <c r="K29" i="15"/>
  <c r="M28" i="15"/>
  <c r="L28" i="15"/>
  <c r="K28" i="15"/>
  <c r="M27" i="15"/>
  <c r="L27" i="15"/>
  <c r="K27" i="15"/>
  <c r="B9" i="18"/>
  <c r="B8" i="18"/>
  <c r="B7" i="18"/>
  <c r="B6" i="18"/>
  <c r="B5" i="18"/>
  <c r="C9" i="18" l="1"/>
  <c r="C8" i="18"/>
  <c r="C7" i="18"/>
  <c r="C6" i="18"/>
  <c r="C5" i="18"/>
  <c r="L19" i="22"/>
  <c r="L18" i="22"/>
  <c r="L17" i="22"/>
  <c r="L16" i="22"/>
  <c r="L15" i="22"/>
  <c r="K19" i="22"/>
  <c r="K18" i="22"/>
  <c r="K17" i="22"/>
  <c r="K16" i="22"/>
  <c r="K15" i="22"/>
  <c r="D26" i="28" l="1"/>
  <c r="D25" i="28"/>
  <c r="D19" i="28"/>
  <c r="D24" i="28" l="1"/>
  <c r="D23" i="28"/>
  <c r="C25" i="28" l="1"/>
  <c r="C26" i="28"/>
  <c r="C19" i="28" l="1"/>
  <c r="C24" i="28"/>
  <c r="E26" i="28" l="1"/>
  <c r="C23" i="28"/>
  <c r="E25" i="28" l="1"/>
  <c r="E24" i="28"/>
  <c r="E19" i="28" l="1"/>
  <c r="E23" i="28"/>
  <c r="B26" i="28" l="1"/>
  <c r="B25" i="28"/>
  <c r="B24" i="28"/>
  <c r="B23" i="28"/>
  <c r="B19" i="28"/>
  <c r="B20" i="28" l="1"/>
  <c r="E50" i="28" l="1"/>
  <c r="D50" i="28"/>
  <c r="C50" i="28"/>
  <c r="E49" i="28"/>
  <c r="D49" i="28"/>
  <c r="C49" i="28"/>
  <c r="E48" i="28"/>
  <c r="D48" i="28"/>
  <c r="D12" i="28" s="1"/>
  <c r="C48" i="28"/>
  <c r="E47" i="28"/>
  <c r="D47" i="28"/>
  <c r="C47" i="28"/>
  <c r="E43" i="28"/>
  <c r="D43" i="28"/>
  <c r="B44" i="28"/>
  <c r="B45" i="28" s="1"/>
  <c r="C43" i="28"/>
  <c r="E38" i="28"/>
  <c r="D38" i="28"/>
  <c r="C38" i="28"/>
  <c r="C14" i="28" s="1"/>
  <c r="E37" i="28"/>
  <c r="D37" i="28"/>
  <c r="C37" i="28"/>
  <c r="E36" i="28"/>
  <c r="D36" i="28"/>
  <c r="C36" i="28"/>
  <c r="C12" i="28" s="1"/>
  <c r="E35" i="28"/>
  <c r="D35" i="28"/>
  <c r="C35" i="28"/>
  <c r="E31" i="28"/>
  <c r="D31" i="28"/>
  <c r="C31" i="28"/>
  <c r="B38" i="28"/>
  <c r="B14" i="28" s="1"/>
  <c r="B37" i="28"/>
  <c r="B13" i="28" s="1"/>
  <c r="B36" i="28"/>
  <c r="B35" i="28"/>
  <c r="B31" i="28"/>
  <c r="B51" i="28"/>
  <c r="D14" i="28"/>
  <c r="C13" i="28"/>
  <c r="F48" i="28"/>
  <c r="G48" i="28" s="1"/>
  <c r="F26" i="28"/>
  <c r="G26" i="28" s="1"/>
  <c r="D20" i="28"/>
  <c r="D21" i="28" s="1"/>
  <c r="C20" i="28"/>
  <c r="C21" i="28" s="1"/>
  <c r="F24" i="28"/>
  <c r="G24" i="28" s="1"/>
  <c r="E27" i="28"/>
  <c r="D27" i="28"/>
  <c r="C27" i="28"/>
  <c r="F23" i="28"/>
  <c r="G23" i="28" s="1"/>
  <c r="E20" i="28"/>
  <c r="E21" i="28" s="1"/>
  <c r="F19" i="28"/>
  <c r="G19" i="28" s="1"/>
  <c r="E13" i="28"/>
  <c r="A2" i="28"/>
  <c r="A1" i="28"/>
  <c r="G20" i="13"/>
  <c r="G19" i="13"/>
  <c r="J23" i="23"/>
  <c r="J22" i="23"/>
  <c r="J21" i="23"/>
  <c r="J20" i="23"/>
  <c r="J19" i="23"/>
  <c r="I23" i="23"/>
  <c r="I22" i="23"/>
  <c r="I21" i="23"/>
  <c r="I20" i="23"/>
  <c r="I19" i="23"/>
  <c r="H23" i="23"/>
  <c r="H22" i="23"/>
  <c r="H21" i="23"/>
  <c r="H20" i="23"/>
  <c r="H19" i="23"/>
  <c r="G23" i="23"/>
  <c r="G22" i="23"/>
  <c r="G21" i="23"/>
  <c r="G20" i="23"/>
  <c r="G19" i="23"/>
  <c r="F23" i="23"/>
  <c r="F22" i="23"/>
  <c r="F21" i="23"/>
  <c r="F20" i="23"/>
  <c r="F19" i="23"/>
  <c r="E23" i="23"/>
  <c r="E22" i="23"/>
  <c r="E21" i="23"/>
  <c r="E20" i="23"/>
  <c r="E19" i="23"/>
  <c r="E12" i="28" l="1"/>
  <c r="D39" i="28"/>
  <c r="C51" i="28"/>
  <c r="D51" i="28"/>
  <c r="E51" i="28"/>
  <c r="E11" i="28"/>
  <c r="C7" i="28"/>
  <c r="E14" i="28"/>
  <c r="C39" i="28"/>
  <c r="F36" i="28"/>
  <c r="G36" i="28" s="1"/>
  <c r="G12" i="28" s="1"/>
  <c r="E39" i="28"/>
  <c r="E32" i="28"/>
  <c r="E33" i="28" s="1"/>
  <c r="D32" i="28"/>
  <c r="D33" i="28" s="1"/>
  <c r="F35" i="28"/>
  <c r="G35" i="28" s="1"/>
  <c r="C32" i="28"/>
  <c r="C33" i="28" s="1"/>
  <c r="F31" i="28"/>
  <c r="G31" i="28" s="1"/>
  <c r="F38" i="28"/>
  <c r="G38" i="28" s="1"/>
  <c r="F37" i="28"/>
  <c r="G37" i="28" s="1"/>
  <c r="B12" i="28"/>
  <c r="F12" i="28" s="1"/>
  <c r="B32" i="28"/>
  <c r="B8" i="28" s="1"/>
  <c r="B11" i="28"/>
  <c r="B15" i="28" s="1"/>
  <c r="B7" i="28"/>
  <c r="F20" i="28"/>
  <c r="F25" i="28"/>
  <c r="G25" i="28" s="1"/>
  <c r="G20" i="28" s="1"/>
  <c r="B27" i="28"/>
  <c r="B39" i="28"/>
  <c r="F50" i="28"/>
  <c r="G50" i="28" s="1"/>
  <c r="E7" i="28"/>
  <c r="C11" i="28"/>
  <c r="C15" i="28" s="1"/>
  <c r="F43" i="28"/>
  <c r="F47" i="28"/>
  <c r="C44" i="28"/>
  <c r="C45" i="28" s="1"/>
  <c r="F49" i="28"/>
  <c r="G49" i="28" s="1"/>
  <c r="D7" i="28"/>
  <c r="D11" i="28"/>
  <c r="B21" i="28"/>
  <c r="D44" i="28"/>
  <c r="E44" i="28"/>
  <c r="D13" i="28"/>
  <c r="F13" i="28" s="1"/>
  <c r="G14" i="28" l="1"/>
  <c r="G39" i="28"/>
  <c r="F27" i="28"/>
  <c r="F21" i="28"/>
  <c r="E15" i="28"/>
  <c r="F44" i="28"/>
  <c r="G44" i="28" s="1"/>
  <c r="F11" i="28"/>
  <c r="F14" i="28"/>
  <c r="E8" i="28"/>
  <c r="E9" i="28" s="1"/>
  <c r="F32" i="28"/>
  <c r="G32" i="28" s="1"/>
  <c r="G33" i="28" s="1"/>
  <c r="D8" i="28"/>
  <c r="D9" i="28" s="1"/>
  <c r="F39" i="28"/>
  <c r="B9" i="28"/>
  <c r="B33" i="28"/>
  <c r="G13" i="28"/>
  <c r="G27" i="28"/>
  <c r="F51" i="28"/>
  <c r="G47" i="28"/>
  <c r="G51" i="28" s="1"/>
  <c r="G43" i="28"/>
  <c r="G7" i="28" s="1"/>
  <c r="D45" i="28"/>
  <c r="D15" i="28"/>
  <c r="C8" i="28"/>
  <c r="F7" i="28"/>
  <c r="G21" i="28"/>
  <c r="E45" i="28"/>
  <c r="F45" i="28" l="1"/>
  <c r="G8" i="28"/>
  <c r="G9" i="28" s="1"/>
  <c r="F15" i="28"/>
  <c r="G45" i="28"/>
  <c r="F33" i="28"/>
  <c r="F8" i="28"/>
  <c r="F9" i="28" s="1"/>
  <c r="C9" i="28"/>
  <c r="G11" i="28"/>
  <c r="G15" i="28" l="1"/>
  <c r="E34" i="24"/>
  <c r="E32" i="24"/>
  <c r="E30" i="24"/>
  <c r="F33" i="24" l="1"/>
  <c r="F30" i="24"/>
  <c r="F34" i="24" l="1"/>
  <c r="E33" i="24"/>
  <c r="G34" i="24"/>
  <c r="G33" i="24"/>
  <c r="G30" i="24"/>
  <c r="F32" i="24" l="1"/>
  <c r="E31" i="24"/>
  <c r="H34" i="24"/>
  <c r="H33" i="24"/>
  <c r="H30" i="24" l="1"/>
  <c r="F31" i="24"/>
  <c r="G32" i="24"/>
  <c r="I34" i="24"/>
  <c r="I32" i="24"/>
  <c r="I33" i="24"/>
  <c r="G31" i="24" l="1"/>
  <c r="H32" i="24"/>
  <c r="J34" i="24"/>
  <c r="J33" i="24"/>
  <c r="J30" i="24" l="1"/>
  <c r="I30" i="24"/>
  <c r="H31" i="24"/>
  <c r="J32" i="24" l="1"/>
  <c r="I31" i="24"/>
  <c r="J31" i="24" l="1"/>
  <c r="J20" i="24" l="1"/>
  <c r="J19" i="24"/>
  <c r="J18" i="24"/>
  <c r="J17" i="24"/>
  <c r="J16" i="24"/>
  <c r="I20" i="24"/>
  <c r="I19" i="24"/>
  <c r="I18" i="24"/>
  <c r="I17" i="24"/>
  <c r="I16" i="24"/>
  <c r="H20" i="24"/>
  <c r="H19" i="24"/>
  <c r="H18" i="24"/>
  <c r="H17" i="24"/>
  <c r="H16" i="24"/>
  <c r="G20" i="24"/>
  <c r="G19" i="24"/>
  <c r="G18" i="24"/>
  <c r="G17" i="24"/>
  <c r="G16" i="24"/>
  <c r="F20" i="24"/>
  <c r="F19" i="24"/>
  <c r="F18" i="24"/>
  <c r="F17" i="24"/>
  <c r="F16" i="24"/>
  <c r="E20" i="24"/>
  <c r="E19" i="24"/>
  <c r="E18" i="24"/>
  <c r="E17" i="24"/>
  <c r="E16" i="24"/>
  <c r="J23" i="16" l="1"/>
  <c r="J22" i="16"/>
  <c r="J21" i="16"/>
  <c r="J20" i="16"/>
  <c r="J19" i="16"/>
  <c r="I23" i="16"/>
  <c r="I22" i="16"/>
  <c r="I21" i="16"/>
  <c r="I20" i="16"/>
  <c r="I19" i="16"/>
  <c r="H23" i="16"/>
  <c r="H22" i="16"/>
  <c r="H21" i="16"/>
  <c r="H20" i="16"/>
  <c r="H19" i="16"/>
  <c r="G23" i="16"/>
  <c r="G22" i="16"/>
  <c r="G21" i="16"/>
  <c r="G20" i="16"/>
  <c r="G19" i="16"/>
  <c r="F23" i="16"/>
  <c r="F22" i="16"/>
  <c r="F21" i="16"/>
  <c r="F20" i="16"/>
  <c r="F19" i="16"/>
  <c r="E23" i="16"/>
  <c r="E22" i="16"/>
  <c r="E21" i="16"/>
  <c r="E20" i="16"/>
  <c r="E19" i="16"/>
  <c r="J33" i="22" l="1"/>
  <c r="J32" i="22"/>
  <c r="J31" i="22"/>
  <c r="J30" i="22"/>
  <c r="J29" i="22"/>
  <c r="I33" i="22"/>
  <c r="I32" i="22"/>
  <c r="I31" i="22"/>
  <c r="I30" i="22"/>
  <c r="I29" i="22"/>
  <c r="H33" i="22"/>
  <c r="H32" i="22"/>
  <c r="H31" i="22"/>
  <c r="H30" i="22"/>
  <c r="H29" i="22"/>
  <c r="G33" i="22"/>
  <c r="G32" i="22"/>
  <c r="G31" i="22"/>
  <c r="G30" i="22"/>
  <c r="G29" i="22"/>
  <c r="F33" i="22"/>
  <c r="F32" i="22"/>
  <c r="F31" i="22"/>
  <c r="F30" i="22"/>
  <c r="F29" i="22"/>
  <c r="E33" i="22"/>
  <c r="E32" i="22"/>
  <c r="E31" i="22"/>
  <c r="E30" i="22"/>
  <c r="E29" i="22"/>
  <c r="J50" i="15"/>
  <c r="J31" i="15" l="1"/>
  <c r="J30" i="15"/>
  <c r="J29" i="15"/>
  <c r="J28" i="15"/>
  <c r="J27" i="15"/>
  <c r="I31" i="15"/>
  <c r="I30" i="15"/>
  <c r="I29" i="15"/>
  <c r="I28" i="15"/>
  <c r="I27" i="15"/>
  <c r="H31" i="15"/>
  <c r="H30" i="15"/>
  <c r="H29" i="15"/>
  <c r="H28" i="15"/>
  <c r="H27" i="15"/>
  <c r="G31" i="15"/>
  <c r="G30" i="15"/>
  <c r="G29" i="15"/>
  <c r="G28" i="15"/>
  <c r="G27" i="15"/>
  <c r="F31" i="15"/>
  <c r="F30" i="15"/>
  <c r="F29" i="15"/>
  <c r="F28" i="15"/>
  <c r="F27" i="15"/>
  <c r="E31" i="15"/>
  <c r="E30" i="15"/>
  <c r="E29" i="15"/>
  <c r="E28" i="15"/>
  <c r="E27" i="15"/>
  <c r="J38" i="15"/>
  <c r="J37" i="15"/>
  <c r="J36" i="15"/>
  <c r="J35" i="15"/>
  <c r="J34" i="15"/>
  <c r="I38" i="15"/>
  <c r="I37" i="15"/>
  <c r="I36" i="15"/>
  <c r="I35" i="15"/>
  <c r="I34" i="15"/>
  <c r="H38" i="15"/>
  <c r="H37" i="15"/>
  <c r="H36" i="15"/>
  <c r="H35" i="15"/>
  <c r="H34" i="15"/>
  <c r="G38" i="15"/>
  <c r="G37" i="15"/>
  <c r="G36" i="15"/>
  <c r="G35" i="15"/>
  <c r="G34" i="15"/>
  <c r="F38" i="15"/>
  <c r="F37" i="15"/>
  <c r="F36" i="15"/>
  <c r="F35" i="15"/>
  <c r="F34" i="15"/>
  <c r="E38" i="15"/>
  <c r="E37" i="15"/>
  <c r="E36" i="15"/>
  <c r="E35" i="15"/>
  <c r="E34" i="15"/>
  <c r="J19" i="22" l="1"/>
  <c r="J18" i="22"/>
  <c r="J17" i="22"/>
  <c r="J16" i="22"/>
  <c r="J15" i="22"/>
  <c r="I50" i="15" l="1"/>
  <c r="H50" i="15"/>
  <c r="G50" i="15"/>
  <c r="F50" i="15"/>
  <c r="E50" i="15"/>
  <c r="E27" i="16" l="1"/>
  <c r="E34" i="16" l="1"/>
  <c r="E37" i="16"/>
  <c r="E36" i="16"/>
  <c r="E35" i="16"/>
  <c r="E28" i="16"/>
  <c r="F28" i="16"/>
  <c r="F30" i="16"/>
  <c r="E30" i="16"/>
  <c r="E29" i="16"/>
  <c r="E26" i="16"/>
  <c r="F35" i="16" l="1"/>
  <c r="F37" i="16"/>
  <c r="F27" i="16"/>
  <c r="F36" i="16"/>
  <c r="F29" i="16"/>
  <c r="F26" i="16"/>
  <c r="G34" i="16" l="1"/>
  <c r="F34" i="16"/>
  <c r="G36" i="16"/>
  <c r="G35" i="16"/>
  <c r="G27" i="16"/>
  <c r="H28" i="16"/>
  <c r="H29" i="16"/>
  <c r="G30" i="16"/>
  <c r="H30" i="16"/>
  <c r="G29" i="16"/>
  <c r="H27" i="16"/>
  <c r="G28" i="16"/>
  <c r="G26" i="16"/>
  <c r="H36" i="16" l="1"/>
  <c r="H37" i="16"/>
  <c r="G37" i="16"/>
  <c r="H35" i="16"/>
  <c r="H34" i="16"/>
  <c r="I27" i="16"/>
  <c r="I30" i="16"/>
  <c r="I29" i="16"/>
  <c r="I28" i="16"/>
  <c r="E33" i="16"/>
  <c r="H26" i="16" l="1"/>
  <c r="I34" i="16"/>
  <c r="I37" i="16"/>
  <c r="I33" i="16"/>
  <c r="I35" i="16"/>
  <c r="I36" i="16"/>
  <c r="J30" i="16"/>
  <c r="J27" i="16"/>
  <c r="J29" i="16"/>
  <c r="J28" i="16"/>
  <c r="F33" i="16"/>
  <c r="I26" i="16" l="1"/>
  <c r="J37" i="16"/>
  <c r="J35" i="16"/>
  <c r="J34" i="16"/>
  <c r="J36" i="16"/>
  <c r="J33" i="16"/>
  <c r="K30" i="16"/>
  <c r="K29" i="16"/>
  <c r="K27" i="16"/>
  <c r="K28" i="16"/>
  <c r="G33" i="16"/>
  <c r="J26" i="16" l="1"/>
  <c r="K33" i="16"/>
  <c r="K37" i="16"/>
  <c r="K35" i="16"/>
  <c r="K34" i="16"/>
  <c r="K36" i="16"/>
  <c r="L30" i="16"/>
  <c r="L27" i="16"/>
  <c r="L28" i="16"/>
  <c r="L29" i="16"/>
  <c r="L26" i="16"/>
  <c r="H33" i="16"/>
  <c r="K26" i="16" l="1"/>
  <c r="L35" i="16"/>
  <c r="L34" i="16"/>
  <c r="L36" i="16"/>
  <c r="L33" i="16"/>
  <c r="L37" i="16"/>
  <c r="B11" i="12" l="1"/>
  <c r="C12" i="12"/>
  <c r="B12" i="12"/>
  <c r="B13" i="12"/>
  <c r="B6" i="12"/>
  <c r="C13" i="12" l="1"/>
  <c r="B10" i="12"/>
  <c r="C11" i="12"/>
  <c r="C6" i="12"/>
  <c r="C10" i="12" l="1"/>
  <c r="I19" i="22" l="1"/>
  <c r="I18" i="22"/>
  <c r="I17" i="22"/>
  <c r="I16" i="22"/>
  <c r="I15" i="22"/>
  <c r="H19" i="22"/>
  <c r="H18" i="22"/>
  <c r="H17" i="22"/>
  <c r="H16" i="22"/>
  <c r="H15" i="22"/>
  <c r="G19" i="22"/>
  <c r="G18" i="22"/>
  <c r="G17" i="22"/>
  <c r="G16" i="22"/>
  <c r="G15" i="22"/>
  <c r="F19" i="22"/>
  <c r="F18" i="22"/>
  <c r="F17" i="22"/>
  <c r="F16" i="22"/>
  <c r="F15" i="22"/>
  <c r="E19" i="22"/>
  <c r="E18" i="22"/>
  <c r="E17" i="22"/>
  <c r="E16" i="22"/>
  <c r="E15" i="22"/>
  <c r="D42" i="22" l="1"/>
  <c r="D41" i="22"/>
  <c r="D40" i="22"/>
  <c r="D39" i="22"/>
  <c r="D38" i="22"/>
  <c r="F9" i="10" l="1"/>
  <c r="D10" i="10" l="1"/>
  <c r="D11" i="10" s="1"/>
  <c r="F8" i="10"/>
  <c r="E10" i="10"/>
  <c r="E11" i="10" s="1"/>
  <c r="C9" i="10"/>
  <c r="C8" i="10"/>
  <c r="C38" i="8" l="1"/>
  <c r="C36" i="8"/>
  <c r="C37" i="8"/>
  <c r="D38" i="8" l="1"/>
  <c r="D37" i="8"/>
  <c r="D36" i="8"/>
  <c r="E36" i="8" l="1"/>
  <c r="E38" i="8" l="1"/>
  <c r="E37" i="8" l="1"/>
  <c r="E35" i="8" l="1"/>
  <c r="C35" i="8" l="1"/>
  <c r="D35" i="8" l="1"/>
  <c r="E31" i="8" l="1"/>
  <c r="D31" i="8"/>
  <c r="C31" i="8"/>
  <c r="E26" i="8"/>
  <c r="D26" i="8"/>
  <c r="C26" i="8"/>
  <c r="E25" i="8"/>
  <c r="D25" i="8"/>
  <c r="C25" i="8"/>
  <c r="E24" i="8"/>
  <c r="D24" i="8"/>
  <c r="C24" i="8"/>
  <c r="E23" i="8"/>
  <c r="D23" i="8"/>
  <c r="C23" i="8"/>
  <c r="E19" i="8"/>
  <c r="D19" i="8"/>
  <c r="C19" i="8"/>
  <c r="E20" i="8" l="1"/>
  <c r="C20" i="8"/>
  <c r="D20" i="8"/>
  <c r="E43" i="8" l="1"/>
  <c r="E7" i="8" s="1"/>
  <c r="C43" i="8" l="1"/>
  <c r="C7" i="8" s="1"/>
  <c r="D43" i="8" l="1"/>
  <c r="D7" i="8" s="1"/>
  <c r="C49" i="8" l="1"/>
  <c r="C13" i="8" s="1"/>
  <c r="C48" i="8"/>
  <c r="C12" i="8" s="1"/>
  <c r="C50" i="8"/>
  <c r="C14" i="8" s="1"/>
  <c r="D49" i="8" l="1"/>
  <c r="D13" i="8" s="1"/>
  <c r="D50" i="8"/>
  <c r="D14" i="8" s="1"/>
  <c r="D48" i="8"/>
  <c r="D12" i="8" s="1"/>
  <c r="E48" i="8" l="1"/>
  <c r="E12" i="8" s="1"/>
  <c r="E50" i="8" l="1"/>
  <c r="E14" i="8" s="1"/>
  <c r="E47" i="8" l="1"/>
  <c r="E11" i="8" s="1"/>
  <c r="E49" i="8" l="1"/>
  <c r="E13" i="8" s="1"/>
  <c r="E44" i="8" l="1"/>
  <c r="D47" i="8"/>
  <c r="D11" i="8" s="1"/>
  <c r="D44" i="8" l="1"/>
  <c r="C47" i="8"/>
  <c r="C11" i="8" s="1"/>
  <c r="C44" i="8" l="1"/>
  <c r="F50" i="8"/>
  <c r="G50" i="8" s="1"/>
  <c r="F49" i="8"/>
  <c r="G49" i="8" s="1"/>
  <c r="F48" i="8"/>
  <c r="G48" i="8" s="1"/>
  <c r="E51" i="8"/>
  <c r="D51" i="8"/>
  <c r="C51" i="8"/>
  <c r="B51" i="8"/>
  <c r="B45" i="8"/>
  <c r="F47" i="8" l="1"/>
  <c r="G47" i="8" l="1"/>
  <c r="F51" i="8"/>
  <c r="G51" i="8" l="1"/>
  <c r="D11" i="24" l="1"/>
  <c r="D14" i="16" l="1"/>
  <c r="C14" i="16"/>
  <c r="F22" i="22" l="1"/>
  <c r="E22" i="22"/>
  <c r="J26" i="22" l="1"/>
  <c r="I26" i="22"/>
  <c r="H26" i="22"/>
  <c r="G26" i="22"/>
  <c r="J25" i="22"/>
  <c r="I25" i="22"/>
  <c r="H25" i="22"/>
  <c r="G25" i="22"/>
  <c r="J24" i="22"/>
  <c r="I24" i="22"/>
  <c r="H24" i="22"/>
  <c r="G24" i="22"/>
  <c r="J23" i="22"/>
  <c r="I23" i="22"/>
  <c r="H23" i="22"/>
  <c r="G23" i="22"/>
  <c r="J22" i="22"/>
  <c r="I22" i="22"/>
  <c r="H22" i="22"/>
  <c r="G22" i="22"/>
  <c r="E26" i="22" l="1"/>
  <c r="E25" i="22"/>
  <c r="E24" i="22"/>
  <c r="E23" i="22"/>
  <c r="F23" i="22" l="1"/>
  <c r="F24" i="22" l="1"/>
  <c r="F25" i="22"/>
  <c r="F26" i="22"/>
  <c r="J11" i="13" l="1"/>
  <c r="J10" i="13"/>
  <c r="J9" i="13"/>
  <c r="J8" i="13"/>
  <c r="E15" i="10" l="1"/>
  <c r="L8" i="16"/>
  <c r="E13" i="10"/>
  <c r="L9" i="16"/>
  <c r="E14" i="10"/>
  <c r="L10" i="16"/>
  <c r="L11" i="16"/>
  <c r="E16" i="10"/>
  <c r="K8" i="23"/>
  <c r="K9" i="23"/>
  <c r="K10" i="23"/>
  <c r="K11" i="23"/>
  <c r="A1" i="13"/>
  <c r="A2" i="10"/>
  <c r="A1" i="10"/>
  <c r="A1" i="23"/>
  <c r="A2" i="8"/>
  <c r="A1" i="8"/>
  <c r="A1" i="24"/>
  <c r="A1" i="16"/>
  <c r="A1" i="19"/>
  <c r="A1" i="12"/>
  <c r="A1" i="22"/>
  <c r="A1" i="15"/>
  <c r="A2" i="12"/>
  <c r="A1" i="5"/>
  <c r="C42" i="16"/>
  <c r="B38" i="8" l="1"/>
  <c r="B37" i="8"/>
  <c r="B36" i="8"/>
  <c r="B35" i="8"/>
  <c r="B32" i="8"/>
  <c r="B31" i="8"/>
  <c r="B26" i="8"/>
  <c r="B14" i="8" s="1"/>
  <c r="B25" i="8"/>
  <c r="B13" i="8" s="1"/>
  <c r="B24" i="8"/>
  <c r="B23" i="8"/>
  <c r="B20" i="8"/>
  <c r="B19" i="8"/>
  <c r="B7" i="8" l="1"/>
  <c r="B8" i="8"/>
  <c r="B11" i="8"/>
  <c r="B12" i="8"/>
  <c r="C17" i="5"/>
  <c r="C16" i="5"/>
  <c r="C15" i="5"/>
  <c r="C14" i="5"/>
  <c r="C13" i="5"/>
  <c r="B61" i="22" l="1"/>
  <c r="P16" i="22" l="1"/>
  <c r="P18" i="22" l="1"/>
  <c r="P17" i="22"/>
  <c r="P19" i="22"/>
  <c r="H5" i="23" l="1"/>
  <c r="B58" i="23"/>
  <c r="B62" i="24" l="1"/>
  <c r="D43" i="16" l="1"/>
  <c r="C43" i="16"/>
  <c r="I7" i="24" l="1"/>
  <c r="I6" i="24"/>
  <c r="I5" i="24"/>
  <c r="C43" i="24" l="1"/>
  <c r="C50" i="24" s="1"/>
  <c r="C42" i="24"/>
  <c r="C49" i="24" s="1"/>
  <c r="C41" i="24"/>
  <c r="C48" i="24" s="1"/>
  <c r="C40" i="24"/>
  <c r="C47" i="24" s="1"/>
  <c r="C39" i="24"/>
  <c r="G43" i="24"/>
  <c r="F43" i="24"/>
  <c r="E43" i="24"/>
  <c r="D43" i="24"/>
  <c r="G42" i="24"/>
  <c r="F42" i="24"/>
  <c r="E42" i="24"/>
  <c r="D42" i="24"/>
  <c r="G41" i="24"/>
  <c r="F41" i="24"/>
  <c r="E41" i="24"/>
  <c r="D41" i="24"/>
  <c r="G40" i="24"/>
  <c r="F40" i="24"/>
  <c r="E40" i="24"/>
  <c r="D40" i="24"/>
  <c r="G39" i="24"/>
  <c r="F39" i="24"/>
  <c r="E39" i="24"/>
  <c r="D48" i="24" l="1"/>
  <c r="E48" i="24" s="1"/>
  <c r="D49" i="24"/>
  <c r="E49" i="24" s="1"/>
  <c r="D50" i="24"/>
  <c r="E50" i="24" s="1"/>
  <c r="D47" i="24"/>
  <c r="E47" i="24" l="1"/>
  <c r="G13" i="24"/>
  <c r="F13" i="24"/>
  <c r="E13" i="24"/>
  <c r="H41" i="24" l="1"/>
  <c r="H42" i="24"/>
  <c r="H43" i="24"/>
  <c r="H39" i="24"/>
  <c r="I41" i="24" l="1"/>
  <c r="I42" i="24"/>
  <c r="I43" i="24"/>
  <c r="H13" i="24" l="1"/>
  <c r="H40" i="24"/>
  <c r="J43" i="24"/>
  <c r="J41" i="24"/>
  <c r="I39" i="24"/>
  <c r="J42" i="24"/>
  <c r="I40" i="24" l="1"/>
  <c r="I13" i="24"/>
  <c r="J39" i="24"/>
  <c r="J13" i="24" l="1"/>
  <c r="J40" i="24" l="1"/>
  <c r="I7" i="22" l="1"/>
  <c r="I6" i="22"/>
  <c r="I5" i="22"/>
  <c r="I41" i="22" l="1"/>
  <c r="H41" i="22"/>
  <c r="G41" i="22"/>
  <c r="F41" i="22"/>
  <c r="E41" i="22"/>
  <c r="C41" i="22"/>
  <c r="C48" i="22" s="1"/>
  <c r="D48" i="22" s="1"/>
  <c r="I40" i="22"/>
  <c r="H40" i="22"/>
  <c r="G40" i="22"/>
  <c r="F40" i="22"/>
  <c r="E40" i="22"/>
  <c r="C40" i="22"/>
  <c r="C47" i="22" s="1"/>
  <c r="D47" i="22" s="1"/>
  <c r="I39" i="22"/>
  <c r="H39" i="22"/>
  <c r="G39" i="22"/>
  <c r="F39" i="22"/>
  <c r="E39" i="22"/>
  <c r="C39" i="22"/>
  <c r="C46" i="22" s="1"/>
  <c r="D46" i="22" s="1"/>
  <c r="E46" i="22" l="1"/>
  <c r="E47" i="22"/>
  <c r="E48" i="22"/>
  <c r="C38" i="23"/>
  <c r="C45" i="23" s="1"/>
  <c r="C37" i="23"/>
  <c r="C44" i="23" s="1"/>
  <c r="C36" i="23"/>
  <c r="C43" i="23" s="1"/>
  <c r="C14" i="13"/>
  <c r="B14" i="13"/>
  <c r="C14" i="23"/>
  <c r="B14" i="23"/>
  <c r="C11" i="24"/>
  <c r="B11" i="24"/>
  <c r="B14" i="16"/>
  <c r="C11" i="22"/>
  <c r="B11" i="22"/>
  <c r="K50" i="15" l="1"/>
  <c r="L50" i="15" s="1"/>
  <c r="C62" i="24" l="1"/>
  <c r="D39" i="24"/>
  <c r="C46" i="24"/>
  <c r="E12" i="24"/>
  <c r="F12" i="24" s="1"/>
  <c r="G12" i="24" s="1"/>
  <c r="H12" i="24" s="1"/>
  <c r="I12" i="24" s="1"/>
  <c r="J12" i="24" s="1"/>
  <c r="K12" i="24" s="1"/>
  <c r="L12" i="24" s="1"/>
  <c r="M12" i="24" s="1"/>
  <c r="I8" i="24"/>
  <c r="I4" i="24"/>
  <c r="D46" i="24" l="1"/>
  <c r="E46" i="24" s="1"/>
  <c r="I9" i="24"/>
  <c r="D62" i="24"/>
  <c r="D15" i="13" l="1"/>
  <c r="E15" i="23"/>
  <c r="F15" i="23" s="1"/>
  <c r="G15" i="23" s="1"/>
  <c r="H15" i="23" s="1"/>
  <c r="I15" i="23" s="1"/>
  <c r="J15" i="23" s="1"/>
  <c r="K15" i="23" s="1"/>
  <c r="L15" i="23" s="1"/>
  <c r="M15" i="23" s="1"/>
  <c r="E15" i="16"/>
  <c r="E12" i="22"/>
  <c r="F15" i="15"/>
  <c r="G15" i="15" s="1"/>
  <c r="H15" i="15" s="1"/>
  <c r="I15" i="15" s="1"/>
  <c r="J15" i="15" s="1"/>
  <c r="K15" i="15" s="1"/>
  <c r="L15" i="15" s="1"/>
  <c r="M15" i="15" s="1"/>
  <c r="M12" i="22" s="1"/>
  <c r="C58" i="23"/>
  <c r="C39" i="23"/>
  <c r="C46" i="23" s="1"/>
  <c r="C35" i="23"/>
  <c r="C42" i="23" s="1"/>
  <c r="H4" i="23"/>
  <c r="H6" i="23" s="1"/>
  <c r="C61" i="22"/>
  <c r="D61" i="22" s="1"/>
  <c r="M59" i="22"/>
  <c r="C42" i="22"/>
  <c r="C49" i="22" s="1"/>
  <c r="D49" i="22" s="1"/>
  <c r="H42" i="22"/>
  <c r="G42" i="22"/>
  <c r="G38" i="22"/>
  <c r="F38" i="22"/>
  <c r="I8" i="22"/>
  <c r="I4" i="22"/>
  <c r="I9" i="22" s="1"/>
  <c r="H38" i="22" l="1"/>
  <c r="I38" i="22"/>
  <c r="F42" i="22"/>
  <c r="I42" i="22"/>
  <c r="K12" i="23"/>
  <c r="F12" i="22"/>
  <c r="H12" i="22"/>
  <c r="G12" i="22"/>
  <c r="I12" i="22"/>
  <c r="J12" i="22"/>
  <c r="K12" i="22"/>
  <c r="L12" i="22"/>
  <c r="E42" i="22"/>
  <c r="E49" i="22" s="1"/>
  <c r="C38" i="22"/>
  <c r="C45" i="22" s="1"/>
  <c r="D45" i="22" s="1"/>
  <c r="E38" i="22"/>
  <c r="E45" i="22" l="1"/>
  <c r="A2" i="19"/>
  <c r="J12" i="13" l="1"/>
  <c r="E17" i="10" l="1"/>
  <c r="L12" i="15"/>
  <c r="B27" i="8"/>
  <c r="L12" i="16"/>
  <c r="B21" i="8" l="1"/>
  <c r="D42" i="16" l="1"/>
  <c r="D16" i="16"/>
  <c r="B56" i="16" l="1"/>
  <c r="B57" i="15"/>
  <c r="C10" i="10" l="1"/>
  <c r="C43" i="13" l="1"/>
  <c r="F30" i="13"/>
  <c r="E30" i="13"/>
  <c r="D30" i="13"/>
  <c r="C30" i="13"/>
  <c r="C34" i="13" s="1"/>
  <c r="F29" i="13"/>
  <c r="E29" i="13"/>
  <c r="D29" i="13"/>
  <c r="C29" i="13"/>
  <c r="C33" i="13" s="1"/>
  <c r="H30" i="13"/>
  <c r="J16" i="13"/>
  <c r="I16" i="13"/>
  <c r="I29" i="13"/>
  <c r="H29" i="13"/>
  <c r="G29" i="13"/>
  <c r="K16" i="13"/>
  <c r="G16" i="13"/>
  <c r="F16" i="13"/>
  <c r="E16" i="13"/>
  <c r="D16" i="13"/>
  <c r="E15" i="13"/>
  <c r="F15" i="13" s="1"/>
  <c r="G15" i="13" s="1"/>
  <c r="H15" i="13" s="1"/>
  <c r="I15" i="13" s="1"/>
  <c r="J15" i="13" s="1"/>
  <c r="K15" i="13" s="1"/>
  <c r="L15" i="13" s="1"/>
  <c r="G5" i="13"/>
  <c r="G4" i="13"/>
  <c r="G6" i="13" l="1"/>
  <c r="D34" i="13"/>
  <c r="D33" i="13"/>
  <c r="I30" i="13"/>
  <c r="E5" i="13"/>
  <c r="E4" i="13"/>
  <c r="G30" i="13"/>
  <c r="H16" i="13"/>
  <c r="E6" i="13" l="1"/>
  <c r="J24" i="15" l="1"/>
  <c r="J44" i="15" s="1"/>
  <c r="J23" i="15"/>
  <c r="C24" i="15"/>
  <c r="C44" i="15" s="1"/>
  <c r="C23" i="15"/>
  <c r="H24" i="15"/>
  <c r="H44" i="15" s="1"/>
  <c r="H23" i="15" l="1"/>
  <c r="G24" i="15"/>
  <c r="G44" i="15" s="1"/>
  <c r="F24" i="15"/>
  <c r="F44" i="15" s="1"/>
  <c r="I24" i="15"/>
  <c r="I44" i="15" s="1"/>
  <c r="I23" i="15"/>
  <c r="E23" i="15"/>
  <c r="F23" i="15"/>
  <c r="E24" i="15"/>
  <c r="E44" i="15" s="1"/>
  <c r="G23" i="15"/>
  <c r="H52" i="24" l="1"/>
  <c r="G36" i="13"/>
  <c r="H48" i="23"/>
  <c r="H49" i="16"/>
  <c r="H51" i="22"/>
  <c r="E52" i="24"/>
  <c r="D36" i="13"/>
  <c r="E49" i="16"/>
  <c r="E48" i="23"/>
  <c r="E51" i="22"/>
  <c r="F52" i="24"/>
  <c r="E36" i="13"/>
  <c r="F48" i="23"/>
  <c r="F49" i="16"/>
  <c r="F51" i="22"/>
  <c r="G52" i="24"/>
  <c r="F36" i="13"/>
  <c r="G48" i="23"/>
  <c r="G49" i="16"/>
  <c r="G51" i="22"/>
  <c r="I52" i="24"/>
  <c r="H36" i="13"/>
  <c r="I48" i="23"/>
  <c r="I49" i="16"/>
  <c r="I51" i="22"/>
  <c r="E55" i="22" l="1"/>
  <c r="E54" i="22"/>
  <c r="E56" i="22"/>
  <c r="E57" i="22"/>
  <c r="E53" i="22"/>
  <c r="E58" i="24"/>
  <c r="F58" i="24" s="1"/>
  <c r="E55" i="24"/>
  <c r="E57" i="24"/>
  <c r="E56" i="24"/>
  <c r="D39" i="13"/>
  <c r="D38" i="13"/>
  <c r="J52" i="24"/>
  <c r="J48" i="23"/>
  <c r="J49" i="16"/>
  <c r="I36" i="13"/>
  <c r="J51" i="22"/>
  <c r="E54" i="24"/>
  <c r="C56" i="16"/>
  <c r="D56" i="16" s="1"/>
  <c r="E61" i="22" l="1"/>
  <c r="E58" i="22" s="1"/>
  <c r="F50" i="24"/>
  <c r="G58" i="24" s="1"/>
  <c r="F48" i="24"/>
  <c r="F56" i="24"/>
  <c r="F57" i="24"/>
  <c r="F49" i="24"/>
  <c r="F46" i="24"/>
  <c r="F54" i="24"/>
  <c r="F55" i="24"/>
  <c r="F47" i="24"/>
  <c r="F48" i="22"/>
  <c r="F56" i="22"/>
  <c r="F46" i="22"/>
  <c r="F54" i="22"/>
  <c r="F47" i="22"/>
  <c r="F55" i="22"/>
  <c r="F53" i="22"/>
  <c r="E59" i="22"/>
  <c r="F45" i="22"/>
  <c r="E62" i="24"/>
  <c r="E59" i="24" s="1"/>
  <c r="E60" i="24"/>
  <c r="E38" i="13"/>
  <c r="E33" i="13"/>
  <c r="D41" i="13"/>
  <c r="D43" i="13"/>
  <c r="D40" i="13" s="1"/>
  <c r="F57" i="22"/>
  <c r="F49" i="22"/>
  <c r="E34" i="13"/>
  <c r="E39" i="13"/>
  <c r="G48" i="22" l="1"/>
  <c r="G50" i="24"/>
  <c r="H58" i="24" s="1"/>
  <c r="F61" i="22"/>
  <c r="F58" i="22" s="1"/>
  <c r="G46" i="24"/>
  <c r="G47" i="24"/>
  <c r="G55" i="24"/>
  <c r="G54" i="24"/>
  <c r="H54" i="24" s="1"/>
  <c r="G49" i="24"/>
  <c r="G57" i="24"/>
  <c r="G48" i="24"/>
  <c r="G56" i="24"/>
  <c r="G47" i="22"/>
  <c r="G55" i="22"/>
  <c r="G46" i="22"/>
  <c r="G54" i="22"/>
  <c r="G56" i="22"/>
  <c r="G53" i="22"/>
  <c r="G45" i="22"/>
  <c r="F60" i="24"/>
  <c r="F62" i="24"/>
  <c r="F59" i="24" s="1"/>
  <c r="F59" i="22"/>
  <c r="F34" i="13"/>
  <c r="F39" i="13"/>
  <c r="F33" i="13"/>
  <c r="F38" i="13"/>
  <c r="G49" i="22"/>
  <c r="G57" i="22"/>
  <c r="E41" i="13"/>
  <c r="E43" i="13"/>
  <c r="E40" i="13" s="1"/>
  <c r="H56" i="22" l="1"/>
  <c r="H50" i="24"/>
  <c r="I58" i="24" s="1"/>
  <c r="H46" i="24"/>
  <c r="I54" i="24" s="1"/>
  <c r="H48" i="24"/>
  <c r="H56" i="24"/>
  <c r="H49" i="24"/>
  <c r="H57" i="24"/>
  <c r="H47" i="24"/>
  <c r="H55" i="24"/>
  <c r="G61" i="22"/>
  <c r="G58" i="22" s="1"/>
  <c r="H48" i="22"/>
  <c r="H46" i="22"/>
  <c r="H54" i="22"/>
  <c r="H47" i="22"/>
  <c r="H55" i="22"/>
  <c r="H57" i="22"/>
  <c r="H49" i="22"/>
  <c r="G60" i="24"/>
  <c r="G62" i="24"/>
  <c r="G59" i="24" s="1"/>
  <c r="H45" i="22"/>
  <c r="H53" i="22"/>
  <c r="G34" i="13"/>
  <c r="G59" i="22"/>
  <c r="G33" i="13"/>
  <c r="F43" i="13"/>
  <c r="F40" i="13" s="1"/>
  <c r="F41" i="13"/>
  <c r="I50" i="24" l="1"/>
  <c r="J58" i="24" s="1"/>
  <c r="I46" i="24"/>
  <c r="J54" i="24" s="1"/>
  <c r="I47" i="24"/>
  <c r="I55" i="24"/>
  <c r="I49" i="24"/>
  <c r="I57" i="24"/>
  <c r="I48" i="24"/>
  <c r="I56" i="24"/>
  <c r="H61" i="22"/>
  <c r="H58" i="22" s="1"/>
  <c r="I47" i="22"/>
  <c r="I55" i="22"/>
  <c r="I54" i="22"/>
  <c r="I46" i="22"/>
  <c r="I48" i="22"/>
  <c r="I56" i="22"/>
  <c r="H34" i="13"/>
  <c r="H39" i="13"/>
  <c r="I45" i="22"/>
  <c r="I53" i="22"/>
  <c r="H62" i="24"/>
  <c r="H59" i="24" s="1"/>
  <c r="H60" i="24"/>
  <c r="G41" i="13"/>
  <c r="G43" i="13"/>
  <c r="G40" i="13" s="1"/>
  <c r="H38" i="13"/>
  <c r="H33" i="13"/>
  <c r="H59" i="22"/>
  <c r="I57" i="22"/>
  <c r="I49" i="22"/>
  <c r="C47" i="16"/>
  <c r="D47" i="16" s="1"/>
  <c r="C46" i="16"/>
  <c r="D46" i="16" s="1"/>
  <c r="F15" i="16"/>
  <c r="G15" i="16" s="1"/>
  <c r="H15" i="16" s="1"/>
  <c r="I15" i="16" s="1"/>
  <c r="J15" i="16" s="1"/>
  <c r="K15" i="16" s="1"/>
  <c r="L15" i="16" s="1"/>
  <c r="M15" i="16" s="1"/>
  <c r="I5" i="16"/>
  <c r="I4" i="16"/>
  <c r="C57" i="15"/>
  <c r="D57" i="15" s="1"/>
  <c r="M55" i="15"/>
  <c r="C48" i="15"/>
  <c r="C43" i="15"/>
  <c r="C47" i="15" s="1"/>
  <c r="D47" i="15" s="1"/>
  <c r="M24" i="15"/>
  <c r="M23" i="15"/>
  <c r="J43" i="15"/>
  <c r="I43" i="15"/>
  <c r="H43" i="15"/>
  <c r="G43" i="15"/>
  <c r="F43" i="15"/>
  <c r="E43" i="15"/>
  <c r="I5" i="15"/>
  <c r="I4" i="15"/>
  <c r="D48" i="15" l="1"/>
  <c r="E48" i="15"/>
  <c r="E53" i="15"/>
  <c r="E47" i="15"/>
  <c r="E52" i="15"/>
  <c r="J50" i="24"/>
  <c r="J46" i="24"/>
  <c r="J48" i="24"/>
  <c r="J56" i="24"/>
  <c r="J49" i="24"/>
  <c r="J57" i="24"/>
  <c r="J47" i="24"/>
  <c r="J55" i="24"/>
  <c r="I61" i="22"/>
  <c r="I58" i="22" s="1"/>
  <c r="I59" i="22"/>
  <c r="K52" i="24"/>
  <c r="K48" i="23"/>
  <c r="K49" i="16"/>
  <c r="J36" i="13"/>
  <c r="K51" i="22"/>
  <c r="I60" i="24"/>
  <c r="I62" i="24"/>
  <c r="I59" i="24" s="1"/>
  <c r="I33" i="13"/>
  <c r="I38" i="13"/>
  <c r="H41" i="13"/>
  <c r="H43" i="13"/>
  <c r="H40" i="13" s="1"/>
  <c r="I34" i="13"/>
  <c r="I39" i="13"/>
  <c r="I6" i="15"/>
  <c r="I6" i="16"/>
  <c r="E57" i="15" l="1"/>
  <c r="E54" i="15" s="1"/>
  <c r="I43" i="13"/>
  <c r="I40" i="13" s="1"/>
  <c r="I41" i="13"/>
  <c r="J60" i="24"/>
  <c r="J62" i="24"/>
  <c r="J59" i="24" s="1"/>
  <c r="F48" i="15"/>
  <c r="F53" i="15"/>
  <c r="F47" i="15"/>
  <c r="F52" i="15"/>
  <c r="E55" i="15"/>
  <c r="G48" i="15" l="1"/>
  <c r="G53" i="15"/>
  <c r="G52" i="15"/>
  <c r="G47" i="15"/>
  <c r="F55" i="15"/>
  <c r="F57" i="15"/>
  <c r="F54" i="15" s="1"/>
  <c r="H53" i="15" l="1"/>
  <c r="H48" i="15"/>
  <c r="H47" i="15"/>
  <c r="H52" i="15"/>
  <c r="G57" i="15"/>
  <c r="G54" i="15" s="1"/>
  <c r="G55" i="15"/>
  <c r="H55" i="15" l="1"/>
  <c r="I47" i="15"/>
  <c r="I48" i="15"/>
  <c r="I53" i="15"/>
  <c r="I52" i="15"/>
  <c r="H57" i="15"/>
  <c r="H54" i="15" s="1"/>
  <c r="J48" i="15" l="1"/>
  <c r="J53" i="15"/>
  <c r="J47" i="15"/>
  <c r="J52" i="15"/>
  <c r="I57" i="15"/>
  <c r="I54" i="15" s="1"/>
  <c r="I55" i="15"/>
  <c r="L52" i="24" l="1"/>
  <c r="L48" i="23"/>
  <c r="K36" i="13"/>
  <c r="L51" i="22"/>
  <c r="L49" i="16"/>
  <c r="J57" i="15"/>
  <c r="J54" i="15" l="1"/>
  <c r="J55" i="15"/>
  <c r="F13" i="5" l="1"/>
  <c r="F10" i="10"/>
  <c r="F11" i="10" s="1"/>
  <c r="F14" i="5" l="1"/>
  <c r="D17" i="10"/>
  <c r="F17" i="5"/>
  <c r="F16" i="5"/>
  <c r="F15" i="5"/>
  <c r="L24" i="15" l="1"/>
  <c r="K23" i="15" l="1"/>
  <c r="L23" i="15" l="1"/>
  <c r="G4" i="15" l="1"/>
  <c r="K24" i="15" l="1"/>
  <c r="G5" i="15" l="1"/>
  <c r="G6" i="15" l="1"/>
  <c r="E16" i="16" l="1"/>
  <c r="E42" i="16"/>
  <c r="E43" i="16"/>
  <c r="F42" i="16" l="1"/>
  <c r="E51" i="16"/>
  <c r="E46" i="16"/>
  <c r="E52" i="16"/>
  <c r="E47" i="16"/>
  <c r="E54" i="16" l="1"/>
  <c r="F43" i="16"/>
  <c r="F47" i="16" s="1"/>
  <c r="F16" i="16"/>
  <c r="E56" i="16"/>
  <c r="E53" i="16" s="1"/>
  <c r="G42" i="16"/>
  <c r="F51" i="16"/>
  <c r="F46" i="16"/>
  <c r="G43" i="16"/>
  <c r="H43" i="16"/>
  <c r="F52" i="16" l="1"/>
  <c r="G52" i="16" s="1"/>
  <c r="G16" i="16"/>
  <c r="H16" i="16"/>
  <c r="H42" i="16"/>
  <c r="G46" i="16"/>
  <c r="G51" i="16"/>
  <c r="I43" i="16"/>
  <c r="F54" i="16" l="1"/>
  <c r="F56" i="16"/>
  <c r="F53" i="16" s="1"/>
  <c r="G47" i="16"/>
  <c r="H47" i="16" s="1"/>
  <c r="G54" i="16"/>
  <c r="H51" i="16"/>
  <c r="H46" i="16"/>
  <c r="J43" i="16"/>
  <c r="G56" i="16" l="1"/>
  <c r="G53" i="16" s="1"/>
  <c r="H52" i="16"/>
  <c r="H54" i="16" s="1"/>
  <c r="I16" i="16"/>
  <c r="I42" i="16"/>
  <c r="I51" i="16" s="1"/>
  <c r="N30" i="16"/>
  <c r="N29" i="16"/>
  <c r="I52" i="16" l="1"/>
  <c r="H56" i="16"/>
  <c r="H53" i="16" s="1"/>
  <c r="I47" i="16"/>
  <c r="I46" i="16"/>
  <c r="J16" i="16"/>
  <c r="J42" i="16"/>
  <c r="N28" i="16"/>
  <c r="N27" i="16"/>
  <c r="N26" i="16"/>
  <c r="F4" i="16" s="1"/>
  <c r="J47" i="16" l="1"/>
  <c r="I56" i="16"/>
  <c r="I54" i="16"/>
  <c r="J52" i="16"/>
  <c r="J46" i="16"/>
  <c r="F5" i="16"/>
  <c r="F6" i="16" s="1"/>
  <c r="I53" i="16"/>
  <c r="J51" i="16"/>
  <c r="J56" i="16" s="1"/>
  <c r="G5" i="16"/>
  <c r="K16" i="16"/>
  <c r="J53" i="16" l="1"/>
  <c r="J54" i="16"/>
  <c r="L16" i="16"/>
  <c r="G4" i="16"/>
  <c r="G6" i="16" l="1"/>
  <c r="B14" i="12" l="1"/>
  <c r="B7" i="12" s="1"/>
  <c r="B8" i="12" s="1"/>
  <c r="C14" i="12" l="1"/>
  <c r="C7" i="12" s="1"/>
  <c r="C8" i="12" l="1"/>
  <c r="J42" i="22" l="1"/>
  <c r="J41" i="22" l="1"/>
  <c r="G4" i="22"/>
  <c r="J38" i="22"/>
  <c r="G8" i="22"/>
  <c r="J57" i="22"/>
  <c r="J49" i="22"/>
  <c r="G7" i="22" l="1"/>
  <c r="J40" i="22"/>
  <c r="J53" i="22"/>
  <c r="J45" i="22"/>
  <c r="J56" i="22"/>
  <c r="J48" i="22"/>
  <c r="J39" i="22" l="1"/>
  <c r="G5" i="22"/>
  <c r="G6" i="22"/>
  <c r="J47" i="22"/>
  <c r="J55" i="22"/>
  <c r="G9" i="22" l="1"/>
  <c r="J46" i="22"/>
  <c r="J54" i="22"/>
  <c r="C10" i="18"/>
  <c r="J61" i="22" l="1"/>
  <c r="J58" i="22" s="1"/>
  <c r="J59" i="22"/>
  <c r="B39" i="8" l="1"/>
  <c r="B15" i="8"/>
  <c r="B33" i="8"/>
  <c r="B9" i="8"/>
  <c r="L35" i="15" l="1"/>
  <c r="K20" i="13"/>
  <c r="K30" i="13" s="1"/>
  <c r="L23" i="22"/>
  <c r="L30" i="22" s="1"/>
  <c r="L39" i="22" s="1"/>
  <c r="L20" i="16"/>
  <c r="L20" i="23"/>
  <c r="L17" i="24"/>
  <c r="L24" i="22"/>
  <c r="L31" i="22" s="1"/>
  <c r="L40" i="22" s="1"/>
  <c r="L21" i="16"/>
  <c r="L21" i="23"/>
  <c r="L36" i="15"/>
  <c r="L18" i="24"/>
  <c r="L25" i="22"/>
  <c r="L32" i="22" s="1"/>
  <c r="L41" i="22" s="1"/>
  <c r="L22" i="16"/>
  <c r="L22" i="23"/>
  <c r="L19" i="24"/>
  <c r="L37" i="15"/>
  <c r="L23" i="16"/>
  <c r="L26" i="22"/>
  <c r="L33" i="22" s="1"/>
  <c r="L42" i="22" s="1"/>
  <c r="L23" i="23"/>
  <c r="L20" i="24"/>
  <c r="L38" i="15"/>
  <c r="M35" i="15"/>
  <c r="M23" i="22"/>
  <c r="M30" i="22" s="1"/>
  <c r="M39" i="22" s="1"/>
  <c r="M20" i="23"/>
  <c r="M36" i="23" s="1"/>
  <c r="L20" i="13"/>
  <c r="L30" i="13" s="1"/>
  <c r="M17" i="24"/>
  <c r="M40" i="24" s="1"/>
  <c r="M20" i="16"/>
  <c r="M24" i="22"/>
  <c r="M31" i="22" s="1"/>
  <c r="M40" i="22" s="1"/>
  <c r="M21" i="23"/>
  <c r="M37" i="23" s="1"/>
  <c r="M18" i="24"/>
  <c r="M41" i="24" s="1"/>
  <c r="M21" i="16"/>
  <c r="M36" i="15"/>
  <c r="M25" i="22"/>
  <c r="M32" i="22" s="1"/>
  <c r="M41" i="22" s="1"/>
  <c r="M37" i="15"/>
  <c r="M22" i="23"/>
  <c r="M38" i="23" s="1"/>
  <c r="M22" i="16"/>
  <c r="M19" i="24"/>
  <c r="M42" i="24" s="1"/>
  <c r="M23" i="23"/>
  <c r="M39" i="23" s="1"/>
  <c r="M20" i="24"/>
  <c r="M43" i="24" s="1"/>
  <c r="M23" i="16"/>
  <c r="M26" i="22"/>
  <c r="M33" i="22" s="1"/>
  <c r="M42" i="22" s="1"/>
  <c r="M38" i="15"/>
  <c r="K35" i="15"/>
  <c r="K20" i="23"/>
  <c r="K23" i="22"/>
  <c r="K17" i="24"/>
  <c r="K20" i="16"/>
  <c r="J20" i="13"/>
  <c r="F5" i="15"/>
  <c r="K36" i="15"/>
  <c r="K24" i="22"/>
  <c r="K21" i="23"/>
  <c r="K18" i="24"/>
  <c r="K21" i="16"/>
  <c r="K25" i="22"/>
  <c r="K22" i="23"/>
  <c r="K19" i="24"/>
  <c r="K37" i="15"/>
  <c r="K22" i="16"/>
  <c r="K26" i="22"/>
  <c r="K23" i="23"/>
  <c r="K20" i="24"/>
  <c r="K23" i="16"/>
  <c r="K38" i="15"/>
  <c r="M44" i="15" l="1"/>
  <c r="E5" i="15"/>
  <c r="H5" i="15" s="1"/>
  <c r="K44" i="15"/>
  <c r="K32" i="22"/>
  <c r="F7" i="22"/>
  <c r="E5" i="24"/>
  <c r="K33" i="22"/>
  <c r="F8" i="22"/>
  <c r="K30" i="22"/>
  <c r="F5" i="22"/>
  <c r="M43" i="16"/>
  <c r="J30" i="13"/>
  <c r="D5" i="13"/>
  <c r="F5" i="13" s="1"/>
  <c r="L43" i="16"/>
  <c r="E5" i="16"/>
  <c r="H5" i="16" s="1"/>
  <c r="K43" i="16"/>
  <c r="E7" i="24"/>
  <c r="K31" i="22"/>
  <c r="F6" i="22"/>
  <c r="E5" i="23"/>
  <c r="E6" i="24"/>
  <c r="E8" i="24"/>
  <c r="L44" i="15"/>
  <c r="J34" i="13" l="1"/>
  <c r="J39" i="13"/>
  <c r="E5" i="22"/>
  <c r="H5" i="22" s="1"/>
  <c r="K39" i="22"/>
  <c r="E7" i="22"/>
  <c r="H7" i="22" s="1"/>
  <c r="K41" i="22"/>
  <c r="K47" i="16"/>
  <c r="K52" i="16"/>
  <c r="K48" i="15"/>
  <c r="K53" i="15"/>
  <c r="E8" i="22"/>
  <c r="H8" i="22" s="1"/>
  <c r="K42" i="22"/>
  <c r="E6" i="22"/>
  <c r="H6" i="22" s="1"/>
  <c r="K40" i="22"/>
  <c r="K55" i="22" l="1"/>
  <c r="K47" i="22"/>
  <c r="L47" i="16"/>
  <c r="L52" i="16"/>
  <c r="J5" i="16" s="1"/>
  <c r="K5" i="16" s="1"/>
  <c r="K34" i="13"/>
  <c r="K39" i="13"/>
  <c r="L34" i="13" s="1"/>
  <c r="K48" i="22"/>
  <c r="K56" i="22"/>
  <c r="K49" i="22"/>
  <c r="K57" i="22"/>
  <c r="L53" i="15"/>
  <c r="L48" i="15"/>
  <c r="K46" i="22"/>
  <c r="K54" i="22"/>
  <c r="J5" i="15" l="1"/>
  <c r="K5" i="15" s="1"/>
  <c r="K8" i="15" s="1"/>
  <c r="S23" i="5" s="1"/>
  <c r="M48" i="15"/>
  <c r="H5" i="13"/>
  <c r="I5" i="13" s="1"/>
  <c r="I10" i="13" s="1"/>
  <c r="L48" i="22"/>
  <c r="L56" i="22"/>
  <c r="J7" i="22" s="1"/>
  <c r="K7" i="22" s="1"/>
  <c r="L55" i="22"/>
  <c r="L47" i="22"/>
  <c r="M52" i="16"/>
  <c r="M47" i="16"/>
  <c r="L5" i="16" s="1"/>
  <c r="L54" i="22"/>
  <c r="J5" i="22" s="1"/>
  <c r="K5" i="22" s="1"/>
  <c r="L46" i="22"/>
  <c r="L49" i="22"/>
  <c r="L57" i="22"/>
  <c r="K11" i="16"/>
  <c r="K9" i="16"/>
  <c r="K10" i="16"/>
  <c r="K8" i="16"/>
  <c r="T23" i="5" s="1"/>
  <c r="L39" i="13"/>
  <c r="K10" i="15" l="1"/>
  <c r="C25" i="5" s="1"/>
  <c r="K11" i="15"/>
  <c r="K9" i="15"/>
  <c r="L5" i="15"/>
  <c r="I8" i="13"/>
  <c r="F23" i="5" s="1"/>
  <c r="I11" i="13"/>
  <c r="F26" i="5" s="1"/>
  <c r="M47" i="22"/>
  <c r="I9" i="13"/>
  <c r="J5" i="13"/>
  <c r="J8" i="22"/>
  <c r="K8" i="22" s="1"/>
  <c r="C26" i="5" s="1"/>
  <c r="M49" i="22"/>
  <c r="C23" i="5"/>
  <c r="M46" i="22"/>
  <c r="L5" i="22" s="1"/>
  <c r="F25" i="5"/>
  <c r="K12" i="16"/>
  <c r="M48" i="22"/>
  <c r="L7" i="22" s="1"/>
  <c r="J6" i="22"/>
  <c r="K6" i="22" s="1"/>
  <c r="G7" i="5"/>
  <c r="G5" i="5"/>
  <c r="G8" i="5"/>
  <c r="K12" i="15" l="1"/>
  <c r="J7" i="5"/>
  <c r="S25" i="5"/>
  <c r="B8" i="20" s="1"/>
  <c r="T26" i="5"/>
  <c r="V25" i="5"/>
  <c r="T25" i="5"/>
  <c r="I12" i="13"/>
  <c r="F24" i="5"/>
  <c r="L8" i="22"/>
  <c r="G4" i="5"/>
  <c r="F7" i="5"/>
  <c r="M7" i="5"/>
  <c r="Z26" i="5"/>
  <c r="AA26" i="5"/>
  <c r="AA17" i="5"/>
  <c r="V17" i="5"/>
  <c r="T17" i="5"/>
  <c r="X17" i="5"/>
  <c r="K22" i="22"/>
  <c r="K19" i="23"/>
  <c r="K19" i="16"/>
  <c r="K16" i="24"/>
  <c r="J19" i="13"/>
  <c r="K34" i="15"/>
  <c r="F4" i="15"/>
  <c r="F6" i="15" s="1"/>
  <c r="V26" i="5"/>
  <c r="F5" i="5"/>
  <c r="M5" i="5"/>
  <c r="AA14" i="5"/>
  <c r="Z23" i="5"/>
  <c r="AA23" i="5"/>
  <c r="V14" i="5"/>
  <c r="T14" i="5"/>
  <c r="X14" i="5"/>
  <c r="F8" i="5"/>
  <c r="M8" i="5"/>
  <c r="V23" i="5"/>
  <c r="AA16" i="5"/>
  <c r="AA25" i="5"/>
  <c r="Z25" i="5"/>
  <c r="V16" i="5"/>
  <c r="T16" i="5"/>
  <c r="X16" i="5"/>
  <c r="G6" i="5"/>
  <c r="C24" i="5"/>
  <c r="L6" i="22"/>
  <c r="M22" i="22"/>
  <c r="M29" i="22" s="1"/>
  <c r="M38" i="22" s="1"/>
  <c r="M16" i="24"/>
  <c r="M19" i="23"/>
  <c r="M19" i="16"/>
  <c r="L19" i="13"/>
  <c r="M34" i="15"/>
  <c r="M43" i="15" s="1"/>
  <c r="J8" i="5"/>
  <c r="C8" i="5"/>
  <c r="J5" i="5"/>
  <c r="C5" i="5"/>
  <c r="S26" i="5"/>
  <c r="C7" i="5"/>
  <c r="L22" i="22"/>
  <c r="L29" i="22" s="1"/>
  <c r="K19" i="13"/>
  <c r="L16" i="24"/>
  <c r="L19" i="23"/>
  <c r="L19" i="16"/>
  <c r="L34" i="15"/>
  <c r="X26" i="5"/>
  <c r="X25" i="5"/>
  <c r="X23" i="5"/>
  <c r="E8" i="20" l="1"/>
  <c r="T24" i="5"/>
  <c r="S24" i="5"/>
  <c r="J6" i="5"/>
  <c r="E6" i="20"/>
  <c r="E18" i="20"/>
  <c r="F6" i="5"/>
  <c r="R8" i="5" s="1"/>
  <c r="E9" i="20"/>
  <c r="E4" i="24"/>
  <c r="C8" i="20"/>
  <c r="B6" i="20"/>
  <c r="E4" i="16"/>
  <c r="K42" i="16"/>
  <c r="M42" i="16"/>
  <c r="B10" i="18"/>
  <c r="C9" i="20"/>
  <c r="E4" i="23"/>
  <c r="D18" i="20"/>
  <c r="S6" i="5"/>
  <c r="AA15" i="5"/>
  <c r="Z24" i="5"/>
  <c r="AA24" i="5"/>
  <c r="V15" i="5"/>
  <c r="T15" i="5"/>
  <c r="X15" i="5"/>
  <c r="V24" i="5"/>
  <c r="C6" i="20"/>
  <c r="B17" i="20"/>
  <c r="L38" i="22"/>
  <c r="B9" i="20"/>
  <c r="S7" i="5"/>
  <c r="M35" i="23"/>
  <c r="M39" i="24"/>
  <c r="AA22" i="5"/>
  <c r="AA13" i="5"/>
  <c r="Z22" i="5"/>
  <c r="V13" i="5"/>
  <c r="T13" i="5"/>
  <c r="X13" i="5"/>
  <c r="M6" i="5"/>
  <c r="E15" i="20"/>
  <c r="K29" i="22"/>
  <c r="F4" i="22"/>
  <c r="F9" i="22" s="1"/>
  <c r="D17" i="20"/>
  <c r="D15" i="20"/>
  <c r="B18" i="20"/>
  <c r="S29" i="5"/>
  <c r="K29" i="13"/>
  <c r="S32" i="5"/>
  <c r="S31" i="5"/>
  <c r="C6" i="5"/>
  <c r="O7" i="5" s="1"/>
  <c r="S5" i="5"/>
  <c r="E4" i="15"/>
  <c r="K43" i="15"/>
  <c r="L43" i="15"/>
  <c r="L42" i="16"/>
  <c r="L29" i="13"/>
  <c r="X24" i="5"/>
  <c r="E17" i="20"/>
  <c r="E26" i="20" s="1"/>
  <c r="E32" i="20" s="1"/>
  <c r="B15" i="20"/>
  <c r="J29" i="13"/>
  <c r="D4" i="13"/>
  <c r="S8" i="5"/>
  <c r="E27" i="20" l="1"/>
  <c r="E33" i="20" s="1"/>
  <c r="E24" i="20"/>
  <c r="E30" i="20" s="1"/>
  <c r="R7" i="5"/>
  <c r="R5" i="5"/>
  <c r="R6" i="5"/>
  <c r="E14" i="20"/>
  <c r="S30" i="5"/>
  <c r="O5" i="5"/>
  <c r="O8" i="5"/>
  <c r="E16" i="20"/>
  <c r="E6" i="16"/>
  <c r="H4" i="16"/>
  <c r="B16" i="20"/>
  <c r="E9" i="24"/>
  <c r="E6" i="15"/>
  <c r="H4" i="15"/>
  <c r="H6" i="15" s="1"/>
  <c r="C7" i="20"/>
  <c r="B26" i="20"/>
  <c r="B27" i="20"/>
  <c r="D14" i="20"/>
  <c r="E7" i="20"/>
  <c r="K47" i="15"/>
  <c r="K52" i="15"/>
  <c r="D6" i="13"/>
  <c r="F4" i="13"/>
  <c r="D16" i="20"/>
  <c r="J33" i="13"/>
  <c r="J38" i="13"/>
  <c r="B7" i="20"/>
  <c r="E6" i="23"/>
  <c r="B24" i="20"/>
  <c r="E4" i="22"/>
  <c r="K38" i="22"/>
  <c r="O6" i="5"/>
  <c r="K46" i="16"/>
  <c r="K51" i="16"/>
  <c r="E25" i="20" l="1"/>
  <c r="E31" i="20" s="1"/>
  <c r="L52" i="15"/>
  <c r="B33" i="20"/>
  <c r="K55" i="15"/>
  <c r="K57" i="15"/>
  <c r="K54" i="15" s="1"/>
  <c r="H6" i="16"/>
  <c r="K33" i="13"/>
  <c r="K38" i="13"/>
  <c r="H4" i="13" s="1"/>
  <c r="H6" i="13" s="1"/>
  <c r="B25" i="20"/>
  <c r="K45" i="22"/>
  <c r="K53" i="22"/>
  <c r="E9" i="22"/>
  <c r="H4" i="22"/>
  <c r="B32" i="20"/>
  <c r="B30" i="20"/>
  <c r="F6" i="13"/>
  <c r="L46" i="16"/>
  <c r="L51" i="16"/>
  <c r="J4" i="16" s="1"/>
  <c r="K54" i="16"/>
  <c r="K56" i="16"/>
  <c r="K53" i="16" s="1"/>
  <c r="J41" i="13"/>
  <c r="J43" i="13"/>
  <c r="J40" i="13" s="1"/>
  <c r="L47" i="15"/>
  <c r="J4" i="15" l="1"/>
  <c r="J6" i="15" s="1"/>
  <c r="I4" i="13"/>
  <c r="I6" i="13" s="1"/>
  <c r="J6" i="16"/>
  <c r="K4" i="16"/>
  <c r="T22" i="5" s="1"/>
  <c r="K59" i="22"/>
  <c r="K61" i="22"/>
  <c r="K58" i="22" s="1"/>
  <c r="L53" i="22"/>
  <c r="L45" i="22"/>
  <c r="B31" i="20"/>
  <c r="K41" i="13"/>
  <c r="K43" i="13"/>
  <c r="K40" i="13" s="1"/>
  <c r="M51" i="16"/>
  <c r="M46" i="16"/>
  <c r="L38" i="13"/>
  <c r="L33" i="13"/>
  <c r="L54" i="16"/>
  <c r="L56" i="16"/>
  <c r="L53" i="16" s="1"/>
  <c r="H9" i="22"/>
  <c r="M47" i="15"/>
  <c r="L55" i="15"/>
  <c r="L57" i="15"/>
  <c r="M57" i="15" s="1"/>
  <c r="V22" i="5" l="1"/>
  <c r="E5" i="20" s="1"/>
  <c r="E23" i="20" s="1"/>
  <c r="F22" i="5"/>
  <c r="J4" i="13"/>
  <c r="K4" i="15"/>
  <c r="S22" i="5" s="1"/>
  <c r="M45" i="22"/>
  <c r="J4" i="22"/>
  <c r="L59" i="22"/>
  <c r="L61" i="22"/>
  <c r="M61" i="22" s="1"/>
  <c r="L4" i="16"/>
  <c r="K6" i="16"/>
  <c r="L41" i="13"/>
  <c r="L43" i="13"/>
  <c r="L40" i="13" s="1"/>
  <c r="L54" i="15"/>
  <c r="M54" i="15"/>
  <c r="M54" i="16"/>
  <c r="M56" i="16"/>
  <c r="M53" i="16" s="1"/>
  <c r="M4" i="5"/>
  <c r="E29" i="20" s="1"/>
  <c r="F4" i="5" l="1"/>
  <c r="K6" i="15"/>
  <c r="L4" i="15"/>
  <c r="L58" i="22"/>
  <c r="M58" i="22"/>
  <c r="J9" i="22"/>
  <c r="K4" i="22"/>
  <c r="C5" i="20"/>
  <c r="B5" i="20"/>
  <c r="X22" i="5" l="1"/>
  <c r="C22" i="5"/>
  <c r="L4" i="22"/>
  <c r="K9" i="22"/>
  <c r="B14" i="20" l="1"/>
  <c r="J4" i="5"/>
  <c r="S28" i="5" s="1"/>
  <c r="C4" i="5"/>
  <c r="B23" i="20" l="1"/>
  <c r="B29" i="20" l="1"/>
  <c r="F19" i="8" l="1"/>
  <c r="G19" i="8" l="1"/>
  <c r="C27" i="8" l="1"/>
  <c r="C21" i="8" l="1"/>
  <c r="D27" i="8" l="1"/>
  <c r="D21" i="8" l="1"/>
  <c r="F24" i="8" l="1"/>
  <c r="F26" i="8"/>
  <c r="G26" i="8" l="1"/>
  <c r="G24" i="8"/>
  <c r="F25" i="8" l="1"/>
  <c r="G25" i="8" l="1"/>
  <c r="E27" i="8"/>
  <c r="F23" i="8"/>
  <c r="G23" i="8" l="1"/>
  <c r="E21" i="8"/>
  <c r="F20" i="8"/>
  <c r="G20" i="8" s="1"/>
  <c r="F27" i="8"/>
  <c r="F21" i="8" l="1"/>
  <c r="G27" i="8"/>
  <c r="G21" i="8" l="1"/>
  <c r="F7" i="8" l="1"/>
  <c r="F31" i="8"/>
  <c r="E26" i="23" l="1"/>
  <c r="F26" i="23"/>
  <c r="G26" i="23"/>
  <c r="F43" i="8"/>
  <c r="H26" i="23" s="1"/>
  <c r="G31" i="8"/>
  <c r="J26" i="23" l="1"/>
  <c r="L26" i="23"/>
  <c r="L35" i="23" s="1"/>
  <c r="I26" i="23"/>
  <c r="K26" i="23"/>
  <c r="G35" i="23"/>
  <c r="F35" i="23"/>
  <c r="E35" i="23"/>
  <c r="G43" i="8"/>
  <c r="G7" i="8" l="1"/>
  <c r="E13" i="5" s="1"/>
  <c r="E50" i="23"/>
  <c r="E42" i="23"/>
  <c r="I35" i="23"/>
  <c r="H35" i="23"/>
  <c r="F4" i="23"/>
  <c r="G4" i="23" s="1"/>
  <c r="K35" i="23"/>
  <c r="J35" i="23"/>
  <c r="U13" i="5" l="1"/>
  <c r="F42" i="23"/>
  <c r="F50" i="23"/>
  <c r="G50" i="23" l="1"/>
  <c r="G42" i="23"/>
  <c r="H42" i="23" l="1"/>
  <c r="H50" i="23"/>
  <c r="I42" i="23" l="1"/>
  <c r="I50" i="23"/>
  <c r="J50" i="23" l="1"/>
  <c r="J42" i="23"/>
  <c r="K42" i="23" l="1"/>
  <c r="K50" i="23"/>
  <c r="L42" i="23" l="1"/>
  <c r="L50" i="23"/>
  <c r="I4" i="23" s="1"/>
  <c r="J4" i="23" s="1"/>
  <c r="U22" i="5" s="1"/>
  <c r="M50" i="23" l="1"/>
  <c r="M42" i="23"/>
  <c r="E22" i="5"/>
  <c r="L4" i="5" s="1"/>
  <c r="K4" i="23"/>
  <c r="U28" i="5" l="1"/>
  <c r="E4" i="5"/>
  <c r="D5" i="20"/>
  <c r="D23" i="20" l="1"/>
  <c r="F5" i="20"/>
  <c r="D29" i="20" l="1"/>
  <c r="F12" i="8" l="1"/>
  <c r="F36" i="8"/>
  <c r="J28" i="23" l="1"/>
  <c r="L28" i="23"/>
  <c r="I28" i="23"/>
  <c r="K28" i="23"/>
  <c r="G36" i="8"/>
  <c r="G12" i="8" s="1"/>
  <c r="U15" i="5" s="1"/>
  <c r="G28" i="23"/>
  <c r="G37" i="23" s="1"/>
  <c r="F28" i="23"/>
  <c r="F37" i="23" s="1"/>
  <c r="E28" i="23"/>
  <c r="E37" i="23" s="1"/>
  <c r="H28" i="23"/>
  <c r="H37" i="23" s="1"/>
  <c r="F14" i="8"/>
  <c r="F38" i="8"/>
  <c r="K30" i="23" l="1"/>
  <c r="J30" i="23"/>
  <c r="I30" i="23"/>
  <c r="L30" i="23"/>
  <c r="E15" i="5"/>
  <c r="I37" i="23"/>
  <c r="L37" i="23"/>
  <c r="J37" i="23"/>
  <c r="E52" i="23"/>
  <c r="E44" i="23"/>
  <c r="G38" i="8"/>
  <c r="G14" i="8" s="1"/>
  <c r="U17" i="5" s="1"/>
  <c r="E30" i="23"/>
  <c r="E39" i="23" s="1"/>
  <c r="H30" i="23"/>
  <c r="H39" i="23" s="1"/>
  <c r="G30" i="23"/>
  <c r="G39" i="23" s="1"/>
  <c r="F30" i="23"/>
  <c r="F39" i="23" s="1"/>
  <c r="E17" i="5" l="1"/>
  <c r="I39" i="23"/>
  <c r="K37" i="23"/>
  <c r="E46" i="23"/>
  <c r="E54" i="23"/>
  <c r="L39" i="23"/>
  <c r="F52" i="23"/>
  <c r="F44" i="23"/>
  <c r="J39" i="23"/>
  <c r="K39" i="23" l="1"/>
  <c r="G52" i="23"/>
  <c r="G44" i="23"/>
  <c r="F54" i="23"/>
  <c r="F46" i="23"/>
  <c r="F13" i="8"/>
  <c r="F37" i="8"/>
  <c r="L29" i="23" l="1"/>
  <c r="K29" i="23"/>
  <c r="J29" i="23"/>
  <c r="I29" i="23"/>
  <c r="G46" i="23"/>
  <c r="G54" i="23"/>
  <c r="G37" i="8"/>
  <c r="G13" i="8" s="1"/>
  <c r="E29" i="23"/>
  <c r="E38" i="23" s="1"/>
  <c r="F29" i="23"/>
  <c r="F38" i="23" s="1"/>
  <c r="G29" i="23"/>
  <c r="G38" i="23" s="1"/>
  <c r="H29" i="23"/>
  <c r="H38" i="23" s="1"/>
  <c r="H52" i="23"/>
  <c r="H44" i="23"/>
  <c r="E32" i="8"/>
  <c r="E8" i="8" s="1"/>
  <c r="E15" i="8"/>
  <c r="E39" i="8"/>
  <c r="E16" i="5" l="1"/>
  <c r="L38" i="23"/>
  <c r="I38" i="23"/>
  <c r="J38" i="23"/>
  <c r="E53" i="23"/>
  <c r="E45" i="23"/>
  <c r="I52" i="23"/>
  <c r="I44" i="23"/>
  <c r="H46" i="23"/>
  <c r="H54" i="23"/>
  <c r="E45" i="8"/>
  <c r="K38" i="23"/>
  <c r="E9" i="8"/>
  <c r="E33" i="8"/>
  <c r="U16" i="5" l="1"/>
  <c r="I46" i="23"/>
  <c r="I54" i="23"/>
  <c r="J44" i="23"/>
  <c r="J52" i="23"/>
  <c r="F53" i="23"/>
  <c r="F45" i="23"/>
  <c r="G53" i="23" l="1"/>
  <c r="G45" i="23"/>
  <c r="K44" i="23"/>
  <c r="K52" i="23"/>
  <c r="J54" i="23"/>
  <c r="J46" i="23"/>
  <c r="H45" i="23" l="1"/>
  <c r="H53" i="23"/>
  <c r="K54" i="23"/>
  <c r="K46" i="23"/>
  <c r="L52" i="23"/>
  <c r="L44" i="23"/>
  <c r="D45" i="8"/>
  <c r="M44" i="23" l="1"/>
  <c r="M52" i="23"/>
  <c r="L46" i="23"/>
  <c r="L54" i="23"/>
  <c r="I53" i="23"/>
  <c r="I45" i="23"/>
  <c r="C45" i="8"/>
  <c r="F44" i="8"/>
  <c r="J53" i="23" l="1"/>
  <c r="J45" i="23"/>
  <c r="M54" i="23"/>
  <c r="M46" i="23"/>
  <c r="D32" i="8"/>
  <c r="D15" i="8"/>
  <c r="C32" i="8"/>
  <c r="C8" i="8" s="1"/>
  <c r="G44" i="8"/>
  <c r="F45" i="8"/>
  <c r="D39" i="8"/>
  <c r="C39" i="8"/>
  <c r="F35" i="8"/>
  <c r="D8" i="8" l="1"/>
  <c r="D9" i="8" s="1"/>
  <c r="L27" i="23"/>
  <c r="K27" i="23"/>
  <c r="J27" i="23"/>
  <c r="I27" i="23"/>
  <c r="H27" i="23"/>
  <c r="F27" i="23"/>
  <c r="G27" i="23"/>
  <c r="E27" i="23"/>
  <c r="K53" i="23"/>
  <c r="K45" i="23"/>
  <c r="C33" i="8"/>
  <c r="F32" i="8"/>
  <c r="G32" i="8" s="1"/>
  <c r="G8" i="8" s="1"/>
  <c r="D33" i="8"/>
  <c r="G45" i="8"/>
  <c r="F8" i="8"/>
  <c r="F9" i="8" s="1"/>
  <c r="C9" i="8"/>
  <c r="C15" i="8"/>
  <c r="F11" i="8"/>
  <c r="F15" i="8" s="1"/>
  <c r="G35" i="8"/>
  <c r="G11" i="8" s="1"/>
  <c r="U14" i="5" s="1"/>
  <c r="F39" i="8"/>
  <c r="E14" i="5" l="1"/>
  <c r="F33" i="8"/>
  <c r="G36" i="23"/>
  <c r="G16" i="23"/>
  <c r="L45" i="23"/>
  <c r="L53" i="23"/>
  <c r="E36" i="23"/>
  <c r="E16" i="23"/>
  <c r="F36" i="23"/>
  <c r="F16" i="23"/>
  <c r="G39" i="8"/>
  <c r="G9" i="8"/>
  <c r="G33" i="8"/>
  <c r="M53" i="23" l="1"/>
  <c r="M45" i="23"/>
  <c r="E43" i="23"/>
  <c r="E51" i="23"/>
  <c r="L16" i="23"/>
  <c r="L36" i="23"/>
  <c r="G15" i="8"/>
  <c r="H36" i="23"/>
  <c r="F5" i="23"/>
  <c r="H16" i="23"/>
  <c r="K36" i="23"/>
  <c r="K16" i="23"/>
  <c r="J36" i="23"/>
  <c r="J16" i="23"/>
  <c r="I36" i="23"/>
  <c r="I16" i="23"/>
  <c r="F43" i="23" l="1"/>
  <c r="F51" i="23"/>
  <c r="E58" i="23"/>
  <c r="E55" i="23" s="1"/>
  <c r="E56" i="23"/>
  <c r="F6" i="23"/>
  <c r="G5" i="23"/>
  <c r="G6" i="23" s="1"/>
  <c r="F56" i="23" l="1"/>
  <c r="F58" i="23"/>
  <c r="F55" i="23" s="1"/>
  <c r="G43" i="23"/>
  <c r="G51" i="23"/>
  <c r="G56" i="23" l="1"/>
  <c r="G58" i="23"/>
  <c r="G55" i="23" s="1"/>
  <c r="H43" i="23"/>
  <c r="H51" i="23"/>
  <c r="H58" i="23" l="1"/>
  <c r="H55" i="23" s="1"/>
  <c r="H56" i="23"/>
  <c r="I51" i="23"/>
  <c r="I43" i="23"/>
  <c r="I56" i="23" l="1"/>
  <c r="I58" i="23"/>
  <c r="I55" i="23" s="1"/>
  <c r="J43" i="23"/>
  <c r="J51" i="23"/>
  <c r="J56" i="23" l="1"/>
  <c r="J58" i="23"/>
  <c r="J55" i="23" s="1"/>
  <c r="K43" i="23"/>
  <c r="K51" i="23"/>
  <c r="K58" i="23" l="1"/>
  <c r="K55" i="23" s="1"/>
  <c r="K56" i="23"/>
  <c r="L43" i="23"/>
  <c r="L51" i="23"/>
  <c r="L56" i="23" l="1"/>
  <c r="L58" i="23"/>
  <c r="L55" i="23" s="1"/>
  <c r="I5" i="23"/>
  <c r="M51" i="23"/>
  <c r="M43" i="23"/>
  <c r="M56" i="23" l="1"/>
  <c r="M58" i="23"/>
  <c r="M55" i="23" s="1"/>
  <c r="J5" i="23"/>
  <c r="I6" i="23"/>
  <c r="J11" i="23" l="1"/>
  <c r="J10" i="23"/>
  <c r="J6" i="23"/>
  <c r="J8" i="23"/>
  <c r="J9" i="23"/>
  <c r="K5" i="23"/>
  <c r="E24" i="5" l="1"/>
  <c r="L6" i="5" s="1"/>
  <c r="U24" i="5"/>
  <c r="U23" i="5"/>
  <c r="E23" i="5"/>
  <c r="J12" i="23"/>
  <c r="E25" i="5"/>
  <c r="U25" i="5"/>
  <c r="U26" i="5"/>
  <c r="E26" i="5"/>
  <c r="E7" i="5" l="1"/>
  <c r="L7" i="5"/>
  <c r="U31" i="5" s="1"/>
  <c r="D8" i="20"/>
  <c r="L5" i="5"/>
  <c r="U29" i="5" s="1"/>
  <c r="E5" i="5"/>
  <c r="D7" i="20"/>
  <c r="D9" i="20"/>
  <c r="D6" i="20"/>
  <c r="L8" i="5"/>
  <c r="U32" i="5" s="1"/>
  <c r="E8" i="5"/>
  <c r="E6" i="5"/>
  <c r="U30" i="5"/>
  <c r="Q6" i="5" l="1"/>
  <c r="F8" i="20"/>
  <c r="D26" i="20"/>
  <c r="D27" i="20"/>
  <c r="F9" i="20"/>
  <c r="Q8" i="5"/>
  <c r="D24" i="20"/>
  <c r="F6" i="20"/>
  <c r="D25" i="20"/>
  <c r="F7" i="20"/>
  <c r="Q5" i="5"/>
  <c r="Q7" i="5"/>
  <c r="D31" i="20" l="1"/>
  <c r="D33" i="20"/>
  <c r="D32" i="20"/>
  <c r="D30" i="20"/>
  <c r="K27" i="24" l="1"/>
  <c r="L27" i="24" l="1"/>
  <c r="N27" i="24" s="1"/>
  <c r="F8" i="24" s="1"/>
  <c r="K34" i="24"/>
  <c r="K43" i="24" l="1"/>
  <c r="L34" i="24"/>
  <c r="L43" i="24" s="1"/>
  <c r="K24" i="24"/>
  <c r="K50" i="24" l="1"/>
  <c r="K58" i="24"/>
  <c r="G8" i="24"/>
  <c r="H8" i="24" s="1"/>
  <c r="L24" i="24"/>
  <c r="N24" i="24" s="1"/>
  <c r="F5" i="24" s="1"/>
  <c r="K31" i="24"/>
  <c r="K40" i="24" l="1"/>
  <c r="L50" i="24"/>
  <c r="L58" i="24"/>
  <c r="J8" i="24" s="1"/>
  <c r="K8" i="24" s="1"/>
  <c r="K25" i="24"/>
  <c r="L31" i="24"/>
  <c r="L40" i="24" s="1"/>
  <c r="K26" i="24"/>
  <c r="D26" i="5" l="1"/>
  <c r="Y26" i="5"/>
  <c r="G5" i="24"/>
  <c r="H5" i="24" s="1"/>
  <c r="K47" i="24"/>
  <c r="K55" i="24"/>
  <c r="M58" i="24"/>
  <c r="M50" i="24"/>
  <c r="L8" i="24" s="1"/>
  <c r="K23" i="24"/>
  <c r="L25" i="24"/>
  <c r="N25" i="24" s="1"/>
  <c r="F6" i="24" s="1"/>
  <c r="K32" i="24"/>
  <c r="L26" i="24"/>
  <c r="N26" i="24" s="1"/>
  <c r="F7" i="24" s="1"/>
  <c r="L55" i="24" l="1"/>
  <c r="J5" i="24" s="1"/>
  <c r="K5" i="24" s="1"/>
  <c r="K41" i="24"/>
  <c r="L47" i="24"/>
  <c r="L23" i="24"/>
  <c r="N23" i="24" s="1"/>
  <c r="F4" i="24" s="1"/>
  <c r="F9" i="24" s="1"/>
  <c r="L32" i="24"/>
  <c r="L41" i="24" s="1"/>
  <c r="K33" i="24"/>
  <c r="M47" i="24" l="1"/>
  <c r="K42" i="24"/>
  <c r="G6" i="24"/>
  <c r="H6" i="24" s="1"/>
  <c r="K48" i="24"/>
  <c r="K56" i="24"/>
  <c r="L5" i="24"/>
  <c r="D23" i="5"/>
  <c r="Y23" i="5"/>
  <c r="K30" i="24"/>
  <c r="L33" i="24"/>
  <c r="L42" i="24" s="1"/>
  <c r="G7" i="24" l="1"/>
  <c r="H7" i="24" s="1"/>
  <c r="K39" i="24"/>
  <c r="K13" i="24"/>
  <c r="L48" i="24"/>
  <c r="L56" i="24"/>
  <c r="K49" i="24"/>
  <c r="K57" i="24"/>
  <c r="L30" i="24"/>
  <c r="G4" i="24" s="1"/>
  <c r="L57" i="24" l="1"/>
  <c r="G9" i="24"/>
  <c r="H4" i="24"/>
  <c r="L13" i="24"/>
  <c r="L39" i="24"/>
  <c r="L49" i="24"/>
  <c r="K54" i="24"/>
  <c r="K46" i="24"/>
  <c r="M48" i="24"/>
  <c r="J6" i="24"/>
  <c r="K6" i="24" s="1"/>
  <c r="M49" i="24" l="1"/>
  <c r="J7" i="24"/>
  <c r="K7" i="24" s="1"/>
  <c r="D25" i="5" s="1"/>
  <c r="L54" i="24"/>
  <c r="L60" i="24" s="1"/>
  <c r="L46" i="24"/>
  <c r="K62" i="24"/>
  <c r="K59" i="24" s="1"/>
  <c r="K60" i="24"/>
  <c r="L6" i="24"/>
  <c r="D24" i="5"/>
  <c r="Y24" i="5"/>
  <c r="H9" i="24"/>
  <c r="L7" i="24" l="1"/>
  <c r="Y25" i="5"/>
  <c r="M54" i="24"/>
  <c r="M60" i="24" s="1"/>
  <c r="M46" i="24"/>
  <c r="L62" i="24"/>
  <c r="J4" i="24"/>
  <c r="J9" i="24" l="1"/>
  <c r="K4" i="24"/>
  <c r="L59" i="24"/>
  <c r="M62" i="24"/>
  <c r="M59" i="24" s="1"/>
  <c r="L4" i="24" l="1"/>
  <c r="K9" i="24"/>
  <c r="D22" i="5"/>
  <c r="Y22" i="5"/>
  <c r="B10" i="19"/>
  <c r="C10" i="19" l="1"/>
  <c r="D17" i="5" s="1"/>
  <c r="B7" i="19" l="1"/>
  <c r="Y17" i="5"/>
  <c r="K8" i="5"/>
  <c r="D8" i="5"/>
  <c r="T32" i="5" l="1"/>
  <c r="AB17" i="5"/>
  <c r="C18" i="20"/>
  <c r="F18" i="20" s="1"/>
  <c r="C7" i="19"/>
  <c r="D14" i="5" s="1"/>
  <c r="H8" i="5"/>
  <c r="C27" i="20" l="1"/>
  <c r="C33" i="20" s="1"/>
  <c r="Y14" i="5"/>
  <c r="B9" i="19"/>
  <c r="B8" i="19"/>
  <c r="N8" i="5"/>
  <c r="C15" i="20"/>
  <c r="D5" i="5"/>
  <c r="K5" i="5"/>
  <c r="B6" i="19" l="1"/>
  <c r="B11" i="19" s="1"/>
  <c r="F27" i="20"/>
  <c r="G27" i="20" s="1"/>
  <c r="T29" i="5"/>
  <c r="AB14" i="5"/>
  <c r="C8" i="19"/>
  <c r="Y15" i="5" s="1"/>
  <c r="F15" i="20"/>
  <c r="C24" i="20"/>
  <c r="H5" i="5"/>
  <c r="D15" i="5" l="1"/>
  <c r="D6" i="5" s="1"/>
  <c r="N5" i="5"/>
  <c r="C9" i="19"/>
  <c r="C16" i="20"/>
  <c r="AB15" i="5"/>
  <c r="C30" i="20"/>
  <c r="F24" i="20"/>
  <c r="G24" i="20" s="1"/>
  <c r="K6" i="5" l="1"/>
  <c r="T30" i="5" s="1"/>
  <c r="C6" i="19"/>
  <c r="Y13" i="5" s="1"/>
  <c r="C25" i="20"/>
  <c r="F16" i="20"/>
  <c r="H6" i="5"/>
  <c r="D16" i="5"/>
  <c r="Y16" i="5"/>
  <c r="D13" i="5" l="1"/>
  <c r="C11" i="19"/>
  <c r="C14" i="20"/>
  <c r="AB13" i="5"/>
  <c r="N6" i="5"/>
  <c r="C17" i="20"/>
  <c r="AB16" i="5"/>
  <c r="D7" i="5"/>
  <c r="K7" i="5"/>
  <c r="T31" i="5" s="1"/>
  <c r="C31" i="20"/>
  <c r="F25" i="20"/>
  <c r="G25" i="20" s="1"/>
  <c r="D4" i="5" l="1"/>
  <c r="H4" i="5" s="1"/>
  <c r="K4" i="5"/>
  <c r="T28" i="5" s="1"/>
  <c r="P6" i="5"/>
  <c r="P7" i="5"/>
  <c r="H7" i="5"/>
  <c r="P8" i="5"/>
  <c r="P5" i="5"/>
  <c r="C26" i="20"/>
  <c r="F17" i="20"/>
  <c r="C23" i="20"/>
  <c r="F14" i="20"/>
  <c r="N4" i="5" l="1"/>
  <c r="C29" i="20"/>
  <c r="F23" i="20"/>
  <c r="G23" i="20" s="1"/>
  <c r="N7" i="5"/>
  <c r="C32" i="20"/>
  <c r="F26" i="20"/>
  <c r="G26" i="20" s="1"/>
</calcChain>
</file>

<file path=xl/sharedStrings.xml><?xml version="1.0" encoding="utf-8"?>
<sst xmlns="http://schemas.openxmlformats.org/spreadsheetml/2006/main" count="663" uniqueCount="218">
  <si>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</si>
  <si>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</si>
  <si>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</si>
  <si>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</si>
  <si>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</si>
  <si>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</si>
  <si>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</si>
  <si>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</si>
  <si>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</si>
  <si>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</si>
  <si>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</si>
  <si>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</si>
  <si>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</si>
  <si>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</si>
  <si>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</si>
  <si>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</si>
  <si>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</si>
  <si>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</si>
  <si>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</si>
  <si>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</si>
  <si>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</si>
  <si>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</si>
  <si>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</si>
  <si>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</si>
  <si>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</si>
  <si>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</si>
  <si>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</si>
  <si>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</si>
  <si>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</si>
  <si>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</si>
  <si>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</si>
  <si>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4. Total monthly interest - Source: calculated</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</si>
  <si>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</si>
  <si>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</si>
  <si>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</si>
  <si>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</si>
  <si>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</si>
  <si>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</si>
  <si>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</si>
  <si>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</si>
  <si>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</si>
  <si>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</si>
  <si>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</si>
  <si>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</si>
  <si>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</si>
  <si>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</si>
  <si>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</si>
  <si>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</si>
  <si>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</si>
  <si>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</si>
  <si>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</si>
  <si>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</si>
  <si>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</si>
  <si>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</si>
  <si>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</si>
  <si>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</si>
  <si>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</si>
  <si>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</si>
  <si>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</si>
  <si>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</si>
  <si>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</si>
  <si>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</si>
  <si>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</si>
  <si>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</si>
  <si>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</si>
  <si>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</si>
  <si>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</si>
  <si>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5. Total monthly interest - Source: calculated</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</si>
  <si>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</si>
  <si>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</si>
  <si>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</si>
  <si>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</si>
  <si>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</si>
  <si>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</si>
  <si>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</si>
  <si>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</si>
  <si>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</si>
  <si>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</si>
  <si>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</si>
  <si>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</si>
  <si>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</si>
  <si>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</si>
  <si>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</si>
  <si>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</si>
  <si>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</si>
  <si>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</si>
  <si>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</si>
  <si>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</si>
  <si>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</si>
  <si>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</si>
  <si>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</si>
  <si>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</si>
  <si>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</si>
  <si>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Res/Non-Res Allocation</t>
  </si>
  <si>
    <t>OA-cycle 2</t>
  </si>
  <si>
    <t>OAR-cycle 2</t>
  </si>
  <si>
    <t>6. Actual EO rate component of the tariff rate</t>
  </si>
  <si>
    <t>Cycle 2 Ordered Adjustments Reconciliation (OAR) Calculation</t>
  </si>
  <si>
    <t>Cycle 2 Ordered Adjustment (OA) Calculation</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</si>
  <si>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</si>
  <si>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</si>
  <si>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</si>
  <si>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</si>
  <si>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</si>
  <si>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</si>
  <si>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</si>
  <si>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</si>
  <si>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</si>
  <si>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</si>
  <si>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MGS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</si>
  <si>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</si>
  <si>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</si>
  <si>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</si>
  <si>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</si>
  <si>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</si>
  <si>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</si>
  <si>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</si>
  <si>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</si>
  <si>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</si>
  <si>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</si>
  <si>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</si>
  <si>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</si>
  <si>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</si>
  <si>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</si>
  <si>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</si>
  <si>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</si>
  <si>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</si>
  <si>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</si>
  <si>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</si>
  <si>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</si>
  <si>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</si>
  <si>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</si>
  <si>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</si>
  <si>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</si>
  <si>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</si>
  <si>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</si>
  <si>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</si>
  <si>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MGS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</si>
  <si>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</si>
  <si>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</si>
  <si>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</si>
  <si>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</si>
  <si>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</si>
  <si>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</si>
  <si>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</si>
  <si>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</si>
  <si>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</si>
  <si>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</si>
  <si>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</si>
  <si>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</si>
  <si>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</si>
  <si>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</si>
  <si>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NOA = Net Order Adjustment for the upcoming EP plus the succeeding EP (OA + OAR)</t>
  </si>
  <si>
    <t xml:space="preserve">PE = Projected Energy, in kWh to be delivered during the upcoming RP plus the succeeding EP </t>
  </si>
  <si>
    <t>Res</t>
  </si>
  <si>
    <t>SGS</t>
  </si>
  <si>
    <t>MGS</t>
  </si>
  <si>
    <t>LGS</t>
  </si>
  <si>
    <t>LPS</t>
  </si>
  <si>
    <t>5. Monthly Short-Term Borrowing Rate - Source: None</t>
  </si>
  <si>
    <t>7. Cycle 2 kWh Participation - Source: None</t>
  </si>
  <si>
    <t>DSIM ($/kWh)</t>
  </si>
  <si>
    <t>Cycle 2 - Total</t>
  </si>
  <si>
    <t>1. Total Earnings Opportunity - Source: Metro EO Calculation PY1-PY3 v2.xlsx, Metro EO Calculation PY4.xlsx</t>
  </si>
  <si>
    <t>5. Total Earnings Opportunity plus Carrying Costs - Source: Sum of Columns 1. through 4.</t>
  </si>
  <si>
    <t>1. Forecasted kWh by Residential/Non-Residential (Reduced for Opt-Out) - Source: Billed kWh Budget Metro 2020-2022.xlsx</t>
  </si>
  <si>
    <t>2. Actual monthly kWh billed sales by Residential/Non-Residential (reduced for opt-out) - Source: Metro MEEIA 2020-2021 Revenue Analysis.xlsx
    Forecasted monthly kWh billed sales by Residential/Non-Residential (reduced for opt-out) - Source: Billed kWh Budget Metro 2020-2022.xlsx</t>
  </si>
  <si>
    <t>3. Actual monthly billed revenues by Residential/Non-Residential (program cost revenues only) - Metro MEEIA 2020-2021 Revenue Analysis.xlsx
    Forecasted monthly billed revenues by Residential/Non-Residential (program cost revenues only) - Source: calculated = Forecasted billed kWh sales X tariff rate</t>
  </si>
  <si>
    <t>5. Monthly Short-Term Borrowing Rate - Source: Metro Short-Term Borrowing Rate November 2020 - April 2021.xlsx</t>
  </si>
  <si>
    <t>7. Cycle 2 kWh Participation - Source: Metro Cycle 2 TD Calc 042021 05062021.xlsx</t>
  </si>
  <si>
    <t>2. Actual monthly billed revenues by Residential/Non-Residential (TD revenues only) - Metro MEEIA 2020-2021 Revenue Analysis.xlsx
Forecasted monthly billed revenues by Residential/Non-Residential (TD revenues only) - Source: calculated = Forecasted billed kWh sales X tariff rate</t>
  </si>
  <si>
    <t>2. Actual monthly billed revenues by Residential/Non-Residential (EO revenues only) - Metro MEEIA 2020-2021 Revenue Analysis.xlsx
Forecasted monthly billed revenues by Residential/Non-Residential (EO revenues only) - Source: calculated = Forecasted billed kWh sales X tariff rate</t>
  </si>
  <si>
    <t>1.  Actual monthly EO - Source: Sum of Line 3.
    Forecasted monthly EO - Source: Sum of Line 3.</t>
  </si>
  <si>
    <t>3. Actual/Forecasted EO Amortization - Source:  EO Cycle 2 tab column G divided by remaining months on EO Cycle 2 tab line 6.</t>
  </si>
  <si>
    <t>Note A: The Company determined that the short-term borrowing rates used from September 2018 through October 2020 were incorrect. This was corrected with a cumulative adjustment. Source: Metro  MEEIA Cycle 2 Carrying Costs 042021.xlsx.</t>
  </si>
  <si>
    <t>Cumulative Correction of Short-Term Borrowing Rates September 2018 - October 2020 (Note A)
Cumulative Correction of allocation of Business Demand Response costs with interest (Note B)</t>
  </si>
  <si>
    <t>Cumulative Over/Under Carryover From 06/01/2021 Filing</t>
  </si>
  <si>
    <t>Reverse May - October 2021  Forecast From 06/01/2021 Filing</t>
  </si>
  <si>
    <t>Projections for Cycle 3 January - December 2022 DSIM</t>
  </si>
  <si>
    <t>5. Monthly Short-Term Borrowing Rate - Source: Metro Short-Term Borrowing Rate May - Oct 2021.xlsx</t>
  </si>
  <si>
    <t>1. Forecasted Residential/Non-Residential kWh savings  - Source: Metro Cycle 2 Monthly TD Calc 102021 11052021.xlsx</t>
  </si>
  <si>
    <t>2. Forecasted Throughput Disincentive - Source: Metro Cycle 2 Monthly TD Calc 102021 11052021.xlsx</t>
  </si>
  <si>
    <t>1. &amp; 4. Actual monthly TD - Source: Metro Cycle 2 TD Calc 102021 11052021.xlsx
    Forecasted monthly TD - Source: Metro Cycle 2 TD Calc 102021 11052021.xlsx</t>
  </si>
  <si>
    <t>3. Actual kWh Sales Impact - Source:  Metro Cycle 2 TD Calc 102021 11052021.xlsx
    Forecasted kWh Sales Impact - Source: Metro Cycle 2 TD Calc 102021 11052021.xlsx</t>
  </si>
  <si>
    <t>8. Cycle 2 kWh Participation - Source: Metro Cycle 2 TD Calc 102021 11052021.xlsx</t>
  </si>
  <si>
    <t>Cycle 3 - Total</t>
  </si>
  <si>
    <t>Cycle 3 - Program Year 2 (including EO TD Adjustments TBD)</t>
  </si>
  <si>
    <t>Cycle 3 - Program Year 3 (including EO TD Adjustments TBD)</t>
  </si>
  <si>
    <t>Cycle 3 Earnings Opportunity (EO) Calculation</t>
  </si>
  <si>
    <t>6. Amortization Over 12 Month Recovery Period</t>
  </si>
  <si>
    <t>1. Total Earnings Opportunity - Source: Metro EO Calculated Cycle 3 PY1.xlsx</t>
  </si>
  <si>
    <t>2. EO TD Ex Post Gross Adjustment -  Source: Metro Cycle 3 PY1 EO TD Adj Calc.xlsx</t>
  </si>
  <si>
    <t>3. EO TD NTG Adjustment -  Source: Metro Cycle 3 PY1 EO TD Adj Calc.xlsx</t>
  </si>
  <si>
    <t>4. Carrying Costs @ AFUDC Rate -  Source: Metro Cycle 3 PY1 EO TD Adj Calc.xlsx</t>
  </si>
  <si>
    <t>6. Amortization Over 24 Month Recovery Period - Source: Column 5  PY 1 - 3 divided by 12 times 11 months in forecast period</t>
  </si>
  <si>
    <t>2. Forecasted program costs by customer class - Source: MEEIA Cycle 3 Forecast Metro 102021 11152021.xlsx</t>
  </si>
  <si>
    <t>1. Actual monthly program costs by allocation bucket Residential, Non-Residential, Income-Eligible, Common/General) - Source: 05 2021 Metro Spend Allocations Worksheet.xlsx, 06 2021 Metro Spend Allocations Worksheet.xlsx, 07 2021 Metro Spend Allocations Worksheet.xlsx, 08 2021 Metro Spend Allocations Worksheet.xlsx, 09 2021 Metro Spend Allocations Worksheet.xlsx, 10 2021 Metro Spend Allocations Worksheet.xlsx
    Forecasted monthly program costs by allocation bucket - Source: MEEIA Cycle 3 Forecast Metro 102021 11152021.xlsx</t>
  </si>
  <si>
    <t>7. Cycle 2 kWh Participation - Source: Metro Cycle 2 TD Calc 102021 11052021.xlsx</t>
  </si>
  <si>
    <t>1. Actual monthly program costs by allocation bucket Residential, Non-Residential, Income-Eligible, Common/General) - Source: None
    Forecasted monthly program costs by allocation bucket - Source: None</t>
  </si>
  <si>
    <t>1. Forecasted Residential/Non-Residential kWh savings  - Source: MEEIA Cycle 3 Forecast Metro 102021 11152021.xlsx</t>
  </si>
  <si>
    <t>2. Forecasted Throughput Disincentive - Source: MEEIA Cycle 3 Forecast Metro 102021 11152021.xlsx</t>
  </si>
  <si>
    <t>1. &amp; 4. Actual monthly TD - Source: Metro Cycle 3 Monthly TD Calc 102021 11052021.xlsx
    Forecasted monthly TD - Source: MEEIA Cycle 3 Forecast Metro 102021115201.xlsx</t>
  </si>
  <si>
    <t>3. Actual kWh Sales Impact - Source:  Metro Cycle 3 Monthly TD Calc 112021 11052021.xlsx
    Forecasted kWh Sales Impact - Source: MEEIA Cycle 3 Forecast Metro 102021 1152021.xlsx</t>
  </si>
  <si>
    <t>6. Amortization Over 24 Month Recovery Period - Source: Column 5  PY 1 - 3 divided by 24 times 2 months remaining recovery, PY 4 Column 5 divided by 24 times 12, EO TD Adjustments Column 5 divided by 24 times 12</t>
  </si>
  <si>
    <t>2. EO TD Ex Post Gross Adjustment -  Source: TD Model Metro PY1-3 102021.xlsx, TD Model PY4 102021.xlsx</t>
  </si>
  <si>
    <t>3. EO TD NTG Adjustment -  Source: TD Model Metro PY1-3 102021.xlsx, TD Model PY4 102021.xlsx</t>
  </si>
  <si>
    <t>4. Carrying Costs @ AFUDC Rate -  Source: TD Model Metro PY1-3 102021.xlsx, TD Model PY4 102021.xlsx</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</si>
  <si>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</si>
  <si>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</si>
  <si>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</si>
  <si>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2 - EO TD Adjustments Carrying Costs May - October 2022 (Amortize February 2022-January 2024)</t>
  </si>
  <si>
    <t>2. Actual monthly billed revenues by Residential/Non-Residential (program cost revenues only) - Metro MEEIA 2020-2021 Revenue Analysis.xlsx
Forecasted monthly billed revenues by Residential/Non-Residential (program cost revenues only) - Source: calculated = Forecasted billed kWh sales X tariff rate</t>
  </si>
  <si>
    <t>4. Total monthly interest - Source: Metro Ordered Adjustments Carrying Costs Calculations.xlsx</t>
  </si>
  <si>
    <t>1. &amp; 3. Actual monthly Ordered Adjustments - Source: OA Adjustment - Metro.xlsx</t>
  </si>
  <si>
    <t>1. Ordered Adjustment - Source: None</t>
  </si>
  <si>
    <t>2. Carrying Costs on OA - Source: None</t>
  </si>
  <si>
    <t>Cycle 3 - Program Year 1 (including EO TD Adjustments through October 2021) (Amortize February 2022-January 2023)</t>
  </si>
  <si>
    <t>Evergy Metro, Inc. - DSIM Rider Update Filed 12/02/2021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</si>
</sst>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0.0%"/>
    <numFmt numFmtId="177" formatCode="_(&quot;$&quot;* #,##0.00_);_(&quot;$&quot;* \(#,##0.00\);_(&quot;$&quot;* &quot;-&quot;_);_(@_)"/>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7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right style="thin">
        <color rgb="FF7F7F7F"/>
      </right>
      <top style="thin">
        <color rgb="FF7F7F7F"/>
      </top>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12">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0" fontId="7" fillId="0" borderId="0" xfId="8" applyAlignment="1">
      <alignment horizontal="right"/>
    </xf>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5" fontId="14" fillId="7" borderId="42" xfId="13" applyNumberFormat="1" applyBorder="1"/>
    <xf numFmtId="167" fontId="6" fillId="0" borderId="33" xfId="1" applyNumberFormat="1" applyFont="1" applyFill="1" applyBorder="1"/>
    <xf numFmtId="165" fontId="14" fillId="7" borderId="43" xfId="13" applyNumberFormat="1" applyBorder="1"/>
    <xf numFmtId="165" fontId="14" fillId="7" borderId="44" xfId="13" applyNumberFormat="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41" fontId="10" fillId="0" borderId="6" xfId="0" applyNumberFormat="1" applyFont="1" applyBorder="1" applyAlignment="1">
      <alignment vertic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0" fontId="0" fillId="0" borderId="0" xfId="0" applyNumberFormat="1"/>
    <xf numFmtId="172" fontId="11" fillId="0" borderId="6" xfId="0" applyNumberFormat="1" applyFont="1" applyBorder="1" applyAlignment="1">
      <alignment horizontal="right"/>
    </xf>
    <xf numFmtId="172" fontId="0" fillId="0" borderId="0" xfId="0" applyNumberFormat="1"/>
    <xf numFmtId="172" fontId="30" fillId="0" borderId="4" xfId="0" applyNumberFormat="1" applyFont="1" applyBorder="1" applyAlignment="1">
      <alignment horizontal="center"/>
    </xf>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172" fontId="36" fillId="0" borderId="6" xfId="0" applyNumberFormat="1" applyFont="1" applyBorder="1" applyAlignment="1">
      <alignment horizontal="right"/>
    </xf>
    <xf numFmtId="10" fontId="8" fillId="0" borderId="0" xfId="0" applyNumberFormat="1" applyFont="1" applyAlignment="1">
      <alignment horizontal="center" wrapText="1"/>
    </xf>
    <xf numFmtId="44" fontId="33" fillId="0" borderId="0" xfId="1" applyNumberFormat="1" applyFont="1" applyAlignment="1">
      <alignment horizontal="right"/>
    </xf>
    <xf numFmtId="43" fontId="0" fillId="0" borderId="0" xfId="1" applyFont="1"/>
    <xf numFmtId="171" fontId="0" fillId="0" borderId="0" xfId="0" applyNumberFormat="1"/>
    <xf numFmtId="0" fontId="8" fillId="0" borderId="0" xfId="0" applyFont="1" applyFill="1" applyAlignment="1">
      <alignment horizontal="left" vertical="center" wrapText="1"/>
    </xf>
    <xf numFmtId="170" fontId="10" fillId="0" borderId="3" xfId="0" applyNumberFormat="1" applyFont="1" applyFill="1" applyBorder="1" applyAlignment="1">
      <alignment vertical="center"/>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74" fontId="0" fillId="0" borderId="0" xfId="1" applyNumberFormat="1" applyFont="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Fill="1" applyAlignment="1">
      <alignment horizontal="left" vertical="center" wrapText="1"/>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4" fillId="7" borderId="72" xfId="13" applyNumberFormat="1" applyBorder="1"/>
    <xf numFmtId="165" fontId="14" fillId="7" borderId="73" xfId="13" applyNumberFormat="1" applyBorder="1"/>
    <xf numFmtId="44" fontId="14" fillId="7" borderId="22" xfId="13" applyNumberFormat="1" applyBorder="1"/>
    <xf numFmtId="44" fontId="14" fillId="7" borderId="1" xfId="13" applyNumberFormat="1" applyBorder="1"/>
    <xf numFmtId="41" fontId="14" fillId="7" borderId="70" xfId="13" applyNumberFormat="1" applyBorder="1"/>
    <xf numFmtId="0" fontId="8" fillId="0" borderId="0" xfId="0" applyFont="1" applyAlignment="1">
      <alignment horizontal="left"/>
    </xf>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6" fontId="0" fillId="0" borderId="0" xfId="2" applyNumberFormat="1" applyFont="1"/>
    <xf numFmtId="170" fontId="36" fillId="0" borderId="4" xfId="0" applyNumberFormat="1" applyFont="1" applyFill="1" applyBorder="1" applyAlignment="1">
      <alignment vertical="center"/>
    </xf>
    <xf numFmtId="165" fontId="5" fillId="0" borderId="23" xfId="6" applyNumberFormat="1" applyFill="1" applyBorder="1"/>
    <xf numFmtId="165" fontId="0" fillId="0" borderId="0" xfId="0"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74" xfId="13" applyNumberFormat="1" applyBorder="1"/>
    <xf numFmtId="167" fontId="6" fillId="0" borderId="56" xfId="1" applyNumberFormat="1" applyFont="1" applyFill="1" applyBorder="1"/>
    <xf numFmtId="44" fontId="6" fillId="0" borderId="56" xfId="7" applyNumberFormat="1" applyFill="1" applyBorder="1"/>
    <xf numFmtId="164" fontId="0" fillId="0" borderId="12" xfId="0" applyNumberFormat="1" applyFill="1" applyBorder="1"/>
    <xf numFmtId="165" fontId="5" fillId="0" borderId="26" xfId="6" applyNumberFormat="1" applyFill="1" applyBorder="1"/>
    <xf numFmtId="0" fontId="0" fillId="39" borderId="3" xfId="0" applyFill="1" applyBorder="1" applyAlignment="1">
      <alignment horizontal="center" wrapText="1"/>
    </xf>
    <xf numFmtId="177" fontId="5" fillId="37" borderId="1" xfId="6" applyNumberFormat="1" applyFill="1" applyBorder="1"/>
    <xf numFmtId="172" fontId="40" fillId="0" borderId="6" xfId="0" applyNumberFormat="1" applyFont="1" applyBorder="1" applyAlignment="1">
      <alignment horizontal="right"/>
    </xf>
    <xf numFmtId="43" fontId="8" fillId="0" borderId="0" xfId="1" applyNumberFormat="1" applyFont="1" applyAlignment="1">
      <alignment horizontal="center" wrapText="1"/>
    </xf>
    <xf numFmtId="0" fontId="8" fillId="0" borderId="0" xfId="0" applyFont="1" applyAlignment="1">
      <alignment wrapText="1"/>
    </xf>
    <xf numFmtId="44" fontId="33" fillId="7" borderId="17" xfId="12" applyNumberFormat="1" applyFont="1"/>
    <xf numFmtId="0" fontId="30" fillId="0" borderId="0" xfId="0" applyFont="1" applyFill="1" applyBorder="1" applyAlignment="1">
      <alignment horizontal="center" vertical="center" wrapText="1"/>
    </xf>
    <xf numFmtId="170" fontId="10" fillId="0" borderId="0" xfId="0" applyNumberFormat="1" applyFont="1" applyFill="1" applyBorder="1" applyAlignment="1">
      <alignment vertical="center"/>
    </xf>
    <xf numFmtId="170" fontId="0" fillId="0" borderId="0" xfId="0" applyNumberFormat="1" applyFill="1" applyBorder="1" applyAlignment="1"/>
    <xf numFmtId="170" fontId="40" fillId="0" borderId="0" xfId="0" applyNumberFormat="1" applyFont="1" applyFill="1" applyBorder="1" applyAlignment="1">
      <alignment vertical="center"/>
    </xf>
    <xf numFmtId="170" fontId="36" fillId="0" borderId="0" xfId="0" applyNumberFormat="1" applyFont="1" applyFill="1" applyBorder="1" applyAlignment="1">
      <alignment vertical="center"/>
    </xf>
    <xf numFmtId="170" fontId="36" fillId="0" borderId="3" xfId="0" applyNumberFormat="1" applyFont="1" applyFill="1" applyBorder="1" applyAlignment="1">
      <alignment vertical="center"/>
    </xf>
    <xf numFmtId="170" fontId="40" fillId="0" borderId="4" xfId="0" applyNumberFormat="1" applyFont="1" applyFill="1" applyBorder="1" applyAlignment="1">
      <alignment vertical="center"/>
    </xf>
    <xf numFmtId="172" fontId="40" fillId="0" borderId="6" xfId="0" quotePrefix="1" applyNumberFormat="1" applyFont="1" applyFill="1" applyBorder="1" applyAlignment="1">
      <alignment horizontal="right"/>
    </xf>
    <xf numFmtId="172" fontId="40" fillId="0" borderId="6" xfId="0" applyNumberFormat="1" applyFont="1" applyFill="1" applyBorder="1" applyAlignment="1">
      <alignment horizontal="right"/>
    </xf>
    <xf numFmtId="0" fontId="9" fillId="0" borderId="0" xfId="0" applyFont="1" applyAlignment="1">
      <alignment horizontal="center" wrapText="1"/>
    </xf>
    <xf numFmtId="0" fontId="8" fillId="0" borderId="0" xfId="0" applyFont="1" applyFill="1" applyAlignment="1">
      <alignment horizontal="left" wrapText="1"/>
    </xf>
    <xf numFmtId="0" fontId="8" fillId="0" borderId="0" xfId="0" applyFont="1" applyFill="1" applyAlignment="1">
      <alignment horizontal="left"/>
    </xf>
    <xf numFmtId="0" fontId="8" fillId="0" borderId="0" xfId="0" applyFont="1" applyAlignment="1">
      <alignment horizontal="left"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sharedStrings" Target="sharedStrings.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Billed%20kWh%20Budget%20Metro%20Missouri%2020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09%202021%20Metro%20Spend%20Allocations%20Workshee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10%202021%20Metro%20Spend%20Allocations%20Workshee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Metro%20Cycle%203%20Monthly%20TD%20Calc%20102021%201105202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Metro%20EO%20Calculation%20PY1-PY3%20v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TD%20Model%20Metro%20PY1-3%2010202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Metro%20EO%20Calculation%20PY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TD%20Model%20Metro%20PY4%2010202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TD%20Model%20Metro%20PY1-3%20102021v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TD%20Model%20Metro%20PY4%20102021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Metro%20EO%20Calculated%20Cycle%203%20PY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MEEIA%20Cycle%203%20Forecast%20Metro%20102021%20111520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Metro%20Cycle%203%20PY1%20EO%20TD%20Adj%20Calc.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OA%20Adjustment%20-%20Metr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Metro%20Ordered%20Adjustments%20Carrying%20Costs%20Calcula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Metro%20Cycle%202%20Monthly%20TD%20Calc%20%20102021%201105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Metro%20MEEIA%202021%20Revenue%20Analysi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Metro%20Short-Term%20Borrowing%20Rate%20May%20-%20October%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05%202021%20Metro%20Spend%20Allocations%20Workshee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06%202021%20Metro%20Spend%20Allocations%20Workshee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07%202021%20Metro%20Spend%20Allocations%20Workshe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CorpAcctg\MEEIA\Metro%20MEEIA%20DSIM%20RIDER\20211201%20Filing\08%202021%20Metro%20Spend%20Allocation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ed kWh Sales"/>
    </sheetNames>
    <sheetDataSet>
      <sheetData sheetId="0">
        <row r="24">
          <cell r="O24">
            <v>160481876</v>
          </cell>
          <cell r="P24">
            <v>230930879</v>
          </cell>
          <cell r="Q24">
            <v>263568153</v>
          </cell>
        </row>
        <row r="25">
          <cell r="O25">
            <v>40322500</v>
          </cell>
          <cell r="P25">
            <v>43632439</v>
          </cell>
          <cell r="Q25">
            <v>44597404</v>
          </cell>
        </row>
        <row r="26">
          <cell r="O26">
            <v>87895725</v>
          </cell>
          <cell r="P26">
            <v>95110791</v>
          </cell>
          <cell r="Q26">
            <v>97214239</v>
          </cell>
        </row>
        <row r="27">
          <cell r="O27">
            <v>139290119</v>
          </cell>
          <cell r="P27">
            <v>150723979</v>
          </cell>
          <cell r="Q27">
            <v>154057355</v>
          </cell>
        </row>
        <row r="28">
          <cell r="O28">
            <v>40031639</v>
          </cell>
          <cell r="P28">
            <v>43317702</v>
          </cell>
          <cell r="Q28">
            <v>44275707</v>
          </cell>
        </row>
        <row r="36">
          <cell r="F36">
            <v>1234292844</v>
          </cell>
          <cell r="G36">
            <v>1375835151</v>
          </cell>
        </row>
        <row r="37">
          <cell r="F37">
            <v>258317242</v>
          </cell>
          <cell r="G37">
            <v>267997311</v>
          </cell>
        </row>
        <row r="38">
          <cell r="F38">
            <v>563084665</v>
          </cell>
          <cell r="G38">
            <v>584185459</v>
          </cell>
        </row>
        <row r="39">
          <cell r="F39">
            <v>892331565</v>
          </cell>
          <cell r="G39">
            <v>925770417</v>
          </cell>
        </row>
        <row r="40">
          <cell r="F40">
            <v>256453908</v>
          </cell>
          <cell r="G40">
            <v>266064152</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92021 10062021"/>
      <sheetName val="Input"/>
      <sheetName val="Program Descriptions"/>
    </sheetNames>
    <sheetDataSet>
      <sheetData sheetId="0">
        <row r="30">
          <cell r="N30">
            <v>493757.43</v>
          </cell>
          <cell r="O30">
            <v>38291.06</v>
          </cell>
          <cell r="P30">
            <v>198216.76</v>
          </cell>
          <cell r="Q30">
            <v>229746.6</v>
          </cell>
          <cell r="R30">
            <v>89358.550000000061</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02021 11052021"/>
      <sheetName val="Input"/>
      <sheetName val="Program Descriptions"/>
    </sheetNames>
    <sheetDataSet>
      <sheetData sheetId="0">
        <row r="30">
          <cell r="N30">
            <v>691980.65000000014</v>
          </cell>
          <cell r="O30">
            <v>16089.630000000001</v>
          </cell>
          <cell r="P30">
            <v>180009.81999999998</v>
          </cell>
          <cell r="Q30">
            <v>90017.8</v>
          </cell>
          <cell r="R30">
            <v>59392.810000000056</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sheetData sheetId="1"/>
      <sheetData sheetId="2">
        <row r="460">
          <cell r="U460">
            <v>3980499.1650471725</v>
          </cell>
          <cell r="V460">
            <v>4407770.1746592643</v>
          </cell>
          <cell r="W460">
            <v>5436082.978209787</v>
          </cell>
          <cell r="X460">
            <v>5669826.6027339119</v>
          </cell>
          <cell r="Y460">
            <v>5257928.0988771114</v>
          </cell>
          <cell r="Z460">
            <v>5384998.3033330524</v>
          </cell>
        </row>
        <row r="461">
          <cell r="U461">
            <v>323760.29270714673</v>
          </cell>
          <cell r="V461">
            <v>321228.66593239456</v>
          </cell>
          <cell r="W461">
            <v>351847.14475177933</v>
          </cell>
          <cell r="X461">
            <v>370990.73975802975</v>
          </cell>
          <cell r="Y461">
            <v>348439.9149008891</v>
          </cell>
          <cell r="Z461">
            <v>374090.44946320012</v>
          </cell>
        </row>
        <row r="462">
          <cell r="U462">
            <v>1178668.404998081</v>
          </cell>
          <cell r="V462">
            <v>1163491.3383089521</v>
          </cell>
          <cell r="W462">
            <v>1252216.6811077944</v>
          </cell>
          <cell r="X462">
            <v>1319165.0304883297</v>
          </cell>
          <cell r="Y462">
            <v>1256424.9717319557</v>
          </cell>
          <cell r="Z462">
            <v>1379029.4390379479</v>
          </cell>
        </row>
        <row r="463">
          <cell r="U463">
            <v>1787445.2104531885</v>
          </cell>
          <cell r="V463">
            <v>1944538.1388479329</v>
          </cell>
          <cell r="W463">
            <v>2208064.5591682591</v>
          </cell>
          <cell r="X463">
            <v>2266525.8707199586</v>
          </cell>
          <cell r="Y463">
            <v>2144629.2152454029</v>
          </cell>
          <cell r="Z463">
            <v>2324624.0820788736</v>
          </cell>
        </row>
        <row r="464">
          <cell r="U464">
            <v>119374.57456917239</v>
          </cell>
          <cell r="V464">
            <v>117827.79506364545</v>
          </cell>
          <cell r="W464">
            <v>127482.28986077405</v>
          </cell>
          <cell r="X464">
            <v>132774.07753581149</v>
          </cell>
          <cell r="Y464">
            <v>129428.60224238969</v>
          </cell>
          <cell r="Z464">
            <v>149482.31196562355</v>
          </cell>
        </row>
        <row r="562">
          <cell r="U562">
            <v>290589.45</v>
          </cell>
          <cell r="V562">
            <v>480846.62</v>
          </cell>
          <cell r="W562">
            <v>609059.45000000007</v>
          </cell>
          <cell r="X562">
            <v>635329.85</v>
          </cell>
          <cell r="Y562">
            <v>576147.92999999982</v>
          </cell>
          <cell r="Z562">
            <v>352029.04000000004</v>
          </cell>
        </row>
        <row r="563">
          <cell r="U563">
            <v>25932.750000000004</v>
          </cell>
          <cell r="V563">
            <v>32638.39</v>
          </cell>
          <cell r="W563">
            <v>34105.4</v>
          </cell>
          <cell r="X563">
            <v>36009.570000000007</v>
          </cell>
          <cell r="Y563">
            <v>34306.78</v>
          </cell>
          <cell r="Z563">
            <v>28336.13</v>
          </cell>
        </row>
        <row r="564">
          <cell r="U564">
            <v>59468.42</v>
          </cell>
          <cell r="V564">
            <v>77089.19</v>
          </cell>
          <cell r="W564">
            <v>79846.41</v>
          </cell>
          <cell r="X564">
            <v>84830.24</v>
          </cell>
          <cell r="Y564">
            <v>81012.81</v>
          </cell>
          <cell r="Z564">
            <v>63666.87</v>
          </cell>
        </row>
        <row r="565">
          <cell r="U565">
            <v>54176.85</v>
          </cell>
          <cell r="V565">
            <v>80013.78</v>
          </cell>
          <cell r="W565">
            <v>85981.62</v>
          </cell>
          <cell r="X565">
            <v>90585.37000000001</v>
          </cell>
          <cell r="Y565">
            <v>83105.549999999988</v>
          </cell>
          <cell r="Z565">
            <v>66098.429999999993</v>
          </cell>
        </row>
        <row r="566">
          <cell r="U566">
            <v>1834.2599999999998</v>
          </cell>
          <cell r="V566">
            <v>2336.96</v>
          </cell>
          <cell r="W566">
            <v>2782.24</v>
          </cell>
          <cell r="X566">
            <v>3335.48</v>
          </cell>
          <cell r="Y566">
            <v>3407.7599999999998</v>
          </cell>
          <cell r="Z566">
            <v>2663.66</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PY3 Final EM&amp;V"/>
    </sheetNames>
    <sheetDataSet>
      <sheetData sheetId="0">
        <row r="18">
          <cell r="S18">
            <v>3528190.0700000003</v>
          </cell>
          <cell r="T18">
            <v>4826270.37</v>
          </cell>
          <cell r="W18">
            <v>674006.21</v>
          </cell>
          <cell r="X18">
            <v>1713084.19</v>
          </cell>
          <cell r="Y18">
            <v>2024596.5400000003</v>
          </cell>
          <cell r="Z18">
            <v>414583.44999999995</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refreshError="1"/>
      <sheetData sheetId="1" refreshError="1"/>
      <sheetData sheetId="2">
        <row r="370">
          <cell r="AL370">
            <v>-1041427.6034010574</v>
          </cell>
          <cell r="BE370">
            <v>-694726.81018685759</v>
          </cell>
          <cell r="BS370">
            <v>-377882.06622358249</v>
          </cell>
          <cell r="CE370">
            <v>-357896.53339656233</v>
          </cell>
        </row>
        <row r="371">
          <cell r="AL371">
            <v>-37272.289999999964</v>
          </cell>
          <cell r="BE371">
            <v>-10997.939999999999</v>
          </cell>
          <cell r="BS371">
            <v>-6495.5699999999924</v>
          </cell>
          <cell r="CE371">
            <v>-5754.630000000001</v>
          </cell>
        </row>
        <row r="372">
          <cell r="AL372">
            <v>122147.32999999999</v>
          </cell>
          <cell r="BE372">
            <v>157547.77000000002</v>
          </cell>
          <cell r="BS372">
            <v>106911.15</v>
          </cell>
          <cell r="CE372">
            <v>88328.729999999981</v>
          </cell>
        </row>
        <row r="373">
          <cell r="AL373">
            <v>169641.43999999994</v>
          </cell>
          <cell r="BE373">
            <v>94756.98</v>
          </cell>
          <cell r="BS373">
            <v>63360.95</v>
          </cell>
          <cell r="CE373">
            <v>53167.28</v>
          </cell>
        </row>
        <row r="374">
          <cell r="AL374">
            <v>34067.5</v>
          </cell>
          <cell r="BE374">
            <v>173391.59999999998</v>
          </cell>
          <cell r="BS374">
            <v>124450.89</v>
          </cell>
          <cell r="CE374">
            <v>99547.11</v>
          </cell>
        </row>
      </sheetData>
      <sheetData sheetId="3">
        <row r="384">
          <cell r="AL384">
            <v>537465.77340105746</v>
          </cell>
          <cell r="BE384">
            <v>-925832.85981314245</v>
          </cell>
          <cell r="BS384">
            <v>-646599.65377641749</v>
          </cell>
          <cell r="CE384">
            <v>-519862.80660343764</v>
          </cell>
        </row>
        <row r="385">
          <cell r="AL385">
            <v>101225.01999999997</v>
          </cell>
          <cell r="BE385">
            <v>-272534.92</v>
          </cell>
          <cell r="BS385">
            <v>-190733.81000000006</v>
          </cell>
          <cell r="CE385">
            <v>-154557.82</v>
          </cell>
        </row>
        <row r="386">
          <cell r="AL386">
            <v>340699.47000000009</v>
          </cell>
          <cell r="BE386">
            <v>-149567.88</v>
          </cell>
          <cell r="BS386">
            <v>-103379.37</v>
          </cell>
          <cell r="CE386">
            <v>-84410.84</v>
          </cell>
        </row>
        <row r="387">
          <cell r="AL387">
            <v>191871.41999999998</v>
          </cell>
          <cell r="BE387">
            <v>-169959.09999999995</v>
          </cell>
          <cell r="BS387">
            <v>-117395.95999999999</v>
          </cell>
          <cell r="CE387">
            <v>-96301.62</v>
          </cell>
        </row>
        <row r="388">
          <cell r="AL388">
            <v>28892.499999999996</v>
          </cell>
          <cell r="BE388">
            <v>-64266.69</v>
          </cell>
          <cell r="BS388">
            <v>-45473.929999999993</v>
          </cell>
          <cell r="CE388">
            <v>-36477.08</v>
          </cell>
        </row>
      </sheetData>
      <sheetData sheetId="4" refreshError="1"/>
      <sheetData sheetId="5" refreshError="1"/>
      <sheetData sheetId="6">
        <row r="63">
          <cell r="AL63">
            <v>11386.110000000004</v>
          </cell>
          <cell r="BE63">
            <v>-101739.62000000001</v>
          </cell>
          <cell r="BK63">
            <v>-63177.49</v>
          </cell>
        </row>
        <row r="64">
          <cell r="AL64">
            <v>4637.5600000000004</v>
          </cell>
          <cell r="BE64">
            <v>-6666.29</v>
          </cell>
          <cell r="BK64">
            <v>-8449.2099999999991</v>
          </cell>
        </row>
        <row r="65">
          <cell r="AL65">
            <v>19663.030000000002</v>
          </cell>
          <cell r="BE65">
            <v>34896.990000000005</v>
          </cell>
          <cell r="BK65">
            <v>9382.2099999999991</v>
          </cell>
        </row>
        <row r="66">
          <cell r="AL66">
            <v>15454.890000000001</v>
          </cell>
          <cell r="BE66">
            <v>23935.109999999997</v>
          </cell>
          <cell r="BK66">
            <v>4526.82</v>
          </cell>
        </row>
        <row r="67">
          <cell r="AL67">
            <v>1656.6799999999998</v>
          </cell>
          <cell r="BE67">
            <v>9086.5399999999991</v>
          </cell>
          <cell r="BK67">
            <v>5032.9799999999996</v>
          </cell>
        </row>
      </sheetData>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4 Final EM&amp;V"/>
    </sheetNames>
    <sheetDataSet>
      <sheetData sheetId="0">
        <row r="18">
          <cell r="S18">
            <v>1266045.8400000001</v>
          </cell>
          <cell r="W18">
            <v>124816.68000000001</v>
          </cell>
          <cell r="X18">
            <v>390572.25</v>
          </cell>
          <cell r="Y18">
            <v>546171.26</v>
          </cell>
          <cell r="Z18">
            <v>84699.91</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refreshError="1"/>
      <sheetData sheetId="1" refreshError="1"/>
      <sheetData sheetId="2">
        <row r="370">
          <cell r="BE370">
            <v>348248.03596538526</v>
          </cell>
          <cell r="BS370">
            <v>462675.89503260842</v>
          </cell>
          <cell r="CE370">
            <v>366790.76557343709</v>
          </cell>
        </row>
        <row r="371">
          <cell r="BE371">
            <v>-7814.8500000000076</v>
          </cell>
          <cell r="BS371">
            <v>-6382.320000000007</v>
          </cell>
          <cell r="CE371">
            <v>-5007.6300000000083</v>
          </cell>
        </row>
        <row r="372">
          <cell r="BE372">
            <v>-12243.369999999977</v>
          </cell>
          <cell r="BS372">
            <v>-8577.5399999999718</v>
          </cell>
          <cell r="CE372">
            <v>-6658.029999999977</v>
          </cell>
        </row>
        <row r="373">
          <cell r="BE373">
            <v>-30357.180000000015</v>
          </cell>
          <cell r="BS373">
            <v>-23144.730000000025</v>
          </cell>
          <cell r="CE373">
            <v>-18624.540000000015</v>
          </cell>
        </row>
        <row r="374">
          <cell r="BE374">
            <v>20419.699999999997</v>
          </cell>
          <cell r="BS374">
            <v>17504.579999999998</v>
          </cell>
          <cell r="CE374">
            <v>14064.82</v>
          </cell>
        </row>
      </sheetData>
      <sheetData sheetId="3">
        <row r="384">
          <cell r="BE384">
            <v>-11312.68596538523</v>
          </cell>
          <cell r="BS384">
            <v>-190551.9250326085</v>
          </cell>
          <cell r="CE384">
            <v>-148807.53557343711</v>
          </cell>
        </row>
        <row r="385">
          <cell r="BE385">
            <v>6418.280000000007</v>
          </cell>
          <cell r="BS385">
            <v>5749.5500000000102</v>
          </cell>
          <cell r="CE385">
            <v>4762.9900000000089</v>
          </cell>
        </row>
        <row r="386">
          <cell r="BE386">
            <v>27424.559999999965</v>
          </cell>
          <cell r="BS386">
            <v>24226.459999999955</v>
          </cell>
          <cell r="CE386">
            <v>19834.069999999963</v>
          </cell>
        </row>
        <row r="387">
          <cell r="BE387">
            <v>9142.860000000017</v>
          </cell>
          <cell r="BS387">
            <v>8020.1500000000269</v>
          </cell>
          <cell r="CE387">
            <v>6547.9200000000164</v>
          </cell>
        </row>
        <row r="388">
          <cell r="BE388">
            <v>-20846.180000000008</v>
          </cell>
          <cell r="BS388">
            <v>-17043.3</v>
          </cell>
          <cell r="CE388">
            <v>-13677.470000000001</v>
          </cell>
        </row>
      </sheetData>
      <sheetData sheetId="4" refreshError="1"/>
      <sheetData sheetId="5" refreshError="1"/>
      <sheetData sheetId="6">
        <row r="62">
          <cell r="BE62">
            <v>12227.150000000001</v>
          </cell>
          <cell r="BK62">
            <v>11762.71</v>
          </cell>
        </row>
        <row r="63">
          <cell r="BE63">
            <v>-81.699999999999989</v>
          </cell>
          <cell r="BK63">
            <v>-54.609999999999992</v>
          </cell>
        </row>
        <row r="64">
          <cell r="BE64">
            <v>435.66999999999996</v>
          </cell>
          <cell r="BK64">
            <v>529.9</v>
          </cell>
        </row>
        <row r="65">
          <cell r="BE65">
            <v>-858.83999999999992</v>
          </cell>
          <cell r="BK65">
            <v>-739.5200000000001</v>
          </cell>
        </row>
        <row r="66">
          <cell r="BE66">
            <v>-40.730000000000004</v>
          </cell>
          <cell r="BK66">
            <v>-12.379999999999999</v>
          </cell>
        </row>
      </sheetData>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refreshError="1"/>
      <sheetData sheetId="1" refreshError="1"/>
      <sheetData sheetId="2">
        <row r="363">
          <cell r="BP363">
            <v>-44639.414629650237</v>
          </cell>
        </row>
      </sheetData>
      <sheetData sheetId="3">
        <row r="370">
          <cell r="BP370">
            <v>-55551.055370349764</v>
          </cell>
        </row>
      </sheetData>
      <sheetData sheetId="4" refreshError="1"/>
      <sheetData sheetId="5">
        <row r="12">
          <cell r="V12">
            <v>7621.75</v>
          </cell>
        </row>
      </sheetData>
      <sheetData sheetId="6">
        <row r="55">
          <cell r="BL55">
            <v>-9662.27</v>
          </cell>
          <cell r="BM55">
            <v>-9772.3700000000008</v>
          </cell>
          <cell r="BN55">
            <v>-9930.64</v>
          </cell>
          <cell r="BO55">
            <v>-10346.64</v>
          </cell>
          <cell r="BP55">
            <v>-10074.42</v>
          </cell>
          <cell r="BQ55">
            <v>-9547.16</v>
          </cell>
        </row>
        <row r="56">
          <cell r="BL56">
            <v>-1444.08</v>
          </cell>
          <cell r="BM56">
            <v>-1488.09</v>
          </cell>
          <cell r="BN56">
            <v>-1507.19</v>
          </cell>
          <cell r="BO56">
            <v>-1554.65</v>
          </cell>
          <cell r="BP56">
            <v>-1515.06</v>
          </cell>
          <cell r="BQ56">
            <v>-1468.28</v>
          </cell>
        </row>
        <row r="57">
          <cell r="BL57">
            <v>1192.05</v>
          </cell>
          <cell r="BM57">
            <v>1118.3800000000001</v>
          </cell>
          <cell r="BN57">
            <v>1016.3</v>
          </cell>
          <cell r="BO57">
            <v>928.33</v>
          </cell>
          <cell r="BP57">
            <v>806.28</v>
          </cell>
          <cell r="BQ57">
            <v>683.97</v>
          </cell>
        </row>
        <row r="58">
          <cell r="BL58">
            <v>467.73</v>
          </cell>
          <cell r="BM58">
            <v>400.46</v>
          </cell>
          <cell r="BN58">
            <v>319.94</v>
          </cell>
          <cell r="BO58">
            <v>241.89</v>
          </cell>
          <cell r="BP58">
            <v>163.28</v>
          </cell>
          <cell r="BQ58">
            <v>86.33</v>
          </cell>
        </row>
        <row r="59">
          <cell r="BL59">
            <v>792.04</v>
          </cell>
          <cell r="BM59">
            <v>795.84</v>
          </cell>
          <cell r="BN59">
            <v>778.41</v>
          </cell>
          <cell r="BO59">
            <v>773.68</v>
          </cell>
          <cell r="BP59">
            <v>731.03</v>
          </cell>
          <cell r="BQ59">
            <v>688.57</v>
          </cell>
        </row>
        <row r="81">
          <cell r="BJ81">
            <v>457.79999999999927</v>
          </cell>
          <cell r="BK81">
            <v>747.74000000000069</v>
          </cell>
        </row>
        <row r="82">
          <cell r="BJ82">
            <v>81.229999999999791</v>
          </cell>
          <cell r="BK82">
            <v>132.69000000000005</v>
          </cell>
        </row>
        <row r="83">
          <cell r="BJ83">
            <v>-7.7300000000000182</v>
          </cell>
          <cell r="BK83">
            <v>-12.629999999999995</v>
          </cell>
        </row>
        <row r="84">
          <cell r="BJ84">
            <v>17.550000000000011</v>
          </cell>
          <cell r="BK84">
            <v>28.660000000000025</v>
          </cell>
        </row>
        <row r="85">
          <cell r="BJ85">
            <v>-32.849999999999909</v>
          </cell>
          <cell r="BK85">
            <v>-53.669999999999959</v>
          </cell>
        </row>
      </sheetData>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refreshError="1"/>
      <sheetData sheetId="1" refreshError="1"/>
      <sheetData sheetId="2">
        <row r="363">
          <cell r="BP363">
            <v>39940.188075876271</v>
          </cell>
        </row>
      </sheetData>
      <sheetData sheetId="3">
        <row r="370">
          <cell r="BP370">
            <v>-15629.368075876264</v>
          </cell>
        </row>
      </sheetData>
      <sheetData sheetId="4" refreshError="1"/>
      <sheetData sheetId="5">
        <row r="12">
          <cell r="V12">
            <v>-1939.5799999999997</v>
          </cell>
        </row>
      </sheetData>
      <sheetData sheetId="6">
        <row r="55">
          <cell r="BL55">
            <v>1961.84</v>
          </cell>
          <cell r="BM55">
            <v>2003.83</v>
          </cell>
          <cell r="BN55">
            <v>2021.55</v>
          </cell>
          <cell r="BO55">
            <v>2083.92</v>
          </cell>
          <cell r="BP55">
            <v>2027.29</v>
          </cell>
          <cell r="BQ55">
            <v>1947.78</v>
          </cell>
        </row>
        <row r="56">
          <cell r="BL56">
            <v>-10.220000000000001</v>
          </cell>
          <cell r="BM56">
            <v>-9.9499999999999993</v>
          </cell>
          <cell r="BN56">
            <v>-8.59</v>
          </cell>
          <cell r="BO56">
            <v>-7.22</v>
          </cell>
          <cell r="BP56">
            <v>-5.96</v>
          </cell>
          <cell r="BQ56">
            <v>-5.64</v>
          </cell>
        </row>
        <row r="57">
          <cell r="BL57">
            <v>88.49</v>
          </cell>
          <cell r="BM57">
            <v>92.37</v>
          </cell>
          <cell r="BN57">
            <v>96.28</v>
          </cell>
          <cell r="BO57">
            <v>102.11</v>
          </cell>
          <cell r="BP57">
            <v>101.11</v>
          </cell>
          <cell r="BQ57">
            <v>97.78</v>
          </cell>
        </row>
        <row r="58">
          <cell r="BL58">
            <v>-123.99</v>
          </cell>
          <cell r="BM58">
            <v>-126.33</v>
          </cell>
          <cell r="BN58">
            <v>-125.27</v>
          </cell>
          <cell r="BO58">
            <v>-126.37</v>
          </cell>
          <cell r="BP58">
            <v>-120.94</v>
          </cell>
          <cell r="BQ58">
            <v>-116.08</v>
          </cell>
        </row>
        <row r="59">
          <cell r="BL59">
            <v>-1.76</v>
          </cell>
          <cell r="BM59">
            <v>-1.64</v>
          </cell>
          <cell r="BN59">
            <v>-1.24</v>
          </cell>
          <cell r="BO59">
            <v>-0.82</v>
          </cell>
          <cell r="BP59">
            <v>-0.5</v>
          </cell>
          <cell r="BQ59">
            <v>-0.36</v>
          </cell>
        </row>
        <row r="82">
          <cell r="BJ82">
            <v>-103.54999999999995</v>
          </cell>
          <cell r="BK82">
            <v>-169.12999999999988</v>
          </cell>
        </row>
        <row r="83">
          <cell r="BJ83">
            <v>0.34999999999999964</v>
          </cell>
          <cell r="BK83">
            <v>0.57000000000000028</v>
          </cell>
        </row>
        <row r="84">
          <cell r="BJ84">
            <v>-5.210000000000008</v>
          </cell>
          <cell r="BK84">
            <v>-8.509999999999998</v>
          </cell>
        </row>
        <row r="85">
          <cell r="BJ85">
            <v>6.2000000000000028</v>
          </cell>
          <cell r="BK85">
            <v>10.11999999999999</v>
          </cell>
        </row>
        <row r="86">
          <cell r="BJ86">
            <v>0</v>
          </cell>
          <cell r="BK86">
            <v>0</v>
          </cell>
        </row>
      </sheetData>
      <sheetData sheetId="7" refreshError="1"/>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 Final EM&amp;V"/>
      <sheetName val="Tariff Table"/>
      <sheetName val="EMV Results"/>
    </sheetNames>
    <sheetDataSet>
      <sheetData sheetId="0">
        <row r="20">
          <cell r="R20">
            <v>1163217.679</v>
          </cell>
          <cell r="V20">
            <v>89861.639999999985</v>
          </cell>
          <cell r="W20">
            <v>329114.67</v>
          </cell>
          <cell r="X20">
            <v>441576.37</v>
          </cell>
          <cell r="Y20">
            <v>62680.55</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etro Monthly Prog Costs Upload"/>
      <sheetName val="Metro Monthly - kWh-kW Upload"/>
      <sheetName val="Monthly Program Costs"/>
      <sheetName val="Compare to Prior DSIM"/>
      <sheetName val="Summary"/>
      <sheetName val="Monthly TD Calc"/>
      <sheetName val="EO Ex Post TD Calc"/>
      <sheetName val="EO NTG TD Calc"/>
      <sheetName val="EMV Results"/>
      <sheetName val="Monthly kWh-kW"/>
      <sheetName val="ICF SOW Amdt 2"/>
      <sheetName val="TRC SOW Amdt 1"/>
      <sheetName val="Metro EO Matrix @Meter"/>
      <sheetName val="Metro EO Table"/>
      <sheetName val="Mktg Forecast"/>
      <sheetName val="PAYS"/>
      <sheetName val="PAYS Reg Asset"/>
      <sheetName val="MEEIA Labor Alloc"/>
      <sheetName val="Other Admin"/>
      <sheetName val="EMV Costs"/>
      <sheetName val="Implementer Contract Rates"/>
      <sheetName val="Billed kWh Sales"/>
      <sheetName val="DSIM Revenues"/>
    </sheetNames>
    <sheetDataSet>
      <sheetData sheetId="0" refreshError="1"/>
      <sheetData sheetId="1" refreshError="1"/>
      <sheetData sheetId="2" refreshError="1"/>
      <sheetData sheetId="3" refreshError="1"/>
      <sheetData sheetId="4">
        <row r="290">
          <cell r="AD290">
            <v>900713.4</v>
          </cell>
          <cell r="AE290">
            <v>574893.18000000005</v>
          </cell>
          <cell r="AF290">
            <v>429833.94000000006</v>
          </cell>
          <cell r="AG290">
            <v>476562.56</v>
          </cell>
          <cell r="AH290">
            <v>461876.68</v>
          </cell>
          <cell r="AI290">
            <v>582534.00999999989</v>
          </cell>
          <cell r="AJ290">
            <v>1072762.51</v>
          </cell>
          <cell r="AK290">
            <v>791233.28</v>
          </cell>
          <cell r="AL290">
            <v>718488.00999999989</v>
          </cell>
          <cell r="AM290">
            <v>651372.89</v>
          </cell>
          <cell r="AN290">
            <v>566255.57999999996</v>
          </cell>
          <cell r="AO290">
            <v>694357.08000000007</v>
          </cell>
          <cell r="AP290">
            <v>756210.22000000009</v>
          </cell>
          <cell r="AQ290">
            <v>597993.40999999992</v>
          </cell>
        </row>
        <row r="291">
          <cell r="AD291">
            <v>69448.179999999993</v>
          </cell>
          <cell r="AE291">
            <v>80402.449999999983</v>
          </cell>
          <cell r="AF291">
            <v>41216.069999999992</v>
          </cell>
          <cell r="AG291">
            <v>52246.320000000007</v>
          </cell>
          <cell r="AH291">
            <v>68132.649999999994</v>
          </cell>
          <cell r="AI291">
            <v>58844.079999999994</v>
          </cell>
          <cell r="AJ291">
            <v>81320.150000000009</v>
          </cell>
          <cell r="AK291">
            <v>95769.67</v>
          </cell>
          <cell r="AL291">
            <v>81356.479999999981</v>
          </cell>
          <cell r="AM291">
            <v>80266.38</v>
          </cell>
          <cell r="AN291">
            <v>86170.35000000002</v>
          </cell>
          <cell r="AO291">
            <v>73448.350000000006</v>
          </cell>
          <cell r="AP291">
            <v>95523.770000000019</v>
          </cell>
          <cell r="AQ291">
            <v>218607.56</v>
          </cell>
        </row>
        <row r="292">
          <cell r="AD292">
            <v>160932.95000000001</v>
          </cell>
          <cell r="AE292">
            <v>212133.75</v>
          </cell>
          <cell r="AF292">
            <v>102542.51</v>
          </cell>
          <cell r="AG292">
            <v>132666.12</v>
          </cell>
          <cell r="AH292">
            <v>179287.16</v>
          </cell>
          <cell r="AI292">
            <v>151753.19</v>
          </cell>
          <cell r="AJ292">
            <v>215132.96000000002</v>
          </cell>
          <cell r="AK292">
            <v>255878.8</v>
          </cell>
          <cell r="AL292">
            <v>215289.36999999994</v>
          </cell>
          <cell r="AM292">
            <v>212832.11</v>
          </cell>
          <cell r="AN292">
            <v>229576.38</v>
          </cell>
          <cell r="AO292">
            <v>180177.37</v>
          </cell>
          <cell r="AP292">
            <v>235690.11000000002</v>
          </cell>
          <cell r="AQ292">
            <v>605356.41999999993</v>
          </cell>
        </row>
        <row r="293">
          <cell r="AD293">
            <v>261507.02</v>
          </cell>
          <cell r="AE293">
            <v>343962.85</v>
          </cell>
          <cell r="AF293">
            <v>168146.77</v>
          </cell>
          <cell r="AG293">
            <v>216818.96</v>
          </cell>
          <cell r="AH293">
            <v>292715.55000000005</v>
          </cell>
          <cell r="AI293">
            <v>246934.11</v>
          </cell>
          <cell r="AJ293">
            <v>347976.83</v>
          </cell>
          <cell r="AK293">
            <v>412935.6</v>
          </cell>
          <cell r="AL293">
            <v>349553.02</v>
          </cell>
          <cell r="AM293">
            <v>345251.53999999992</v>
          </cell>
          <cell r="AN293">
            <v>372080.64999999997</v>
          </cell>
          <cell r="AO293">
            <v>294134.76</v>
          </cell>
          <cell r="AP293">
            <v>382282.00999999995</v>
          </cell>
          <cell r="AQ293">
            <v>975682.42</v>
          </cell>
        </row>
        <row r="294">
          <cell r="AD294">
            <v>92721.22</v>
          </cell>
          <cell r="AE294">
            <v>121991.54999999999</v>
          </cell>
          <cell r="AF294">
            <v>59548.499999999993</v>
          </cell>
          <cell r="AG294">
            <v>76818.77</v>
          </cell>
          <cell r="AH294">
            <v>103722.54</v>
          </cell>
          <cell r="AI294">
            <v>87538.240000000005</v>
          </cell>
          <cell r="AJ294">
            <v>123454.58</v>
          </cell>
          <cell r="AK294">
            <v>146544.63000000003</v>
          </cell>
          <cell r="AL294">
            <v>123952.21999999999</v>
          </cell>
          <cell r="AM294">
            <v>122441.36000000002</v>
          </cell>
          <cell r="AN294">
            <v>131971.59</v>
          </cell>
          <cell r="AO294">
            <v>104227.01999999999</v>
          </cell>
          <cell r="AP294">
            <v>135576.25</v>
          </cell>
          <cell r="AQ294">
            <v>346312.75000000006</v>
          </cell>
        </row>
      </sheetData>
      <sheetData sheetId="5" refreshError="1"/>
      <sheetData sheetId="6" refreshError="1"/>
      <sheetData sheetId="7">
        <row r="461">
          <cell r="AA461">
            <v>4847073.4897640916</v>
          </cell>
          <cell r="AB461">
            <v>5779132.5899442406</v>
          </cell>
          <cell r="AC461">
            <v>6094130.3922006506</v>
          </cell>
          <cell r="AD461">
            <v>5677969.2279583272</v>
          </cell>
          <cell r="AE461">
            <v>5542074.3471218962</v>
          </cell>
          <cell r="AF461">
            <v>5443722.013021851</v>
          </cell>
          <cell r="AG461">
            <v>5744305.5144935176</v>
          </cell>
          <cell r="AH461">
            <v>5755272.9705301626</v>
          </cell>
          <cell r="AI461">
            <v>7632754.5373585364</v>
          </cell>
          <cell r="AJ461">
            <v>7646978.0895278724</v>
          </cell>
          <cell r="AK461">
            <v>6545617.5376209319</v>
          </cell>
          <cell r="AL461">
            <v>6739341.4770617709</v>
          </cell>
          <cell r="AM461">
            <v>6344288.8937425502</v>
          </cell>
          <cell r="AN461">
            <v>7566887.7046593148</v>
          </cell>
        </row>
        <row r="462">
          <cell r="AA462">
            <v>363081.11455638212</v>
          </cell>
          <cell r="AB462">
            <v>384524.6060390799</v>
          </cell>
          <cell r="AC462">
            <v>418139.30421334063</v>
          </cell>
          <cell r="AD462">
            <v>388658.13547567278</v>
          </cell>
          <cell r="AE462">
            <v>447754.11701004521</v>
          </cell>
          <cell r="AF462">
            <v>445366.4022468992</v>
          </cell>
          <cell r="AG462">
            <v>482933.58575575845</v>
          </cell>
          <cell r="AH462">
            <v>487322.34174229694</v>
          </cell>
          <cell r="AI462">
            <v>542191.04499299871</v>
          </cell>
          <cell r="AJ462">
            <v>576970.59023437731</v>
          </cell>
          <cell r="AK462">
            <v>553683.23407314299</v>
          </cell>
          <cell r="AL462">
            <v>615689.84547165036</v>
          </cell>
          <cell r="AM462">
            <v>614257.06894431985</v>
          </cell>
          <cell r="AN462">
            <v>701504.15537667496</v>
          </cell>
        </row>
        <row r="463">
          <cell r="AA463">
            <v>1343769.2687918793</v>
          </cell>
          <cell r="AB463">
            <v>1406055.2264567607</v>
          </cell>
          <cell r="AC463">
            <v>1519134.0750163405</v>
          </cell>
          <cell r="AD463">
            <v>1399129.806022489</v>
          </cell>
          <cell r="AE463">
            <v>1603579.4720890354</v>
          </cell>
          <cell r="AF463">
            <v>1579697.106364052</v>
          </cell>
          <cell r="AG463">
            <v>1703658.3566251248</v>
          </cell>
          <cell r="AH463">
            <v>1699680.4233543498</v>
          </cell>
          <cell r="AI463">
            <v>1821916.2774427114</v>
          </cell>
          <cell r="AJ463">
            <v>1931947.3097333945</v>
          </cell>
          <cell r="AK463">
            <v>1879233.4198557497</v>
          </cell>
          <cell r="AL463">
            <v>2080542.3454458129</v>
          </cell>
          <cell r="AM463">
            <v>2056474.6346985823</v>
          </cell>
          <cell r="AN463">
            <v>2305657.0155249438</v>
          </cell>
        </row>
        <row r="464">
          <cell r="AA464">
            <v>2244502.8891312792</v>
          </cell>
          <cell r="AB464">
            <v>2344420.469990972</v>
          </cell>
          <cell r="AC464">
            <v>2527022.4448172613</v>
          </cell>
          <cell r="AD464">
            <v>2325314.8025873182</v>
          </cell>
          <cell r="AE464">
            <v>2661834.6760491701</v>
          </cell>
          <cell r="AF464">
            <v>2622055.1807382712</v>
          </cell>
          <cell r="AG464">
            <v>2822432.5813146913</v>
          </cell>
          <cell r="AH464">
            <v>2813186.9602773157</v>
          </cell>
          <cell r="AI464">
            <v>3011548.5724522206</v>
          </cell>
          <cell r="AJ464">
            <v>3189244.5277479487</v>
          </cell>
          <cell r="AK464">
            <v>3100389.1402417524</v>
          </cell>
          <cell r="AL464">
            <v>3429104.4710301901</v>
          </cell>
          <cell r="AM464">
            <v>3386941.8034235411</v>
          </cell>
          <cell r="AN464">
            <v>3786699.090207506</v>
          </cell>
        </row>
        <row r="465">
          <cell r="AA465">
            <v>161287.91159300529</v>
          </cell>
          <cell r="AB465">
            <v>194343.81699753573</v>
          </cell>
          <cell r="AC465">
            <v>228109.56349068729</v>
          </cell>
          <cell r="AD465">
            <v>220640.71504102385</v>
          </cell>
          <cell r="AE465">
            <v>275333.19643325737</v>
          </cell>
          <cell r="AF465">
            <v>291523.8159424247</v>
          </cell>
          <cell r="AG465">
            <v>331717.23474985035</v>
          </cell>
          <cell r="AH465">
            <v>356632.84620702319</v>
          </cell>
          <cell r="AI465">
            <v>409547.93414907478</v>
          </cell>
          <cell r="AJ465">
            <v>460292.74035618774</v>
          </cell>
          <cell r="AK465">
            <v>473667.61223333562</v>
          </cell>
          <cell r="AL465">
            <v>546113.36988480866</v>
          </cell>
          <cell r="AM465">
            <v>567082.39207869023</v>
          </cell>
          <cell r="AN465">
            <v>706629.57342788822</v>
          </cell>
        </row>
        <row r="563">
          <cell r="AA563">
            <v>348092.11000000004</v>
          </cell>
          <cell r="AB563">
            <v>383440.82</v>
          </cell>
          <cell r="AC563">
            <v>374905.84</v>
          </cell>
          <cell r="AD563">
            <v>370144.32999999996</v>
          </cell>
          <cell r="AE563">
            <v>376368.34</v>
          </cell>
          <cell r="AF563">
            <v>381045.38</v>
          </cell>
          <cell r="AG563">
            <v>411406.91000000003</v>
          </cell>
          <cell r="AH563">
            <v>614000.6100000001</v>
          </cell>
          <cell r="AI563">
            <v>848973.29999999993</v>
          </cell>
          <cell r="AJ563">
            <v>849524.53</v>
          </cell>
          <cell r="AK563">
            <v>706507.13</v>
          </cell>
          <cell r="AL563">
            <v>435361.93</v>
          </cell>
          <cell r="AM563">
            <v>453661.66000000009</v>
          </cell>
          <cell r="AN563">
            <v>500495.63</v>
          </cell>
        </row>
        <row r="564">
          <cell r="AA564">
            <v>28382.54</v>
          </cell>
          <cell r="AB564">
            <v>27768.709999999995</v>
          </cell>
          <cell r="AC564">
            <v>28806.62</v>
          </cell>
          <cell r="AD564">
            <v>27441.099999999995</v>
          </cell>
          <cell r="AE564">
            <v>32390.199999999997</v>
          </cell>
          <cell r="AF564">
            <v>33775.769999999997</v>
          </cell>
          <cell r="AG564">
            <v>38751.240000000005</v>
          </cell>
          <cell r="AH564">
            <v>49666.879999999997</v>
          </cell>
          <cell r="AI564">
            <v>52683.23</v>
          </cell>
          <cell r="AJ564">
            <v>56064.890000000007</v>
          </cell>
          <cell r="AK564">
            <v>54506.670000000006</v>
          </cell>
          <cell r="AL564">
            <v>46610.46</v>
          </cell>
          <cell r="AM564">
            <v>47976.21</v>
          </cell>
          <cell r="AN564">
            <v>50586.47</v>
          </cell>
        </row>
        <row r="565">
          <cell r="AA565">
            <v>66136.009999999995</v>
          </cell>
          <cell r="AB565">
            <v>62227.75</v>
          </cell>
          <cell r="AC565">
            <v>63680.21</v>
          </cell>
          <cell r="AD565">
            <v>59959.6</v>
          </cell>
          <cell r="AE565">
            <v>69973.760000000009</v>
          </cell>
          <cell r="AF565">
            <v>73871.430000000008</v>
          </cell>
          <cell r="AG565">
            <v>86587.08</v>
          </cell>
          <cell r="AH565">
            <v>113719.59999999999</v>
          </cell>
          <cell r="AI565">
            <v>117024.91</v>
          </cell>
          <cell r="AJ565">
            <v>124893.27</v>
          </cell>
          <cell r="AK565">
            <v>121566.70000000001</v>
          </cell>
          <cell r="AL565">
            <v>96014.49</v>
          </cell>
          <cell r="AM565">
            <v>101409.7</v>
          </cell>
          <cell r="AN565">
            <v>102036.93</v>
          </cell>
        </row>
        <row r="566">
          <cell r="AA566">
            <v>66758.200000000012</v>
          </cell>
          <cell r="AB566">
            <v>61788.65</v>
          </cell>
          <cell r="AC566">
            <v>64772.700000000004</v>
          </cell>
          <cell r="AD566">
            <v>62277.26999999999</v>
          </cell>
          <cell r="AE566">
            <v>73930.59</v>
          </cell>
          <cell r="AF566">
            <v>77016.879999999976</v>
          </cell>
          <cell r="AG566">
            <v>86719.959999999992</v>
          </cell>
          <cell r="AH566">
            <v>118188.81</v>
          </cell>
          <cell r="AI566">
            <v>119547.6</v>
          </cell>
          <cell r="AJ566">
            <v>129332.96</v>
          </cell>
          <cell r="AK566">
            <v>121453.72999999998</v>
          </cell>
          <cell r="AL566">
            <v>97615.989999999976</v>
          </cell>
          <cell r="AM566">
            <v>101401.81999999999</v>
          </cell>
          <cell r="AN566">
            <v>100021.64000000001</v>
          </cell>
        </row>
        <row r="567">
          <cell r="AA567">
            <v>2869.4399999999996</v>
          </cell>
          <cell r="AB567">
            <v>2814.47</v>
          </cell>
          <cell r="AC567">
            <v>3225.0599999999995</v>
          </cell>
          <cell r="AD567">
            <v>3446.7399999999993</v>
          </cell>
          <cell r="AE567">
            <v>4147.88</v>
          </cell>
          <cell r="AF567">
            <v>3936.37</v>
          </cell>
          <cell r="AG567">
            <v>5168.99</v>
          </cell>
          <cell r="AH567">
            <v>6859</v>
          </cell>
          <cell r="AI567">
            <v>7248.46</v>
          </cell>
          <cell r="AJ567">
            <v>8682.0300000000007</v>
          </cell>
          <cell r="AK567">
            <v>8739.67</v>
          </cell>
          <cell r="AL567">
            <v>7154.1399999999994</v>
          </cell>
          <cell r="AM567">
            <v>8349.15</v>
          </cell>
          <cell r="AN567">
            <v>8357.02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Jnl Import"/>
      <sheetName val="EO TD Carrying Costs"/>
      <sheetName val="EMV Results"/>
      <sheetName val="Summary"/>
    </sheetNames>
    <sheetDataSet>
      <sheetData sheetId="0" refreshError="1"/>
      <sheetData sheetId="1" refreshError="1"/>
      <sheetData sheetId="2" refreshError="1"/>
      <sheetData sheetId="3" refreshError="1"/>
      <sheetData sheetId="4">
        <row r="571">
          <cell r="E571">
            <v>-4849.6199999999953</v>
          </cell>
          <cell r="F571">
            <v>-4671.3699999999953</v>
          </cell>
          <cell r="G571">
            <v>-2778.75</v>
          </cell>
          <cell r="H571">
            <v>-1148.6699999999837</v>
          </cell>
          <cell r="I571">
            <v>2588.8600000000006</v>
          </cell>
          <cell r="J571">
            <v>4770.5899999999965</v>
          </cell>
          <cell r="K571">
            <v>8449.0999999999767</v>
          </cell>
          <cell r="L571">
            <v>7801.3000000000466</v>
          </cell>
          <cell r="M571">
            <v>4680.820000000007</v>
          </cell>
          <cell r="N571">
            <v>8569.2699999999895</v>
          </cell>
          <cell r="O571">
            <v>13033.130000000005</v>
          </cell>
          <cell r="P571">
            <v>20777.130000000005</v>
          </cell>
          <cell r="Q571">
            <v>25942.709999999977</v>
          </cell>
          <cell r="R571">
            <v>24783.430000000022</v>
          </cell>
          <cell r="S571">
            <v>24453.810000000012</v>
          </cell>
          <cell r="T571">
            <v>24401.310000000027</v>
          </cell>
          <cell r="U571">
            <v>25874.97000000003</v>
          </cell>
          <cell r="V571">
            <v>29936.25</v>
          </cell>
          <cell r="W571">
            <v>31803.820000000036</v>
          </cell>
          <cell r="X571">
            <v>31992.359999999986</v>
          </cell>
          <cell r="Y571">
            <v>32404.830000000045</v>
          </cell>
          <cell r="Z571">
            <v>22252.709999999977</v>
          </cell>
        </row>
        <row r="572">
          <cell r="E572">
            <v>101.01000000000002</v>
          </cell>
          <cell r="F572">
            <v>123.77000000000001</v>
          </cell>
          <cell r="G572">
            <v>282.49</v>
          </cell>
          <cell r="H572">
            <v>656.1899999999996</v>
          </cell>
          <cell r="I572">
            <v>1028.5800000000017</v>
          </cell>
          <cell r="J572">
            <v>1299.4699999999993</v>
          </cell>
          <cell r="K572">
            <v>2098.840000000002</v>
          </cell>
          <cell r="L572">
            <v>1932.8699999999972</v>
          </cell>
          <cell r="M572">
            <v>1312.0599999999995</v>
          </cell>
          <cell r="N572">
            <v>1084.8099999999995</v>
          </cell>
          <cell r="O572">
            <v>1127.1999999999971</v>
          </cell>
          <cell r="P572">
            <v>1277.0399999999991</v>
          </cell>
          <cell r="Q572">
            <v>1293.6000000000022</v>
          </cell>
          <cell r="R572">
            <v>1197.4899999999998</v>
          </cell>
          <cell r="S572">
            <v>1357.9600000000028</v>
          </cell>
          <cell r="T572">
            <v>1358.5799999999981</v>
          </cell>
          <cell r="U572">
            <v>1510.0400000000045</v>
          </cell>
          <cell r="V572">
            <v>1827.7100000000028</v>
          </cell>
          <cell r="W572">
            <v>3359.8200000000033</v>
          </cell>
          <cell r="X572">
            <v>3195.9799999999959</v>
          </cell>
          <cell r="Y572">
            <v>1718.25</v>
          </cell>
          <cell r="Z572">
            <v>1427.9200000000019</v>
          </cell>
        </row>
        <row r="573">
          <cell r="E573">
            <v>284.84000000000003</v>
          </cell>
          <cell r="F573">
            <v>349.03</v>
          </cell>
          <cell r="G573">
            <v>607.98</v>
          </cell>
          <cell r="H573">
            <v>669.44</v>
          </cell>
          <cell r="I573">
            <v>922.32000000000016</v>
          </cell>
          <cell r="J573">
            <v>1361.4000000000005</v>
          </cell>
          <cell r="K573">
            <v>2838.5600000000031</v>
          </cell>
          <cell r="L573">
            <v>2302.59</v>
          </cell>
          <cell r="M573">
            <v>2453.7299999999996</v>
          </cell>
          <cell r="N573">
            <v>2217.5400000000045</v>
          </cell>
          <cell r="O573">
            <v>2452.260000000002</v>
          </cell>
          <cell r="P573">
            <v>2922.2899999999936</v>
          </cell>
          <cell r="Q573">
            <v>3015.0699999999997</v>
          </cell>
          <cell r="R573">
            <v>2781.2999999999956</v>
          </cell>
          <cell r="S573">
            <v>3131.8799999999974</v>
          </cell>
          <cell r="T573">
            <v>3208.3100000000049</v>
          </cell>
          <cell r="U573">
            <v>3669.1299999999901</v>
          </cell>
          <cell r="V573">
            <v>4592.6700000000128</v>
          </cell>
          <cell r="W573">
            <v>4504.3299999999872</v>
          </cell>
          <cell r="X573">
            <v>4613.9700000000012</v>
          </cell>
          <cell r="Y573">
            <v>4302.1199999999881</v>
          </cell>
          <cell r="Z573">
            <v>3325.8600000000006</v>
          </cell>
        </row>
        <row r="574">
          <cell r="E574">
            <v>454.1</v>
          </cell>
          <cell r="F574">
            <v>556.43000000000006</v>
          </cell>
          <cell r="G574">
            <v>963.44000000000017</v>
          </cell>
          <cell r="H574">
            <v>1087.99</v>
          </cell>
          <cell r="I574">
            <v>1439.690000000001</v>
          </cell>
          <cell r="J574">
            <v>2134.1100000000006</v>
          </cell>
          <cell r="K574">
            <v>3997.1499999999996</v>
          </cell>
          <cell r="L574">
            <v>2294.4699999999993</v>
          </cell>
          <cell r="M574">
            <v>1735.470000000003</v>
          </cell>
          <cell r="N574">
            <v>1545.8600000000006</v>
          </cell>
          <cell r="O574">
            <v>1853.9300000000003</v>
          </cell>
          <cell r="P574">
            <v>2198.9700000000012</v>
          </cell>
          <cell r="Q574">
            <v>1985.4699999999975</v>
          </cell>
          <cell r="R574">
            <v>1870.1800000000039</v>
          </cell>
          <cell r="S574">
            <v>2145.0299999999988</v>
          </cell>
          <cell r="T574">
            <v>2170.8399999999965</v>
          </cell>
          <cell r="U574">
            <v>2389.7400000000052</v>
          </cell>
          <cell r="V574">
            <v>3092.7900000000009</v>
          </cell>
          <cell r="W574">
            <v>2966.5499999999956</v>
          </cell>
          <cell r="X574">
            <v>3082.5200000000114</v>
          </cell>
          <cell r="Y574">
            <v>2761.5599999999977</v>
          </cell>
          <cell r="Z574">
            <v>2201.7999999999956</v>
          </cell>
        </row>
        <row r="575">
          <cell r="E575">
            <v>161.40999999999997</v>
          </cell>
          <cell r="F575">
            <v>197.79</v>
          </cell>
          <cell r="G575">
            <v>341.34999999999997</v>
          </cell>
          <cell r="H575">
            <v>370.20000000000005</v>
          </cell>
          <cell r="I575">
            <v>454.53999999999996</v>
          </cell>
          <cell r="J575">
            <v>589.49999999999989</v>
          </cell>
          <cell r="K575">
            <v>1190.53</v>
          </cell>
          <cell r="L575">
            <v>556.62000000000012</v>
          </cell>
          <cell r="M575">
            <v>308.59000000000015</v>
          </cell>
          <cell r="N575">
            <v>138.92999999999995</v>
          </cell>
          <cell r="O575">
            <v>132.0100000000001</v>
          </cell>
          <cell r="P575">
            <v>236.5300000000002</v>
          </cell>
          <cell r="Q575">
            <v>81.069999999999936</v>
          </cell>
          <cell r="R575">
            <v>82.360000000000127</v>
          </cell>
          <cell r="S575">
            <v>87.199999999999818</v>
          </cell>
          <cell r="T575">
            <v>74.0300000000002</v>
          </cell>
          <cell r="U575">
            <v>98.529999999999745</v>
          </cell>
          <cell r="V575">
            <v>102.37000000000035</v>
          </cell>
          <cell r="W575">
            <v>87.509999999999991</v>
          </cell>
          <cell r="X575">
            <v>99.5</v>
          </cell>
          <cell r="Y575">
            <v>90.529999999999745</v>
          </cell>
          <cell r="Z575">
            <v>84.059999999999945</v>
          </cell>
        </row>
      </sheetData>
      <sheetData sheetId="5">
        <row r="436">
          <cell r="E436">
            <v>0</v>
          </cell>
          <cell r="F436">
            <v>-441.85000000000582</v>
          </cell>
          <cell r="G436">
            <v>-2668.8600000000151</v>
          </cell>
          <cell r="H436">
            <v>-5667.7799999999988</v>
          </cell>
          <cell r="I436">
            <v>-9722.4599999999919</v>
          </cell>
          <cell r="J436">
            <v>-16874.919999999984</v>
          </cell>
          <cell r="K436">
            <v>-22898.830000000016</v>
          </cell>
          <cell r="L436">
            <v>-27760.649999999994</v>
          </cell>
          <cell r="M436">
            <v>-33054.539999999979</v>
          </cell>
          <cell r="N436">
            <v>-27010.350000000006</v>
          </cell>
          <cell r="O436">
            <v>-34105.489999999991</v>
          </cell>
          <cell r="P436">
            <v>-44483.31</v>
          </cell>
          <cell r="Q436">
            <v>-43264.999999999971</v>
          </cell>
          <cell r="R436">
            <v>-41323.300000000032</v>
          </cell>
          <cell r="S436">
            <v>-40934.19</v>
          </cell>
          <cell r="T436">
            <v>-40827.24000000002</v>
          </cell>
          <cell r="U436">
            <v>-43379.020000000019</v>
          </cell>
          <cell r="V436">
            <v>-51031.050000000017</v>
          </cell>
          <cell r="W436">
            <v>-54551.73000000001</v>
          </cell>
          <cell r="X436">
            <v>-54656.450000000012</v>
          </cell>
          <cell r="Y436">
            <v>-54611.820000000007</v>
          </cell>
          <cell r="Z436">
            <v>-37279.160000000003</v>
          </cell>
        </row>
        <row r="437">
          <cell r="E437">
            <v>0</v>
          </cell>
          <cell r="F437">
            <v>0</v>
          </cell>
          <cell r="G437">
            <v>-115.99000000000024</v>
          </cell>
          <cell r="H437">
            <v>-767.47999999999956</v>
          </cell>
          <cell r="I437">
            <v>-1349.2300000000014</v>
          </cell>
          <cell r="J437">
            <v>-1523.4000000000015</v>
          </cell>
          <cell r="K437">
            <v>-1493.2900000000009</v>
          </cell>
          <cell r="L437">
            <v>-1528.0699999999997</v>
          </cell>
          <cell r="M437">
            <v>-1450.0099999999984</v>
          </cell>
          <cell r="N437">
            <v>-1203.6700000000019</v>
          </cell>
          <cell r="O437">
            <v>-1176.7699999999968</v>
          </cell>
          <cell r="P437">
            <v>-1110.5599999999995</v>
          </cell>
          <cell r="Q437">
            <v>-1126.130000000001</v>
          </cell>
          <cell r="R437">
            <v>-1041.9699999999975</v>
          </cell>
          <cell r="S437">
            <v>-1181.1699999999983</v>
          </cell>
          <cell r="T437">
            <v>-1185.7299999999959</v>
          </cell>
          <cell r="U437">
            <v>-1313.8400000000001</v>
          </cell>
          <cell r="V437">
            <v>-1593.9600000000028</v>
          </cell>
          <cell r="W437">
            <v>-1554.7200000000012</v>
          </cell>
          <cell r="X437">
            <v>-1583.0799999999981</v>
          </cell>
          <cell r="Y437">
            <v>-1502.2099999999991</v>
          </cell>
          <cell r="Z437">
            <v>-1246.9900000000016</v>
          </cell>
        </row>
        <row r="438">
          <cell r="E438">
            <v>0</v>
          </cell>
          <cell r="F438">
            <v>0</v>
          </cell>
          <cell r="G438">
            <v>0</v>
          </cell>
          <cell r="H438">
            <v>-4.3099999999999454</v>
          </cell>
          <cell r="I438">
            <v>-78.260000000000218</v>
          </cell>
          <cell r="J438">
            <v>-184.07999999999993</v>
          </cell>
          <cell r="K438">
            <v>-807.88000000000102</v>
          </cell>
          <cell r="L438">
            <v>-1528.8400000000001</v>
          </cell>
          <cell r="M438">
            <v>-1861.0600000000013</v>
          </cell>
          <cell r="N438">
            <v>-1736.9300000000003</v>
          </cell>
          <cell r="O438">
            <v>-1851.4599999999991</v>
          </cell>
          <cell r="P438">
            <v>-2082.510000000002</v>
          </cell>
          <cell r="Q438">
            <v>-2395.4800000000032</v>
          </cell>
          <cell r="R438">
            <v>-2208.6500000000015</v>
          </cell>
          <cell r="S438">
            <v>-2486.1100000000006</v>
          </cell>
          <cell r="T438">
            <v>-2556.0200000000041</v>
          </cell>
          <cell r="U438">
            <v>-2913.4599999999919</v>
          </cell>
          <cell r="V438">
            <v>-3655.900000000016</v>
          </cell>
          <cell r="W438">
            <v>-3587.4499999999971</v>
          </cell>
          <cell r="X438">
            <v>-3672.489999999998</v>
          </cell>
          <cell r="Y438">
            <v>-3433.6599999999962</v>
          </cell>
          <cell r="Z438">
            <v>-2651.3499999999913</v>
          </cell>
        </row>
        <row r="439">
          <cell r="E439">
            <v>0</v>
          </cell>
          <cell r="F439">
            <v>0</v>
          </cell>
          <cell r="G439">
            <v>0</v>
          </cell>
          <cell r="H439">
            <v>-10.010000000000218</v>
          </cell>
          <cell r="I439">
            <v>-21.960000000000946</v>
          </cell>
          <cell r="J439">
            <v>-349.31000000000131</v>
          </cell>
          <cell r="K439">
            <v>-671.95999999999913</v>
          </cell>
          <cell r="L439">
            <v>-731.08000000000175</v>
          </cell>
          <cell r="M439">
            <v>-773.44000000000051</v>
          </cell>
          <cell r="N439">
            <v>-969.06999999999971</v>
          </cell>
          <cell r="O439">
            <v>-1227.010000000002</v>
          </cell>
          <cell r="P439">
            <v>-1244.7299999999959</v>
          </cell>
          <cell r="Q439">
            <v>-1422.8399999999965</v>
          </cell>
          <cell r="R439">
            <v>-1339.5</v>
          </cell>
          <cell r="S439">
            <v>-1535.7999999999993</v>
          </cell>
          <cell r="T439">
            <v>-1560.2799999999988</v>
          </cell>
          <cell r="U439">
            <v>-1711.5600000000049</v>
          </cell>
          <cell r="V439">
            <v>-2221.2700000000041</v>
          </cell>
          <cell r="W439">
            <v>-2131.9199999999983</v>
          </cell>
          <cell r="X439">
            <v>-2213.7400000000052</v>
          </cell>
          <cell r="Y439">
            <v>-1989.1199999999953</v>
          </cell>
          <cell r="Z439">
            <v>-1583.6200000000026</v>
          </cell>
        </row>
        <row r="440">
          <cell r="E440">
            <v>0</v>
          </cell>
          <cell r="F440">
            <v>0</v>
          </cell>
          <cell r="G440">
            <v>0</v>
          </cell>
          <cell r="H440">
            <v>0</v>
          </cell>
          <cell r="I440">
            <v>0</v>
          </cell>
          <cell r="J440">
            <v>0</v>
          </cell>
          <cell r="K440">
            <v>9.9999999997635314E-3</v>
          </cell>
          <cell r="L440">
            <v>0</v>
          </cell>
          <cell r="M440">
            <v>0</v>
          </cell>
          <cell r="N440">
            <v>0</v>
          </cell>
          <cell r="O440">
            <v>0</v>
          </cell>
          <cell r="P440">
            <v>-38.050000000000182</v>
          </cell>
          <cell r="Q440">
            <v>-79.799999999999955</v>
          </cell>
          <cell r="R440">
            <v>-80.990000000000009</v>
          </cell>
          <cell r="S440">
            <v>-85.799999999999727</v>
          </cell>
          <cell r="T440">
            <v>-73.160000000000309</v>
          </cell>
          <cell r="U440">
            <v>-96.9699999999998</v>
          </cell>
          <cell r="V440">
            <v>-101.36000000000013</v>
          </cell>
          <cell r="W440">
            <v>-86.900000000000091</v>
          </cell>
          <cell r="X440">
            <v>-98.599999999999454</v>
          </cell>
          <cell r="Y440">
            <v>-89.929999999999836</v>
          </cell>
          <cell r="Z440">
            <v>-83.039999999999964</v>
          </cell>
        </row>
      </sheetData>
      <sheetData sheetId="6" refreshError="1"/>
      <sheetData sheetId="7">
        <row r="55">
          <cell r="C55">
            <v>-5.44</v>
          </cell>
          <cell r="D55">
            <v>-14.87</v>
          </cell>
          <cell r="E55">
            <v>-27.7</v>
          </cell>
          <cell r="F55">
            <v>-31.44</v>
          </cell>
          <cell r="G55">
            <v>-29.5</v>
          </cell>
          <cell r="H55">
            <v>-186.76</v>
          </cell>
          <cell r="I55">
            <v>-283.49</v>
          </cell>
          <cell r="J55">
            <v>-386.31</v>
          </cell>
          <cell r="K55">
            <v>-525.63</v>
          </cell>
          <cell r="L55">
            <v>-669.64</v>
          </cell>
          <cell r="M55">
            <v>-765.64</v>
          </cell>
          <cell r="N55">
            <v>-908.59</v>
          </cell>
          <cell r="O55">
            <v>-1013.91</v>
          </cell>
          <cell r="P55">
            <v>-1126.77</v>
          </cell>
          <cell r="Q55">
            <v>-844.24</v>
          </cell>
          <cell r="R55">
            <v>-760.62</v>
          </cell>
          <cell r="S55">
            <v>-1303.1600000000001</v>
          </cell>
          <cell r="T55">
            <v>-1453.18</v>
          </cell>
          <cell r="U55">
            <v>-1588.53</v>
          </cell>
          <cell r="V55">
            <v>-1762.14</v>
          </cell>
          <cell r="W55">
            <v>-1888.15</v>
          </cell>
          <cell r="X55">
            <v>-2050.9899999999998</v>
          </cell>
        </row>
        <row r="56">
          <cell r="C56">
            <v>0.11</v>
          </cell>
          <cell r="D56">
            <v>0.33</v>
          </cell>
          <cell r="E56">
            <v>0.67</v>
          </cell>
          <cell r="F56">
            <v>0.56000000000000005</v>
          </cell>
          <cell r="G56">
            <v>0.14000000000000001</v>
          </cell>
          <cell r="H56">
            <v>-0.8</v>
          </cell>
          <cell r="I56">
            <v>0.23</v>
          </cell>
          <cell r="J56">
            <v>3.19</v>
          </cell>
          <cell r="K56">
            <v>3.95</v>
          </cell>
          <cell r="L56">
            <v>3.24</v>
          </cell>
          <cell r="M56">
            <v>2.69</v>
          </cell>
          <cell r="N56">
            <v>3.07</v>
          </cell>
          <cell r="O56">
            <v>3.98</v>
          </cell>
          <cell r="P56">
            <v>4.9800000000000004</v>
          </cell>
          <cell r="Q56">
            <v>4.0999999999999996</v>
          </cell>
          <cell r="R56">
            <v>3.99</v>
          </cell>
          <cell r="S56">
            <v>7.34</v>
          </cell>
          <cell r="T56">
            <v>8.76</v>
          </cell>
          <cell r="U56">
            <v>14.42</v>
          </cell>
          <cell r="V56">
            <v>24.43</v>
          </cell>
          <cell r="W56">
            <v>29.57</v>
          </cell>
          <cell r="X56">
            <v>31.32</v>
          </cell>
        </row>
        <row r="57">
          <cell r="C57">
            <v>0.32</v>
          </cell>
          <cell r="D57">
            <v>0.92</v>
          </cell>
          <cell r="E57">
            <v>2.0499999999999998</v>
          </cell>
          <cell r="F57">
            <v>2.63</v>
          </cell>
          <cell r="G57">
            <v>2.66</v>
          </cell>
          <cell r="H57">
            <v>17.61</v>
          </cell>
          <cell r="I57">
            <v>28.77</v>
          </cell>
          <cell r="J57">
            <v>37.200000000000003</v>
          </cell>
          <cell r="K57">
            <v>41.02</v>
          </cell>
          <cell r="L57">
            <v>44.85</v>
          </cell>
          <cell r="M57">
            <v>46.83</v>
          </cell>
          <cell r="N57">
            <v>51.82</v>
          </cell>
          <cell r="O57">
            <v>55.31</v>
          </cell>
          <cell r="P57">
            <v>59.57</v>
          </cell>
          <cell r="Q57">
            <v>43.58</v>
          </cell>
          <cell r="R57">
            <v>38.700000000000003</v>
          </cell>
          <cell r="S57">
            <v>65.47</v>
          </cell>
          <cell r="T57">
            <v>72.34</v>
          </cell>
          <cell r="U57">
            <v>78.180000000000007</v>
          </cell>
          <cell r="V57">
            <v>85.67</v>
          </cell>
          <cell r="W57">
            <v>90.75</v>
          </cell>
          <cell r="X57">
            <v>97.94</v>
          </cell>
        </row>
        <row r="58">
          <cell r="C58">
            <v>0.51</v>
          </cell>
          <cell r="D58">
            <v>1.47</v>
          </cell>
          <cell r="E58">
            <v>3.26</v>
          </cell>
          <cell r="F58">
            <v>4.2</v>
          </cell>
          <cell r="G58">
            <v>4.3</v>
          </cell>
          <cell r="H58">
            <v>28.27</v>
          </cell>
          <cell r="I58">
            <v>46.08</v>
          </cell>
          <cell r="J58">
            <v>60.73</v>
          </cell>
          <cell r="K58">
            <v>67.84</v>
          </cell>
          <cell r="L58">
            <v>73.45</v>
          </cell>
          <cell r="M58">
            <v>75.09</v>
          </cell>
          <cell r="N58">
            <v>80.98</v>
          </cell>
          <cell r="O58">
            <v>84.26</v>
          </cell>
          <cell r="P58">
            <v>88.66</v>
          </cell>
          <cell r="Q58">
            <v>63.51</v>
          </cell>
          <cell r="R58">
            <v>55.38</v>
          </cell>
          <cell r="S58">
            <v>91.8</v>
          </cell>
          <cell r="T58">
            <v>99.21</v>
          </cell>
          <cell r="U58">
            <v>104.94</v>
          </cell>
          <cell r="V58">
            <v>112.77</v>
          </cell>
          <cell r="W58">
            <v>117.38</v>
          </cell>
          <cell r="X58">
            <v>125.1</v>
          </cell>
        </row>
        <row r="59">
          <cell r="C59">
            <v>0.18</v>
          </cell>
          <cell r="D59">
            <v>0.52</v>
          </cell>
          <cell r="E59">
            <v>1.1599999999999999</v>
          </cell>
          <cell r="F59">
            <v>1.48</v>
          </cell>
          <cell r="G59">
            <v>1.48</v>
          </cell>
          <cell r="H59">
            <v>9.6</v>
          </cell>
          <cell r="I59">
            <v>15.77</v>
          </cell>
          <cell r="J59">
            <v>21.01</v>
          </cell>
          <cell r="K59">
            <v>23.44</v>
          </cell>
          <cell r="L59">
            <v>25.13</v>
          </cell>
          <cell r="M59">
            <v>25.29</v>
          </cell>
          <cell r="N59">
            <v>26.69</v>
          </cell>
          <cell r="O59">
            <v>26.92</v>
          </cell>
          <cell r="P59">
            <v>27.32</v>
          </cell>
          <cell r="Q59">
            <v>18.87</v>
          </cell>
          <cell r="R59">
            <v>15.91</v>
          </cell>
          <cell r="S59">
            <v>25.41</v>
          </cell>
          <cell r="T59">
            <v>26.31</v>
          </cell>
          <cell r="U59">
            <v>26.6</v>
          </cell>
          <cell r="V59">
            <v>27.37</v>
          </cell>
          <cell r="W59">
            <v>27.38</v>
          </cell>
          <cell r="X59">
            <v>28.34</v>
          </cell>
        </row>
      </sheetData>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Metro"/>
    </sheetNames>
    <sheetDataSet>
      <sheetData sheetId="0">
        <row r="110">
          <cell r="D110">
            <v>0.22251130932352628</v>
          </cell>
          <cell r="E110">
            <v>2225.11</v>
          </cell>
        </row>
        <row r="111">
          <cell r="D111">
            <v>0.77748869067647375</v>
          </cell>
          <cell r="E111">
            <v>7774.89</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ro Ordered Adjustmt Cycle 2"/>
    </sheetNames>
    <sheetDataSet>
      <sheetData sheetId="0">
        <row r="95">
          <cell r="K95">
            <v>-124.15</v>
          </cell>
          <cell r="X95">
            <v>-383.8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refreshError="1"/>
      <sheetData sheetId="1">
        <row r="44">
          <cell r="CY44">
            <v>0.13576441564001979</v>
          </cell>
          <cell r="CZ44">
            <v>0.35611574316442379</v>
          </cell>
          <cell r="DA44">
            <v>0.4183185730547726</v>
          </cell>
          <cell r="DB44">
            <v>8.9801268140783777E-2</v>
          </cell>
        </row>
        <row r="285">
          <cell r="BL285">
            <v>3370413.5458254805</v>
          </cell>
          <cell r="BM285">
            <v>3266081.7171445102</v>
          </cell>
          <cell r="BN285">
            <v>3680422.2557181921</v>
          </cell>
          <cell r="BO285">
            <v>3515394.0907785045</v>
          </cell>
          <cell r="BP285">
            <v>3065941.0702093444</v>
          </cell>
          <cell r="BQ285">
            <v>3188466.8000968723</v>
          </cell>
          <cell r="BR285">
            <v>3066562.9817966414</v>
          </cell>
          <cell r="BS285">
            <v>3662309.1959070778</v>
          </cell>
          <cell r="BT285">
            <v>3670317.7984049888</v>
          </cell>
          <cell r="BU285">
            <v>3305717.5520906802</v>
          </cell>
          <cell r="BV285">
            <v>3281805.3874220303</v>
          </cell>
          <cell r="BW285">
            <v>3159237.1988244001</v>
          </cell>
          <cell r="BX285">
            <v>3370413.5458254805</v>
          </cell>
          <cell r="BY285">
            <v>3266081.7171445102</v>
          </cell>
          <cell r="BZ285">
            <v>3680422.2557181921</v>
          </cell>
          <cell r="CA285">
            <v>3515394.0907785045</v>
          </cell>
          <cell r="CB285">
            <v>3065941.0702093444</v>
          </cell>
          <cell r="CC285">
            <v>3188466.8000968723</v>
          </cell>
          <cell r="CD285">
            <v>3066562.9817966414</v>
          </cell>
          <cell r="CE285">
            <v>0</v>
          </cell>
        </row>
        <row r="286">
          <cell r="BL286">
            <v>556499.47614329192</v>
          </cell>
          <cell r="BM286">
            <v>546992.58507852885</v>
          </cell>
          <cell r="BN286">
            <v>563211.1824736062</v>
          </cell>
          <cell r="BO286">
            <v>575288.93952046824</v>
          </cell>
          <cell r="BP286">
            <v>521940.09533534345</v>
          </cell>
          <cell r="BQ286">
            <v>550893.96566210699</v>
          </cell>
          <cell r="BR286">
            <v>519241.44169683417</v>
          </cell>
          <cell r="BS286">
            <v>517792.72147182899</v>
          </cell>
          <cell r="BT286">
            <v>546257.46031236276</v>
          </cell>
          <cell r="BU286">
            <v>496691.12885422038</v>
          </cell>
          <cell r="BV286">
            <v>556097.3657622321</v>
          </cell>
          <cell r="BW286">
            <v>524405.96288920077</v>
          </cell>
          <cell r="BX286">
            <v>556499.47614329192</v>
          </cell>
          <cell r="BY286">
            <v>546992.58507852885</v>
          </cell>
          <cell r="BZ286">
            <v>563211.1824736062</v>
          </cell>
          <cell r="CA286">
            <v>575288.93952046824</v>
          </cell>
          <cell r="CB286">
            <v>521940.09533534345</v>
          </cell>
          <cell r="CC286">
            <v>550893.96566210699</v>
          </cell>
          <cell r="CD286">
            <v>519241.44169683417</v>
          </cell>
          <cell r="CE286">
            <v>0</v>
          </cell>
        </row>
        <row r="287">
          <cell r="BL287">
            <v>2051435.6097464242</v>
          </cell>
          <cell r="BM287">
            <v>2034680.2422364058</v>
          </cell>
          <cell r="BN287">
            <v>2100193.7252263715</v>
          </cell>
          <cell r="BO287">
            <v>2134682.8023906159</v>
          </cell>
          <cell r="BP287">
            <v>1939903.2451075946</v>
          </cell>
          <cell r="BQ287">
            <v>2014354.5312926706</v>
          </cell>
          <cell r="BR287">
            <v>1902188.3875856276</v>
          </cell>
          <cell r="BS287">
            <v>1896713.2328896965</v>
          </cell>
          <cell r="BT287">
            <v>1998762.7110877649</v>
          </cell>
          <cell r="BU287">
            <v>1812660.5122951441</v>
          </cell>
          <cell r="BV287">
            <v>2044973.9453570289</v>
          </cell>
          <cell r="BW287">
            <v>1934325.6695846934</v>
          </cell>
          <cell r="BX287">
            <v>2051435.6097464242</v>
          </cell>
          <cell r="BY287">
            <v>2034680.2422364058</v>
          </cell>
          <cell r="BZ287">
            <v>2100193.7252263715</v>
          </cell>
          <cell r="CA287">
            <v>2134682.8023906159</v>
          </cell>
          <cell r="CB287">
            <v>1939903.2451075946</v>
          </cell>
          <cell r="CC287">
            <v>2014354.5312926706</v>
          </cell>
          <cell r="CD287">
            <v>1902188.3875856276</v>
          </cell>
          <cell r="CE287">
            <v>0</v>
          </cell>
        </row>
        <row r="288">
          <cell r="BL288">
            <v>2991661.3414560268</v>
          </cell>
          <cell r="BM288">
            <v>2941625.7665488054</v>
          </cell>
          <cell r="BN288">
            <v>3026421.3147310298</v>
          </cell>
          <cell r="BO288">
            <v>3087695.406693608</v>
          </cell>
          <cell r="BP288">
            <v>2808644.072664205</v>
          </cell>
          <cell r="BQ288">
            <v>2956303.3048945833</v>
          </cell>
          <cell r="BR288">
            <v>2788695.0613562055</v>
          </cell>
          <cell r="BS288">
            <v>2780898.9069368993</v>
          </cell>
          <cell r="BT288">
            <v>2932655.5697997292</v>
          </cell>
          <cell r="BU288">
            <v>2664302.9772219518</v>
          </cell>
          <cell r="BV288">
            <v>2990023.4024577467</v>
          </cell>
          <cell r="BW288">
            <v>2822497.4988393728</v>
          </cell>
          <cell r="BX288">
            <v>2991661.3414560268</v>
          </cell>
          <cell r="BY288">
            <v>2941625.7665488054</v>
          </cell>
          <cell r="BZ288">
            <v>3026421.3147310298</v>
          </cell>
          <cell r="CA288">
            <v>3087695.406693608</v>
          </cell>
          <cell r="CB288">
            <v>2808644.072664205</v>
          </cell>
          <cell r="CC288">
            <v>2956303.3048945833</v>
          </cell>
          <cell r="CD288">
            <v>2788695.0613562055</v>
          </cell>
          <cell r="CE288">
            <v>0</v>
          </cell>
        </row>
        <row r="289">
          <cell r="BL289">
            <v>629016.14873591927</v>
          </cell>
          <cell r="BM289">
            <v>610341.14270159625</v>
          </cell>
          <cell r="BN289">
            <v>625162.41647787194</v>
          </cell>
          <cell r="BO289">
            <v>640902.78208922653</v>
          </cell>
          <cell r="BP289">
            <v>585000.13350031408</v>
          </cell>
          <cell r="BQ289">
            <v>627474.44586290943</v>
          </cell>
          <cell r="BR289">
            <v>591300.97023510153</v>
          </cell>
          <cell r="BS289">
            <v>590013.94408156979</v>
          </cell>
          <cell r="BT289">
            <v>622361.83728781843</v>
          </cell>
          <cell r="BU289">
            <v>566446.16349277867</v>
          </cell>
          <cell r="BV289">
            <v>630750.72616422456</v>
          </cell>
          <cell r="BW289">
            <v>594515.60397069028</v>
          </cell>
          <cell r="BX289">
            <v>629016.14873591927</v>
          </cell>
          <cell r="BY289">
            <v>610341.14270159625</v>
          </cell>
          <cell r="BZ289">
            <v>625162.41647787194</v>
          </cell>
          <cell r="CA289">
            <v>640902.78208922653</v>
          </cell>
          <cell r="CB289">
            <v>585000.13350031408</v>
          </cell>
          <cell r="CC289">
            <v>627474.44586290943</v>
          </cell>
          <cell r="CD289">
            <v>591300.97023510153</v>
          </cell>
          <cell r="CE289">
            <v>0</v>
          </cell>
        </row>
        <row r="326">
          <cell r="BL326">
            <v>216990.47</v>
          </cell>
          <cell r="BM326">
            <v>310643.09000000003</v>
          </cell>
          <cell r="BN326">
            <v>359810.86</v>
          </cell>
          <cell r="BO326">
            <v>342311.19</v>
          </cell>
          <cell r="BP326">
            <v>291163.2</v>
          </cell>
          <cell r="BQ326">
            <v>182673.64</v>
          </cell>
          <cell r="BR326">
            <v>195698.16</v>
          </cell>
          <cell r="BS326">
            <v>218434.81</v>
          </cell>
          <cell r="BT326">
            <v>202171.15</v>
          </cell>
          <cell r="BU326">
            <v>192644.15</v>
          </cell>
          <cell r="BV326">
            <v>199173.98</v>
          </cell>
          <cell r="BW326">
            <v>197578.38</v>
          </cell>
          <cell r="BX326">
            <v>216990.47</v>
          </cell>
          <cell r="BY326">
            <v>310643.09000000003</v>
          </cell>
          <cell r="BZ326">
            <v>359810.86</v>
          </cell>
          <cell r="CA326">
            <v>342311.19</v>
          </cell>
          <cell r="CB326">
            <v>291163.2</v>
          </cell>
          <cell r="CC326">
            <v>182673.64</v>
          </cell>
          <cell r="CD326">
            <v>195698.16</v>
          </cell>
          <cell r="CE326">
            <v>0</v>
          </cell>
        </row>
        <row r="327">
          <cell r="BL327">
            <v>41945.8</v>
          </cell>
          <cell r="BM327">
            <v>52319</v>
          </cell>
          <cell r="BN327">
            <v>51334.75</v>
          </cell>
          <cell r="BO327">
            <v>52372.19</v>
          </cell>
          <cell r="BP327">
            <v>48332.98</v>
          </cell>
          <cell r="BQ327">
            <v>39120.79</v>
          </cell>
          <cell r="BR327">
            <v>38159.29</v>
          </cell>
          <cell r="BS327">
            <v>35422.89</v>
          </cell>
          <cell r="BT327">
            <v>35524.21</v>
          </cell>
          <cell r="BU327">
            <v>33100.22</v>
          </cell>
          <cell r="BV327">
            <v>37824.6</v>
          </cell>
          <cell r="BW327">
            <v>37436.51</v>
          </cell>
          <cell r="BX327">
            <v>41945.8</v>
          </cell>
          <cell r="BY327">
            <v>52319</v>
          </cell>
          <cell r="BZ327">
            <v>51334.75</v>
          </cell>
          <cell r="CA327">
            <v>52372.19</v>
          </cell>
          <cell r="CB327">
            <v>48332.98</v>
          </cell>
          <cell r="CC327">
            <v>39120.79</v>
          </cell>
          <cell r="CD327">
            <v>38159.29</v>
          </cell>
          <cell r="CE327">
            <v>0</v>
          </cell>
        </row>
        <row r="328">
          <cell r="BL328">
            <v>98233.21</v>
          </cell>
          <cell r="BM328">
            <v>127653.97</v>
          </cell>
          <cell r="BN328">
            <v>126334.1</v>
          </cell>
          <cell r="BO328">
            <v>128917.53</v>
          </cell>
          <cell r="BP328">
            <v>117550.52</v>
          </cell>
          <cell r="BQ328">
            <v>87309.38</v>
          </cell>
          <cell r="BR328">
            <v>88423.72</v>
          </cell>
          <cell r="BS328">
            <v>80119.53</v>
          </cell>
          <cell r="BT328">
            <v>79538.84</v>
          </cell>
          <cell r="BU328">
            <v>73707.55</v>
          </cell>
          <cell r="BV328">
            <v>84193.01</v>
          </cell>
          <cell r="BW328">
            <v>85475.64</v>
          </cell>
          <cell r="BX328">
            <v>98233.21</v>
          </cell>
          <cell r="BY328">
            <v>127653.97</v>
          </cell>
          <cell r="BZ328">
            <v>126334.1</v>
          </cell>
          <cell r="CA328">
            <v>128917.53</v>
          </cell>
          <cell r="CB328">
            <v>117550.52</v>
          </cell>
          <cell r="CC328">
            <v>87309.38</v>
          </cell>
          <cell r="CD328">
            <v>88423.72</v>
          </cell>
          <cell r="CE328">
            <v>0</v>
          </cell>
        </row>
        <row r="329">
          <cell r="BL329">
            <v>89527.57</v>
          </cell>
          <cell r="BM329">
            <v>119153.73</v>
          </cell>
          <cell r="BN329">
            <v>115601.38</v>
          </cell>
          <cell r="BO329">
            <v>119766.95</v>
          </cell>
          <cell r="BP329">
            <v>105741.59</v>
          </cell>
          <cell r="BQ329">
            <v>81169.53</v>
          </cell>
          <cell r="BR329">
            <v>81177.56</v>
          </cell>
          <cell r="BS329">
            <v>73142.13</v>
          </cell>
          <cell r="BT329">
            <v>74099.460000000006</v>
          </cell>
          <cell r="BU329">
            <v>70145.59</v>
          </cell>
          <cell r="BV329">
            <v>80833.100000000006</v>
          </cell>
          <cell r="BW329">
            <v>80990.09</v>
          </cell>
          <cell r="BX329">
            <v>89527.57</v>
          </cell>
          <cell r="BY329">
            <v>119153.73</v>
          </cell>
          <cell r="BZ329">
            <v>115601.38</v>
          </cell>
          <cell r="CA329">
            <v>119766.95</v>
          </cell>
          <cell r="CB329">
            <v>105741.59</v>
          </cell>
          <cell r="CC329">
            <v>81169.53</v>
          </cell>
          <cell r="CD329">
            <v>81177.56</v>
          </cell>
          <cell r="CE329">
            <v>0</v>
          </cell>
        </row>
        <row r="330">
          <cell r="BL330">
            <v>9841.15</v>
          </cell>
          <cell r="BM330">
            <v>11275.11</v>
          </cell>
          <cell r="BN330">
            <v>10469.42</v>
          </cell>
          <cell r="BO330">
            <v>11336.85</v>
          </cell>
          <cell r="BP330">
            <v>10391.39</v>
          </cell>
          <cell r="BQ330">
            <v>8434.2900000000009</v>
          </cell>
          <cell r="BR330">
            <v>9240.15</v>
          </cell>
          <cell r="BS330">
            <v>8317.08</v>
          </cell>
          <cell r="BT330">
            <v>8391.92</v>
          </cell>
          <cell r="BU330">
            <v>8368.7000000000007</v>
          </cell>
          <cell r="BV330">
            <v>8930.94</v>
          </cell>
          <cell r="BW330">
            <v>7970.27</v>
          </cell>
          <cell r="BX330">
            <v>9841.15</v>
          </cell>
          <cell r="BY330">
            <v>11275.11</v>
          </cell>
          <cell r="BZ330">
            <v>10469.42</v>
          </cell>
          <cell r="CA330">
            <v>11336.85</v>
          </cell>
          <cell r="CB330">
            <v>10391.39</v>
          </cell>
          <cell r="CC330">
            <v>8434.2900000000009</v>
          </cell>
          <cell r="CD330">
            <v>9240.15</v>
          </cell>
          <cell r="CE330">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20"/>
      <sheetName val="February 2020"/>
      <sheetName val="March 2020"/>
      <sheetName val="April 2020"/>
      <sheetName val="May 2020"/>
      <sheetName val="June 2020"/>
      <sheetName val="July 2020"/>
      <sheetName val="Aug 2020"/>
      <sheetName val="Sept 2020"/>
      <sheetName val="Oct 2020"/>
      <sheetName val="Nov 2020"/>
      <sheetName val="Dec 2020"/>
      <sheetName val="Jan 2021"/>
      <sheetName val="Feb 2021"/>
      <sheetName val="Mar 2021"/>
      <sheetName val="Apr 2021"/>
      <sheetName val="May 2021"/>
      <sheetName val="Jun 2021"/>
      <sheetName val="Jul 2021"/>
      <sheetName val="Aug 2021"/>
      <sheetName val="Sep 2021"/>
      <sheetName val="Oct 2021"/>
      <sheetName val="KCP&amp;L MO DSIM Rate Table"/>
      <sheetName val="DSIM Rates - Initial RP"/>
      <sheetName val="DSIM Rates - 2nd RP"/>
      <sheetName val="DSIM Rates - 3rd RP"/>
      <sheetName val="DSIM Rates - 4th RP"/>
      <sheetName val="DSIM Rates - 4th RP Cycle 2"/>
      <sheetName val="DSIM Rates 5th RP"/>
      <sheetName val="DSIM Rates 6th RP"/>
      <sheetName val="DSIM Rates 7th RP"/>
      <sheetName val="DSIM Rates 8th RP"/>
      <sheetName val="DSIM Rates 9th RP"/>
      <sheetName val="DSIM Rates 10th RP"/>
      <sheetName val="DSIM Rates 11th R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43">
          <cell r="F43">
            <v>-41.459999999999994</v>
          </cell>
        </row>
        <row r="44">
          <cell r="F44">
            <v>204.15</v>
          </cell>
        </row>
        <row r="45">
          <cell r="F45">
            <v>806.18</v>
          </cell>
        </row>
        <row r="46">
          <cell r="F46">
            <v>-27.740000000000002</v>
          </cell>
        </row>
        <row r="47">
          <cell r="F47">
            <v>-1049.29</v>
          </cell>
        </row>
        <row r="52">
          <cell r="F52">
            <v>14752.61</v>
          </cell>
        </row>
        <row r="53">
          <cell r="F53">
            <v>-6990.75</v>
          </cell>
        </row>
        <row r="54">
          <cell r="F54">
            <v>-12098.11</v>
          </cell>
        </row>
        <row r="55">
          <cell r="F55">
            <v>-16848.139999999996</v>
          </cell>
        </row>
        <row r="56">
          <cell r="F56">
            <v>-2537.65</v>
          </cell>
        </row>
        <row r="61">
          <cell r="F61">
            <v>185564.12000000002</v>
          </cell>
        </row>
        <row r="62">
          <cell r="F62">
            <v>47961.020000000004</v>
          </cell>
        </row>
        <row r="63">
          <cell r="F63">
            <v>81026.679999999993</v>
          </cell>
        </row>
        <row r="64">
          <cell r="F64">
            <v>85128.72</v>
          </cell>
        </row>
        <row r="65">
          <cell r="F65">
            <v>6641.32</v>
          </cell>
        </row>
        <row r="70">
          <cell r="F70">
            <v>57451.689999999995</v>
          </cell>
        </row>
        <row r="71">
          <cell r="F71">
            <v>18417.71</v>
          </cell>
        </row>
        <row r="72">
          <cell r="F72">
            <v>88400.709999999992</v>
          </cell>
        </row>
        <row r="73">
          <cell r="F73">
            <v>103198.81</v>
          </cell>
        </row>
        <row r="74">
          <cell r="F74">
            <v>19592.38</v>
          </cell>
        </row>
        <row r="79">
          <cell r="F79">
            <v>405009.12</v>
          </cell>
        </row>
        <row r="80">
          <cell r="F80">
            <v>77747.47</v>
          </cell>
        </row>
        <row r="81">
          <cell r="F81">
            <v>141302.6</v>
          </cell>
        </row>
        <row r="82">
          <cell r="F82">
            <v>251592.47</v>
          </cell>
        </row>
        <row r="83">
          <cell r="F83">
            <v>63201.18</v>
          </cell>
        </row>
        <row r="87">
          <cell r="F87">
            <v>8856.1299999999992</v>
          </cell>
        </row>
        <row r="88">
          <cell r="F88">
            <v>-379.76</v>
          </cell>
        </row>
        <row r="89">
          <cell r="F89">
            <v>53566.21</v>
          </cell>
        </row>
        <row r="90">
          <cell r="F90">
            <v>23240.42</v>
          </cell>
        </row>
        <row r="91">
          <cell r="F91">
            <v>-12143.46</v>
          </cell>
        </row>
        <row r="95">
          <cell r="F95">
            <v>212041.03</v>
          </cell>
        </row>
        <row r="96">
          <cell r="F96">
            <v>31685.23</v>
          </cell>
        </row>
        <row r="97">
          <cell r="F97">
            <v>52085.82</v>
          </cell>
        </row>
        <row r="98">
          <cell r="F98">
            <v>46468.480000000003</v>
          </cell>
        </row>
        <row r="99">
          <cell r="F99">
            <v>2759.88</v>
          </cell>
        </row>
        <row r="123">
          <cell r="F123">
            <v>147282038.08810005</v>
          </cell>
        </row>
        <row r="124">
          <cell r="F124">
            <v>36848623.247099996</v>
          </cell>
        </row>
        <row r="125">
          <cell r="F125">
            <v>75602264.983800039</v>
          </cell>
        </row>
        <row r="126">
          <cell r="F126">
            <v>128983645.07529999</v>
          </cell>
        </row>
        <row r="127">
          <cell r="F127">
            <v>27598772.784599997</v>
          </cell>
        </row>
      </sheetData>
      <sheetData sheetId="17">
        <row r="43">
          <cell r="F43">
            <v>60.57</v>
          </cell>
        </row>
        <row r="44">
          <cell r="F44">
            <v>2.0100000000000002</v>
          </cell>
        </row>
        <row r="45">
          <cell r="F45">
            <v>0</v>
          </cell>
        </row>
        <row r="46">
          <cell r="F46">
            <v>0</v>
          </cell>
        </row>
        <row r="47">
          <cell r="F47">
            <v>825.15</v>
          </cell>
        </row>
        <row r="52">
          <cell r="F52">
            <v>19648.43</v>
          </cell>
        </row>
        <row r="53">
          <cell r="F53">
            <v>-8340.15</v>
          </cell>
        </row>
        <row r="54">
          <cell r="F54">
            <v>-13831.42</v>
          </cell>
        </row>
        <row r="55">
          <cell r="F55">
            <v>-17839.670000000002</v>
          </cell>
        </row>
        <row r="56">
          <cell r="F56">
            <v>-3661.48</v>
          </cell>
        </row>
        <row r="61">
          <cell r="F61">
            <v>247232.52000000002</v>
          </cell>
        </row>
        <row r="62">
          <cell r="F62">
            <v>57061.329999999994</v>
          </cell>
        </row>
        <row r="63">
          <cell r="F63">
            <v>92490.02</v>
          </cell>
        </row>
        <row r="64">
          <cell r="F64">
            <v>90563.150000000009</v>
          </cell>
        </row>
        <row r="65">
          <cell r="F65">
            <v>10174.19</v>
          </cell>
        </row>
        <row r="70">
          <cell r="F70">
            <v>76527.56</v>
          </cell>
        </row>
        <row r="71">
          <cell r="F71">
            <v>21940.9</v>
          </cell>
        </row>
        <row r="72">
          <cell r="F72">
            <v>101097.5</v>
          </cell>
        </row>
        <row r="73">
          <cell r="F73">
            <v>109733.96</v>
          </cell>
        </row>
        <row r="74">
          <cell r="F74">
            <v>28854.5</v>
          </cell>
        </row>
        <row r="79">
          <cell r="F79">
            <v>539455.63</v>
          </cell>
        </row>
        <row r="80">
          <cell r="F80">
            <v>92581</v>
          </cell>
        </row>
        <row r="81">
          <cell r="F81">
            <v>161583.18</v>
          </cell>
        </row>
        <row r="82">
          <cell r="F82">
            <v>267476.54000000004</v>
          </cell>
        </row>
        <row r="83">
          <cell r="F83">
            <v>93065.919999999998</v>
          </cell>
        </row>
        <row r="87">
          <cell r="F87">
            <v>11788.97</v>
          </cell>
        </row>
        <row r="88">
          <cell r="F88">
            <v>-436</v>
          </cell>
        </row>
        <row r="89">
          <cell r="F89">
            <v>61349.760000000002</v>
          </cell>
        </row>
        <row r="90">
          <cell r="F90">
            <v>24690.14</v>
          </cell>
        </row>
        <row r="91">
          <cell r="F91">
            <v>-17881.66</v>
          </cell>
        </row>
        <row r="95">
          <cell r="F95">
            <v>282442.13</v>
          </cell>
        </row>
        <row r="96">
          <cell r="F96">
            <v>37734.239999999998</v>
          </cell>
        </row>
        <row r="97">
          <cell r="F97">
            <v>59621.61</v>
          </cell>
        </row>
        <row r="98">
          <cell r="F98">
            <v>49380.28</v>
          </cell>
        </row>
        <row r="99">
          <cell r="F99">
            <v>4064.01</v>
          </cell>
        </row>
        <row r="123">
          <cell r="F123">
            <v>196171734.23339999</v>
          </cell>
        </row>
        <row r="124">
          <cell r="F124">
            <v>43877797.03329999</v>
          </cell>
        </row>
        <row r="125">
          <cell r="F125">
            <v>86408118.883999988</v>
          </cell>
        </row>
        <row r="126">
          <cell r="F126">
            <v>137167450.23320001</v>
          </cell>
        </row>
        <row r="127">
          <cell r="F127">
            <v>40640141.118799999</v>
          </cell>
        </row>
      </sheetData>
      <sheetData sheetId="18">
        <row r="43">
          <cell r="F43">
            <v>83.43</v>
          </cell>
        </row>
        <row r="44">
          <cell r="F44">
            <v>-0.09</v>
          </cell>
        </row>
        <row r="45">
          <cell r="F45">
            <v>0</v>
          </cell>
        </row>
        <row r="46">
          <cell r="F46">
            <v>0</v>
          </cell>
        </row>
        <row r="47">
          <cell r="F47">
            <v>2298.12</v>
          </cell>
        </row>
        <row r="52">
          <cell r="F52">
            <v>27963.02</v>
          </cell>
        </row>
        <row r="53">
          <cell r="F53">
            <v>-10208.57</v>
          </cell>
        </row>
        <row r="54">
          <cell r="F54">
            <v>-16534.91</v>
          </cell>
        </row>
        <row r="55">
          <cell r="F55">
            <v>-20743.22</v>
          </cell>
        </row>
        <row r="56">
          <cell r="F56">
            <v>-4014.8300000000004</v>
          </cell>
        </row>
        <row r="61">
          <cell r="F61">
            <v>352110.70999999996</v>
          </cell>
        </row>
        <row r="62">
          <cell r="F62">
            <v>69842.039999999994</v>
          </cell>
        </row>
        <row r="63">
          <cell r="F63">
            <v>110563.88</v>
          </cell>
        </row>
        <row r="64">
          <cell r="F64">
            <v>105298.97</v>
          </cell>
        </row>
        <row r="65">
          <cell r="F65">
            <v>11202.41</v>
          </cell>
        </row>
        <row r="70">
          <cell r="F70">
            <v>108985.7</v>
          </cell>
        </row>
        <row r="71">
          <cell r="F71">
            <v>26846.71</v>
          </cell>
        </row>
        <row r="72">
          <cell r="F72">
            <v>120834.77</v>
          </cell>
        </row>
        <row r="73">
          <cell r="F73">
            <v>127569.48</v>
          </cell>
        </row>
        <row r="74">
          <cell r="F74">
            <v>31437.62</v>
          </cell>
        </row>
        <row r="79">
          <cell r="F79">
            <v>768375.45</v>
          </cell>
        </row>
        <row r="80">
          <cell r="F80">
            <v>113300.81999999999</v>
          </cell>
        </row>
        <row r="81">
          <cell r="F81">
            <v>193129.08</v>
          </cell>
        </row>
        <row r="82">
          <cell r="F82">
            <v>310950.58</v>
          </cell>
        </row>
        <row r="83">
          <cell r="F83">
            <v>101397.39</v>
          </cell>
        </row>
        <row r="87">
          <cell r="F87">
            <v>16780.64</v>
          </cell>
        </row>
        <row r="88">
          <cell r="F88">
            <v>-539.66</v>
          </cell>
        </row>
        <row r="89">
          <cell r="F89">
            <v>73327.09</v>
          </cell>
        </row>
        <row r="90">
          <cell r="F90">
            <v>28703.13</v>
          </cell>
        </row>
        <row r="91">
          <cell r="F91">
            <v>-19482.47</v>
          </cell>
        </row>
        <row r="95">
          <cell r="F95">
            <v>402317.68</v>
          </cell>
        </row>
        <row r="96">
          <cell r="F96">
            <v>46179.41</v>
          </cell>
        </row>
        <row r="97">
          <cell r="F97">
            <v>71261.53</v>
          </cell>
        </row>
        <row r="98">
          <cell r="F98">
            <v>57406.26</v>
          </cell>
        </row>
        <row r="99">
          <cell r="F99">
            <v>4427.83</v>
          </cell>
        </row>
        <row r="123">
          <cell r="F123">
            <v>279414551.53509992</v>
          </cell>
        </row>
        <row r="124">
          <cell r="F124">
            <v>53696775.105300002</v>
          </cell>
        </row>
        <row r="125">
          <cell r="F125">
            <v>103277584.3792</v>
          </cell>
        </row>
        <row r="126">
          <cell r="F126">
            <v>159461837.919</v>
          </cell>
        </row>
        <row r="127">
          <cell r="F127">
            <v>44278338.182700001</v>
          </cell>
        </row>
      </sheetData>
      <sheetData sheetId="19">
        <row r="38">
          <cell r="F38">
            <v>-2349.2600000000002</v>
          </cell>
        </row>
        <row r="39">
          <cell r="F39">
            <v>-8158.6900000000005</v>
          </cell>
        </row>
        <row r="43">
          <cell r="F43">
            <v>143.58000000000001</v>
          </cell>
        </row>
        <row r="44">
          <cell r="F44">
            <v>0.79999999999999993</v>
          </cell>
        </row>
        <row r="45">
          <cell r="F45">
            <v>0</v>
          </cell>
        </row>
        <row r="46">
          <cell r="F46">
            <v>-0.56999999999999995</v>
          </cell>
        </row>
        <row r="47">
          <cell r="F47">
            <v>1300.6300000000001</v>
          </cell>
        </row>
        <row r="52">
          <cell r="F52">
            <v>24154.690000000002</v>
          </cell>
        </row>
        <row r="53">
          <cell r="F53">
            <v>-7302.84</v>
          </cell>
        </row>
        <row r="54">
          <cell r="F54">
            <v>-11832.66</v>
          </cell>
        </row>
        <row r="55">
          <cell r="F55">
            <v>-13453.440000000002</v>
          </cell>
        </row>
        <row r="56">
          <cell r="F56">
            <v>-3092.7200000000003</v>
          </cell>
        </row>
        <row r="61">
          <cell r="F61">
            <v>303128.51</v>
          </cell>
        </row>
        <row r="62">
          <cell r="F62">
            <v>56359.31</v>
          </cell>
        </row>
        <row r="63">
          <cell r="F63">
            <v>93536.65</v>
          </cell>
        </row>
        <row r="64">
          <cell r="F64">
            <v>82992.800000000003</v>
          </cell>
        </row>
        <row r="65">
          <cell r="F65">
            <v>10201.36</v>
          </cell>
        </row>
        <row r="70">
          <cell r="F70">
            <v>79600.98000000001</v>
          </cell>
        </row>
        <row r="71">
          <cell r="F71">
            <v>17382.47</v>
          </cell>
        </row>
        <row r="72">
          <cell r="F72">
            <v>112723.79</v>
          </cell>
        </row>
        <row r="73">
          <cell r="F73">
            <v>110655.08</v>
          </cell>
        </row>
        <row r="74">
          <cell r="F74">
            <v>32983.86</v>
          </cell>
        </row>
        <row r="79">
          <cell r="F79">
            <v>896142.69</v>
          </cell>
        </row>
        <row r="80">
          <cell r="F80">
            <v>112102.82</v>
          </cell>
        </row>
        <row r="81">
          <cell r="F81">
            <v>207244.46</v>
          </cell>
        </row>
        <row r="82">
          <cell r="F82">
            <v>318398.46000000002</v>
          </cell>
        </row>
        <row r="83">
          <cell r="F83">
            <v>113216.77</v>
          </cell>
        </row>
        <row r="87">
          <cell r="F87">
            <v>-13365.95</v>
          </cell>
        </row>
        <row r="88">
          <cell r="F88">
            <v>-12693.7</v>
          </cell>
        </row>
        <row r="89">
          <cell r="F89">
            <v>70646.960000000006</v>
          </cell>
        </row>
        <row r="90">
          <cell r="F90">
            <v>25840.91</v>
          </cell>
        </row>
        <row r="91">
          <cell r="F91">
            <v>-26295.5</v>
          </cell>
        </row>
        <row r="95">
          <cell r="F95">
            <v>471652.81</v>
          </cell>
        </row>
        <row r="96">
          <cell r="F96">
            <v>44792.86</v>
          </cell>
        </row>
        <row r="97">
          <cell r="F97">
            <v>82264.23</v>
          </cell>
        </row>
        <row r="98">
          <cell r="F98">
            <v>66179.34</v>
          </cell>
        </row>
        <row r="99">
          <cell r="F99">
            <v>4967.6899999999996</v>
          </cell>
        </row>
        <row r="123">
          <cell r="F123">
            <v>295182650.73329997</v>
          </cell>
        </row>
        <row r="124">
          <cell r="F124">
            <v>56153495.013299994</v>
          </cell>
        </row>
        <row r="125">
          <cell r="F125">
            <v>105609261.8351</v>
          </cell>
        </row>
        <row r="126">
          <cell r="F126">
            <v>156439272.3057</v>
          </cell>
        </row>
        <row r="127">
          <cell r="F127">
            <v>47412812.01919999</v>
          </cell>
        </row>
      </sheetData>
      <sheetData sheetId="20">
        <row r="43">
          <cell r="F43">
            <v>152.18</v>
          </cell>
        </row>
        <row r="44">
          <cell r="F44">
            <v>7.0000000000000007E-2</v>
          </cell>
        </row>
        <row r="45">
          <cell r="F45">
            <v>0</v>
          </cell>
        </row>
        <row r="46">
          <cell r="F46">
            <v>0</v>
          </cell>
        </row>
        <row r="47">
          <cell r="F47">
            <v>1485.95</v>
          </cell>
        </row>
        <row r="52">
          <cell r="F52">
            <v>9002.24</v>
          </cell>
        </row>
        <row r="53">
          <cell r="F53">
            <v>-3907.18</v>
          </cell>
        </row>
        <row r="54">
          <cell r="F54">
            <v>-10891.18</v>
          </cell>
        </row>
        <row r="55">
          <cell r="F55">
            <v>-11714.789999999999</v>
          </cell>
        </row>
        <row r="56">
          <cell r="F56">
            <v>-2723.36</v>
          </cell>
        </row>
        <row r="61">
          <cell r="F61">
            <v>189464.56</v>
          </cell>
        </row>
        <row r="62">
          <cell r="F62">
            <v>23524.01</v>
          </cell>
        </row>
        <row r="63">
          <cell r="F63">
            <v>57776.59</v>
          </cell>
        </row>
        <row r="64">
          <cell r="F64">
            <v>52154.06</v>
          </cell>
        </row>
        <row r="65">
          <cell r="F65">
            <v>5540.41</v>
          </cell>
        </row>
        <row r="70">
          <cell r="F70">
            <v>21114.33</v>
          </cell>
        </row>
        <row r="71">
          <cell r="F71">
            <v>-2596.7399999999998</v>
          </cell>
        </row>
        <row r="72">
          <cell r="F72">
            <v>94662.62</v>
          </cell>
        </row>
        <row r="73">
          <cell r="F73">
            <v>91287.58</v>
          </cell>
        </row>
        <row r="74">
          <cell r="F74">
            <v>34897.919999999998</v>
          </cell>
        </row>
        <row r="79">
          <cell r="F79">
            <v>1032521.6</v>
          </cell>
        </row>
        <row r="80">
          <cell r="F80">
            <v>94283.7</v>
          </cell>
        </row>
        <row r="81">
          <cell r="F81">
            <v>232604.44</v>
          </cell>
        </row>
        <row r="82">
          <cell r="F82">
            <v>357853.8</v>
          </cell>
        </row>
        <row r="83">
          <cell r="F83">
            <v>144765.22</v>
          </cell>
        </row>
        <row r="87">
          <cell r="F87">
            <v>-64349.42</v>
          </cell>
        </row>
        <row r="88">
          <cell r="F88">
            <v>-33479.43</v>
          </cell>
        </row>
        <row r="89">
          <cell r="F89">
            <v>64176.3</v>
          </cell>
        </row>
        <row r="90">
          <cell r="F90">
            <v>23159.85</v>
          </cell>
        </row>
        <row r="91">
          <cell r="F91">
            <v>-49226.57</v>
          </cell>
        </row>
        <row r="95">
          <cell r="F95">
            <v>547077.56999999995</v>
          </cell>
        </row>
        <row r="96">
          <cell r="F96">
            <v>35990.5</v>
          </cell>
        </row>
        <row r="97">
          <cell r="F97">
            <v>103225.08</v>
          </cell>
        </row>
        <row r="98">
          <cell r="F98">
            <v>86629.54</v>
          </cell>
        </row>
        <row r="99">
          <cell r="F99">
            <v>6433.48</v>
          </cell>
        </row>
        <row r="123">
          <cell r="F123">
            <v>294496035.16650015</v>
          </cell>
        </row>
        <row r="124">
          <cell r="F124">
            <v>52890855.771599993</v>
          </cell>
        </row>
        <row r="125">
          <cell r="F125">
            <v>108724188.08940001</v>
          </cell>
        </row>
        <row r="126">
          <cell r="F126">
            <v>164496787.10320002</v>
          </cell>
        </row>
        <row r="127">
          <cell r="F127">
            <v>53661747.1633</v>
          </cell>
        </row>
      </sheetData>
      <sheetData sheetId="21">
        <row r="43">
          <cell r="F43">
            <v>120.8</v>
          </cell>
        </row>
        <row r="44">
          <cell r="F44">
            <v>7.49</v>
          </cell>
        </row>
        <row r="45">
          <cell r="F45">
            <v>2.4000000000000004</v>
          </cell>
        </row>
        <row r="46">
          <cell r="F46">
            <v>0</v>
          </cell>
        </row>
        <row r="47">
          <cell r="F47">
            <v>199.25</v>
          </cell>
        </row>
        <row r="52">
          <cell r="F52">
            <v>6197.53</v>
          </cell>
        </row>
        <row r="53">
          <cell r="F53">
            <v>-3566.3</v>
          </cell>
        </row>
        <row r="54">
          <cell r="F54">
            <v>-9774.5300000000007</v>
          </cell>
        </row>
        <row r="55">
          <cell r="F55">
            <v>-10488.39</v>
          </cell>
        </row>
        <row r="56">
          <cell r="F56">
            <v>-2063.5500000000002</v>
          </cell>
        </row>
        <row r="61">
          <cell r="F61">
            <v>130971.56</v>
          </cell>
        </row>
        <row r="62">
          <cell r="F62">
            <v>21748.959999999999</v>
          </cell>
        </row>
        <row r="63">
          <cell r="F63">
            <v>51840.27</v>
          </cell>
        </row>
        <row r="64">
          <cell r="F64">
            <v>46425.45</v>
          </cell>
        </row>
        <row r="65">
          <cell r="F65">
            <v>4139.58</v>
          </cell>
        </row>
        <row r="70">
          <cell r="F70">
            <v>14375.81</v>
          </cell>
        </row>
        <row r="71">
          <cell r="F71">
            <v>-1667.62</v>
          </cell>
        </row>
        <row r="72">
          <cell r="F72">
            <v>84664.51</v>
          </cell>
        </row>
        <row r="73">
          <cell r="F73">
            <v>82467.509999999995</v>
          </cell>
        </row>
        <row r="74">
          <cell r="F74">
            <v>26764.78</v>
          </cell>
        </row>
        <row r="79">
          <cell r="F79">
            <v>717421.6</v>
          </cell>
        </row>
        <row r="80">
          <cell r="F80">
            <v>83215.23</v>
          </cell>
        </row>
        <row r="81">
          <cell r="F81">
            <v>207663.66</v>
          </cell>
        </row>
        <row r="82">
          <cell r="F82">
            <v>327205.14</v>
          </cell>
        </row>
        <row r="83">
          <cell r="F83">
            <v>111176.79</v>
          </cell>
        </row>
        <row r="87">
          <cell r="F87">
            <v>-44921.75</v>
          </cell>
        </row>
        <row r="88">
          <cell r="F88">
            <v>-28731.73</v>
          </cell>
        </row>
        <row r="89">
          <cell r="F89">
            <v>57258.52</v>
          </cell>
        </row>
        <row r="90">
          <cell r="F90">
            <v>20998.19</v>
          </cell>
        </row>
        <row r="91">
          <cell r="F91">
            <v>-37882.46</v>
          </cell>
        </row>
        <row r="95">
          <cell r="F95">
            <v>380134.54</v>
          </cell>
        </row>
        <row r="96">
          <cell r="F96">
            <v>31834.25</v>
          </cell>
        </row>
        <row r="97">
          <cell r="F97">
            <v>92025.58</v>
          </cell>
        </row>
        <row r="98">
          <cell r="F98">
            <v>79581.08</v>
          </cell>
        </row>
        <row r="99">
          <cell r="F99">
            <v>4941.1899999999996</v>
          </cell>
        </row>
        <row r="123">
          <cell r="F123">
            <v>204427223.35170001</v>
          </cell>
        </row>
        <row r="124">
          <cell r="F124">
            <v>46427685.345600002</v>
          </cell>
        </row>
        <row r="125">
          <cell r="F125">
            <v>97146018.783299997</v>
          </cell>
        </row>
        <row r="126">
          <cell r="F126">
            <v>150065248.4544</v>
          </cell>
        </row>
        <row r="127">
          <cell r="F127">
            <v>41176589.553999998</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y 2021"/>
      <sheetName val="June 2021"/>
      <sheetName val="July 2021"/>
      <sheetName val="Aug 2021"/>
      <sheetName val="Sept 2021"/>
      <sheetName val="Oct 2021"/>
    </sheetNames>
    <sheetDataSet>
      <sheetData sheetId="0">
        <row r="51">
          <cell r="F51">
            <v>9.1374999999999996E-4</v>
          </cell>
        </row>
      </sheetData>
      <sheetData sheetId="1">
        <row r="50">
          <cell r="F50">
            <v>9.0538999999999995E-4</v>
          </cell>
        </row>
      </sheetData>
      <sheetData sheetId="2">
        <row r="52">
          <cell r="F52">
            <v>9.1118000000000004E-4</v>
          </cell>
        </row>
      </sheetData>
      <sheetData sheetId="3">
        <row r="52">
          <cell r="F52">
            <v>9.0817999999999997E-4</v>
          </cell>
        </row>
      </sheetData>
      <sheetData sheetId="4">
        <row r="51">
          <cell r="F51">
            <v>9.0315999999999997E-4</v>
          </cell>
        </row>
      </sheetData>
      <sheetData sheetId="5">
        <row r="43">
          <cell r="E43">
            <v>9.0388000000000003E-4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52021 06072021"/>
      <sheetName val="Input"/>
      <sheetName val="Program Descriptions"/>
    </sheetNames>
    <sheetDataSet>
      <sheetData sheetId="0">
        <row r="30">
          <cell r="N30">
            <v>1111532.8600000001</v>
          </cell>
          <cell r="O30">
            <v>54899.66</v>
          </cell>
          <cell r="P30">
            <v>151844.28000000003</v>
          </cell>
          <cell r="Q30">
            <v>264001.49</v>
          </cell>
          <cell r="R30">
            <v>31930.80999999995</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62021 07082021"/>
      <sheetName val="Input"/>
      <sheetName val="Program Descriptions"/>
    </sheetNames>
    <sheetDataSet>
      <sheetData sheetId="0">
        <row r="30">
          <cell r="N30">
            <v>750988.09000000008</v>
          </cell>
          <cell r="O30">
            <v>47235.880000000005</v>
          </cell>
          <cell r="P30">
            <v>125789.69000000002</v>
          </cell>
          <cell r="Q30">
            <v>593747.43000000005</v>
          </cell>
          <cell r="R30">
            <v>31688.449999999972</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72021 08062021"/>
      <sheetName val="Input"/>
      <sheetName val="Program Descriptions"/>
    </sheetNames>
    <sheetDataSet>
      <sheetData sheetId="0">
        <row r="30">
          <cell r="N30">
            <v>818386.19000000006</v>
          </cell>
          <cell r="O30">
            <v>55891.409999999996</v>
          </cell>
          <cell r="P30">
            <v>306792.95000000007</v>
          </cell>
          <cell r="Q30">
            <v>98816.669999999984</v>
          </cell>
          <cell r="R30">
            <v>26052.560000000045</v>
          </cell>
        </row>
      </sheetData>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82021 09082021"/>
      <sheetName val="Input"/>
      <sheetName val="Program Descriptions"/>
    </sheetNames>
    <sheetDataSet>
      <sheetData sheetId="0">
        <row r="30">
          <cell r="N30">
            <v>452728.93000000005</v>
          </cell>
          <cell r="O30">
            <v>67897.73000000001</v>
          </cell>
          <cell r="P30">
            <v>194607.74999999997</v>
          </cell>
          <cell r="Q30">
            <v>105534.34</v>
          </cell>
          <cell r="R30">
            <v>24332.92</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7"/>
  <sheetViews>
    <sheetView tabSelected="1" workbookViewId="0">
      <pane xSplit="2" ySplit="3" topLeftCell="C4" activePane="bottomRight" state="frozen"/>
      <selection pane="topRight" activeCell="C1" sqref="C1"/>
      <selection pane="bottomLeft" activeCell="A4" sqref="A4"/>
      <selection pane="bottomRight"/>
    </sheetView>
  </sheetViews>
  <sheetFormatPr defaultRowHeight="14.5" outlineLevelCol="1" x14ac:dyDescent="0.35"/>
  <cols>
    <col min="2" max="2" width="25.1796875" customWidth="1"/>
    <col min="3" max="3" width="16" bestFit="1" customWidth="1"/>
    <col min="4" max="4" width="15.54296875" customWidth="1"/>
    <col min="5" max="5" width="14.81640625" bestFit="1" customWidth="1"/>
    <col min="6" max="6" width="11.26953125" bestFit="1" customWidth="1"/>
    <col min="7" max="7" width="18.453125" bestFit="1" customWidth="1"/>
    <col min="8" max="8" width="13.453125" customWidth="1"/>
    <col min="9" max="9" width="3.54296875" customWidth="1"/>
    <col min="10" max="10" width="13.7265625" bestFit="1" customWidth="1"/>
    <col min="11" max="11" width="12.453125" bestFit="1" customWidth="1"/>
    <col min="12" max="13" width="13.7265625" bestFit="1" customWidth="1"/>
    <col min="14" max="14" width="10.7265625" bestFit="1" customWidth="1"/>
    <col min="15" max="15" width="16" hidden="1" customWidth="1" outlineLevel="1"/>
    <col min="16" max="16" width="19.26953125" hidden="1" customWidth="1" outlineLevel="1"/>
    <col min="17" max="17" width="16" style="47" hidden="1" customWidth="1" outlineLevel="1"/>
    <col min="18" max="18" width="9.1796875" hidden="1" customWidth="1" outlineLevel="1"/>
    <col min="19" max="20" width="16" hidden="1" customWidth="1" outlineLevel="1"/>
    <col min="21" max="21" width="16" style="47" hidden="1" customWidth="1" outlineLevel="1"/>
    <col min="22" max="22" width="16" hidden="1" customWidth="1" outlineLevel="1"/>
    <col min="23" max="23" width="9.1796875" hidden="1" customWidth="1" outlineLevel="1"/>
    <col min="24" max="27" width="16" hidden="1" customWidth="1" outlineLevel="1"/>
    <col min="28" max="28" width="12" hidden="1" customWidth="1" outlineLevel="1"/>
    <col min="29" max="29" width="8.7265625" collapsed="1"/>
  </cols>
  <sheetData>
    <row r="1" spans="1:28" x14ac:dyDescent="0.35">
      <c r="A1" s="3" t="str">
        <f>+'PPC Cycle 3'!A1</f>
        <v>Evergy Metro, Inc. - DSIM Rider Update Filed 12/02/2021</v>
      </c>
    </row>
    <row r="2" spans="1:28" ht="15" thickBot="1" x14ac:dyDescent="0.4">
      <c r="H2" s="47"/>
      <c r="I2" s="47"/>
      <c r="J2" s="49"/>
      <c r="K2" s="49"/>
    </row>
    <row r="3" spans="1:28" ht="27.5" thickBot="1" x14ac:dyDescent="0.4">
      <c r="B3" s="88" t="s">
        <v>7</v>
      </c>
      <c r="C3" s="131" t="s">
        <v>19</v>
      </c>
      <c r="D3" s="131" t="s">
        <v>20</v>
      </c>
      <c r="E3" s="131" t="s">
        <v>57</v>
      </c>
      <c r="F3" s="131" t="s">
        <v>21</v>
      </c>
      <c r="G3" s="131" t="s">
        <v>38</v>
      </c>
      <c r="H3" s="90" t="s">
        <v>28</v>
      </c>
      <c r="I3" s="40"/>
      <c r="J3" s="89" t="s">
        <v>13</v>
      </c>
      <c r="K3" s="90" t="s">
        <v>56</v>
      </c>
      <c r="L3" s="90" t="s">
        <v>72</v>
      </c>
      <c r="M3" s="90" t="s">
        <v>73</v>
      </c>
    </row>
    <row r="4" spans="1:28" ht="15" thickBot="1" x14ac:dyDescent="0.4">
      <c r="B4" s="91" t="s">
        <v>24</v>
      </c>
      <c r="C4" s="129">
        <f t="shared" ref="C4:F8" si="0">C13+C22</f>
        <v>7156534.8149999985</v>
      </c>
      <c r="D4" s="130">
        <f t="shared" si="0"/>
        <v>10189264.199999999</v>
      </c>
      <c r="E4" s="130">
        <f t="shared" si="0"/>
        <v>377414.98643999995</v>
      </c>
      <c r="F4" s="130">
        <f t="shared" si="0"/>
        <v>0</v>
      </c>
      <c r="G4" s="133">
        <f>+'PPC Cycle 3'!B5</f>
        <v>2610127995</v>
      </c>
      <c r="H4" s="134">
        <f>ROUND(SUM(C4:F4)/G4,5)</f>
        <v>6.79E-3</v>
      </c>
      <c r="I4" s="135"/>
      <c r="J4" s="199">
        <f>ROUND((C13+C22)/G4,5)</f>
        <v>2.7399999999999998E-3</v>
      </c>
      <c r="K4" s="136">
        <f>ROUND((D13+D22)/G4,5)</f>
        <v>3.8999999999999998E-3</v>
      </c>
      <c r="L4" s="292">
        <f>ROUND((E13+E22)/G4,5)+0.00001</f>
        <v>1.4999999999999999E-4</v>
      </c>
      <c r="M4" s="136">
        <f>ROUND((F13+F22)/G4,5)</f>
        <v>0</v>
      </c>
      <c r="N4" s="232">
        <f>+H4-SUM(J4:M4)</f>
        <v>0</v>
      </c>
    </row>
    <row r="5" spans="1:28" ht="15" thickBot="1" x14ac:dyDescent="0.4">
      <c r="B5" s="91" t="s">
        <v>108</v>
      </c>
      <c r="C5" s="129">
        <f t="shared" si="0"/>
        <v>634756.23999999987</v>
      </c>
      <c r="D5" s="130">
        <f t="shared" si="0"/>
        <v>870785.06333000015</v>
      </c>
      <c r="E5" s="130">
        <f t="shared" si="0"/>
        <v>-52743.76999999999</v>
      </c>
      <c r="F5" s="130">
        <f t="shared" si="0"/>
        <v>0</v>
      </c>
      <c r="G5" s="133">
        <f>+'PPC Cycle 3'!B6</f>
        <v>526314553</v>
      </c>
      <c r="H5" s="134">
        <f>ROUND(SUM(C5:F5)/G5,5)</f>
        <v>2.7599999999999999E-3</v>
      </c>
      <c r="I5" s="135"/>
      <c r="J5" s="199">
        <f>ROUND((C14+C23)/G5,5)</f>
        <v>1.2099999999999999E-3</v>
      </c>
      <c r="K5" s="136">
        <f>ROUND((D14+D23)/G5,5)</f>
        <v>1.65E-3</v>
      </c>
      <c r="L5" s="136">
        <f>ROUND((E14+E23)/G5,5)</f>
        <v>-1E-4</v>
      </c>
      <c r="M5" s="136">
        <f>ROUND((F14+F23)/G5,5)</f>
        <v>0</v>
      </c>
      <c r="N5" s="232">
        <f t="shared" ref="N5:N8" si="1">+H5-SUM(J5:M5)</f>
        <v>0</v>
      </c>
      <c r="O5" s="267">
        <f>C5/SUM(C$5:C$8)</f>
        <v>7.3285637281174543E-2</v>
      </c>
      <c r="P5" s="267">
        <f t="shared" ref="P5:S8" si="2">D5/SUM(D$5:D$8)</f>
        <v>0.15342965956856397</v>
      </c>
      <c r="Q5" s="267">
        <f t="shared" si="2"/>
        <v>-2.3783017562692434E-2</v>
      </c>
      <c r="R5" s="267" t="e">
        <f t="shared" si="2"/>
        <v>#DIV/0!</v>
      </c>
      <c r="S5" s="267">
        <f t="shared" si="2"/>
        <v>0.13111303230471838</v>
      </c>
      <c r="T5" s="267"/>
    </row>
    <row r="6" spans="1:28" s="47" customFormat="1" ht="15" thickBot="1" x14ac:dyDescent="0.4">
      <c r="B6" s="91" t="s">
        <v>109</v>
      </c>
      <c r="C6" s="129">
        <f t="shared" si="0"/>
        <v>3035999.01</v>
      </c>
      <c r="D6" s="130">
        <f t="shared" si="0"/>
        <v>2312126.0827500001</v>
      </c>
      <c r="E6" s="130">
        <f t="shared" si="0"/>
        <v>931754.72000000009</v>
      </c>
      <c r="F6" s="130">
        <f t="shared" si="0"/>
        <v>0</v>
      </c>
      <c r="G6" s="133">
        <f>+'PPC Cycle 3'!B7</f>
        <v>1147270124</v>
      </c>
      <c r="H6" s="134">
        <f>ROUND(SUM(C6:F6)/G6,5)</f>
        <v>5.47E-3</v>
      </c>
      <c r="I6" s="135"/>
      <c r="J6" s="291">
        <f>ROUND((C15+C24)/G6,5)</f>
        <v>2.65E-3</v>
      </c>
      <c r="K6" s="136">
        <f>ROUND((D15+D24)/G6,5)</f>
        <v>2.0200000000000001E-3</v>
      </c>
      <c r="L6" s="136">
        <f>ROUND((E15+E24)/G6,5)-0.00001</f>
        <v>7.9999999999999993E-4</v>
      </c>
      <c r="M6" s="136">
        <f>ROUND((F15+F24)/G6,5)</f>
        <v>0</v>
      </c>
      <c r="N6" s="232">
        <f t="shared" si="1"/>
        <v>0</v>
      </c>
      <c r="O6" s="267">
        <f t="shared" ref="O6:O8" si="3">C6/SUM(C$5:C$8)</f>
        <v>0.35052057500508388</v>
      </c>
      <c r="P6" s="267">
        <f t="shared" si="2"/>
        <v>0.40738953008601536</v>
      </c>
      <c r="Q6" s="267">
        <f t="shared" si="2"/>
        <v>0.42014324857479052</v>
      </c>
      <c r="R6" s="267" t="e">
        <f t="shared" si="2"/>
        <v>#DIV/0!</v>
      </c>
      <c r="S6" s="267">
        <f t="shared" si="2"/>
        <v>0.28580259461351104</v>
      </c>
      <c r="T6" s="267"/>
    </row>
    <row r="7" spans="1:28" s="47" customFormat="1" ht="15" thickBot="1" x14ac:dyDescent="0.4">
      <c r="B7" s="91" t="s">
        <v>110</v>
      </c>
      <c r="C7" s="129">
        <f t="shared" si="0"/>
        <v>4071022.42</v>
      </c>
      <c r="D7" s="130">
        <f t="shared" si="0"/>
        <v>2306381.8799100001</v>
      </c>
      <c r="E7" s="130">
        <f t="shared" si="0"/>
        <v>1013985.8799999999</v>
      </c>
      <c r="F7" s="130">
        <f t="shared" si="0"/>
        <v>0</v>
      </c>
      <c r="G7" s="133">
        <f>+'PPC Cycle 3'!B8</f>
        <v>1818101982</v>
      </c>
      <c r="H7" s="134">
        <f>ROUND(SUM(C7:F7)/G7,5)</f>
        <v>4.0699999999999998E-3</v>
      </c>
      <c r="I7" s="135"/>
      <c r="J7" s="291">
        <f>ROUND((C16+C25)/G7,5)</f>
        <v>2.2399999999999998E-3</v>
      </c>
      <c r="K7" s="136">
        <f>ROUND((D16+D25)/G7,5)</f>
        <v>1.2700000000000001E-3</v>
      </c>
      <c r="L7" s="292">
        <f>ROUND((E16+E25)/G7,5)</f>
        <v>5.5999999999999995E-4</v>
      </c>
      <c r="M7" s="136">
        <f>ROUND((F16+F25)/G7,5)</f>
        <v>0</v>
      </c>
      <c r="N7" s="232">
        <f t="shared" si="1"/>
        <v>0</v>
      </c>
      <c r="O7" s="267">
        <f t="shared" si="3"/>
        <v>0.47001896733720877</v>
      </c>
      <c r="P7" s="267">
        <f t="shared" si="2"/>
        <v>0.40637741914917447</v>
      </c>
      <c r="Q7" s="267">
        <f t="shared" si="2"/>
        <v>0.45722260643033569</v>
      </c>
      <c r="R7" s="267" t="e">
        <f t="shared" si="2"/>
        <v>#DIV/0!</v>
      </c>
      <c r="S7" s="267">
        <f t="shared" si="2"/>
        <v>0.45291710544670905</v>
      </c>
      <c r="T7" s="267"/>
    </row>
    <row r="8" spans="1:28" s="47" customFormat="1" ht="15" thickBot="1" x14ac:dyDescent="0.4">
      <c r="B8" s="91" t="s">
        <v>111</v>
      </c>
      <c r="C8" s="129">
        <f t="shared" si="0"/>
        <v>919622.62000000011</v>
      </c>
      <c r="D8" s="130">
        <f t="shared" si="0"/>
        <v>186174.58424000003</v>
      </c>
      <c r="E8" s="130">
        <f t="shared" si="0"/>
        <v>324710.40000000002</v>
      </c>
      <c r="F8" s="130">
        <f t="shared" si="0"/>
        <v>0</v>
      </c>
      <c r="G8" s="133">
        <f>+'PPC Cycle 3'!B9</f>
        <v>522518060</v>
      </c>
      <c r="H8" s="134">
        <f>ROUND(SUM(C8:F8)/G8,5)</f>
        <v>2.7399999999999998E-3</v>
      </c>
      <c r="I8" s="135"/>
      <c r="J8" s="199">
        <f>ROUND((C17+C26)/G8,5)</f>
        <v>1.7600000000000001E-3</v>
      </c>
      <c r="K8" s="136">
        <f>ROUND((D17+D26)/G8,5)</f>
        <v>3.6000000000000002E-4</v>
      </c>
      <c r="L8" s="268">
        <f>ROUND((E17+E26)/G8,5)</f>
        <v>6.2E-4</v>
      </c>
      <c r="M8" s="136">
        <f>ROUND((F17+F26)/G8,5)</f>
        <v>0</v>
      </c>
      <c r="N8" s="232">
        <f t="shared" si="1"/>
        <v>0</v>
      </c>
      <c r="O8" s="267">
        <f t="shared" si="3"/>
        <v>0.10617482037653293</v>
      </c>
      <c r="P8" s="267">
        <f t="shared" si="2"/>
        <v>3.280339119624634E-2</v>
      </c>
      <c r="Q8" s="267">
        <f t="shared" si="2"/>
        <v>0.14641716255756629</v>
      </c>
      <c r="R8" s="267" t="e">
        <f t="shared" si="2"/>
        <v>#DIV/0!</v>
      </c>
      <c r="S8" s="267">
        <f t="shared" si="2"/>
        <v>0.13016726763506153</v>
      </c>
      <c r="T8" s="267"/>
    </row>
    <row r="9" spans="1:28" x14ac:dyDescent="0.35">
      <c r="C9" s="128"/>
      <c r="D9" s="128"/>
      <c r="E9" s="128"/>
      <c r="F9" s="128"/>
      <c r="G9" s="127"/>
    </row>
    <row r="10" spans="1:28" x14ac:dyDescent="0.35">
      <c r="C10" s="128"/>
      <c r="D10" s="128"/>
      <c r="E10" s="128"/>
      <c r="F10" s="128"/>
      <c r="G10" s="127"/>
      <c r="H10" s="286"/>
      <c r="I10" s="152"/>
      <c r="J10" s="286"/>
      <c r="K10" s="286"/>
      <c r="L10" s="286"/>
      <c r="M10" s="286"/>
    </row>
    <row r="11" spans="1:28" ht="15" thickBot="1" x14ac:dyDescent="0.4">
      <c r="C11" s="128"/>
      <c r="D11" s="128"/>
      <c r="E11" s="128"/>
      <c r="F11" s="128"/>
      <c r="G11" s="127"/>
      <c r="H11" s="287"/>
      <c r="I11" s="288"/>
      <c r="J11" s="287"/>
      <c r="K11" s="287"/>
      <c r="L11" s="287"/>
      <c r="M11" s="287"/>
    </row>
    <row r="12" spans="1:28" ht="15" thickBot="1" x14ac:dyDescent="0.4">
      <c r="B12" s="88" t="s">
        <v>7</v>
      </c>
      <c r="C12" s="132" t="s">
        <v>6</v>
      </c>
      <c r="D12" s="132" t="s">
        <v>16</v>
      </c>
      <c r="E12" s="132" t="s">
        <v>58</v>
      </c>
      <c r="F12" s="132" t="s">
        <v>17</v>
      </c>
      <c r="G12" s="127"/>
      <c r="H12" s="287"/>
      <c r="I12" s="288"/>
      <c r="J12" s="287"/>
      <c r="K12" s="287"/>
      <c r="L12" s="287"/>
      <c r="M12" s="287"/>
      <c r="O12" s="132" t="s">
        <v>74</v>
      </c>
      <c r="P12" s="132" t="s">
        <v>75</v>
      </c>
      <c r="Q12" s="132" t="s">
        <v>82</v>
      </c>
      <c r="R12" s="47"/>
      <c r="S12" s="132" t="s">
        <v>76</v>
      </c>
      <c r="T12" s="132" t="s">
        <v>77</v>
      </c>
      <c r="U12" s="132" t="s">
        <v>104</v>
      </c>
      <c r="V12" s="132" t="s">
        <v>94</v>
      </c>
      <c r="X12" s="132" t="s">
        <v>116</v>
      </c>
      <c r="Y12" s="132" t="s">
        <v>117</v>
      </c>
      <c r="Z12" s="132" t="s">
        <v>118</v>
      </c>
      <c r="AA12" s="132" t="s">
        <v>119</v>
      </c>
    </row>
    <row r="13" spans="1:28" ht="15" thickBot="1" x14ac:dyDescent="0.4">
      <c r="B13" s="91" t="s">
        <v>24</v>
      </c>
      <c r="C13" s="130">
        <f>+'PPC Cycle 3'!C5</f>
        <v>7799480.1699999999</v>
      </c>
      <c r="D13" s="130">
        <f>'PTD Cycle 2'!C6+'PTD Cycle 3'!C6</f>
        <v>9013253.8599999994</v>
      </c>
      <c r="E13" s="130">
        <f>+'EO Cycle 2'!G7+'EO Cycle 3'!G7</f>
        <v>170670.67000000004</v>
      </c>
      <c r="F13" s="129">
        <f>+'OA Cycle 2'!F8</f>
        <v>0</v>
      </c>
      <c r="G13" s="127"/>
      <c r="H13" s="287"/>
      <c r="I13" s="288"/>
      <c r="J13" s="287"/>
      <c r="K13" s="287"/>
      <c r="L13" s="287"/>
      <c r="M13" s="287"/>
      <c r="O13" s="186">
        <v>0</v>
      </c>
      <c r="P13" s="186">
        <v>0</v>
      </c>
      <c r="Q13" s="231">
        <v>0</v>
      </c>
      <c r="R13" s="160"/>
      <c r="S13" s="159">
        <v>0</v>
      </c>
      <c r="T13" s="159">
        <f>ROUND(+'PTD Cycle 2'!C6/'tariff tables'!G4,5)</f>
        <v>1.0300000000000001E-3</v>
      </c>
      <c r="U13" s="159">
        <f>ROUND('EO Cycle 2'!G7/'tariff tables'!G4,5)</f>
        <v>-2.1000000000000001E-4</v>
      </c>
      <c r="V13" s="159">
        <f>ROUND('OA Cycle 2'!F8/'tariff tables'!G4,5)</f>
        <v>0</v>
      </c>
      <c r="X13" s="159">
        <f>ROUND('PPC Cycle 3'!C5/'tariff tables'!$G4,5)</f>
        <v>2.99E-3</v>
      </c>
      <c r="Y13" s="159">
        <f>ROUND('PTD Cycle 3'!C6/'tariff tables'!G4,5)</f>
        <v>2.4199999999999998E-3</v>
      </c>
      <c r="Z13" s="159">
        <f>ROUND('EO Cycle 3'!G7/'tariff tables'!G4,5)</f>
        <v>2.7999999999999998E-4</v>
      </c>
      <c r="AA13" s="159">
        <f>ROUND(0/'tariff tables'!G4,5)</f>
        <v>0</v>
      </c>
      <c r="AB13" s="160">
        <f>SUM(O13:AA13,O22:AA22)</f>
        <v>6.7899999999999992E-3</v>
      </c>
    </row>
    <row r="14" spans="1:28" ht="15" thickBot="1" x14ac:dyDescent="0.4">
      <c r="B14" s="91" t="s">
        <v>108</v>
      </c>
      <c r="C14" s="130">
        <f>+'PPC Cycle 3'!C6</f>
        <v>1032901.83</v>
      </c>
      <c r="D14" s="130">
        <f>'PTD Cycle 2'!C10+'PTD Cycle 3'!C7</f>
        <v>986730.08000000007</v>
      </c>
      <c r="E14" s="130">
        <f>+'EO Cycle 2'!G11+'EO Cycle 3'!G11</f>
        <v>-121472.79</v>
      </c>
      <c r="F14" s="129">
        <f>+'OA Cycle 2'!D13</f>
        <v>0</v>
      </c>
      <c r="G14" s="127"/>
      <c r="H14" s="287"/>
      <c r="I14" s="288"/>
      <c r="J14" s="289"/>
      <c r="K14" s="287"/>
      <c r="L14" s="287"/>
      <c r="M14" s="287"/>
      <c r="O14" s="186">
        <v>0</v>
      </c>
      <c r="P14" s="186">
        <v>0</v>
      </c>
      <c r="Q14" s="231">
        <v>0</v>
      </c>
      <c r="R14" s="160"/>
      <c r="S14" s="159">
        <v>0</v>
      </c>
      <c r="T14" s="186">
        <f>ROUND(+'PTD Cycle 2'!C10/'tariff tables'!G5,5)</f>
        <v>8.8999999999999995E-4</v>
      </c>
      <c r="U14" s="293">
        <f>ROUND('EO Cycle 2'!G11/'tariff tables'!G5,5)</f>
        <v>-4.0000000000000002E-4</v>
      </c>
      <c r="V14" s="186">
        <f>ROUND('OA Cycle 2'!D13/'tariff tables'!G5,5)</f>
        <v>0</v>
      </c>
      <c r="X14" s="159">
        <f>ROUND('PPC Cycle 3'!C6/'tariff tables'!$G5,5)</f>
        <v>1.9599999999999999E-3</v>
      </c>
      <c r="Y14" s="159">
        <f>ROUND('PTD Cycle 3'!C7/'tariff tables'!G5,5)</f>
        <v>9.8999999999999999E-4</v>
      </c>
      <c r="Z14" s="159">
        <f>ROUND('EO Cycle 3'!G11/'tariff tables'!G5,5)</f>
        <v>1.7000000000000001E-4</v>
      </c>
      <c r="AA14" s="159">
        <f>ROUND(0/'tariff tables'!G5,5)</f>
        <v>0</v>
      </c>
      <c r="AB14" s="160">
        <f t="shared" ref="AB14:AB17" si="4">SUM(O14:AA14,O23:AA23)</f>
        <v>2.7599999999999994E-3</v>
      </c>
    </row>
    <row r="15" spans="1:28" s="47" customFormat="1" ht="15" thickBot="1" x14ac:dyDescent="0.4">
      <c r="B15" s="91" t="s">
        <v>109</v>
      </c>
      <c r="C15" s="130">
        <f>+'PPC Cycle 3'!C7</f>
        <v>2716182.5</v>
      </c>
      <c r="D15" s="130">
        <f>'PTD Cycle 2'!C11+'PTD Cycle 3'!C8</f>
        <v>2228075.15</v>
      </c>
      <c r="E15" s="130">
        <f>+'EO Cycle 2'!G12+'EO Cycle 3'!G12</f>
        <v>751475.62000000011</v>
      </c>
      <c r="F15" s="129">
        <f>+'OA Cycle 2'!D14</f>
        <v>0</v>
      </c>
      <c r="G15" s="127"/>
      <c r="H15" s="287"/>
      <c r="I15" s="288"/>
      <c r="J15" s="287"/>
      <c r="K15" s="287"/>
      <c r="L15" s="290"/>
      <c r="M15" s="287"/>
      <c r="O15" s="186">
        <v>0</v>
      </c>
      <c r="P15" s="186">
        <v>0</v>
      </c>
      <c r="Q15" s="231">
        <v>0</v>
      </c>
      <c r="R15" s="160"/>
      <c r="S15" s="159">
        <v>0</v>
      </c>
      <c r="T15" s="186">
        <f>ROUND(+'PTD Cycle 2'!C11/'tariff tables'!G6,5)</f>
        <v>9.6000000000000002E-4</v>
      </c>
      <c r="U15" s="231">
        <f>ROUND('EO Cycle 2'!G12/'tariff tables'!G6,5)-0.00001</f>
        <v>3.6999999999999999E-4</v>
      </c>
      <c r="V15" s="186">
        <f>ROUND('OA Cycle 2'!D14/'tariff tables'!G6,5)</f>
        <v>0</v>
      </c>
      <c r="X15" s="159">
        <f>ROUND('PPC Cycle 3'!C7/'tariff tables'!$G6,5)</f>
        <v>2.3700000000000001E-3</v>
      </c>
      <c r="Y15" s="159">
        <f>ROUND('PTD Cycle 3'!C8/'tariff tables'!G6,5)</f>
        <v>9.8999999999999999E-4</v>
      </c>
      <c r="Z15" s="282">
        <f>ROUND('EO Cycle 3'!G12/'tariff tables'!G6,5)-0.00001</f>
        <v>2.6999999999999995E-4</v>
      </c>
      <c r="AA15" s="159">
        <f>ROUND(0/'tariff tables'!G6,5)</f>
        <v>0</v>
      </c>
      <c r="AB15" s="160">
        <f t="shared" si="4"/>
        <v>5.47E-3</v>
      </c>
    </row>
    <row r="16" spans="1:28" s="47" customFormat="1" ht="15" thickBot="1" x14ac:dyDescent="0.4">
      <c r="B16" s="91" t="s">
        <v>110</v>
      </c>
      <c r="C16" s="130">
        <f>+'PPC Cycle 3'!C8</f>
        <v>4404512.22</v>
      </c>
      <c r="D16" s="130">
        <f>'PTD Cycle 2'!C12+'PTD Cycle 3'!C9</f>
        <v>2170486.5</v>
      </c>
      <c r="E16" s="130">
        <f>+'EO Cycle 2'!G13+'EO Cycle 3'!G13</f>
        <v>802217.37999999989</v>
      </c>
      <c r="F16" s="129">
        <f>+'OA Cycle 2'!D15</f>
        <v>0</v>
      </c>
      <c r="G16" s="127"/>
      <c r="H16" s="17"/>
      <c r="I16" s="17"/>
      <c r="J16" s="157"/>
      <c r="K16" s="17"/>
      <c r="L16" s="17"/>
      <c r="M16" s="17"/>
      <c r="O16" s="186">
        <v>0</v>
      </c>
      <c r="P16" s="186">
        <v>0</v>
      </c>
      <c r="Q16" s="248">
        <v>0</v>
      </c>
      <c r="R16" s="249"/>
      <c r="S16" s="193">
        <v>0</v>
      </c>
      <c r="T16" s="250">
        <f>ROUND(+'PTD Cycle 2'!C12/'tariff tables'!G7,5)</f>
        <v>5.5999999999999995E-4</v>
      </c>
      <c r="U16" s="248">
        <f>ROUND('EO Cycle 2'!G13/'tariff tables'!G7,5)</f>
        <v>2.1000000000000001E-4</v>
      </c>
      <c r="V16" s="186">
        <f>ROUND('OA Cycle 2'!D15/'tariff tables'!G7,5)</f>
        <v>0</v>
      </c>
      <c r="X16" s="159">
        <f>ROUND('PPC Cycle 3'!C8/'tariff tables'!$G7,5)</f>
        <v>2.4199999999999998E-3</v>
      </c>
      <c r="Y16" s="159">
        <f>ROUND('PTD Cycle 3'!C9/'tariff tables'!G7,5)</f>
        <v>6.3000000000000003E-4</v>
      </c>
      <c r="Z16" s="159">
        <f>ROUND('EO Cycle 3'!G13/'tariff tables'!G7,5)</f>
        <v>2.3000000000000001E-4</v>
      </c>
      <c r="AA16" s="159">
        <f>ROUND(0/'tariff tables'!G7,5)</f>
        <v>0</v>
      </c>
      <c r="AB16" s="160">
        <f t="shared" si="4"/>
        <v>4.0700000000000007E-3</v>
      </c>
    </row>
    <row r="17" spans="2:28" s="47" customFormat="1" ht="15" thickBot="1" x14ac:dyDescent="0.4">
      <c r="B17" s="91" t="s">
        <v>111</v>
      </c>
      <c r="C17" s="130">
        <f>+'PPC Cycle 3'!C9</f>
        <v>1562108.45</v>
      </c>
      <c r="D17" s="130">
        <f>'PTD Cycle 2'!C13+'PTD Cycle 3'!C10</f>
        <v>179964.7</v>
      </c>
      <c r="E17" s="130">
        <f>+'EO Cycle 2'!G14+'EO Cycle 3'!G14</f>
        <v>279249.64</v>
      </c>
      <c r="F17" s="129">
        <f>+'OA Cycle 2'!D16</f>
        <v>0</v>
      </c>
      <c r="G17" s="127"/>
      <c r="J17" s="157"/>
      <c r="K17" s="17"/>
      <c r="O17" s="186">
        <v>0</v>
      </c>
      <c r="P17" s="186">
        <v>0</v>
      </c>
      <c r="Q17" s="248">
        <v>0</v>
      </c>
      <c r="R17" s="249"/>
      <c r="S17" s="193">
        <v>0</v>
      </c>
      <c r="T17" s="250">
        <f>ROUND(+'PTD Cycle 2'!C13/'tariff tables'!G8,5)</f>
        <v>2.0000000000000001E-4</v>
      </c>
      <c r="U17" s="294">
        <f>ROUND('EO Cycle 2'!G14/'tariff tables'!G8,5)-0.00001</f>
        <v>4.0999999999999999E-4</v>
      </c>
      <c r="V17" s="186">
        <f>ROUND('OA Cycle 2'!D16/'tariff tables'!G8,5)</f>
        <v>0</v>
      </c>
      <c r="X17" s="159">
        <f>ROUND('PPC Cycle 3'!C9/'tariff tables'!$G8,5)</f>
        <v>2.99E-3</v>
      </c>
      <c r="Y17" s="159">
        <f>ROUND('PTD Cycle 3'!C10/'tariff tables'!G8,5)</f>
        <v>1.3999999999999999E-4</v>
      </c>
      <c r="Z17" s="159">
        <f>ROUND('EO Cycle 3'!G14/'tariff tables'!G8,5)</f>
        <v>1.2E-4</v>
      </c>
      <c r="AA17" s="159">
        <f>ROUND(0/'tariff tables'!G8,5)</f>
        <v>0</v>
      </c>
      <c r="AB17" s="160">
        <f t="shared" si="4"/>
        <v>2.7399999999999998E-3</v>
      </c>
    </row>
    <row r="18" spans="2:28" x14ac:dyDescent="0.35">
      <c r="C18" s="128"/>
      <c r="D18" s="128"/>
      <c r="E18" s="128"/>
      <c r="F18" s="128"/>
      <c r="G18" s="127"/>
      <c r="J18" s="17"/>
      <c r="K18" s="17"/>
      <c r="O18" s="187"/>
      <c r="P18" s="187"/>
      <c r="Q18" s="251"/>
      <c r="R18" s="249"/>
      <c r="S18" s="249"/>
      <c r="T18" s="249"/>
      <c r="U18" s="249"/>
      <c r="V18" s="160"/>
      <c r="X18" s="160"/>
      <c r="Y18" s="160"/>
      <c r="Z18" s="160"/>
      <c r="AA18" s="160"/>
    </row>
    <row r="19" spans="2:28" x14ac:dyDescent="0.35">
      <c r="C19" s="128"/>
      <c r="D19" s="128"/>
      <c r="E19" s="128"/>
      <c r="F19" s="128"/>
      <c r="G19" s="127"/>
      <c r="J19" s="17"/>
      <c r="K19" s="17"/>
      <c r="O19" s="187"/>
      <c r="P19" s="187"/>
      <c r="Q19" s="251"/>
      <c r="R19" s="249"/>
      <c r="S19" s="249"/>
      <c r="T19" s="249"/>
      <c r="U19" s="249"/>
      <c r="V19" s="160"/>
      <c r="X19" s="160"/>
      <c r="Y19" s="160"/>
      <c r="Z19" s="160"/>
      <c r="AA19" s="160"/>
    </row>
    <row r="20" spans="2:28" ht="15" thickBot="1" x14ac:dyDescent="0.4">
      <c r="C20" s="128"/>
      <c r="D20" s="128"/>
      <c r="E20" s="128"/>
      <c r="F20" s="128"/>
      <c r="G20" s="127"/>
      <c r="J20" s="17"/>
      <c r="K20" s="17"/>
      <c r="O20" s="187"/>
      <c r="P20" s="187"/>
      <c r="Q20" s="251"/>
      <c r="R20" s="249"/>
      <c r="S20" s="249"/>
      <c r="T20" s="249"/>
      <c r="U20" s="249"/>
      <c r="V20" s="160"/>
      <c r="X20" s="160"/>
      <c r="Y20" s="160"/>
      <c r="Z20" s="160"/>
      <c r="AA20" s="160"/>
    </row>
    <row r="21" spans="2:28" ht="15" thickBot="1" x14ac:dyDescent="0.4">
      <c r="B21" s="88" t="s">
        <v>7</v>
      </c>
      <c r="C21" s="132" t="s">
        <v>4</v>
      </c>
      <c r="D21" s="132" t="s">
        <v>9</v>
      </c>
      <c r="E21" s="132" t="s">
        <v>59</v>
      </c>
      <c r="F21" s="132" t="s">
        <v>18</v>
      </c>
      <c r="G21" s="127"/>
      <c r="O21" s="188" t="s">
        <v>78</v>
      </c>
      <c r="P21" s="188" t="s">
        <v>79</v>
      </c>
      <c r="Q21" s="252" t="s">
        <v>83</v>
      </c>
      <c r="R21" s="249"/>
      <c r="S21" s="253" t="s">
        <v>80</v>
      </c>
      <c r="T21" s="253" t="s">
        <v>81</v>
      </c>
      <c r="U21" s="252" t="s">
        <v>107</v>
      </c>
      <c r="V21" s="161" t="s">
        <v>95</v>
      </c>
      <c r="X21" s="161" t="s">
        <v>120</v>
      </c>
      <c r="Y21" s="161" t="s">
        <v>121</v>
      </c>
      <c r="Z21" s="188" t="s">
        <v>122</v>
      </c>
      <c r="AA21" s="161" t="s">
        <v>123</v>
      </c>
    </row>
    <row r="22" spans="2:28" ht="15" thickBot="1" x14ac:dyDescent="0.4">
      <c r="B22" s="91" t="s">
        <v>24</v>
      </c>
      <c r="C22" s="130">
        <f>+'PCR Cycle 3'!K4+'PCR Cycle 2'!K4</f>
        <v>-642945.35500000103</v>
      </c>
      <c r="D22" s="130">
        <f>'TDR Cycle 3'!K4+'TDR Cycle 2'!K4</f>
        <v>1176010.3400000003</v>
      </c>
      <c r="E22" s="130">
        <f>+'EOR Cycle 2'!J4</f>
        <v>206744.31643999991</v>
      </c>
      <c r="F22" s="129">
        <f>+'OAR Cycle 2'!I4</f>
        <v>0</v>
      </c>
      <c r="G22" s="127"/>
      <c r="O22" s="186">
        <v>0</v>
      </c>
      <c r="P22" s="186">
        <v>0</v>
      </c>
      <c r="Q22" s="250">
        <v>0</v>
      </c>
      <c r="R22" s="249"/>
      <c r="S22" s="193">
        <f>ROUND(+'PCR Cycle 2'!K4/'tariff tables'!G4,5)</f>
        <v>1.0000000000000001E-5</v>
      </c>
      <c r="T22" s="193">
        <f>ROUND(+'TDR Cycle 2'!K4/'tariff tables'!G4,5)</f>
        <v>2.5000000000000001E-4</v>
      </c>
      <c r="U22" s="193">
        <f>ROUND('EOR Cycle 2'!J4/'tariff tables'!G4,5)</f>
        <v>8.0000000000000007E-5</v>
      </c>
      <c r="V22" s="193">
        <f>ROUND('OAR Cycle 2'!I4/'tariff tables'!G4,5)</f>
        <v>0</v>
      </c>
      <c r="X22" s="193">
        <f>ROUND('PCR Cycle 3'!K4/'tariff tables'!G4,5)</f>
        <v>-2.5999999999999998E-4</v>
      </c>
      <c r="Y22" s="193">
        <f>ROUND('TDR Cycle 3'!K4/'tariff tables'!G4,5)</f>
        <v>2.0000000000000001E-4</v>
      </c>
      <c r="Z22" s="193">
        <f>ROUND(0/'tariff tables'!G4,5)</f>
        <v>0</v>
      </c>
      <c r="AA22" s="193">
        <f>ROUND(0/'tariff tables'!G4,5)</f>
        <v>0</v>
      </c>
    </row>
    <row r="23" spans="2:28" ht="15" thickBot="1" x14ac:dyDescent="0.4">
      <c r="B23" s="91" t="s">
        <v>108</v>
      </c>
      <c r="C23" s="130">
        <f>'PCR Cycle 3'!K5+'PCR Cycle 2'!K8</f>
        <v>-398145.59000000008</v>
      </c>
      <c r="D23" s="130">
        <f>'TDR Cycle 3'!K5+'TDR Cycle 2'!K8</f>
        <v>-115945.01666999997</v>
      </c>
      <c r="E23" s="130">
        <f>+'EOR Cycle 2'!J8</f>
        <v>68729.02</v>
      </c>
      <c r="F23" s="129">
        <f>+'OAR Cycle 2'!I8</f>
        <v>0</v>
      </c>
      <c r="G23" s="127"/>
      <c r="O23" s="186">
        <v>0</v>
      </c>
      <c r="P23" s="186">
        <v>0</v>
      </c>
      <c r="Q23" s="250">
        <v>0</v>
      </c>
      <c r="R23" s="249"/>
      <c r="S23" s="282">
        <f>ROUND(+'PCR Cycle 2'!K8/'tariff tables'!G5,5)+0.00001</f>
        <v>-3.0000000000000004E-5</v>
      </c>
      <c r="T23" s="282">
        <f>ROUND(+'TDR Cycle 2'!K8/'tariff tables'!G5,5)-0.00001</f>
        <v>1.6000000000000001E-4</v>
      </c>
      <c r="U23" s="193">
        <f>ROUND('EOR Cycle 2'!J8/'tariff tables'!G5,5)</f>
        <v>1.2999999999999999E-4</v>
      </c>
      <c r="V23" s="193">
        <f>ROUND('OAR Cycle 2'!I8/'tariff tables'!G5,5)</f>
        <v>0</v>
      </c>
      <c r="X23" s="193">
        <f>ROUND('PCR Cycle 3'!K5/'tariff tables'!G5,5)</f>
        <v>-7.2000000000000005E-4</v>
      </c>
      <c r="Y23" s="193">
        <f>ROUND('TDR Cycle 3'!K5/'tariff tables'!G5,5)</f>
        <v>-3.8999999999999999E-4</v>
      </c>
      <c r="Z23" s="193">
        <f>ROUND(0/'tariff tables'!G5,5)</f>
        <v>0</v>
      </c>
      <c r="AA23" s="193">
        <f>ROUND(0/'tariff tables'!G5,5)</f>
        <v>0</v>
      </c>
    </row>
    <row r="24" spans="2:28" s="47" customFormat="1" ht="15" thickBot="1" x14ac:dyDescent="0.4">
      <c r="B24" s="91" t="s">
        <v>109</v>
      </c>
      <c r="C24" s="130">
        <f>'PCR Cycle 3'!K6+'PCR Cycle 2'!K9</f>
        <v>319816.50999999972</v>
      </c>
      <c r="D24" s="130">
        <f>'TDR Cycle 3'!K6+'TDR Cycle 2'!K9</f>
        <v>84050.932749999978</v>
      </c>
      <c r="E24" s="130">
        <f>+'EOR Cycle 2'!J9</f>
        <v>180279.1</v>
      </c>
      <c r="F24" s="129">
        <f>+'OAR Cycle 2'!I9</f>
        <v>0</v>
      </c>
      <c r="G24" s="127"/>
      <c r="O24" s="186">
        <v>0</v>
      </c>
      <c r="P24" s="186">
        <v>0</v>
      </c>
      <c r="Q24" s="250">
        <v>0</v>
      </c>
      <c r="R24" s="249"/>
      <c r="S24" s="193">
        <f>ROUND(+'PCR Cycle 2'!K9/'tariff tables'!G6,5)</f>
        <v>-4.0000000000000003E-5</v>
      </c>
      <c r="T24" s="193">
        <f>ROUND(+'TDR Cycle 2'!K9/'tariff tables'!G6,5)</f>
        <v>2.1000000000000001E-4</v>
      </c>
      <c r="U24" s="193">
        <f>ROUND('EOR Cycle 2'!J9/'tariff tables'!G6,5)</f>
        <v>1.6000000000000001E-4</v>
      </c>
      <c r="V24" s="193">
        <f>ROUND('OAR Cycle 2'!I9/'tariff tables'!G6,5)</f>
        <v>0</v>
      </c>
      <c r="X24" s="193">
        <f>ROUND('PCR Cycle 3'!K6/'tariff tables'!G6,5)</f>
        <v>3.2000000000000003E-4</v>
      </c>
      <c r="Y24" s="193">
        <f>ROUND('TDR Cycle 3'!K6/'tariff tables'!G6,5)</f>
        <v>-1.3999999999999999E-4</v>
      </c>
      <c r="Z24" s="193">
        <f>ROUND(0/'tariff tables'!G6,5)</f>
        <v>0</v>
      </c>
      <c r="AA24" s="193">
        <f>ROUND(0/'tariff tables'!G6,5)</f>
        <v>0</v>
      </c>
    </row>
    <row r="25" spans="2:28" s="47" customFormat="1" ht="15" thickBot="1" x14ac:dyDescent="0.4">
      <c r="B25" s="91" t="s">
        <v>110</v>
      </c>
      <c r="C25" s="130">
        <f>'PCR Cycle 3'!K7+'PCR Cycle 2'!K10</f>
        <v>-333489.8</v>
      </c>
      <c r="D25" s="130">
        <f>'TDR Cycle 3'!K7+'TDR Cycle 2'!K10</f>
        <v>135895.37991000008</v>
      </c>
      <c r="E25" s="130">
        <f>+'EOR Cycle 2'!J10</f>
        <v>211768.5</v>
      </c>
      <c r="F25" s="129">
        <f>+'OAR Cycle 2'!I10</f>
        <v>0</v>
      </c>
      <c r="G25" s="127"/>
      <c r="O25" s="186">
        <v>0</v>
      </c>
      <c r="P25" s="186">
        <v>0</v>
      </c>
      <c r="Q25" s="250">
        <v>0</v>
      </c>
      <c r="R25" s="249"/>
      <c r="S25" s="193">
        <f>ROUND(+'PCR Cycle 2'!K10/'tariff tables'!G7,5)</f>
        <v>-3.0000000000000001E-5</v>
      </c>
      <c r="T25" s="193">
        <f>ROUND(+'TDR Cycle 2'!K10/'tariff tables'!G7,5)</f>
        <v>1.6000000000000001E-4</v>
      </c>
      <c r="U25" s="193">
        <f>ROUND('EOR Cycle 2'!J10/'tariff tables'!G7,5)</f>
        <v>1.2E-4</v>
      </c>
      <c r="V25" s="193">
        <f>ROUND('OAR Cycle 2'!I10/'tariff tables'!G7,5)</f>
        <v>0</v>
      </c>
      <c r="X25" s="193">
        <f>ROUND('PCR Cycle 3'!K7/'tariff tables'!G7,5)</f>
        <v>-1.4999999999999999E-4</v>
      </c>
      <c r="Y25" s="193">
        <f>ROUND('TDR Cycle 3'!K7/'tariff tables'!G7,5)</f>
        <v>-8.0000000000000007E-5</v>
      </c>
      <c r="Z25" s="193">
        <f>ROUND(0/'tariff tables'!G7,5)</f>
        <v>0</v>
      </c>
      <c r="AA25" s="193">
        <f>ROUND(0/'tariff tables'!G7,5)</f>
        <v>0</v>
      </c>
    </row>
    <row r="26" spans="2:28" s="47" customFormat="1" ht="15" thickBot="1" x14ac:dyDescent="0.4">
      <c r="B26" s="91" t="s">
        <v>111</v>
      </c>
      <c r="C26" s="130">
        <f>'PCR Cycle 3'!K8+'PCR Cycle 2'!K11</f>
        <v>-642485.82999999984</v>
      </c>
      <c r="D26" s="130">
        <f>'TDR Cycle 3'!K8+'TDR Cycle 2'!K11</f>
        <v>6209.8842400000067</v>
      </c>
      <c r="E26" s="130">
        <f>+'EOR Cycle 2'!J11</f>
        <v>45460.76</v>
      </c>
      <c r="F26" s="129">
        <f>+'OAR Cycle 2'!I11</f>
        <v>0</v>
      </c>
      <c r="G26" s="127"/>
      <c r="O26" s="186">
        <v>0</v>
      </c>
      <c r="P26" s="186">
        <v>0</v>
      </c>
      <c r="Q26" s="250">
        <v>0</v>
      </c>
      <c r="R26" s="249"/>
      <c r="S26" s="193">
        <f>ROUND(+'PCR Cycle 2'!K11/'tariff tables'!G8,5)</f>
        <v>-2.0000000000000002E-5</v>
      </c>
      <c r="T26" s="193">
        <f>ROUND(+'TDR Cycle 2'!K11/'tariff tables'!G8,5)</f>
        <v>1.2E-4</v>
      </c>
      <c r="U26" s="193">
        <f>ROUND('EOR Cycle 2'!J11/'tariff tables'!G8,5)</f>
        <v>9.0000000000000006E-5</v>
      </c>
      <c r="V26" s="193">
        <f>ROUND('OAR Cycle 2'!I11/'tariff tables'!G8,5)</f>
        <v>0</v>
      </c>
      <c r="X26" s="193">
        <f>ROUND('PCR Cycle 3'!K8/'tariff tables'!G8,5)</f>
        <v>-1.2099999999999999E-3</v>
      </c>
      <c r="Y26" s="193">
        <f>ROUND('TDR Cycle 3'!K8/'tariff tables'!G8,5)</f>
        <v>-1E-4</v>
      </c>
      <c r="Z26" s="193">
        <f>ROUND(0/'tariff tables'!G8,5)</f>
        <v>0</v>
      </c>
      <c r="AA26" s="193">
        <f>ROUND(0/'tariff tables'!G8,5)</f>
        <v>0</v>
      </c>
    </row>
    <row r="27" spans="2:28" x14ac:dyDescent="0.35">
      <c r="O27" s="47"/>
      <c r="P27" s="47"/>
      <c r="R27" s="47"/>
      <c r="S27" s="47"/>
      <c r="T27" s="47"/>
    </row>
    <row r="28" spans="2:28" x14ac:dyDescent="0.35">
      <c r="B28" s="94" t="s">
        <v>39</v>
      </c>
      <c r="R28" t="s">
        <v>154</v>
      </c>
      <c r="S28" s="158">
        <f>+J4-O13-O22-S13-S22-X13-X22</f>
        <v>0</v>
      </c>
      <c r="T28" s="158">
        <f t="shared" ref="S28:U32" si="5">+K4-P13-P22-T13-T22-Y13-Y22</f>
        <v>0</v>
      </c>
      <c r="U28" s="158">
        <f t="shared" si="5"/>
        <v>0</v>
      </c>
    </row>
    <row r="29" spans="2:28" x14ac:dyDescent="0.35">
      <c r="B29" s="95" t="s">
        <v>40</v>
      </c>
      <c r="R29" t="s">
        <v>155</v>
      </c>
      <c r="S29" s="158">
        <f t="shared" si="5"/>
        <v>0</v>
      </c>
      <c r="T29" s="158">
        <f t="shared" si="5"/>
        <v>0</v>
      </c>
      <c r="U29" s="158">
        <f t="shared" si="5"/>
        <v>2.7105054312137611E-20</v>
      </c>
    </row>
    <row r="30" spans="2:28" x14ac:dyDescent="0.35">
      <c r="B30" s="95" t="s">
        <v>43</v>
      </c>
      <c r="R30" t="s">
        <v>156</v>
      </c>
      <c r="S30" s="158">
        <f t="shared" si="5"/>
        <v>0</v>
      </c>
      <c r="T30" s="158">
        <f t="shared" si="5"/>
        <v>0</v>
      </c>
      <c r="U30" s="158">
        <f t="shared" si="5"/>
        <v>0</v>
      </c>
    </row>
    <row r="31" spans="2:28" x14ac:dyDescent="0.35">
      <c r="B31" s="95" t="s">
        <v>145</v>
      </c>
      <c r="R31" t="s">
        <v>157</v>
      </c>
      <c r="S31" s="158">
        <f t="shared" si="5"/>
        <v>0</v>
      </c>
      <c r="T31" s="158">
        <f t="shared" si="5"/>
        <v>1.2197274440461925E-19</v>
      </c>
      <c r="U31" s="158">
        <f t="shared" si="5"/>
        <v>-5.4210108624275222E-20</v>
      </c>
    </row>
    <row r="32" spans="2:28" x14ac:dyDescent="0.35">
      <c r="B32" s="95" t="s">
        <v>41</v>
      </c>
      <c r="R32" t="s">
        <v>158</v>
      </c>
      <c r="S32" s="158">
        <f t="shared" si="5"/>
        <v>0</v>
      </c>
      <c r="T32" s="158">
        <f t="shared" si="5"/>
        <v>0</v>
      </c>
      <c r="U32" s="158">
        <f t="shared" si="5"/>
        <v>0</v>
      </c>
    </row>
    <row r="33" spans="2:20" x14ac:dyDescent="0.35">
      <c r="B33" s="95" t="s">
        <v>150</v>
      </c>
      <c r="O33" s="260"/>
      <c r="P33" s="260"/>
      <c r="Q33" s="260"/>
      <c r="R33" s="152"/>
      <c r="S33" s="47"/>
      <c r="T33" s="47"/>
    </row>
    <row r="34" spans="2:20" x14ac:dyDescent="0.35">
      <c r="B34" s="95" t="s">
        <v>144</v>
      </c>
      <c r="O34" s="152"/>
      <c r="P34" s="152"/>
      <c r="Q34" s="261"/>
      <c r="R34" s="152"/>
      <c r="S34" s="47"/>
      <c r="T34" s="47"/>
    </row>
    <row r="35" spans="2:20" x14ac:dyDescent="0.35">
      <c r="B35" s="95" t="s">
        <v>48</v>
      </c>
      <c r="O35" s="262"/>
      <c r="P35" s="152"/>
      <c r="Q35" s="261"/>
      <c r="R35" s="152"/>
      <c r="S35" s="47"/>
      <c r="T35" s="47"/>
    </row>
    <row r="36" spans="2:20" x14ac:dyDescent="0.35">
      <c r="B36" s="95" t="s">
        <v>149</v>
      </c>
      <c r="O36" s="263"/>
      <c r="P36" s="264"/>
      <c r="Q36" s="261"/>
      <c r="R36" s="261"/>
      <c r="S36" s="47"/>
      <c r="T36" s="47"/>
    </row>
    <row r="37" spans="2:20" x14ac:dyDescent="0.35">
      <c r="B37" s="95" t="s">
        <v>146</v>
      </c>
      <c r="O37" s="263"/>
      <c r="P37" s="264"/>
      <c r="Q37" s="261"/>
      <c r="R37" s="261"/>
      <c r="S37" s="47"/>
      <c r="T37" s="47"/>
    </row>
    <row r="38" spans="2:20" x14ac:dyDescent="0.35">
      <c r="B38" s="95" t="s">
        <v>147</v>
      </c>
      <c r="O38" s="263"/>
      <c r="P38" s="264"/>
      <c r="Q38" s="261"/>
      <c r="R38" s="261"/>
      <c r="S38" s="47"/>
      <c r="T38" s="47"/>
    </row>
    <row r="39" spans="2:20" x14ac:dyDescent="0.35">
      <c r="B39" s="95" t="s">
        <v>151</v>
      </c>
      <c r="O39" s="263"/>
      <c r="P39" s="264"/>
      <c r="Q39" s="261"/>
      <c r="R39" s="261"/>
      <c r="S39" s="47"/>
      <c r="T39" s="47"/>
    </row>
    <row r="40" spans="2:20" x14ac:dyDescent="0.35">
      <c r="B40" s="95" t="s">
        <v>42</v>
      </c>
      <c r="O40" s="263"/>
      <c r="P40" s="264"/>
      <c r="Q40" s="261"/>
      <c r="R40" s="261"/>
      <c r="S40" s="47"/>
      <c r="T40" s="47"/>
    </row>
    <row r="41" spans="2:20" x14ac:dyDescent="0.35">
      <c r="B41" s="95" t="s">
        <v>148</v>
      </c>
      <c r="O41" s="263"/>
      <c r="P41" s="264"/>
      <c r="Q41" s="261"/>
      <c r="R41" s="261"/>
      <c r="S41" s="47"/>
      <c r="T41" s="47"/>
    </row>
    <row r="42" spans="2:20" x14ac:dyDescent="0.35">
      <c r="B42" s="95" t="s">
        <v>152</v>
      </c>
      <c r="O42" s="265"/>
      <c r="P42" s="264"/>
      <c r="Q42" s="261"/>
      <c r="R42" s="261"/>
      <c r="S42" s="47"/>
      <c r="T42" s="47"/>
    </row>
    <row r="43" spans="2:20" x14ac:dyDescent="0.35">
      <c r="B43" s="95" t="s">
        <v>153</v>
      </c>
      <c r="O43" s="152"/>
      <c r="P43" s="266"/>
      <c r="Q43" s="261"/>
      <c r="R43" s="261"/>
      <c r="S43" s="47"/>
      <c r="T43" s="47"/>
    </row>
    <row r="44" spans="2:20" x14ac:dyDescent="0.35">
      <c r="O44" s="262"/>
      <c r="P44" s="152"/>
      <c r="Q44" s="261"/>
      <c r="R44" s="261"/>
      <c r="S44" s="47"/>
      <c r="T44" s="47"/>
    </row>
    <row r="45" spans="2:20" x14ac:dyDescent="0.35">
      <c r="O45" s="263"/>
      <c r="P45" s="264"/>
      <c r="Q45" s="261"/>
      <c r="R45" s="261"/>
      <c r="S45" s="47"/>
      <c r="T45" s="47"/>
    </row>
    <row r="46" spans="2:20" x14ac:dyDescent="0.35">
      <c r="O46" s="263"/>
      <c r="P46" s="264"/>
      <c r="Q46" s="261"/>
      <c r="R46" s="261"/>
      <c r="S46" s="47"/>
      <c r="T46" s="47"/>
    </row>
    <row r="47" spans="2:20" x14ac:dyDescent="0.35">
      <c r="O47" s="263"/>
      <c r="P47" s="264"/>
      <c r="Q47" s="261"/>
      <c r="R47" s="261"/>
      <c r="S47" s="47"/>
      <c r="T47" s="47"/>
    </row>
    <row r="48" spans="2:20" x14ac:dyDescent="0.35">
      <c r="O48" s="263"/>
      <c r="P48" s="264"/>
      <c r="Q48" s="261"/>
      <c r="R48" s="261"/>
      <c r="S48" s="47"/>
      <c r="T48" s="47"/>
    </row>
    <row r="49" spans="15:20" x14ac:dyDescent="0.35">
      <c r="O49" s="263"/>
      <c r="P49" s="264"/>
      <c r="Q49" s="261"/>
      <c r="R49" s="261"/>
      <c r="S49" s="47"/>
      <c r="T49" s="47"/>
    </row>
    <row r="50" spans="15:20" x14ac:dyDescent="0.35">
      <c r="O50" s="263"/>
      <c r="P50" s="264"/>
      <c r="Q50" s="261"/>
      <c r="R50" s="261"/>
      <c r="S50" s="47"/>
      <c r="T50" s="47"/>
    </row>
    <row r="51" spans="15:20" x14ac:dyDescent="0.35">
      <c r="O51" s="265"/>
      <c r="P51" s="264"/>
      <c r="Q51" s="261"/>
      <c r="R51" s="261"/>
    </row>
    <row r="52" spans="15:20" x14ac:dyDescent="0.35">
      <c r="O52" s="152"/>
      <c r="P52" s="266"/>
      <c r="Q52" s="261"/>
      <c r="R52" s="261"/>
    </row>
    <row r="53" spans="15:20" x14ac:dyDescent="0.35">
      <c r="O53" s="152"/>
      <c r="P53" s="152"/>
      <c r="Q53" s="261"/>
      <c r="R53" s="261"/>
    </row>
    <row r="54" spans="15:20" x14ac:dyDescent="0.35">
      <c r="O54" s="152"/>
      <c r="P54" s="152"/>
      <c r="Q54" s="152"/>
      <c r="R54" s="152"/>
    </row>
    <row r="55" spans="15:20" x14ac:dyDescent="0.35">
      <c r="O55" s="152"/>
      <c r="P55" s="152"/>
      <c r="Q55" s="152"/>
      <c r="R55" s="152"/>
    </row>
    <row r="56" spans="15:20" x14ac:dyDescent="0.35">
      <c r="O56" s="152"/>
      <c r="P56" s="152"/>
      <c r="Q56" s="152"/>
      <c r="R56" s="152"/>
    </row>
    <row r="57" spans="15:20" x14ac:dyDescent="0.35">
      <c r="O57" s="152"/>
      <c r="P57" s="152"/>
      <c r="Q57" s="152"/>
      <c r="R57" s="152"/>
    </row>
  </sheetData>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71"/>
  <sheetViews>
    <sheetView workbookViewId="0"/>
  </sheetViews>
  <sheetFormatPr defaultRowHeight="14.5" x14ac:dyDescent="0.35"/>
  <cols>
    <col min="1" max="1" width="22.453125" customWidth="1"/>
    <col min="2" max="2" width="15.26953125" bestFit="1" customWidth="1"/>
    <col min="3" max="3" width="14.26953125" style="47" customWidth="1"/>
    <col min="4" max="4" width="13.26953125" bestFit="1" customWidth="1"/>
    <col min="5" max="5" width="10.81640625" bestFit="1" customWidth="1"/>
    <col min="6" max="6" width="11.54296875" bestFit="1" customWidth="1"/>
    <col min="7" max="7" width="13.1796875" customWidth="1"/>
  </cols>
  <sheetData>
    <row r="1" spans="1:7" x14ac:dyDescent="0.35">
      <c r="A1" s="64" t="str">
        <f>+'PPC Cycle 3'!A1</f>
        <v>Evergy Metro, Inc. - DSIM Rider Update Filed 12/02/2021</v>
      </c>
      <c r="B1" s="47"/>
      <c r="D1" s="47"/>
      <c r="E1" s="47"/>
    </row>
    <row r="2" spans="1:7" x14ac:dyDescent="0.35">
      <c r="A2" s="9" t="str">
        <f>+'PPC Cycle 3'!A2</f>
        <v>Projections for Cycle 3 January - December 2022 DSIM</v>
      </c>
      <c r="B2" s="47"/>
      <c r="D2" s="47"/>
      <c r="E2" s="47"/>
    </row>
    <row r="3" spans="1:7" ht="45.75" customHeight="1" x14ac:dyDescent="0.35">
      <c r="A3" s="47"/>
      <c r="B3" s="295" t="s">
        <v>99</v>
      </c>
      <c r="C3" s="295"/>
      <c r="D3" s="295"/>
      <c r="E3" s="47"/>
    </row>
    <row r="4" spans="1:7" ht="87" x14ac:dyDescent="0.35">
      <c r="A4" s="47"/>
      <c r="B4" s="71" t="s">
        <v>101</v>
      </c>
      <c r="C4" s="71" t="s">
        <v>102</v>
      </c>
      <c r="D4" s="71" t="s">
        <v>105</v>
      </c>
      <c r="E4" s="71" t="s">
        <v>103</v>
      </c>
      <c r="F4" s="71" t="s">
        <v>100</v>
      </c>
      <c r="G4" s="71" t="s">
        <v>106</v>
      </c>
    </row>
    <row r="5" spans="1:7" s="47" customFormat="1" x14ac:dyDescent="0.35">
      <c r="B5" s="71"/>
      <c r="C5" s="71"/>
      <c r="D5" s="71"/>
      <c r="E5" s="71"/>
      <c r="F5" s="71"/>
      <c r="G5" s="71"/>
    </row>
    <row r="6" spans="1:7" s="47" customFormat="1" x14ac:dyDescent="0.35">
      <c r="A6" s="259" t="s">
        <v>162</v>
      </c>
      <c r="B6" s="71"/>
      <c r="C6" s="71"/>
      <c r="D6" s="156"/>
    </row>
    <row r="7" spans="1:7" s="47" customFormat="1" x14ac:dyDescent="0.35">
      <c r="A7" s="20" t="s">
        <v>24</v>
      </c>
      <c r="B7" s="230">
        <f>+B19+B31+B43+B54</f>
        <v>4794235.91</v>
      </c>
      <c r="C7" s="230">
        <f t="shared" ref="C7:E7" si="0">+C19+C31+C43+C54</f>
        <v>-1294218.32</v>
      </c>
      <c r="D7" s="230">
        <f t="shared" si="0"/>
        <v>-1905501.69</v>
      </c>
      <c r="E7" s="230">
        <f t="shared" si="0"/>
        <v>-175895.57</v>
      </c>
      <c r="F7" s="230">
        <f>SUM(B7:E7)</f>
        <v>1418620.3299999998</v>
      </c>
      <c r="G7" s="230">
        <f t="shared" ref="G7:G8" si="1">+G19+G31+G43+G54</f>
        <v>-553597.72</v>
      </c>
    </row>
    <row r="8" spans="1:7" s="47" customFormat="1" x14ac:dyDescent="0.35">
      <c r="A8" s="20" t="s">
        <v>25</v>
      </c>
      <c r="B8" s="230">
        <f t="shared" ref="B8:E8" si="2">+B20+B32+B44+B55</f>
        <v>5972530.4700000007</v>
      </c>
      <c r="C8" s="230">
        <f t="shared" si="2"/>
        <v>1159977.21</v>
      </c>
      <c r="D8" s="230">
        <f t="shared" si="2"/>
        <v>-761810.72</v>
      </c>
      <c r="E8" s="230">
        <f t="shared" si="2"/>
        <v>115284.29000000001</v>
      </c>
      <c r="F8" s="230">
        <f>SUM(B8:E8)</f>
        <v>6485981.2500000009</v>
      </c>
      <c r="G8" s="230">
        <f t="shared" si="1"/>
        <v>818303.19</v>
      </c>
    </row>
    <row r="9" spans="1:7" s="47" customFormat="1" x14ac:dyDescent="0.35">
      <c r="A9" s="20" t="s">
        <v>5</v>
      </c>
      <c r="B9" s="230">
        <f t="shared" ref="B9:G9" si="3">SUM(B7:B8)</f>
        <v>10766766.380000001</v>
      </c>
      <c r="C9" s="230">
        <f t="shared" si="3"/>
        <v>-134241.1100000001</v>
      </c>
      <c r="D9" s="230">
        <f t="shared" si="3"/>
        <v>-2667312.41</v>
      </c>
      <c r="E9" s="230">
        <f t="shared" si="3"/>
        <v>-60611.28</v>
      </c>
      <c r="F9" s="230">
        <f t="shared" si="3"/>
        <v>7904601.580000001</v>
      </c>
      <c r="G9" s="230">
        <f t="shared" si="3"/>
        <v>264705.46999999997</v>
      </c>
    </row>
    <row r="10" spans="1:7" s="47" customFormat="1" x14ac:dyDescent="0.35"/>
    <row r="11" spans="1:7" s="47" customFormat="1" x14ac:dyDescent="0.35">
      <c r="A11" s="20" t="s">
        <v>108</v>
      </c>
      <c r="B11" s="230">
        <f t="shared" ref="B11:E11" si="4">+B23+B35+B47+B58</f>
        <v>798822.8899999999</v>
      </c>
      <c r="C11" s="230">
        <f t="shared" si="4"/>
        <v>-79725.23</v>
      </c>
      <c r="D11" s="230">
        <f t="shared" si="4"/>
        <v>-499670.70999999996</v>
      </c>
      <c r="E11" s="230">
        <f t="shared" si="4"/>
        <v>-19424.34</v>
      </c>
      <c r="F11" s="230">
        <f t="shared" ref="F11:F14" si="5">SUM(B11:E11)</f>
        <v>200002.60999999996</v>
      </c>
      <c r="G11" s="230">
        <f t="shared" ref="G11:G14" si="6">+G23+G35+G47+G58</f>
        <v>-209046.83</v>
      </c>
    </row>
    <row r="12" spans="1:7" s="47" customFormat="1" x14ac:dyDescent="0.35">
      <c r="A12" s="20" t="s">
        <v>109</v>
      </c>
      <c r="B12" s="230">
        <f t="shared" ref="B12:E12" si="7">+B24+B36+B48+B59</f>
        <v>2103656.44</v>
      </c>
      <c r="C12" s="230">
        <f t="shared" si="7"/>
        <v>447456.04000000004</v>
      </c>
      <c r="D12" s="230">
        <f t="shared" si="7"/>
        <v>74826.469999999972</v>
      </c>
      <c r="E12" s="230">
        <f t="shared" si="7"/>
        <v>71197.17</v>
      </c>
      <c r="F12" s="230">
        <f t="shared" si="5"/>
        <v>2697136.12</v>
      </c>
      <c r="G12" s="230">
        <f t="shared" si="6"/>
        <v>433475.17000000004</v>
      </c>
    </row>
    <row r="13" spans="1:7" s="47" customFormat="1" x14ac:dyDescent="0.35">
      <c r="A13" s="20" t="s">
        <v>110</v>
      </c>
      <c r="B13" s="230">
        <f t="shared" ref="B13:E13" si="8">+B25+B37+B49+B60</f>
        <v>2570767.7999999998</v>
      </c>
      <c r="C13" s="230">
        <f t="shared" si="8"/>
        <v>308800.2</v>
      </c>
      <c r="D13" s="230">
        <f t="shared" si="8"/>
        <v>-168074.32999999996</v>
      </c>
      <c r="E13" s="230">
        <f t="shared" si="8"/>
        <v>43321.640000000007</v>
      </c>
      <c r="F13" s="230">
        <f t="shared" si="5"/>
        <v>2754815.31</v>
      </c>
      <c r="G13" s="230">
        <f t="shared" si="6"/>
        <v>376714.06999999995</v>
      </c>
    </row>
    <row r="14" spans="1:7" s="47" customFormat="1" x14ac:dyDescent="0.35">
      <c r="A14" s="20" t="s">
        <v>111</v>
      </c>
      <c r="B14" s="230">
        <f t="shared" ref="B14:E14" si="9">+B26+B38+B50+B61</f>
        <v>499283.36</v>
      </c>
      <c r="C14" s="230">
        <f t="shared" si="9"/>
        <v>483446.2</v>
      </c>
      <c r="D14" s="230">
        <f t="shared" si="9"/>
        <v>-168892.15000000002</v>
      </c>
      <c r="E14" s="230">
        <f t="shared" si="9"/>
        <v>20189.82</v>
      </c>
      <c r="F14" s="230">
        <f t="shared" si="5"/>
        <v>834027.23</v>
      </c>
      <c r="G14" s="230">
        <f t="shared" si="6"/>
        <v>217160.78</v>
      </c>
    </row>
    <row r="15" spans="1:7" s="47" customFormat="1" x14ac:dyDescent="0.35">
      <c r="A15" s="31" t="s">
        <v>113</v>
      </c>
      <c r="B15" s="230">
        <f>SUM(B11:B14)</f>
        <v>5972530.4900000002</v>
      </c>
      <c r="C15" s="230">
        <f>SUM(C11:C14)</f>
        <v>1159977.21</v>
      </c>
      <c r="D15" s="230">
        <f t="shared" ref="D15:G15" si="10">SUM(D11:D14)</f>
        <v>-761810.72</v>
      </c>
      <c r="E15" s="230">
        <f t="shared" si="10"/>
        <v>115284.29000000001</v>
      </c>
      <c r="F15" s="230">
        <f t="shared" si="10"/>
        <v>6485981.2699999996</v>
      </c>
      <c r="G15" s="230">
        <f t="shared" si="10"/>
        <v>818303.19000000006</v>
      </c>
    </row>
    <row r="16" spans="1:7" s="47" customFormat="1" x14ac:dyDescent="0.35">
      <c r="E16" s="4"/>
    </row>
    <row r="17" spans="1:7" s="47" customFormat="1" x14ac:dyDescent="0.35">
      <c r="A17" s="20"/>
      <c r="B17" s="71"/>
      <c r="C17" s="71"/>
      <c r="D17" s="155"/>
    </row>
    <row r="18" spans="1:7" s="47" customFormat="1" x14ac:dyDescent="0.35">
      <c r="A18" s="259" t="s">
        <v>207</v>
      </c>
      <c r="B18" s="71"/>
      <c r="C18" s="71"/>
      <c r="D18" s="155"/>
    </row>
    <row r="19" spans="1:7" s="47" customFormat="1" x14ac:dyDescent="0.35">
      <c r="A19" s="20" t="s">
        <v>24</v>
      </c>
      <c r="B19" s="26">
        <f>ROUND(+'[13]EO Matrix @Meter'!$S$18,2)</f>
        <v>3528190.07</v>
      </c>
      <c r="C19" s="26">
        <f>ROUND(+'[14]TD EO Ex Post Gross Adj'!$AL$370,2)</f>
        <v>-1041427.6</v>
      </c>
      <c r="D19" s="26">
        <f>ROUND('[14]TD EO NTG Adj'!$AL$384,2)</f>
        <v>537465.77</v>
      </c>
      <c r="E19" s="26">
        <f>ROUND(+'[14]EO TD Carrying Costs'!$AL$63,2)</f>
        <v>11386.11</v>
      </c>
      <c r="F19" s="230">
        <f>SUM(B19:E19)</f>
        <v>3035614.3499999996</v>
      </c>
      <c r="G19" s="230">
        <f>ROUND(F19/24*2,2)</f>
        <v>252967.86</v>
      </c>
    </row>
    <row r="20" spans="1:7" s="47" customFormat="1" x14ac:dyDescent="0.35">
      <c r="A20" s="20" t="s">
        <v>25</v>
      </c>
      <c r="B20" s="229">
        <f>ROUND(+'[13]EO Matrix @Meter'!$T$18,2)</f>
        <v>4826270.37</v>
      </c>
      <c r="C20" s="229">
        <f>SUM(C23:C26)</f>
        <v>288583.98</v>
      </c>
      <c r="D20" s="229">
        <f t="shared" ref="D20:E20" si="11">SUM(D23:D26)</f>
        <v>662688.41</v>
      </c>
      <c r="E20" s="229">
        <f t="shared" si="11"/>
        <v>41412.159999999996</v>
      </c>
      <c r="F20" s="230">
        <f>SUM(B20:E20)</f>
        <v>5818954.9199999999</v>
      </c>
      <c r="G20" s="230">
        <f>ROUND(F20/24*2,2)</f>
        <v>484912.91</v>
      </c>
    </row>
    <row r="21" spans="1:7" s="47" customFormat="1" x14ac:dyDescent="0.35">
      <c r="A21" s="20" t="s">
        <v>5</v>
      </c>
      <c r="B21" s="230">
        <f t="shared" ref="B21:G21" si="12">SUM(B19:B20)</f>
        <v>8354460.4399999995</v>
      </c>
      <c r="C21" s="230">
        <f t="shared" si="12"/>
        <v>-752843.62</v>
      </c>
      <c r="D21" s="230">
        <f t="shared" si="12"/>
        <v>1200154.1800000002</v>
      </c>
      <c r="E21" s="230">
        <f t="shared" si="12"/>
        <v>52798.27</v>
      </c>
      <c r="F21" s="230">
        <f t="shared" si="12"/>
        <v>8854569.2699999996</v>
      </c>
      <c r="G21" s="230">
        <f t="shared" si="12"/>
        <v>737880.77</v>
      </c>
    </row>
    <row r="22" spans="1:7" s="47" customFormat="1" x14ac:dyDescent="0.35">
      <c r="B22" s="227"/>
      <c r="C22" s="227"/>
      <c r="D22" s="228"/>
    </row>
    <row r="23" spans="1:7" x14ac:dyDescent="0.35">
      <c r="A23" s="20" t="s">
        <v>108</v>
      </c>
      <c r="B23" s="26">
        <f>ROUND(+'[13]EO Matrix @Meter'!$W$18,2)</f>
        <v>674006.21</v>
      </c>
      <c r="C23" s="26">
        <f>ROUND(+'[14]TD EO Ex Post Gross Adj'!AL371,2)</f>
        <v>-37272.29</v>
      </c>
      <c r="D23" s="26">
        <f>ROUND(+'[14]TD EO NTG Adj'!AL385,2)</f>
        <v>101225.02</v>
      </c>
      <c r="E23" s="229">
        <f>ROUND(+'[14]EO TD Carrying Costs'!AL64,2)</f>
        <v>4637.5600000000004</v>
      </c>
      <c r="F23" s="230">
        <f t="shared" ref="F23:F26" si="13">SUM(B23:E23)</f>
        <v>742596.5</v>
      </c>
      <c r="G23" s="230">
        <f>ROUND(F23/24*2,2)</f>
        <v>61883.040000000001</v>
      </c>
    </row>
    <row r="24" spans="1:7" x14ac:dyDescent="0.35">
      <c r="A24" s="20" t="s">
        <v>109</v>
      </c>
      <c r="B24" s="229">
        <f>ROUND(+'[13]EO Matrix @Meter'!$X$18,2)</f>
        <v>1713084.19</v>
      </c>
      <c r="C24" s="229">
        <f>ROUND(+'[14]TD EO Ex Post Gross Adj'!AL372,2)</f>
        <v>122147.33</v>
      </c>
      <c r="D24" s="229">
        <f>ROUND(+'[14]TD EO NTG Adj'!AL386,2)</f>
        <v>340699.47</v>
      </c>
      <c r="E24" s="229">
        <f>ROUND(+'[14]EO TD Carrying Costs'!AL65,2)</f>
        <v>19663.03</v>
      </c>
      <c r="F24" s="230">
        <f t="shared" si="13"/>
        <v>2195594.02</v>
      </c>
      <c r="G24" s="230">
        <f>ROUND(F24/24*2,2)</f>
        <v>182966.17</v>
      </c>
    </row>
    <row r="25" spans="1:7" x14ac:dyDescent="0.35">
      <c r="A25" s="20" t="s">
        <v>110</v>
      </c>
      <c r="B25" s="26">
        <f>ROUND(+'[13]EO Matrix @Meter'!$Y$18,2)</f>
        <v>2024596.54</v>
      </c>
      <c r="C25" s="26">
        <f>ROUND(+'[14]TD EO Ex Post Gross Adj'!AL373,2)</f>
        <v>169641.44</v>
      </c>
      <c r="D25" s="26">
        <f>ROUND(+'[14]TD EO NTG Adj'!AL387,2)</f>
        <v>191871.42</v>
      </c>
      <c r="E25" s="26">
        <f>ROUND(+'[14]EO TD Carrying Costs'!AL66,2)</f>
        <v>15454.89</v>
      </c>
      <c r="F25" s="230">
        <f t="shared" si="13"/>
        <v>2401564.29</v>
      </c>
      <c r="G25" s="230">
        <f>ROUND(F25/24*2,2)</f>
        <v>200130.36</v>
      </c>
    </row>
    <row r="26" spans="1:7" x14ac:dyDescent="0.35">
      <c r="A26" s="20" t="s">
        <v>111</v>
      </c>
      <c r="B26" s="229">
        <f>ROUND(+'[13]EO Matrix @Meter'!$Z$18,2)</f>
        <v>414583.45</v>
      </c>
      <c r="C26" s="229">
        <f>ROUND(+'[14]TD EO Ex Post Gross Adj'!AL374,2)</f>
        <v>34067.5</v>
      </c>
      <c r="D26" s="229">
        <f>ROUND(+'[14]TD EO NTG Adj'!AL388,2)</f>
        <v>28892.5</v>
      </c>
      <c r="E26" s="229">
        <f>ROUND(+'[14]EO TD Carrying Costs'!AL67,2)</f>
        <v>1656.68</v>
      </c>
      <c r="F26" s="230">
        <f t="shared" si="13"/>
        <v>479200.13</v>
      </c>
      <c r="G26" s="230">
        <f>ROUND(F26/24*2,2)</f>
        <v>39933.339999999997</v>
      </c>
    </row>
    <row r="27" spans="1:7" x14ac:dyDescent="0.35">
      <c r="A27" s="31" t="s">
        <v>113</v>
      </c>
      <c r="B27" s="230">
        <f>SUM(B23:B26)</f>
        <v>4826270.3899999997</v>
      </c>
      <c r="C27" s="230">
        <f>SUM(C23:C26)</f>
        <v>288583.98</v>
      </c>
      <c r="D27" s="230">
        <f t="shared" ref="D27:G27" si="14">SUM(D23:D26)</f>
        <v>662688.41</v>
      </c>
      <c r="E27" s="230">
        <f t="shared" si="14"/>
        <v>41412.159999999996</v>
      </c>
      <c r="F27" s="230">
        <f t="shared" si="14"/>
        <v>5818954.9400000004</v>
      </c>
      <c r="G27" s="230">
        <f t="shared" si="14"/>
        <v>484912.91000000003</v>
      </c>
    </row>
    <row r="28" spans="1:7" x14ac:dyDescent="0.35">
      <c r="A28" s="47"/>
      <c r="B28" s="47"/>
      <c r="D28" s="47"/>
      <c r="E28" s="4"/>
    </row>
    <row r="29" spans="1:7" s="47" customFormat="1" x14ac:dyDescent="0.35">
      <c r="E29" s="4"/>
    </row>
    <row r="30" spans="1:7" x14ac:dyDescent="0.35">
      <c r="A30" s="259" t="s">
        <v>208</v>
      </c>
      <c r="B30" s="47"/>
      <c r="D30" s="47"/>
      <c r="E30" s="47"/>
    </row>
    <row r="31" spans="1:7" s="47" customFormat="1" x14ac:dyDescent="0.35">
      <c r="A31" s="20" t="s">
        <v>24</v>
      </c>
      <c r="B31" s="26">
        <f>ROUND(+'[15]EO Matrix @Meter'!$S$18,2)</f>
        <v>1266045.8400000001</v>
      </c>
      <c r="C31" s="26">
        <f>ROUND(+'[14]TD EO Ex Post Gross Adj'!BE370+'[14]TD EO Ex Post Gross Adj'!BS370+'[16]TD EO Ex Post Gross Adj'!BE370+'[16]TD EO Ex Post Gross Adj'!BS370,2)</f>
        <v>-261684.95</v>
      </c>
      <c r="D31" s="26">
        <f>ROUND(+'[14]TD EO NTG Adj'!$BE$384+'[14]TD EO NTG Adj'!$BS$384+'[16]TD EO NTG Adj'!$BE$384+'[16]TD EO NTG Adj'!$BS$384,2)</f>
        <v>-1774297.12</v>
      </c>
      <c r="E31" s="26">
        <f>ROUND(+'[14]EO TD Carrying Costs'!$BE$63+'[16]EO TD Carrying Costs'!$BE$62,2)</f>
        <v>-89512.47</v>
      </c>
      <c r="F31" s="230">
        <f>SUM(B31:E31)</f>
        <v>-859448.7</v>
      </c>
      <c r="G31" s="230">
        <f>ROUND(F31/24*12,2)</f>
        <v>-429724.35</v>
      </c>
    </row>
    <row r="32" spans="1:7" s="47" customFormat="1" x14ac:dyDescent="0.35">
      <c r="A32" s="20" t="s">
        <v>25</v>
      </c>
      <c r="B32" s="229">
        <f>ROUND(SUM('[15]EO Matrix @Meter'!$W$18:$Z$18),2)</f>
        <v>1146260.1000000001</v>
      </c>
      <c r="C32" s="229">
        <f>SUM(C35:C38)</f>
        <v>652330.12000000011</v>
      </c>
      <c r="D32" s="229">
        <f t="shared" ref="D32:E32" si="15">SUM(D35:D38)</f>
        <v>-1070219.28</v>
      </c>
      <c r="E32" s="229">
        <f t="shared" si="15"/>
        <v>60706.75</v>
      </c>
      <c r="F32" s="230">
        <f>SUM(B32:E32)</f>
        <v>789077.69000000018</v>
      </c>
      <c r="G32" s="230">
        <f>ROUND(F32/24*12,2)</f>
        <v>394538.85</v>
      </c>
    </row>
    <row r="33" spans="1:7" s="47" customFormat="1" x14ac:dyDescent="0.35">
      <c r="A33" s="20" t="s">
        <v>5</v>
      </c>
      <c r="B33" s="230">
        <f t="shared" ref="B33:G33" si="16">SUM(B31:B32)</f>
        <v>2412305.9400000004</v>
      </c>
      <c r="C33" s="230">
        <f t="shared" si="16"/>
        <v>390645.1700000001</v>
      </c>
      <c r="D33" s="230">
        <f t="shared" si="16"/>
        <v>-2844516.4000000004</v>
      </c>
      <c r="E33" s="230">
        <f t="shared" si="16"/>
        <v>-28805.72</v>
      </c>
      <c r="F33" s="230">
        <f t="shared" si="16"/>
        <v>-70371.009999999776</v>
      </c>
      <c r="G33" s="230">
        <f t="shared" si="16"/>
        <v>-35185.5</v>
      </c>
    </row>
    <row r="34" spans="1:7" s="47" customFormat="1" x14ac:dyDescent="0.35">
      <c r="B34" s="227"/>
      <c r="C34" s="227"/>
      <c r="D34" s="228"/>
    </row>
    <row r="35" spans="1:7" s="47" customFormat="1" x14ac:dyDescent="0.35">
      <c r="A35" s="20" t="s">
        <v>108</v>
      </c>
      <c r="B35" s="26">
        <f>ROUND(+'[15]EO Matrix @Meter'!$W$18,2)</f>
        <v>124816.68</v>
      </c>
      <c r="C35" s="26">
        <f>ROUND(+'[14]TD EO Ex Post Gross Adj'!BE371+'[14]TD EO Ex Post Gross Adj'!BS371+'[16]TD EO Ex Post Gross Adj'!BE371+'[16]TD EO Ex Post Gross Adj'!BS371,2)</f>
        <v>-31690.68</v>
      </c>
      <c r="D35" s="26">
        <f>ROUND(+'[14]TD EO NTG Adj'!BE385+'[14]TD EO NTG Adj'!BS385+'[16]TD EO NTG Adj'!BE385+'[16]TD EO NTG Adj'!BS385,2)</f>
        <v>-451100.9</v>
      </c>
      <c r="E35" s="229">
        <f>ROUND(+'[14]EO TD Carrying Costs'!BE64+'[16]EO TD Carrying Costs'!BE63,2)</f>
        <v>-6747.99</v>
      </c>
      <c r="F35" s="230">
        <f t="shared" ref="F35:F38" si="17">SUM(B35:E35)</f>
        <v>-364722.89</v>
      </c>
      <c r="G35" s="230">
        <f>ROUND(F35/24*12,2)</f>
        <v>-182361.45</v>
      </c>
    </row>
    <row r="36" spans="1:7" s="47" customFormat="1" x14ac:dyDescent="0.35">
      <c r="A36" s="20" t="s">
        <v>109</v>
      </c>
      <c r="B36" s="229">
        <f>ROUND(+'[15]EO Matrix @Meter'!$X$18,2)</f>
        <v>390572.25</v>
      </c>
      <c r="C36" s="229">
        <f>ROUND(+'[14]TD EO Ex Post Gross Adj'!BE372+'[14]TD EO Ex Post Gross Adj'!BS372+'[16]TD EO Ex Post Gross Adj'!BE372+'[16]TD EO Ex Post Gross Adj'!BS372,2)</f>
        <v>243638.01</v>
      </c>
      <c r="D36" s="229">
        <f>ROUND(+'[14]TD EO NTG Adj'!BE386+'[14]TD EO NTG Adj'!BS386+'[16]TD EO NTG Adj'!BE386+'[16]TD EO NTG Adj'!BS386,2)</f>
        <v>-201296.23</v>
      </c>
      <c r="E36" s="229">
        <f>ROUND(+'[14]EO TD Carrying Costs'!BE65+'[16]EO TD Carrying Costs'!BE64,2)</f>
        <v>35332.660000000003</v>
      </c>
      <c r="F36" s="230">
        <f t="shared" si="17"/>
        <v>468246.69000000006</v>
      </c>
      <c r="G36" s="230">
        <f t="shared" ref="G36:G38" si="18">ROUND(F36/24*12,2)</f>
        <v>234123.35</v>
      </c>
    </row>
    <row r="37" spans="1:7" s="47" customFormat="1" x14ac:dyDescent="0.35">
      <c r="A37" s="20" t="s">
        <v>110</v>
      </c>
      <c r="B37" s="26">
        <f>ROUND(+'[15]EO Matrix @Meter'!$Y$18,2)</f>
        <v>546171.26</v>
      </c>
      <c r="C37" s="26">
        <f>ROUND(+'[14]TD EO Ex Post Gross Adj'!BE373+'[14]TD EO Ex Post Gross Adj'!BS373+'[16]TD EO Ex Post Gross Adj'!BE373+'[16]TD EO Ex Post Gross Adj'!BS373,2)</f>
        <v>104616.02</v>
      </c>
      <c r="D37" s="26">
        <f>ROUND(+'[14]TD EO NTG Adj'!BE387+'[14]TD EO NTG Adj'!BS387+'[16]TD EO NTG Adj'!BE387+'[16]TD EO NTG Adj'!BS387,2)</f>
        <v>-270192.05</v>
      </c>
      <c r="E37" s="26">
        <f>ROUND(+'[14]EO TD Carrying Costs'!BE66+'[16]EO TD Carrying Costs'!BE65,2)</f>
        <v>23076.27</v>
      </c>
      <c r="F37" s="230">
        <f t="shared" si="17"/>
        <v>403671.50000000006</v>
      </c>
      <c r="G37" s="230">
        <f t="shared" si="18"/>
        <v>201835.75</v>
      </c>
    </row>
    <row r="38" spans="1:7" s="47" customFormat="1" x14ac:dyDescent="0.35">
      <c r="A38" s="20" t="s">
        <v>111</v>
      </c>
      <c r="B38" s="229">
        <f>ROUND(+'[15]EO Matrix @Meter'!$Z$18,2)</f>
        <v>84699.91</v>
      </c>
      <c r="C38" s="229">
        <f>ROUND(+'[14]TD EO Ex Post Gross Adj'!BE374+'[14]TD EO Ex Post Gross Adj'!BS374+'[16]TD EO Ex Post Gross Adj'!BE374+'[16]TD EO Ex Post Gross Adj'!BS374,2)</f>
        <v>335766.77</v>
      </c>
      <c r="D38" s="229">
        <f>ROUND(+'[14]TD EO NTG Adj'!BE388+'[14]TD EO NTG Adj'!BS388+'[16]TD EO NTG Adj'!BE388+'[16]TD EO NTG Adj'!BS388,2)</f>
        <v>-147630.1</v>
      </c>
      <c r="E38" s="229">
        <f>ROUND(+'[14]EO TD Carrying Costs'!BE67+'[16]EO TD Carrying Costs'!BE66,2)</f>
        <v>9045.81</v>
      </c>
      <c r="F38" s="230">
        <f t="shared" si="17"/>
        <v>281882.39000000007</v>
      </c>
      <c r="G38" s="230">
        <f t="shared" si="18"/>
        <v>140941.20000000001</v>
      </c>
    </row>
    <row r="39" spans="1:7" s="47" customFormat="1" x14ac:dyDescent="0.35">
      <c r="A39" s="31" t="s">
        <v>113</v>
      </c>
      <c r="B39" s="230">
        <f>SUM(B35:B38)</f>
        <v>1146260.0999999999</v>
      </c>
      <c r="C39" s="230">
        <f>SUM(C35:C38)</f>
        <v>652330.12000000011</v>
      </c>
      <c r="D39" s="230">
        <f t="shared" ref="D39:G39" si="19">SUM(D35:D38)</f>
        <v>-1070219.28</v>
      </c>
      <c r="E39" s="230">
        <f t="shared" si="19"/>
        <v>60706.75</v>
      </c>
      <c r="F39" s="230">
        <f t="shared" si="19"/>
        <v>789077.69000000018</v>
      </c>
      <c r="G39" s="230">
        <f t="shared" si="19"/>
        <v>394538.85</v>
      </c>
    </row>
    <row r="40" spans="1:7" s="47" customFormat="1" x14ac:dyDescent="0.35">
      <c r="E40" s="4"/>
    </row>
    <row r="41" spans="1:7" x14ac:dyDescent="0.35">
      <c r="A41" s="47"/>
      <c r="B41" s="47"/>
      <c r="D41" s="47"/>
      <c r="E41" s="47"/>
    </row>
    <row r="42" spans="1:7" s="47" customFormat="1" x14ac:dyDescent="0.35">
      <c r="A42" s="259" t="s">
        <v>209</v>
      </c>
    </row>
    <row r="43" spans="1:7" s="47" customFormat="1" x14ac:dyDescent="0.35">
      <c r="A43" s="20" t="s">
        <v>24</v>
      </c>
      <c r="B43" s="26">
        <v>0</v>
      </c>
      <c r="C43" s="26">
        <f>ROUND('[14]TD EO Ex Post Gross Adj'!$CE$370+'[16]TD EO Ex Post Gross Adj'!$CE$370,2)</f>
        <v>8894.23</v>
      </c>
      <c r="D43" s="26">
        <f>ROUND('[14]TD EO NTG Adj'!$CE$384+'[16]TD EO NTG Adj'!$CE$384,2)</f>
        <v>-668670.34</v>
      </c>
      <c r="E43" s="26">
        <f>ROUND('[14]EO TD Carrying Costs'!$BK$63+'[16]EO TD Carrying Costs'!$BK$62,2)</f>
        <v>-51414.78</v>
      </c>
      <c r="F43" s="230">
        <f>SUM(B43:E43)</f>
        <v>-711190.89</v>
      </c>
      <c r="G43" s="230">
        <f>ROUND(F43/24*12,2)</f>
        <v>-355595.45</v>
      </c>
    </row>
    <row r="44" spans="1:7" s="47" customFormat="1" x14ac:dyDescent="0.35">
      <c r="A44" s="20" t="s">
        <v>25</v>
      </c>
      <c r="B44" s="229">
        <v>0</v>
      </c>
      <c r="C44" s="229">
        <f>SUM(C47:C50)</f>
        <v>219063.11</v>
      </c>
      <c r="D44" s="229">
        <f t="shared" ref="D44:E44" si="20">SUM(D47:D50)</f>
        <v>-354279.85</v>
      </c>
      <c r="E44" s="229">
        <f t="shared" si="20"/>
        <v>10216.190000000002</v>
      </c>
      <c r="F44" s="230">
        <f>SUM(B44:E44)</f>
        <v>-125000.54999999999</v>
      </c>
      <c r="G44" s="230">
        <f>ROUND(F44/24*12,2)</f>
        <v>-62500.28</v>
      </c>
    </row>
    <row r="45" spans="1:7" s="47" customFormat="1" x14ac:dyDescent="0.35">
      <c r="A45" s="20" t="s">
        <v>5</v>
      </c>
      <c r="B45" s="230">
        <f t="shared" ref="B45:G45" si="21">SUM(B43:B44)</f>
        <v>0</v>
      </c>
      <c r="C45" s="230">
        <f t="shared" si="21"/>
        <v>227957.34</v>
      </c>
      <c r="D45" s="230">
        <f t="shared" si="21"/>
        <v>-1022950.19</v>
      </c>
      <c r="E45" s="230">
        <f t="shared" si="21"/>
        <v>-41198.589999999997</v>
      </c>
      <c r="F45" s="230">
        <f t="shared" si="21"/>
        <v>-836191.44</v>
      </c>
      <c r="G45" s="230">
        <f t="shared" si="21"/>
        <v>-418095.73</v>
      </c>
    </row>
    <row r="46" spans="1:7" s="47" customFormat="1" x14ac:dyDescent="0.35">
      <c r="B46" s="227"/>
      <c r="C46" s="227"/>
      <c r="D46" s="228"/>
    </row>
    <row r="47" spans="1:7" s="47" customFormat="1" x14ac:dyDescent="0.35">
      <c r="A47" s="20" t="s">
        <v>108</v>
      </c>
      <c r="B47" s="26">
        <v>0</v>
      </c>
      <c r="C47" s="26">
        <f>ROUND('[14]TD EO Ex Post Gross Adj'!$CE$371+'[16]TD EO Ex Post Gross Adj'!$CE$371,2)</f>
        <v>-10762.26</v>
      </c>
      <c r="D47" s="26">
        <f>ROUND('[14]TD EO NTG Adj'!$CE$385+'[16]TD EO NTG Adj'!$CE$385,2)</f>
        <v>-149794.82999999999</v>
      </c>
      <c r="E47" s="229">
        <f>ROUND('[14]EO TD Carrying Costs'!$BK$64+'[16]EO TD Carrying Costs'!$BK$63,2)</f>
        <v>-8503.82</v>
      </c>
      <c r="F47" s="230">
        <f t="shared" ref="F47:F50" si="22">SUM(B47:E47)</f>
        <v>-169060.91</v>
      </c>
      <c r="G47" s="230">
        <f>ROUND(F47/24*12,2)</f>
        <v>-84530.46</v>
      </c>
    </row>
    <row r="48" spans="1:7" s="47" customFormat="1" x14ac:dyDescent="0.35">
      <c r="A48" s="20" t="s">
        <v>109</v>
      </c>
      <c r="B48" s="229">
        <v>0</v>
      </c>
      <c r="C48" s="229">
        <f>ROUND('[14]TD EO Ex Post Gross Adj'!$CE$372+'[16]TD EO Ex Post Gross Adj'!$CE$372,2)</f>
        <v>81670.7</v>
      </c>
      <c r="D48" s="229">
        <f>ROUND('[14]TD EO NTG Adj'!$CE$386+'[16]TD EO NTG Adj'!$CE$386,2)</f>
        <v>-64576.77</v>
      </c>
      <c r="E48" s="229">
        <f>ROUND('[14]EO TD Carrying Costs'!$BK$65+'[16]EO TD Carrying Costs'!$BK$64,2)</f>
        <v>9912.11</v>
      </c>
      <c r="F48" s="230">
        <f t="shared" si="22"/>
        <v>27006.04</v>
      </c>
      <c r="G48" s="230">
        <f t="shared" ref="G48:G50" si="23">ROUND(F48/24*12,2)</f>
        <v>13503.02</v>
      </c>
    </row>
    <row r="49" spans="1:7" s="47" customFormat="1" x14ac:dyDescent="0.35">
      <c r="A49" s="20" t="s">
        <v>110</v>
      </c>
      <c r="B49" s="26">
        <v>0</v>
      </c>
      <c r="C49" s="26">
        <f>ROUND('[14]TD EO Ex Post Gross Adj'!$CE$373+'[16]TD EO Ex Post Gross Adj'!$CE$373,2)</f>
        <v>34542.74</v>
      </c>
      <c r="D49" s="26">
        <f>ROUND('[14]TD EO NTG Adj'!$CE$387+'[16]TD EO NTG Adj'!$CE$387,2)</f>
        <v>-89753.7</v>
      </c>
      <c r="E49" s="26">
        <f>ROUND('[14]EO TD Carrying Costs'!$BK$66+'[16]EO TD Carrying Costs'!$BK$65,2)</f>
        <v>3787.3</v>
      </c>
      <c r="F49" s="230">
        <f t="shared" si="22"/>
        <v>-51423.659999999996</v>
      </c>
      <c r="G49" s="230">
        <f t="shared" si="23"/>
        <v>-25711.83</v>
      </c>
    </row>
    <row r="50" spans="1:7" s="47" customFormat="1" x14ac:dyDescent="0.35">
      <c r="A50" s="20" t="s">
        <v>111</v>
      </c>
      <c r="B50" s="229">
        <v>0</v>
      </c>
      <c r="C50" s="229">
        <f>ROUND('[14]TD EO Ex Post Gross Adj'!$CE$374+'[16]TD EO Ex Post Gross Adj'!$CE$374,2)</f>
        <v>113611.93</v>
      </c>
      <c r="D50" s="229">
        <f>ROUND('[14]TD EO NTG Adj'!$CE$388+'[16]TD EO NTG Adj'!$CE$388,2)</f>
        <v>-50154.55</v>
      </c>
      <c r="E50" s="229">
        <f>ROUND('[14]EO TD Carrying Costs'!$BK$67+'[16]EO TD Carrying Costs'!$BK$66,2)</f>
        <v>5020.6000000000004</v>
      </c>
      <c r="F50" s="230">
        <f t="shared" si="22"/>
        <v>68477.98</v>
      </c>
      <c r="G50" s="230">
        <f t="shared" si="23"/>
        <v>34238.99</v>
      </c>
    </row>
    <row r="51" spans="1:7" s="47" customFormat="1" x14ac:dyDescent="0.35">
      <c r="A51" s="31" t="s">
        <v>113</v>
      </c>
      <c r="B51" s="230">
        <f>SUM(B47:B50)</f>
        <v>0</v>
      </c>
      <c r="C51" s="230">
        <f>SUM(C47:C50)</f>
        <v>219063.11</v>
      </c>
      <c r="D51" s="230">
        <f t="shared" ref="D51:G51" si="24">SUM(D47:D50)</f>
        <v>-354279.85</v>
      </c>
      <c r="E51" s="230">
        <f t="shared" si="24"/>
        <v>10216.190000000002</v>
      </c>
      <c r="F51" s="230">
        <f t="shared" si="24"/>
        <v>-125000.55</v>
      </c>
      <c r="G51" s="230">
        <f t="shared" si="24"/>
        <v>-62500.280000000006</v>
      </c>
    </row>
    <row r="52" spans="1:7" s="47" customFormat="1" x14ac:dyDescent="0.35">
      <c r="E52" s="4"/>
    </row>
    <row r="53" spans="1:7" s="47" customFormat="1" x14ac:dyDescent="0.35">
      <c r="A53" s="259" t="s">
        <v>210</v>
      </c>
    </row>
    <row r="54" spans="1:7" s="47" customFormat="1" x14ac:dyDescent="0.35">
      <c r="A54" s="20" t="s">
        <v>24</v>
      </c>
      <c r="B54" s="26">
        <v>0</v>
      </c>
      <c r="C54" s="26">
        <v>0</v>
      </c>
      <c r="D54" s="26">
        <v>0</v>
      </c>
      <c r="E54" s="26">
        <f>ROUND(SUM('[17]EO TD Carrying Costs'!$BJ$81:$BK$81,'[17]EO TD Carrying Costs'!$BL$55:$BQ$55)+SUM('[18]EO TD Carrying Costs'!$BJ$82:$BK$82,'[18]EO TD Carrying Costs'!$BL$55:$BQ$55),2)</f>
        <v>-46354.43</v>
      </c>
      <c r="F54" s="230">
        <f>SUM(B54:E54)</f>
        <v>-46354.43</v>
      </c>
      <c r="G54" s="230">
        <f>ROUND(F54/24*11,2)</f>
        <v>-21245.78</v>
      </c>
    </row>
    <row r="55" spans="1:7" s="47" customFormat="1" x14ac:dyDescent="0.35">
      <c r="A55" s="20" t="s">
        <v>25</v>
      </c>
      <c r="B55" s="229">
        <v>0</v>
      </c>
      <c r="C55" s="229">
        <f>SUM(C58:C61)</f>
        <v>0</v>
      </c>
      <c r="D55" s="229">
        <f t="shared" ref="D55:G55" si="25">SUM(D58:D61)</f>
        <v>0</v>
      </c>
      <c r="E55" s="229">
        <f t="shared" si="25"/>
        <v>2949.1899999999991</v>
      </c>
      <c r="F55" s="230">
        <f>SUM(B55:E55)</f>
        <v>2949.1899999999991</v>
      </c>
      <c r="G55" s="230">
        <f t="shared" si="25"/>
        <v>1351.71</v>
      </c>
    </row>
    <row r="56" spans="1:7" s="47" customFormat="1" x14ac:dyDescent="0.35">
      <c r="A56" s="20" t="s">
        <v>5</v>
      </c>
      <c r="B56" s="230">
        <f t="shared" ref="B56:G56" si="26">SUM(B54:B55)</f>
        <v>0</v>
      </c>
      <c r="C56" s="230">
        <f t="shared" si="26"/>
        <v>0</v>
      </c>
      <c r="D56" s="230">
        <f t="shared" si="26"/>
        <v>0</v>
      </c>
      <c r="E56" s="230">
        <f t="shared" si="26"/>
        <v>-43405.24</v>
      </c>
      <c r="F56" s="230">
        <f t="shared" si="26"/>
        <v>-43405.24</v>
      </c>
      <c r="G56" s="230">
        <f t="shared" si="26"/>
        <v>-19894.07</v>
      </c>
    </row>
    <row r="57" spans="1:7" s="47" customFormat="1" x14ac:dyDescent="0.35">
      <c r="B57" s="227"/>
      <c r="C57" s="227"/>
      <c r="D57" s="228"/>
    </row>
    <row r="58" spans="1:7" s="47" customFormat="1" x14ac:dyDescent="0.35">
      <c r="A58" s="20" t="s">
        <v>108</v>
      </c>
      <c r="B58" s="26">
        <v>0</v>
      </c>
      <c r="C58" s="26">
        <v>0</v>
      </c>
      <c r="D58" s="26">
        <v>0</v>
      </c>
      <c r="E58" s="229">
        <f>ROUND(SUM('[17]EO TD Carrying Costs'!$BJ82:$BK82,'[17]EO TD Carrying Costs'!$BL56:$BQ56)+SUM('[18]EO TD Carrying Costs'!$BJ83:$BK83,'[18]EO TD Carrying Costs'!$BL56:$BQ56),2)</f>
        <v>-8810.09</v>
      </c>
      <c r="F58" s="230">
        <f t="shared" ref="F58:F61" si="27">SUM(B58:E58)</f>
        <v>-8810.09</v>
      </c>
      <c r="G58" s="230">
        <f>ROUND(F58/24*11,2)</f>
        <v>-4037.96</v>
      </c>
    </row>
    <row r="59" spans="1:7" s="47" customFormat="1" x14ac:dyDescent="0.35">
      <c r="A59" s="20" t="s">
        <v>109</v>
      </c>
      <c r="B59" s="229">
        <v>0</v>
      </c>
      <c r="C59" s="229">
        <v>0</v>
      </c>
      <c r="D59" s="229">
        <v>0</v>
      </c>
      <c r="E59" s="229">
        <f>ROUND(SUM('[17]EO TD Carrying Costs'!$BJ83:$BK83,'[17]EO TD Carrying Costs'!$BL57:$BQ57)+SUM('[18]EO TD Carrying Costs'!$BJ84:$BK84,'[18]EO TD Carrying Costs'!$BL57:$BQ57),2)</f>
        <v>6289.37</v>
      </c>
      <c r="F59" s="230">
        <f t="shared" si="27"/>
        <v>6289.37</v>
      </c>
      <c r="G59" s="230">
        <f>ROUND(F59/24*11,2)</f>
        <v>2882.63</v>
      </c>
    </row>
    <row r="60" spans="1:7" s="47" customFormat="1" x14ac:dyDescent="0.35">
      <c r="A60" s="20" t="s">
        <v>110</v>
      </c>
      <c r="B60" s="26">
        <v>0</v>
      </c>
      <c r="C60" s="26">
        <v>0</v>
      </c>
      <c r="D60" s="26">
        <v>0</v>
      </c>
      <c r="E60" s="26">
        <f>ROUND(SUM('[17]EO TD Carrying Costs'!$BJ84:$BK84,'[17]EO TD Carrying Costs'!$BL58:$BQ58)+SUM('[18]EO TD Carrying Costs'!$BJ85:$BK85,'[18]EO TD Carrying Costs'!$BL58:$BQ58),2)</f>
        <v>1003.18</v>
      </c>
      <c r="F60" s="230">
        <f t="shared" si="27"/>
        <v>1003.18</v>
      </c>
      <c r="G60" s="230">
        <f>ROUND(F60/24*11,2)</f>
        <v>459.79</v>
      </c>
    </row>
    <row r="61" spans="1:7" s="47" customFormat="1" x14ac:dyDescent="0.35">
      <c r="A61" s="20" t="s">
        <v>111</v>
      </c>
      <c r="B61" s="229">
        <v>0</v>
      </c>
      <c r="C61" s="229">
        <v>0</v>
      </c>
      <c r="D61" s="229">
        <v>0</v>
      </c>
      <c r="E61" s="229">
        <f>ROUND(SUM('[17]EO TD Carrying Costs'!$BJ85:$BK85,'[17]EO TD Carrying Costs'!$BL59:$BQ59)+SUM('[18]EO TD Carrying Costs'!$BJ86:$BK86,'[18]EO TD Carrying Costs'!$BL59:$BQ59),2)</f>
        <v>4466.7299999999996</v>
      </c>
      <c r="F61" s="230">
        <f t="shared" si="27"/>
        <v>4466.7299999999996</v>
      </c>
      <c r="G61" s="230">
        <f>ROUND(F61/24*11,2)</f>
        <v>2047.25</v>
      </c>
    </row>
    <row r="62" spans="1:7" s="47" customFormat="1" x14ac:dyDescent="0.35">
      <c r="A62" s="31" t="s">
        <v>113</v>
      </c>
      <c r="B62" s="230">
        <f>SUM(B58:B61)</f>
        <v>0</v>
      </c>
      <c r="C62" s="230">
        <f>SUM(C58:C61)</f>
        <v>0</v>
      </c>
      <c r="D62" s="230">
        <f t="shared" ref="D62:G62" si="28">SUM(D58:D61)</f>
        <v>0</v>
      </c>
      <c r="E62" s="230">
        <f t="shared" si="28"/>
        <v>2949.1899999999991</v>
      </c>
      <c r="F62" s="230">
        <f t="shared" si="28"/>
        <v>2949.1899999999991</v>
      </c>
      <c r="G62" s="230">
        <f t="shared" si="28"/>
        <v>1351.71</v>
      </c>
    </row>
    <row r="63" spans="1:7" s="47" customFormat="1" x14ac:dyDescent="0.35">
      <c r="E63" s="4"/>
    </row>
    <row r="64" spans="1:7" x14ac:dyDescent="0.35">
      <c r="A64" s="47"/>
      <c r="B64" s="47"/>
      <c r="D64" s="47"/>
      <c r="E64" s="47"/>
    </row>
    <row r="65" spans="1:7" x14ac:dyDescent="0.35">
      <c r="A65" s="54" t="s">
        <v>11</v>
      </c>
      <c r="B65" s="47"/>
      <c r="D65" s="47"/>
      <c r="E65" s="47"/>
    </row>
    <row r="66" spans="1:7" x14ac:dyDescent="0.35">
      <c r="A66" s="3" t="s">
        <v>163</v>
      </c>
      <c r="B66" s="47"/>
      <c r="D66" s="47"/>
      <c r="E66" s="47"/>
    </row>
    <row r="67" spans="1:7" s="47" customFormat="1" x14ac:dyDescent="0.35">
      <c r="A67" s="3" t="s">
        <v>204</v>
      </c>
    </row>
    <row r="68" spans="1:7" s="47" customFormat="1" x14ac:dyDescent="0.35">
      <c r="A68" s="3" t="s">
        <v>205</v>
      </c>
    </row>
    <row r="69" spans="1:7" x14ac:dyDescent="0.35">
      <c r="A69" s="3" t="s">
        <v>206</v>
      </c>
      <c r="B69" s="47"/>
      <c r="D69" s="47"/>
      <c r="E69" s="47"/>
    </row>
    <row r="70" spans="1:7" s="47" customFormat="1" x14ac:dyDescent="0.35">
      <c r="A70" s="3" t="s">
        <v>164</v>
      </c>
    </row>
    <row r="71" spans="1:7" ht="28.5" customHeight="1" x14ac:dyDescent="0.35">
      <c r="A71" s="298" t="s">
        <v>203</v>
      </c>
      <c r="B71" s="298"/>
      <c r="C71" s="298"/>
      <c r="D71" s="298"/>
      <c r="E71" s="298"/>
      <c r="F71" s="298"/>
      <c r="G71" s="298"/>
    </row>
  </sheetData>
  <mergeCells count="2">
    <mergeCell ref="B3:D3"/>
    <mergeCell ref="A71:G71"/>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2E79-0EFD-49E8-A513-B07A20AA3B3C}">
  <sheetPr>
    <pageSetUpPr fitToPage="1"/>
  </sheetPr>
  <dimension ref="A1:G60"/>
  <sheetViews>
    <sheetView workbookViewId="0"/>
  </sheetViews>
  <sheetFormatPr defaultColWidth="8.7265625" defaultRowHeight="14.5" outlineLevelRow="1" x14ac:dyDescent="0.35"/>
  <cols>
    <col min="1" max="1" width="22.453125" style="47" customWidth="1"/>
    <col min="2" max="2" width="15.26953125" style="47" bestFit="1" customWidth="1"/>
    <col min="3" max="3" width="14.26953125" style="47" customWidth="1"/>
    <col min="4" max="4" width="13.26953125" style="47" bestFit="1" customWidth="1"/>
    <col min="5" max="5" width="10.81640625" style="47" bestFit="1" customWidth="1"/>
    <col min="6" max="6" width="11.54296875" style="47" bestFit="1" customWidth="1"/>
    <col min="7" max="7" width="13.1796875" style="47" customWidth="1"/>
    <col min="8" max="16384" width="8.7265625" style="47"/>
  </cols>
  <sheetData>
    <row r="1" spans="1:7" x14ac:dyDescent="0.35">
      <c r="A1" s="64" t="str">
        <f>+'PPC Cycle 3'!A1</f>
        <v>Evergy Metro, Inc. - DSIM Rider Update Filed 12/02/2021</v>
      </c>
    </row>
    <row r="2" spans="1:7" x14ac:dyDescent="0.35">
      <c r="A2" s="9" t="str">
        <f>+'PPC Cycle 3'!A2</f>
        <v>Projections for Cycle 3 January - December 2022 DSIM</v>
      </c>
    </row>
    <row r="3" spans="1:7" ht="45.75" customHeight="1" x14ac:dyDescent="0.35">
      <c r="B3" s="295" t="s">
        <v>188</v>
      </c>
      <c r="C3" s="295"/>
      <c r="D3" s="295"/>
    </row>
    <row r="4" spans="1:7" ht="87" x14ac:dyDescent="0.35">
      <c r="B4" s="71" t="s">
        <v>101</v>
      </c>
      <c r="C4" s="71" t="s">
        <v>102</v>
      </c>
      <c r="D4" s="71" t="s">
        <v>105</v>
      </c>
      <c r="E4" s="71" t="s">
        <v>103</v>
      </c>
      <c r="F4" s="71" t="s">
        <v>100</v>
      </c>
      <c r="G4" s="71" t="s">
        <v>189</v>
      </c>
    </row>
    <row r="5" spans="1:7" x14ac:dyDescent="0.35">
      <c r="B5" s="71"/>
      <c r="C5" s="71"/>
      <c r="D5" s="71"/>
      <c r="E5" s="71"/>
      <c r="F5" s="71"/>
      <c r="G5" s="71"/>
    </row>
    <row r="6" spans="1:7" x14ac:dyDescent="0.35">
      <c r="A6" s="259" t="s">
        <v>185</v>
      </c>
      <c r="B6" s="71"/>
      <c r="C6" s="71"/>
      <c r="D6" s="156"/>
    </row>
    <row r="7" spans="1:7" x14ac:dyDescent="0.35">
      <c r="A7" s="20" t="s">
        <v>24</v>
      </c>
      <c r="B7" s="230">
        <f>+B19+B31+B43</f>
        <v>1163217.68</v>
      </c>
      <c r="C7" s="230">
        <f t="shared" ref="C7:E7" si="0">+C19+C31+C43</f>
        <v>331067.99</v>
      </c>
      <c r="D7" s="230">
        <f t="shared" si="0"/>
        <v>-686548</v>
      </c>
      <c r="E7" s="230">
        <f t="shared" si="0"/>
        <v>-17626.7</v>
      </c>
      <c r="F7" s="230">
        <f>SUM(B7:E7)</f>
        <v>790110.97</v>
      </c>
      <c r="G7" s="230">
        <f t="shared" ref="G7:G8" si="1">+G19+G31+G43</f>
        <v>724268.39</v>
      </c>
    </row>
    <row r="8" spans="1:7" x14ac:dyDescent="0.35">
      <c r="A8" s="20" t="s">
        <v>25</v>
      </c>
      <c r="B8" s="230">
        <f t="shared" ref="B8:E8" si="2">+B20+B32+B44</f>
        <v>923233.23</v>
      </c>
      <c r="C8" s="230">
        <f t="shared" si="2"/>
        <v>137591.55000000002</v>
      </c>
      <c r="D8" s="230">
        <f t="shared" si="2"/>
        <v>-89366.98</v>
      </c>
      <c r="E8" s="230">
        <f t="shared" si="2"/>
        <v>2905.83</v>
      </c>
      <c r="F8" s="230">
        <f>SUM(B8:E8)</f>
        <v>974363.63</v>
      </c>
      <c r="G8" s="230">
        <f t="shared" si="1"/>
        <v>893166.66</v>
      </c>
    </row>
    <row r="9" spans="1:7" x14ac:dyDescent="0.35">
      <c r="A9" s="20" t="s">
        <v>5</v>
      </c>
      <c r="B9" s="230">
        <f t="shared" ref="B9:G9" si="3">SUM(B7:B8)</f>
        <v>2086450.91</v>
      </c>
      <c r="C9" s="230">
        <f t="shared" si="3"/>
        <v>468659.54000000004</v>
      </c>
      <c r="D9" s="230">
        <f t="shared" si="3"/>
        <v>-775914.98</v>
      </c>
      <c r="E9" s="230">
        <f t="shared" si="3"/>
        <v>-14720.87</v>
      </c>
      <c r="F9" s="230">
        <f t="shared" si="3"/>
        <v>1764474.6</v>
      </c>
      <c r="G9" s="230">
        <f t="shared" si="3"/>
        <v>1617435.05</v>
      </c>
    </row>
    <row r="11" spans="1:7" x14ac:dyDescent="0.35">
      <c r="A11" s="20" t="s">
        <v>108</v>
      </c>
      <c r="B11" s="230">
        <f t="shared" ref="B11:E14" si="4">+B23+B35+B47</f>
        <v>89861.64</v>
      </c>
      <c r="C11" s="230">
        <f t="shared" si="4"/>
        <v>30571.68</v>
      </c>
      <c r="D11" s="230">
        <f t="shared" si="4"/>
        <v>-25048.27</v>
      </c>
      <c r="E11" s="230">
        <f t="shared" si="4"/>
        <v>150.27000000000001</v>
      </c>
      <c r="F11" s="230">
        <f t="shared" ref="F11:F14" si="5">SUM(B11:E11)</f>
        <v>95535.32</v>
      </c>
      <c r="G11" s="230">
        <f t="shared" ref="G11:G14" si="6">+G23+G35+G47</f>
        <v>87574.04</v>
      </c>
    </row>
    <row r="12" spans="1:7" x14ac:dyDescent="0.35">
      <c r="A12" s="20" t="s">
        <v>109</v>
      </c>
      <c r="B12" s="230">
        <f t="shared" si="4"/>
        <v>329114.67</v>
      </c>
      <c r="C12" s="230">
        <f t="shared" si="4"/>
        <v>56526.62</v>
      </c>
      <c r="D12" s="230">
        <f t="shared" si="4"/>
        <v>-39695.9</v>
      </c>
      <c r="E12" s="230">
        <f t="shared" si="4"/>
        <v>964.19</v>
      </c>
      <c r="F12" s="230">
        <f t="shared" si="5"/>
        <v>346909.57999999996</v>
      </c>
      <c r="G12" s="230">
        <f t="shared" si="6"/>
        <v>318000.45</v>
      </c>
    </row>
    <row r="13" spans="1:7" x14ac:dyDescent="0.35">
      <c r="A13" s="20" t="s">
        <v>110</v>
      </c>
      <c r="B13" s="230">
        <f t="shared" si="4"/>
        <v>441576.37</v>
      </c>
      <c r="C13" s="230">
        <f t="shared" si="4"/>
        <v>44928.09</v>
      </c>
      <c r="D13" s="230">
        <f t="shared" si="4"/>
        <v>-23708.22</v>
      </c>
      <c r="E13" s="230">
        <f t="shared" si="4"/>
        <v>1389.19</v>
      </c>
      <c r="F13" s="230">
        <f t="shared" si="5"/>
        <v>464185.43</v>
      </c>
      <c r="G13" s="230">
        <f t="shared" si="6"/>
        <v>425503.31</v>
      </c>
    </row>
    <row r="14" spans="1:7" x14ac:dyDescent="0.35">
      <c r="A14" s="20" t="s">
        <v>111</v>
      </c>
      <c r="B14" s="230">
        <f t="shared" si="4"/>
        <v>62680.55</v>
      </c>
      <c r="C14" s="230">
        <f t="shared" si="4"/>
        <v>5565.16</v>
      </c>
      <c r="D14" s="230">
        <f t="shared" si="4"/>
        <v>-914.59</v>
      </c>
      <c r="E14" s="230">
        <f t="shared" si="4"/>
        <v>402.18</v>
      </c>
      <c r="F14" s="230">
        <f t="shared" si="5"/>
        <v>67733.3</v>
      </c>
      <c r="G14" s="230">
        <f t="shared" si="6"/>
        <v>62088.86</v>
      </c>
    </row>
    <row r="15" spans="1:7" x14ac:dyDescent="0.35">
      <c r="A15" s="31" t="s">
        <v>113</v>
      </c>
      <c r="B15" s="230">
        <f>SUM(B11:B14)</f>
        <v>923233.23</v>
      </c>
      <c r="C15" s="230">
        <f>SUM(C11:C14)</f>
        <v>137591.55000000002</v>
      </c>
      <c r="D15" s="230">
        <f t="shared" ref="D15:G15" si="7">SUM(D11:D14)</f>
        <v>-89366.98</v>
      </c>
      <c r="E15" s="230">
        <f t="shared" si="7"/>
        <v>2905.83</v>
      </c>
      <c r="F15" s="230">
        <f t="shared" si="7"/>
        <v>974363.63</v>
      </c>
      <c r="G15" s="230">
        <f t="shared" si="7"/>
        <v>893166.66</v>
      </c>
    </row>
    <row r="16" spans="1:7" x14ac:dyDescent="0.35">
      <c r="E16" s="4"/>
    </row>
    <row r="17" spans="1:7" x14ac:dyDescent="0.35">
      <c r="A17" s="20"/>
      <c r="B17" s="71"/>
      <c r="C17" s="71"/>
      <c r="D17" s="155"/>
    </row>
    <row r="18" spans="1:7" x14ac:dyDescent="0.35">
      <c r="A18" s="259" t="s">
        <v>216</v>
      </c>
      <c r="B18" s="71"/>
      <c r="C18" s="71"/>
      <c r="D18" s="155"/>
    </row>
    <row r="19" spans="1:7" x14ac:dyDescent="0.35">
      <c r="A19" s="20" t="s">
        <v>24</v>
      </c>
      <c r="B19" s="26">
        <f>ROUND('[19]EO Matrix @Meter'!$R$20,2)</f>
        <v>1163217.68</v>
      </c>
      <c r="C19" s="26">
        <f>ROUND(SUM('[20]Ex Post Gross TD Calc'!$E$571:$Z$571),2)</f>
        <v>331067.99</v>
      </c>
      <c r="D19" s="26">
        <f>ROUND(SUM('[20]NTG TD Calc'!$E$436:$Z$436),2)</f>
        <v>-686548</v>
      </c>
      <c r="E19" s="26">
        <f>ROUND(SUM('[20]EO TD Carrying Costs'!$C$55:$X$55),2)</f>
        <v>-17626.7</v>
      </c>
      <c r="F19" s="230">
        <f>SUM(B19:E19)</f>
        <v>790110.97</v>
      </c>
      <c r="G19" s="230">
        <f>ROUND(F19/12*11,2)</f>
        <v>724268.39</v>
      </c>
    </row>
    <row r="20" spans="1:7" x14ac:dyDescent="0.35">
      <c r="A20" s="20" t="s">
        <v>25</v>
      </c>
      <c r="B20" s="229">
        <f>ROUND(SUM(B23:B26),2)</f>
        <v>923233.23</v>
      </c>
      <c r="C20" s="229">
        <f>SUM(C23:C26)</f>
        <v>137591.55000000002</v>
      </c>
      <c r="D20" s="229">
        <f t="shared" ref="D20:G20" si="8">SUM(D23:D26)</f>
        <v>-89366.98</v>
      </c>
      <c r="E20" s="229">
        <f t="shared" si="8"/>
        <v>2905.83</v>
      </c>
      <c r="F20" s="230">
        <f>SUM(B20:E20)</f>
        <v>974363.63</v>
      </c>
      <c r="G20" s="230">
        <f t="shared" si="8"/>
        <v>893166.66</v>
      </c>
    </row>
    <row r="21" spans="1:7" x14ac:dyDescent="0.35">
      <c r="A21" s="20" t="s">
        <v>5</v>
      </c>
      <c r="B21" s="230">
        <f t="shared" ref="B21:G21" si="9">SUM(B19:B20)</f>
        <v>2086450.91</v>
      </c>
      <c r="C21" s="230">
        <f t="shared" si="9"/>
        <v>468659.54000000004</v>
      </c>
      <c r="D21" s="230">
        <f t="shared" si="9"/>
        <v>-775914.98</v>
      </c>
      <c r="E21" s="230">
        <f t="shared" si="9"/>
        <v>-14720.87</v>
      </c>
      <c r="F21" s="230">
        <f t="shared" si="9"/>
        <v>1764474.6</v>
      </c>
      <c r="G21" s="230">
        <f t="shared" si="9"/>
        <v>1617435.05</v>
      </c>
    </row>
    <row r="22" spans="1:7" x14ac:dyDescent="0.35">
      <c r="B22" s="227"/>
      <c r="C22" s="227"/>
      <c r="D22" s="228"/>
    </row>
    <row r="23" spans="1:7" x14ac:dyDescent="0.35">
      <c r="A23" s="20" t="s">
        <v>108</v>
      </c>
      <c r="B23" s="26">
        <f>ROUND('[19]EO Matrix @Meter'!$V$20,2)</f>
        <v>89861.64</v>
      </c>
      <c r="C23" s="26">
        <f>ROUND(SUM('[20]Ex Post Gross TD Calc'!$E$572:$Z$572),2)</f>
        <v>30571.68</v>
      </c>
      <c r="D23" s="26">
        <f>ROUND(SUM('[20]NTG TD Calc'!$E$437:$Z$437),2)</f>
        <v>-25048.27</v>
      </c>
      <c r="E23" s="229">
        <f>ROUND(SUM('[20]EO TD Carrying Costs'!$C$56:$X$56),2)</f>
        <v>150.27000000000001</v>
      </c>
      <c r="F23" s="230">
        <f t="shared" ref="F23:F26" si="10">SUM(B23:E23)</f>
        <v>95535.32</v>
      </c>
      <c r="G23" s="230">
        <f>ROUND(F23/12*11,2)</f>
        <v>87574.04</v>
      </c>
    </row>
    <row r="24" spans="1:7" x14ac:dyDescent="0.35">
      <c r="A24" s="20" t="s">
        <v>109</v>
      </c>
      <c r="B24" s="229">
        <f>ROUND('[19]EO Matrix @Meter'!$W$20,2)</f>
        <v>329114.67</v>
      </c>
      <c r="C24" s="229">
        <f>ROUND(SUM('[20]Ex Post Gross TD Calc'!$E$573:$Z$573),2)</f>
        <v>56526.62</v>
      </c>
      <c r="D24" s="229">
        <f>ROUND(SUM('[20]NTG TD Calc'!$E$438:$Z$438),2)</f>
        <v>-39695.9</v>
      </c>
      <c r="E24" s="229">
        <f>ROUND(SUM('[20]EO TD Carrying Costs'!$C$57:$X$57),2)</f>
        <v>964.19</v>
      </c>
      <c r="F24" s="230">
        <f t="shared" si="10"/>
        <v>346909.57999999996</v>
      </c>
      <c r="G24" s="230">
        <f t="shared" ref="G24:G26" si="11">ROUND(F24/12*11,2)</f>
        <v>318000.45</v>
      </c>
    </row>
    <row r="25" spans="1:7" x14ac:dyDescent="0.35">
      <c r="A25" s="20" t="s">
        <v>110</v>
      </c>
      <c r="B25" s="26">
        <f>ROUND('[19]EO Matrix @Meter'!$X$20,2)</f>
        <v>441576.37</v>
      </c>
      <c r="C25" s="26">
        <f>ROUND(SUM('[20]Ex Post Gross TD Calc'!$E$574:$Z$574),2)</f>
        <v>44928.09</v>
      </c>
      <c r="D25" s="26">
        <f>ROUND(SUM('[20]NTG TD Calc'!$E$439:$Z$439),2)</f>
        <v>-23708.22</v>
      </c>
      <c r="E25" s="26">
        <f>ROUND(SUM('[20]EO TD Carrying Costs'!$C$58:$X$58),2)</f>
        <v>1389.19</v>
      </c>
      <c r="F25" s="230">
        <f t="shared" si="10"/>
        <v>464185.43</v>
      </c>
      <c r="G25" s="230">
        <f t="shared" si="11"/>
        <v>425503.31</v>
      </c>
    </row>
    <row r="26" spans="1:7" x14ac:dyDescent="0.35">
      <c r="A26" s="20" t="s">
        <v>111</v>
      </c>
      <c r="B26" s="229">
        <f>ROUND('[19]EO Matrix @Meter'!$Y$20,2)</f>
        <v>62680.55</v>
      </c>
      <c r="C26" s="229">
        <f>ROUND(SUM('[20]Ex Post Gross TD Calc'!$E$575:$Z$575),2)</f>
        <v>5565.16</v>
      </c>
      <c r="D26" s="229">
        <f>ROUND(SUM('[20]NTG TD Calc'!$E$440:$Z$440),2)</f>
        <v>-914.59</v>
      </c>
      <c r="E26" s="229">
        <f>ROUND(SUM('[20]EO TD Carrying Costs'!$C$59:$X$59),2)</f>
        <v>402.18</v>
      </c>
      <c r="F26" s="230">
        <f t="shared" si="10"/>
        <v>67733.3</v>
      </c>
      <c r="G26" s="230">
        <f t="shared" si="11"/>
        <v>62088.86</v>
      </c>
    </row>
    <row r="27" spans="1:7" x14ac:dyDescent="0.35">
      <c r="A27" s="31" t="s">
        <v>113</v>
      </c>
      <c r="B27" s="230">
        <f>SUM(B23:B26)</f>
        <v>923233.23</v>
      </c>
      <c r="C27" s="230">
        <f>SUM(C23:C26)</f>
        <v>137591.55000000002</v>
      </c>
      <c r="D27" s="230">
        <f t="shared" ref="D27:G27" si="12">SUM(D23:D26)</f>
        <v>-89366.98</v>
      </c>
      <c r="E27" s="230">
        <f t="shared" si="12"/>
        <v>2905.83</v>
      </c>
      <c r="F27" s="230">
        <f t="shared" si="12"/>
        <v>974363.63</v>
      </c>
      <c r="G27" s="230">
        <f t="shared" si="12"/>
        <v>893166.66</v>
      </c>
    </row>
    <row r="28" spans="1:7" x14ac:dyDescent="0.35">
      <c r="E28" s="4"/>
    </row>
    <row r="29" spans="1:7" x14ac:dyDescent="0.35">
      <c r="E29" s="4"/>
    </row>
    <row r="30" spans="1:7" hidden="1" outlineLevel="1" x14ac:dyDescent="0.35">
      <c r="A30" s="259" t="s">
        <v>186</v>
      </c>
    </row>
    <row r="31" spans="1:7" hidden="1" outlineLevel="1" x14ac:dyDescent="0.35">
      <c r="A31" s="20" t="s">
        <v>24</v>
      </c>
      <c r="B31" s="26">
        <f>ROUND(0,2)</f>
        <v>0</v>
      </c>
      <c r="C31" s="26">
        <f>ROUND(0,2)</f>
        <v>0</v>
      </c>
      <c r="D31" s="26">
        <f>ROUND(0,2)</f>
        <v>0</v>
      </c>
      <c r="E31" s="26">
        <f>ROUND(0,2)</f>
        <v>0</v>
      </c>
      <c r="F31" s="230">
        <f>SUM(B31:E31)</f>
        <v>0</v>
      </c>
      <c r="G31" s="230">
        <f>ROUND(F31/24*12,2)</f>
        <v>0</v>
      </c>
    </row>
    <row r="32" spans="1:7" hidden="1" outlineLevel="1" x14ac:dyDescent="0.35">
      <c r="A32" s="20" t="s">
        <v>25</v>
      </c>
      <c r="B32" s="229">
        <f>SUM(B35:B38)</f>
        <v>0</v>
      </c>
      <c r="C32" s="229">
        <f>SUM(C35:C38)</f>
        <v>0</v>
      </c>
      <c r="D32" s="229">
        <f t="shared" ref="D32:E32" si="13">SUM(D35:D38)</f>
        <v>0</v>
      </c>
      <c r="E32" s="229">
        <f t="shared" si="13"/>
        <v>0</v>
      </c>
      <c r="F32" s="230">
        <f>SUM(B32:E32)</f>
        <v>0</v>
      </c>
      <c r="G32" s="230">
        <f>ROUND(F32/24*12,2)</f>
        <v>0</v>
      </c>
    </row>
    <row r="33" spans="1:7" hidden="1" outlineLevel="1" x14ac:dyDescent="0.35">
      <c r="A33" s="20" t="s">
        <v>5</v>
      </c>
      <c r="B33" s="230">
        <f t="shared" ref="B33:G33" si="14">SUM(B31:B32)</f>
        <v>0</v>
      </c>
      <c r="C33" s="230">
        <f t="shared" si="14"/>
        <v>0</v>
      </c>
      <c r="D33" s="230">
        <f t="shared" si="14"/>
        <v>0</v>
      </c>
      <c r="E33" s="230">
        <f t="shared" si="14"/>
        <v>0</v>
      </c>
      <c r="F33" s="230">
        <f t="shared" si="14"/>
        <v>0</v>
      </c>
      <c r="G33" s="230">
        <f t="shared" si="14"/>
        <v>0</v>
      </c>
    </row>
    <row r="34" spans="1:7" hidden="1" outlineLevel="1" x14ac:dyDescent="0.35">
      <c r="B34" s="227"/>
      <c r="C34" s="227"/>
      <c r="D34" s="228"/>
    </row>
    <row r="35" spans="1:7" hidden="1" outlineLevel="1" x14ac:dyDescent="0.35">
      <c r="A35" s="20" t="s">
        <v>108</v>
      </c>
      <c r="B35" s="26">
        <f>ROUND(0,2)</f>
        <v>0</v>
      </c>
      <c r="C35" s="26">
        <f>ROUND(0,2)</f>
        <v>0</v>
      </c>
      <c r="D35" s="26">
        <f>ROUND(0,2)</f>
        <v>0</v>
      </c>
      <c r="E35" s="229">
        <f>ROUND(0,2)</f>
        <v>0</v>
      </c>
      <c r="F35" s="230">
        <f t="shared" ref="F35:F38" si="15">SUM(B35:E35)</f>
        <v>0</v>
      </c>
      <c r="G35" s="230">
        <f>ROUND(F35/24*12,2)</f>
        <v>0</v>
      </c>
    </row>
    <row r="36" spans="1:7" hidden="1" outlineLevel="1" x14ac:dyDescent="0.35">
      <c r="A36" s="20" t="s">
        <v>109</v>
      </c>
      <c r="B36" s="229">
        <f>ROUND(0,2)</f>
        <v>0</v>
      </c>
      <c r="C36" s="229">
        <f t="shared" ref="C36:E38" si="16">ROUND(0,2)</f>
        <v>0</v>
      </c>
      <c r="D36" s="229">
        <f t="shared" si="16"/>
        <v>0</v>
      </c>
      <c r="E36" s="229">
        <f t="shared" si="16"/>
        <v>0</v>
      </c>
      <c r="F36" s="230">
        <f t="shared" si="15"/>
        <v>0</v>
      </c>
      <c r="G36" s="230">
        <f t="shared" ref="G36:G38" si="17">ROUND(F36/24*12,2)</f>
        <v>0</v>
      </c>
    </row>
    <row r="37" spans="1:7" hidden="1" outlineLevel="1" x14ac:dyDescent="0.35">
      <c r="A37" s="20" t="s">
        <v>110</v>
      </c>
      <c r="B37" s="26">
        <f>ROUND(0,2)</f>
        <v>0</v>
      </c>
      <c r="C37" s="26">
        <f t="shared" si="16"/>
        <v>0</v>
      </c>
      <c r="D37" s="26">
        <f t="shared" si="16"/>
        <v>0</v>
      </c>
      <c r="E37" s="26">
        <f t="shared" si="16"/>
        <v>0</v>
      </c>
      <c r="F37" s="230">
        <f t="shared" si="15"/>
        <v>0</v>
      </c>
      <c r="G37" s="230">
        <f t="shared" si="17"/>
        <v>0</v>
      </c>
    </row>
    <row r="38" spans="1:7" hidden="1" outlineLevel="1" x14ac:dyDescent="0.35">
      <c r="A38" s="20" t="s">
        <v>111</v>
      </c>
      <c r="B38" s="229">
        <f>ROUND(0,2)</f>
        <v>0</v>
      </c>
      <c r="C38" s="229">
        <f t="shared" si="16"/>
        <v>0</v>
      </c>
      <c r="D38" s="229">
        <f t="shared" si="16"/>
        <v>0</v>
      </c>
      <c r="E38" s="229">
        <f t="shared" si="16"/>
        <v>0</v>
      </c>
      <c r="F38" s="230">
        <f t="shared" si="15"/>
        <v>0</v>
      </c>
      <c r="G38" s="230">
        <f t="shared" si="17"/>
        <v>0</v>
      </c>
    </row>
    <row r="39" spans="1:7" hidden="1" outlineLevel="1" x14ac:dyDescent="0.35">
      <c r="A39" s="31" t="s">
        <v>113</v>
      </c>
      <c r="B39" s="230">
        <f>SUM(B35:B38)</f>
        <v>0</v>
      </c>
      <c r="C39" s="230">
        <f>SUM(C35:C38)</f>
        <v>0</v>
      </c>
      <c r="D39" s="230">
        <f t="shared" ref="D39:G39" si="18">SUM(D35:D38)</f>
        <v>0</v>
      </c>
      <c r="E39" s="230">
        <f t="shared" si="18"/>
        <v>0</v>
      </c>
      <c r="F39" s="230">
        <f t="shared" si="18"/>
        <v>0</v>
      </c>
      <c r="G39" s="230">
        <f t="shared" si="18"/>
        <v>0</v>
      </c>
    </row>
    <row r="40" spans="1:7" hidden="1" outlineLevel="1" x14ac:dyDescent="0.35">
      <c r="E40" s="4"/>
    </row>
    <row r="41" spans="1:7" hidden="1" outlineLevel="1" x14ac:dyDescent="0.35"/>
    <row r="42" spans="1:7" hidden="1" outlineLevel="1" x14ac:dyDescent="0.35">
      <c r="A42" s="259" t="s">
        <v>187</v>
      </c>
    </row>
    <row r="43" spans="1:7" hidden="1" outlineLevel="1" x14ac:dyDescent="0.35">
      <c r="A43" s="20" t="s">
        <v>24</v>
      </c>
      <c r="B43" s="26">
        <v>0</v>
      </c>
      <c r="C43" s="26">
        <f>ROUND(0,2)</f>
        <v>0</v>
      </c>
      <c r="D43" s="26">
        <f>ROUND(0,2)</f>
        <v>0</v>
      </c>
      <c r="E43" s="26">
        <f>ROUND(0,2)</f>
        <v>0</v>
      </c>
      <c r="F43" s="230">
        <f>SUM(B43:E43)</f>
        <v>0</v>
      </c>
      <c r="G43" s="230">
        <f>ROUND(F43/24*12,2)</f>
        <v>0</v>
      </c>
    </row>
    <row r="44" spans="1:7" hidden="1" outlineLevel="1" x14ac:dyDescent="0.35">
      <c r="A44" s="20" t="s">
        <v>25</v>
      </c>
      <c r="B44" s="229">
        <f>SUM(B47:B50)</f>
        <v>0</v>
      </c>
      <c r="C44" s="229">
        <f>SUM(C47:C50)</f>
        <v>0</v>
      </c>
      <c r="D44" s="229">
        <f t="shared" ref="D44:E44" si="19">SUM(D47:D50)</f>
        <v>0</v>
      </c>
      <c r="E44" s="229">
        <f t="shared" si="19"/>
        <v>0</v>
      </c>
      <c r="F44" s="230">
        <f>SUM(B44:E44)</f>
        <v>0</v>
      </c>
      <c r="G44" s="230">
        <f>ROUND(F44/24*12,2)</f>
        <v>0</v>
      </c>
    </row>
    <row r="45" spans="1:7" hidden="1" outlineLevel="1" x14ac:dyDescent="0.35">
      <c r="A45" s="20" t="s">
        <v>5</v>
      </c>
      <c r="B45" s="230">
        <f t="shared" ref="B45:G45" si="20">SUM(B43:B44)</f>
        <v>0</v>
      </c>
      <c r="C45" s="230">
        <f t="shared" si="20"/>
        <v>0</v>
      </c>
      <c r="D45" s="230">
        <f t="shared" si="20"/>
        <v>0</v>
      </c>
      <c r="E45" s="230">
        <f t="shared" si="20"/>
        <v>0</v>
      </c>
      <c r="F45" s="230">
        <f t="shared" si="20"/>
        <v>0</v>
      </c>
      <c r="G45" s="230">
        <f t="shared" si="20"/>
        <v>0</v>
      </c>
    </row>
    <row r="46" spans="1:7" hidden="1" outlineLevel="1" x14ac:dyDescent="0.35">
      <c r="B46" s="227"/>
      <c r="C46" s="227"/>
      <c r="D46" s="228"/>
    </row>
    <row r="47" spans="1:7" hidden="1" outlineLevel="1" x14ac:dyDescent="0.35">
      <c r="A47" s="20" t="s">
        <v>108</v>
      </c>
      <c r="B47" s="26">
        <v>0</v>
      </c>
      <c r="C47" s="26">
        <f>ROUND(0,2)</f>
        <v>0</v>
      </c>
      <c r="D47" s="26">
        <f>ROUND(0,2)</f>
        <v>0</v>
      </c>
      <c r="E47" s="229">
        <f>ROUND(0,2)</f>
        <v>0</v>
      </c>
      <c r="F47" s="230">
        <f t="shared" ref="F47:F50" si="21">SUM(B47:E47)</f>
        <v>0</v>
      </c>
      <c r="G47" s="230">
        <f>ROUND(F47/24*12,2)</f>
        <v>0</v>
      </c>
    </row>
    <row r="48" spans="1:7" hidden="1" outlineLevel="1" x14ac:dyDescent="0.35">
      <c r="A48" s="20" t="s">
        <v>109</v>
      </c>
      <c r="B48" s="229">
        <v>0</v>
      </c>
      <c r="C48" s="229">
        <f t="shared" ref="C48:E50" si="22">ROUND(0,2)</f>
        <v>0</v>
      </c>
      <c r="D48" s="229">
        <f t="shared" si="22"/>
        <v>0</v>
      </c>
      <c r="E48" s="229">
        <f t="shared" si="22"/>
        <v>0</v>
      </c>
      <c r="F48" s="230">
        <f t="shared" si="21"/>
        <v>0</v>
      </c>
      <c r="G48" s="230">
        <f t="shared" ref="G48:G50" si="23">ROUND(F48/24*12,2)</f>
        <v>0</v>
      </c>
    </row>
    <row r="49" spans="1:7" hidden="1" outlineLevel="1" x14ac:dyDescent="0.35">
      <c r="A49" s="20" t="s">
        <v>110</v>
      </c>
      <c r="B49" s="26">
        <v>0</v>
      </c>
      <c r="C49" s="26">
        <f t="shared" si="22"/>
        <v>0</v>
      </c>
      <c r="D49" s="26">
        <f t="shared" si="22"/>
        <v>0</v>
      </c>
      <c r="E49" s="26">
        <f t="shared" si="22"/>
        <v>0</v>
      </c>
      <c r="F49" s="230">
        <f t="shared" si="21"/>
        <v>0</v>
      </c>
      <c r="G49" s="230">
        <f t="shared" si="23"/>
        <v>0</v>
      </c>
    </row>
    <row r="50" spans="1:7" hidden="1" outlineLevel="1" x14ac:dyDescent="0.35">
      <c r="A50" s="20" t="s">
        <v>111</v>
      </c>
      <c r="B50" s="229">
        <v>0</v>
      </c>
      <c r="C50" s="229">
        <f t="shared" si="22"/>
        <v>0</v>
      </c>
      <c r="D50" s="229">
        <f t="shared" si="22"/>
        <v>0</v>
      </c>
      <c r="E50" s="229">
        <f t="shared" si="22"/>
        <v>0</v>
      </c>
      <c r="F50" s="230">
        <f t="shared" si="21"/>
        <v>0</v>
      </c>
      <c r="G50" s="230">
        <f t="shared" si="23"/>
        <v>0</v>
      </c>
    </row>
    <row r="51" spans="1:7" hidden="1" outlineLevel="1" x14ac:dyDescent="0.35">
      <c r="A51" s="31" t="s">
        <v>113</v>
      </c>
      <c r="B51" s="230">
        <f>SUM(B47:B50)</f>
        <v>0</v>
      </c>
      <c r="C51" s="230">
        <f>SUM(C47:C50)</f>
        <v>0</v>
      </c>
      <c r="D51" s="230">
        <f t="shared" ref="D51:G51" si="24">SUM(D47:D50)</f>
        <v>0</v>
      </c>
      <c r="E51" s="230">
        <f t="shared" si="24"/>
        <v>0</v>
      </c>
      <c r="F51" s="230">
        <f t="shared" si="24"/>
        <v>0</v>
      </c>
      <c r="G51" s="230">
        <f t="shared" si="24"/>
        <v>0</v>
      </c>
    </row>
    <row r="52" spans="1:7" hidden="1" outlineLevel="1" x14ac:dyDescent="0.35">
      <c r="E52" s="4"/>
    </row>
    <row r="53" spans="1:7" collapsed="1" x14ac:dyDescent="0.35"/>
    <row r="54" spans="1:7" x14ac:dyDescent="0.35">
      <c r="A54" s="54" t="s">
        <v>11</v>
      </c>
    </row>
    <row r="55" spans="1:7" x14ac:dyDescent="0.35">
      <c r="A55" s="3" t="s">
        <v>190</v>
      </c>
    </row>
    <row r="56" spans="1:7" x14ac:dyDescent="0.35">
      <c r="A56" s="3" t="s">
        <v>191</v>
      </c>
    </row>
    <row r="57" spans="1:7" x14ac:dyDescent="0.35">
      <c r="A57" s="3" t="s">
        <v>192</v>
      </c>
    </row>
    <row r="58" spans="1:7" x14ac:dyDescent="0.35">
      <c r="A58" s="3" t="s">
        <v>193</v>
      </c>
    </row>
    <row r="59" spans="1:7" x14ac:dyDescent="0.35">
      <c r="A59" s="3" t="s">
        <v>164</v>
      </c>
    </row>
    <row r="60" spans="1:7" ht="28.5" customHeight="1" x14ac:dyDescent="0.35">
      <c r="A60" s="298" t="s">
        <v>194</v>
      </c>
      <c r="B60" s="298"/>
      <c r="C60" s="298"/>
      <c r="D60" s="298"/>
      <c r="E60" s="298"/>
      <c r="F60" s="298"/>
      <c r="G60" s="298"/>
    </row>
  </sheetData>
  <mergeCells count="2">
    <mergeCell ref="B3:D3"/>
    <mergeCell ref="A60:G60"/>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I71"/>
  <sheetViews>
    <sheetView workbookViewId="0"/>
  </sheetViews>
  <sheetFormatPr defaultColWidth="9.1796875" defaultRowHeight="14.5" x14ac:dyDescent="0.35"/>
  <cols>
    <col min="1" max="1" width="37.7265625" style="47" customWidth="1"/>
    <col min="2" max="2" width="12.26953125" style="47" bestFit="1" customWidth="1"/>
    <col min="3" max="3" width="12.453125" style="47" bestFit="1" customWidth="1"/>
    <col min="4" max="4" width="12.453125" style="47" customWidth="1"/>
    <col min="5" max="5" width="15.453125" style="47" customWidth="1"/>
    <col min="6" max="6" width="15.81640625" style="47" bestFit="1" customWidth="1"/>
    <col min="7" max="7" width="12.26953125" style="47" bestFit="1" customWidth="1"/>
    <col min="8" max="9" width="13.26953125" style="47" bestFit="1" customWidth="1"/>
    <col min="10" max="10" width="12.26953125" style="47" bestFit="1" customWidth="1"/>
    <col min="11" max="11" width="12.54296875" style="47" customWidth="1"/>
    <col min="12" max="12" width="12.81640625" style="47" customWidth="1"/>
    <col min="13" max="13" width="16" style="47" customWidth="1"/>
    <col min="14" max="14" width="15" style="47" bestFit="1" customWidth="1"/>
    <col min="15" max="15" width="16" style="47" bestFit="1"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Metro, Inc. - DSIM Rider Update Filed 12/02/2021</v>
      </c>
      <c r="B1" s="3"/>
      <c r="C1" s="3"/>
      <c r="D1" s="3"/>
    </row>
    <row r="2" spans="1:35" x14ac:dyDescent="0.35">
      <c r="E2" s="3" t="s">
        <v>143</v>
      </c>
    </row>
    <row r="3" spans="1:35" ht="29" x14ac:dyDescent="0.35">
      <c r="E3" s="49" t="s">
        <v>46</v>
      </c>
      <c r="F3" s="71" t="s">
        <v>58</v>
      </c>
      <c r="G3" s="49" t="s">
        <v>3</v>
      </c>
      <c r="H3" s="71" t="s">
        <v>55</v>
      </c>
      <c r="I3" s="49" t="s">
        <v>10</v>
      </c>
      <c r="J3" s="49" t="s">
        <v>59</v>
      </c>
      <c r="S3" s="49"/>
    </row>
    <row r="4" spans="1:35" x14ac:dyDescent="0.35">
      <c r="A4" s="20" t="s">
        <v>24</v>
      </c>
      <c r="B4" s="20"/>
      <c r="C4" s="20"/>
      <c r="D4" s="20"/>
      <c r="E4" s="22">
        <f>SUM(C19:M19)</f>
        <v>158829.68438000005</v>
      </c>
      <c r="F4" s="22">
        <f>SUM(C26:L26)</f>
        <v>395876.67</v>
      </c>
      <c r="G4" s="22">
        <f>F4-E4</f>
        <v>237046.98561999993</v>
      </c>
      <c r="H4" s="22">
        <f>+B42</f>
        <v>-30891.879180000025</v>
      </c>
      <c r="I4" s="22">
        <f>SUM(C50:L50)</f>
        <v>589.21</v>
      </c>
      <c r="J4" s="26">
        <f>SUM(G4:I4)</f>
        <v>206744.31643999991</v>
      </c>
      <c r="K4" s="48">
        <f>+J4-M42</f>
        <v>0</v>
      </c>
      <c r="N4" s="48"/>
    </row>
    <row r="5" spans="1:35" ht="15" thickBot="1" x14ac:dyDescent="0.4">
      <c r="A5" s="20" t="s">
        <v>25</v>
      </c>
      <c r="B5" s="20"/>
      <c r="C5" s="20"/>
      <c r="D5" s="20"/>
      <c r="E5" s="22">
        <f>SUM(C20:M23)</f>
        <v>1174026.9765200003</v>
      </c>
      <c r="F5" s="22">
        <f>SUM(C27:L30)</f>
        <v>1625966.33</v>
      </c>
      <c r="G5" s="22">
        <f>F5-E5</f>
        <v>451939.35347999982</v>
      </c>
      <c r="H5" s="22">
        <f>SUM(B43:B46)</f>
        <v>51542.276180000008</v>
      </c>
      <c r="I5" s="22">
        <f>SUM(C51:L54)</f>
        <v>2755.7500000000005</v>
      </c>
      <c r="J5" s="26">
        <f>SUM(G5:I5)</f>
        <v>506237.3796599998</v>
      </c>
      <c r="K5" s="48">
        <f>+J5-SUM(M43:M46)</f>
        <v>0</v>
      </c>
      <c r="N5" s="48"/>
    </row>
    <row r="6" spans="1:35" ht="15.5" thickTop="1" thickBot="1" x14ac:dyDescent="0.4">
      <c r="E6" s="28">
        <f t="shared" ref="E6:J6" si="0">SUM(E4:E5)</f>
        <v>1332856.6609000002</v>
      </c>
      <c r="F6" s="28">
        <f t="shared" si="0"/>
        <v>2021843</v>
      </c>
      <c r="G6" s="28">
        <f t="shared" si="0"/>
        <v>688986.33909999975</v>
      </c>
      <c r="H6" s="28">
        <f t="shared" si="0"/>
        <v>20650.396999999983</v>
      </c>
      <c r="I6" s="28">
        <f t="shared" si="0"/>
        <v>3344.9600000000005</v>
      </c>
      <c r="J6" s="28">
        <f t="shared" si="0"/>
        <v>712981.69609999971</v>
      </c>
      <c r="T6" s="5"/>
    </row>
    <row r="7" spans="1:35" ht="44" thickTop="1" x14ac:dyDescent="0.35">
      <c r="J7" s="236"/>
      <c r="K7" s="235" t="s">
        <v>124</v>
      </c>
    </row>
    <row r="8" spans="1:35" ht="17.25" customHeight="1" x14ac:dyDescent="0.35">
      <c r="A8" s="20" t="s">
        <v>108</v>
      </c>
      <c r="J8" s="26">
        <f>ROUND($J$5*K8,2)</f>
        <v>68729.02</v>
      </c>
      <c r="K8" s="233">
        <f>+'PCR Cycle 2'!L8</f>
        <v>0.13576441564001979</v>
      </c>
    </row>
    <row r="9" spans="1:35" ht="17.25" customHeight="1" x14ac:dyDescent="0.35">
      <c r="A9" s="20" t="s">
        <v>109</v>
      </c>
      <c r="J9" s="26">
        <f t="shared" ref="J9:J11" si="1">ROUND($J$5*K9,2)</f>
        <v>180279.1</v>
      </c>
      <c r="K9" s="233">
        <f>+'PCR Cycle 2'!L9</f>
        <v>0.35611574316442379</v>
      </c>
    </row>
    <row r="10" spans="1:35" ht="17.25" customHeight="1" x14ac:dyDescent="0.35">
      <c r="A10" s="20" t="s">
        <v>110</v>
      </c>
      <c r="J10" s="26">
        <f t="shared" si="1"/>
        <v>211768.5</v>
      </c>
      <c r="K10" s="233">
        <f>+'PCR Cycle 2'!L10</f>
        <v>0.4183185730547726</v>
      </c>
    </row>
    <row r="11" spans="1:35" ht="17.25" customHeight="1" thickBot="1" x14ac:dyDescent="0.4">
      <c r="A11" s="20" t="s">
        <v>111</v>
      </c>
      <c r="J11" s="26">
        <f t="shared" si="1"/>
        <v>45460.76</v>
      </c>
      <c r="K11" s="233">
        <f>+'PCR Cycle 2'!L11</f>
        <v>8.9801268140783777E-2</v>
      </c>
    </row>
    <row r="12" spans="1:35" ht="17.25" customHeight="1" thickTop="1" thickBot="1" x14ac:dyDescent="0.4">
      <c r="A12" s="20" t="s">
        <v>113</v>
      </c>
      <c r="J12" s="28">
        <f>SUM(J8:J11)</f>
        <v>506237.38</v>
      </c>
      <c r="K12" s="234">
        <f>SUM(K8:K11)</f>
        <v>1</v>
      </c>
    </row>
    <row r="13" spans="1:35" ht="15.5" thickTop="1" thickBot="1" x14ac:dyDescent="0.4">
      <c r="V13" s="4"/>
      <c r="W13" s="5"/>
    </row>
    <row r="14" spans="1:35" ht="87.5" thickBot="1" x14ac:dyDescent="0.4">
      <c r="B14" s="119" t="str">
        <f>+'PCR Cycle 2'!B14</f>
        <v>Cumulative Over/Under Carryover From 06/01/2021 Filing</v>
      </c>
      <c r="C14" s="280" t="str">
        <f>+'PCR Cycle 2'!C14</f>
        <v>Reverse May - October 2021  Forecast From 06/01/2021 Filing</v>
      </c>
      <c r="D14" s="280"/>
      <c r="E14" s="303" t="s">
        <v>33</v>
      </c>
      <c r="F14" s="303"/>
      <c r="G14" s="304"/>
      <c r="H14" s="308" t="s">
        <v>33</v>
      </c>
      <c r="I14" s="309"/>
      <c r="J14" s="310"/>
      <c r="K14" s="299" t="s">
        <v>8</v>
      </c>
      <c r="L14" s="300"/>
      <c r="M14" s="301"/>
    </row>
    <row r="15" spans="1:35" x14ac:dyDescent="0.35">
      <c r="A15" s="47" t="s">
        <v>86</v>
      </c>
      <c r="C15" s="106"/>
      <c r="D15" s="278"/>
      <c r="E15" s="19">
        <f>+'PCR Cycle 2'!E15</f>
        <v>44347</v>
      </c>
      <c r="F15" s="19">
        <f t="shared" ref="F15:M15" si="2">EOMONTH(E15,1)</f>
        <v>44377</v>
      </c>
      <c r="G15" s="19">
        <f t="shared" si="2"/>
        <v>44408</v>
      </c>
      <c r="H15" s="14">
        <f t="shared" si="2"/>
        <v>44439</v>
      </c>
      <c r="I15" s="19">
        <f t="shared" si="2"/>
        <v>44469</v>
      </c>
      <c r="J15" s="15">
        <f t="shared" si="2"/>
        <v>44500</v>
      </c>
      <c r="K15" s="19">
        <f t="shared" si="2"/>
        <v>44530</v>
      </c>
      <c r="L15" s="19">
        <f t="shared" si="2"/>
        <v>44561</v>
      </c>
      <c r="M15" s="15">
        <f t="shared" si="2"/>
        <v>44592</v>
      </c>
      <c r="Z15" s="1"/>
      <c r="AA15" s="1"/>
      <c r="AB15" s="1"/>
      <c r="AC15" s="1"/>
      <c r="AD15" s="1"/>
      <c r="AE15" s="1"/>
      <c r="AF15" s="1"/>
      <c r="AG15" s="1"/>
      <c r="AH15" s="1"/>
      <c r="AI15" s="1"/>
    </row>
    <row r="16" spans="1:35" x14ac:dyDescent="0.35">
      <c r="A16" s="47" t="s">
        <v>5</v>
      </c>
      <c r="C16" s="98">
        <v>-732016.5</v>
      </c>
      <c r="D16" s="98"/>
      <c r="E16" s="110">
        <f t="shared" ref="E16:L16" si="3">SUM(E26:E30)</f>
        <v>366008.25</v>
      </c>
      <c r="F16" s="110">
        <f t="shared" si="3"/>
        <v>366008.25</v>
      </c>
      <c r="G16" s="111">
        <f t="shared" si="3"/>
        <v>366008.25</v>
      </c>
      <c r="H16" s="16">
        <f t="shared" si="3"/>
        <v>331166.95</v>
      </c>
      <c r="I16" s="56">
        <f t="shared" si="3"/>
        <v>331166.95</v>
      </c>
      <c r="J16" s="169">
        <f t="shared" si="3"/>
        <v>331166.95</v>
      </c>
      <c r="K16" s="162">
        <f t="shared" si="3"/>
        <v>331166.95</v>
      </c>
      <c r="L16" s="79">
        <f t="shared" si="3"/>
        <v>331166.95</v>
      </c>
      <c r="M16" s="80"/>
    </row>
    <row r="17" spans="1:15" x14ac:dyDescent="0.35">
      <c r="C17" s="100"/>
      <c r="D17" s="100"/>
      <c r="E17" s="17"/>
      <c r="F17" s="17"/>
      <c r="G17" s="17"/>
      <c r="H17" s="10"/>
      <c r="I17" s="17"/>
      <c r="J17" s="11"/>
      <c r="K17" s="32"/>
      <c r="L17" s="32"/>
      <c r="M17" s="30"/>
    </row>
    <row r="18" spans="1:15" x14ac:dyDescent="0.35">
      <c r="A18" s="47" t="s">
        <v>87</v>
      </c>
      <c r="C18" s="100"/>
      <c r="D18" s="100"/>
      <c r="E18" s="18"/>
      <c r="F18" s="18"/>
      <c r="G18" s="18"/>
      <c r="H18" s="92"/>
      <c r="I18" s="18"/>
      <c r="J18" s="170"/>
      <c r="K18" s="32"/>
      <c r="L18" s="32"/>
      <c r="M18" s="30"/>
      <c r="N18" s="3" t="s">
        <v>50</v>
      </c>
      <c r="O18" s="40"/>
    </row>
    <row r="19" spans="1:15" x14ac:dyDescent="0.35">
      <c r="A19" s="47" t="s">
        <v>24</v>
      </c>
      <c r="C19" s="98">
        <v>-245075.04917999997</v>
      </c>
      <c r="D19" s="98"/>
      <c r="E19" s="137">
        <f>ROUND('[4]May 2021'!$F70,2)</f>
        <v>57451.69</v>
      </c>
      <c r="F19" s="137">
        <f>ROUND('[4]Jun 2021'!$F70,2)</f>
        <v>76527.56</v>
      </c>
      <c r="G19" s="137">
        <f>ROUND('[4]Jul 2021'!$F70,2)</f>
        <v>108985.7</v>
      </c>
      <c r="H19" s="190">
        <f>ROUND('[4]Aug 2021'!$F70,2)</f>
        <v>79600.98</v>
      </c>
      <c r="I19" s="122">
        <f>ROUND('[4]Sep 2021'!$F70,2)</f>
        <v>21114.33</v>
      </c>
      <c r="J19" s="171">
        <f>ROUND('[4]Oct 2021'!$F70,2)</f>
        <v>14375.81</v>
      </c>
      <c r="K19" s="124">
        <f>'PCR Cycle 2'!K27*$N19</f>
        <v>11233.731320000001</v>
      </c>
      <c r="L19" s="42">
        <f>'PCR Cycle 2'!L27*$N19</f>
        <v>16165.161530000001</v>
      </c>
      <c r="M19" s="62">
        <f>'PCR Cycle 2'!M27*$N19</f>
        <v>18449.770710000001</v>
      </c>
      <c r="N19" s="73">
        <v>7.0000000000000007E-5</v>
      </c>
      <c r="O19" s="4"/>
    </row>
    <row r="20" spans="1:15" x14ac:dyDescent="0.35">
      <c r="A20" s="47" t="s">
        <v>136</v>
      </c>
      <c r="C20" s="98">
        <v>-67231.86</v>
      </c>
      <c r="D20" s="98"/>
      <c r="E20" s="137">
        <f>ROUND('[4]May 2021'!$F71,2)</f>
        <v>18417.71</v>
      </c>
      <c r="F20" s="137">
        <f>ROUND('[4]Jun 2021'!$F71,2)</f>
        <v>21940.9</v>
      </c>
      <c r="G20" s="137">
        <f>ROUND('[4]Jul 2021'!$F71,2)</f>
        <v>26846.71</v>
      </c>
      <c r="H20" s="190">
        <f>ROUND('[4]Aug 2021'!$F71,2)</f>
        <v>17382.47</v>
      </c>
      <c r="I20" s="122">
        <f>ROUND('[4]Sep 2021'!$F71,2)</f>
        <v>-2596.7399999999998</v>
      </c>
      <c r="J20" s="171">
        <f>ROUND('[4]Oct 2021'!$F71,2)</f>
        <v>-1667.62</v>
      </c>
      <c r="K20" s="124">
        <f>'PCR Cycle 2'!K28*$N20</f>
        <v>-806.45</v>
      </c>
      <c r="L20" s="42">
        <f>'PCR Cycle 2'!L28*$N20</f>
        <v>-872.6487800000001</v>
      </c>
      <c r="M20" s="62">
        <f>'PCR Cycle 2'!M28*$N20</f>
        <v>-891.94808000000012</v>
      </c>
      <c r="N20" s="73">
        <v>-2.0000000000000002E-5</v>
      </c>
      <c r="O20" s="4"/>
    </row>
    <row r="21" spans="1:15" x14ac:dyDescent="0.35">
      <c r="A21" s="47" t="s">
        <v>137</v>
      </c>
      <c r="C21" s="98">
        <v>-342934.59096</v>
      </c>
      <c r="D21" s="98"/>
      <c r="E21" s="137">
        <f>ROUND('[4]May 2021'!$F72,2)</f>
        <v>88400.71</v>
      </c>
      <c r="F21" s="137">
        <f>ROUND('[4]Jun 2021'!$F72,2)</f>
        <v>101097.5</v>
      </c>
      <c r="G21" s="137">
        <f>ROUND('[4]Jul 2021'!$F72,2)</f>
        <v>120834.77</v>
      </c>
      <c r="H21" s="190">
        <f>ROUND('[4]Aug 2021'!$F72,2)</f>
        <v>112723.79</v>
      </c>
      <c r="I21" s="122">
        <f>ROUND('[4]Sep 2021'!$F72,2)</f>
        <v>94662.62</v>
      </c>
      <c r="J21" s="171">
        <f>ROUND('[4]Oct 2021'!$F72,2)</f>
        <v>84664.51</v>
      </c>
      <c r="K21" s="124">
        <f>'PCR Cycle 2'!K29*$N21</f>
        <v>76469.280750000005</v>
      </c>
      <c r="L21" s="42">
        <f>'PCR Cycle 2'!L29*$N21</f>
        <v>82746.388170000006</v>
      </c>
      <c r="M21" s="62">
        <f>'PCR Cycle 2'!M29*$N21</f>
        <v>84576.387929999997</v>
      </c>
      <c r="N21" s="73">
        <v>8.7000000000000001E-4</v>
      </c>
      <c r="O21" s="4"/>
    </row>
    <row r="22" spans="1:15" x14ac:dyDescent="0.35">
      <c r="A22" s="47" t="s">
        <v>138</v>
      </c>
      <c r="C22" s="98">
        <v>-371593.38479999994</v>
      </c>
      <c r="D22" s="98"/>
      <c r="E22" s="137">
        <f>ROUND('[4]May 2021'!$F73,2)</f>
        <v>103198.81</v>
      </c>
      <c r="F22" s="137">
        <f>ROUND('[4]Jun 2021'!$F73,2)</f>
        <v>109733.96</v>
      </c>
      <c r="G22" s="137">
        <f>ROUND('[4]Jul 2021'!$F73,2)</f>
        <v>127569.48</v>
      </c>
      <c r="H22" s="190">
        <f>ROUND('[4]Aug 2021'!$F73,2)</f>
        <v>110655.08</v>
      </c>
      <c r="I22" s="122">
        <f>ROUND('[4]Sep 2021'!$F73,2)</f>
        <v>91287.58</v>
      </c>
      <c r="J22" s="171">
        <f>ROUND('[4]Oct 2021'!$F73,2)</f>
        <v>82467.509999999995</v>
      </c>
      <c r="K22" s="124">
        <f>'PCR Cycle 2'!K30*$N22</f>
        <v>76609.565450000009</v>
      </c>
      <c r="L22" s="42">
        <f>'PCR Cycle 2'!L30*$N22</f>
        <v>82898.188450000001</v>
      </c>
      <c r="M22" s="62">
        <f>'PCR Cycle 2'!M30*$N22</f>
        <v>84731.54525000001</v>
      </c>
      <c r="N22" s="73">
        <v>5.5000000000000003E-4</v>
      </c>
      <c r="O22" s="4"/>
    </row>
    <row r="23" spans="1:15" x14ac:dyDescent="0.35">
      <c r="A23" s="47" t="s">
        <v>139</v>
      </c>
      <c r="C23" s="98">
        <v>-94780.588060000009</v>
      </c>
      <c r="D23" s="98"/>
      <c r="E23" s="137">
        <f>ROUND('[4]May 2021'!$F74,2)</f>
        <v>19592.38</v>
      </c>
      <c r="F23" s="137">
        <f>ROUND('[4]Jun 2021'!$F74,2)</f>
        <v>28854.5</v>
      </c>
      <c r="G23" s="137">
        <f>ROUND('[4]Jul 2021'!$F74,2)</f>
        <v>31437.62</v>
      </c>
      <c r="H23" s="190">
        <f>ROUND('[4]Aug 2021'!$F74,2)</f>
        <v>32983.86</v>
      </c>
      <c r="I23" s="122">
        <f>ROUND('[4]Sep 2021'!$F74,2)</f>
        <v>34897.919999999998</v>
      </c>
      <c r="J23" s="171">
        <f>ROUND('[4]Oct 2021'!$F74,2)</f>
        <v>26764.78</v>
      </c>
      <c r="K23" s="124">
        <f>'PCR Cycle 2'!K31*$N23</f>
        <v>26020.565350000004</v>
      </c>
      <c r="L23" s="42">
        <f>'PCR Cycle 2'!L31*$N23</f>
        <v>28156.506300000005</v>
      </c>
      <c r="M23" s="62">
        <f>'PCR Cycle 2'!M31*$N23</f>
        <v>28779.209550000003</v>
      </c>
      <c r="N23" s="73">
        <v>6.5000000000000008E-4</v>
      </c>
      <c r="O23" s="4"/>
    </row>
    <row r="24" spans="1:15" x14ac:dyDescent="0.35">
      <c r="C24" s="68"/>
      <c r="D24" s="68"/>
      <c r="E24" s="69"/>
      <c r="F24" s="69"/>
      <c r="G24" s="69"/>
      <c r="H24" s="68"/>
      <c r="I24" s="69"/>
      <c r="J24" s="172"/>
      <c r="K24" s="57"/>
      <c r="L24" s="57"/>
      <c r="M24" s="13"/>
      <c r="O24" s="4"/>
    </row>
    <row r="25" spans="1:15" x14ac:dyDescent="0.35">
      <c r="A25" s="47" t="s">
        <v>89</v>
      </c>
      <c r="C25" s="37"/>
      <c r="D25" s="37"/>
      <c r="E25" s="38"/>
      <c r="F25" s="38"/>
      <c r="G25" s="38"/>
      <c r="H25" s="37"/>
      <c r="I25" s="38"/>
      <c r="J25" s="175"/>
      <c r="K25" s="53"/>
      <c r="L25" s="53"/>
      <c r="M25" s="39"/>
    </row>
    <row r="26" spans="1:15" x14ac:dyDescent="0.35">
      <c r="A26" s="47" t="s">
        <v>24</v>
      </c>
      <c r="C26" s="98">
        <v>-181347.14</v>
      </c>
      <c r="D26" s="98"/>
      <c r="E26" s="110">
        <f>ROUND('EO Cycle 2'!$F$19/24+'EO Cycle 2'!$F$31/24,2)</f>
        <v>90673.57</v>
      </c>
      <c r="F26" s="110">
        <f>ROUND('EO Cycle 2'!$F$19/24+'EO Cycle 2'!$F$31/24,2)</f>
        <v>90673.57</v>
      </c>
      <c r="G26" s="111">
        <f>ROUND('EO Cycle 2'!$F$19/24+'EO Cycle 2'!$F$31/24,2)</f>
        <v>90673.57</v>
      </c>
      <c r="H26" s="16">
        <f>ROUND('EO Cycle 2'!$F$19/24+'EO Cycle 2'!$F$31/24+'EO Cycle 2'!$F$43/24,2)</f>
        <v>61040.62</v>
      </c>
      <c r="I26" s="56">
        <f>ROUND('EO Cycle 2'!$F$19/24+'EO Cycle 2'!$F$31/24+'EO Cycle 2'!$F$43/24,2)</f>
        <v>61040.62</v>
      </c>
      <c r="J26" s="169">
        <f>ROUND('EO Cycle 2'!$F$19/24+'EO Cycle 2'!$F$31/24+'EO Cycle 2'!$F$43/24,2)</f>
        <v>61040.62</v>
      </c>
      <c r="K26" s="164">
        <f>ROUND('EO Cycle 2'!$F$19/24+'EO Cycle 2'!$F$31/24+'EO Cycle 2'!$F$43/24,2)</f>
        <v>61040.62</v>
      </c>
      <c r="L26" s="144">
        <f>ROUND('EO Cycle 2'!$F$19/24+'EO Cycle 2'!$F$31/24+'EO Cycle 2'!$F$43/24,2)</f>
        <v>61040.62</v>
      </c>
      <c r="M26" s="80"/>
    </row>
    <row r="27" spans="1:15" x14ac:dyDescent="0.35">
      <c r="A27" s="47" t="s">
        <v>136</v>
      </c>
      <c r="C27" s="98">
        <v>-31489.46</v>
      </c>
      <c r="D27" s="98"/>
      <c r="E27" s="110">
        <f>ROUND('EO Cycle 2'!$F$23/24+'EO Cycle 2'!$F$35/24,2)</f>
        <v>15744.73</v>
      </c>
      <c r="F27" s="110">
        <f>ROUND('EO Cycle 2'!$F$23/24+'EO Cycle 2'!$F$35/24,2)</f>
        <v>15744.73</v>
      </c>
      <c r="G27" s="111">
        <f>ROUND('EO Cycle 2'!$F$23/24+'EO Cycle 2'!$F$35/24,2)</f>
        <v>15744.73</v>
      </c>
      <c r="H27" s="16">
        <f>ROUND('EO Cycle 2'!$F$23/24+'EO Cycle 2'!$F$35/24+'EO Cycle 2'!$F$47/24,2)</f>
        <v>8700.5300000000007</v>
      </c>
      <c r="I27" s="56">
        <f>ROUND('EO Cycle 2'!$F$23/24+'EO Cycle 2'!$F$35/24+'EO Cycle 2'!$F$47/24,2)</f>
        <v>8700.5300000000007</v>
      </c>
      <c r="J27" s="169">
        <f>ROUND('EO Cycle 2'!$F$23/24+'EO Cycle 2'!$F$35/24+'EO Cycle 2'!$F$47/24,2)</f>
        <v>8700.5300000000007</v>
      </c>
      <c r="K27" s="164">
        <f>ROUND('EO Cycle 2'!$F$23/24+'EO Cycle 2'!$F$35/24+'EO Cycle 2'!$F$47/24,2)</f>
        <v>8700.5300000000007</v>
      </c>
      <c r="L27" s="144">
        <f>ROUND('EO Cycle 2'!$F$23/24+'EO Cycle 2'!$F$35/24+'EO Cycle 2'!$F$47/24,2)</f>
        <v>8700.5300000000007</v>
      </c>
      <c r="M27" s="80"/>
    </row>
    <row r="28" spans="1:15" x14ac:dyDescent="0.35">
      <c r="A28" s="47" t="s">
        <v>137</v>
      </c>
      <c r="C28" s="98">
        <v>-221986.72</v>
      </c>
      <c r="D28" s="98"/>
      <c r="E28" s="110">
        <f>ROUND('EO Cycle 2'!$F$24/24+'EO Cycle 2'!$F$36/24,2)</f>
        <v>110993.36</v>
      </c>
      <c r="F28" s="110">
        <f>ROUND('EO Cycle 2'!$F$24/24+'EO Cycle 2'!$F$36/24,2)</f>
        <v>110993.36</v>
      </c>
      <c r="G28" s="111">
        <f>ROUND('EO Cycle 2'!$F$24/24+'EO Cycle 2'!$F$36/24,2)</f>
        <v>110993.36</v>
      </c>
      <c r="H28" s="16">
        <f>ROUND('EO Cycle 2'!$F$24/24+'EO Cycle 2'!$F$36/24+'EO Cycle 2'!$F$48/24,2)</f>
        <v>112118.61</v>
      </c>
      <c r="I28" s="56">
        <f>ROUND('EO Cycle 2'!$F$24/24+'EO Cycle 2'!$F$36/24+'EO Cycle 2'!$F$48/24,2)</f>
        <v>112118.61</v>
      </c>
      <c r="J28" s="169">
        <f>ROUND('EO Cycle 2'!$F$24/24+'EO Cycle 2'!$F$36/24+'EO Cycle 2'!$F$48/24,2)</f>
        <v>112118.61</v>
      </c>
      <c r="K28" s="164">
        <f>ROUND('EO Cycle 2'!$F$24/24+'EO Cycle 2'!$F$36/24+'EO Cycle 2'!$F$48/24,2)</f>
        <v>112118.61</v>
      </c>
      <c r="L28" s="144">
        <f>ROUND('EO Cycle 2'!$F$24/24+'EO Cycle 2'!$F$36/24+'EO Cycle 2'!$F$48/24,2)</f>
        <v>112118.61</v>
      </c>
      <c r="M28" s="80"/>
    </row>
    <row r="29" spans="1:15" x14ac:dyDescent="0.35">
      <c r="A29" s="47" t="s">
        <v>138</v>
      </c>
      <c r="C29" s="98">
        <v>-233769.64</v>
      </c>
      <c r="D29" s="98"/>
      <c r="E29" s="110">
        <f>ROUND('EO Cycle 2'!$F$25/24+'EO Cycle 2'!$F$37/24,2)</f>
        <v>116884.82</v>
      </c>
      <c r="F29" s="110">
        <f>ROUND('EO Cycle 2'!$F$25/24+'EO Cycle 2'!$F$37/24,2)</f>
        <v>116884.82</v>
      </c>
      <c r="G29" s="111">
        <f>ROUND('EO Cycle 2'!$F$25/24+'EO Cycle 2'!$F$37/24,2)</f>
        <v>116884.82</v>
      </c>
      <c r="H29" s="16">
        <f>ROUND('EO Cycle 2'!$F$25/24+'EO Cycle 2'!$F$37/24+'EO Cycle 2'!$F$49/24,2)</f>
        <v>114742.17</v>
      </c>
      <c r="I29" s="56">
        <f>ROUND('EO Cycle 2'!$F$25/24+'EO Cycle 2'!$F$37/24+'EO Cycle 2'!$F$49/24,2)</f>
        <v>114742.17</v>
      </c>
      <c r="J29" s="169">
        <f>ROUND('EO Cycle 2'!$F$25/24+'EO Cycle 2'!$F$37/24+'EO Cycle 2'!$F$49/24,2)</f>
        <v>114742.17</v>
      </c>
      <c r="K29" s="164">
        <f>ROUND('EO Cycle 2'!$F$25/24+'EO Cycle 2'!$F$37/24+'EO Cycle 2'!$F$49/24,2)</f>
        <v>114742.17</v>
      </c>
      <c r="L29" s="144">
        <f>ROUND('EO Cycle 2'!$F$25/24+'EO Cycle 2'!$F$37/24+'EO Cycle 2'!$F$49/24,2)</f>
        <v>114742.17</v>
      </c>
      <c r="M29" s="80"/>
    </row>
    <row r="30" spans="1:15" x14ac:dyDescent="0.35">
      <c r="A30" s="47" t="s">
        <v>139</v>
      </c>
      <c r="C30" s="98">
        <v>-63423.54</v>
      </c>
      <c r="D30" s="98"/>
      <c r="E30" s="110">
        <f>ROUND('EO Cycle 2'!$F$26/24+'EO Cycle 2'!$F$38/24,2)</f>
        <v>31711.77</v>
      </c>
      <c r="F30" s="110">
        <f>ROUND('EO Cycle 2'!$F$26/24+'EO Cycle 2'!$F$38/24,2)</f>
        <v>31711.77</v>
      </c>
      <c r="G30" s="111">
        <f>ROUND('EO Cycle 2'!$F$26/24+'EO Cycle 2'!$F$38/24,2)</f>
        <v>31711.77</v>
      </c>
      <c r="H30" s="16">
        <f>ROUND('EO Cycle 2'!$F$26/24+'EO Cycle 2'!$F$38/24+'EO Cycle 2'!$F$50/24,2)</f>
        <v>34565.019999999997</v>
      </c>
      <c r="I30" s="56">
        <f>ROUND('EO Cycle 2'!$F$26/24+'EO Cycle 2'!$F$38/24+'EO Cycle 2'!$F$50/24,2)</f>
        <v>34565.019999999997</v>
      </c>
      <c r="J30" s="169">
        <f>ROUND('EO Cycle 2'!$F$26/24+'EO Cycle 2'!$F$38/24+'EO Cycle 2'!$F$50/24,2)</f>
        <v>34565.019999999997</v>
      </c>
      <c r="K30" s="164">
        <f>ROUND('EO Cycle 2'!$F$26/24+'EO Cycle 2'!$F$38/24+'EO Cycle 2'!$F$50/24,2)</f>
        <v>34565.019999999997</v>
      </c>
      <c r="L30" s="144">
        <f>ROUND('EO Cycle 2'!$F$26/24+'EO Cycle 2'!$F$38/24+'EO Cycle 2'!$F$50/24,2)</f>
        <v>34565.019999999997</v>
      </c>
      <c r="M30" s="80"/>
      <c r="O30" s="48"/>
    </row>
    <row r="31" spans="1:15" x14ac:dyDescent="0.35">
      <c r="C31" s="100"/>
      <c r="D31" s="100"/>
      <c r="E31" s="18"/>
      <c r="F31" s="18"/>
      <c r="G31" s="18"/>
      <c r="H31" s="92"/>
      <c r="I31" s="18"/>
      <c r="J31" s="170"/>
      <c r="K31" s="57"/>
      <c r="L31" s="57"/>
      <c r="M31" s="13"/>
    </row>
    <row r="32" spans="1:15" ht="15" thickBot="1" x14ac:dyDescent="0.4">
      <c r="A32" s="3" t="s">
        <v>14</v>
      </c>
      <c r="B32" s="3"/>
      <c r="C32" s="104">
        <v>-818.25</v>
      </c>
      <c r="D32" s="104"/>
      <c r="E32" s="137">
        <v>410.19</v>
      </c>
      <c r="F32" s="137">
        <v>455.15999999999997</v>
      </c>
      <c r="G32" s="138">
        <v>448.55</v>
      </c>
      <c r="H32" s="27">
        <v>414.85</v>
      </c>
      <c r="I32" s="123">
        <v>444.38</v>
      </c>
      <c r="J32" s="176">
        <v>542.91000000000008</v>
      </c>
      <c r="K32" s="165">
        <v>663.7</v>
      </c>
      <c r="L32" s="146">
        <v>783.49000000000012</v>
      </c>
      <c r="M32" s="83"/>
    </row>
    <row r="33" spans="1:13" x14ac:dyDescent="0.35">
      <c r="C33" s="65"/>
      <c r="D33" s="65"/>
      <c r="E33" s="150"/>
      <c r="F33" s="150"/>
      <c r="G33" s="151"/>
      <c r="H33" s="65"/>
      <c r="I33" s="34"/>
      <c r="J33" s="177"/>
      <c r="K33" s="35"/>
      <c r="L33" s="35"/>
      <c r="M33" s="61"/>
    </row>
    <row r="34" spans="1:13" x14ac:dyDescent="0.35">
      <c r="A34" s="47" t="s">
        <v>52</v>
      </c>
      <c r="C34" s="66"/>
      <c r="D34" s="66"/>
      <c r="E34" s="151"/>
      <c r="F34" s="151"/>
      <c r="G34" s="151"/>
      <c r="H34" s="66"/>
      <c r="I34" s="36"/>
      <c r="J34" s="178"/>
      <c r="K34" s="35"/>
      <c r="L34" s="35"/>
      <c r="M34" s="61"/>
    </row>
    <row r="35" spans="1:13" x14ac:dyDescent="0.35">
      <c r="A35" s="47" t="s">
        <v>24</v>
      </c>
      <c r="C35" s="101">
        <f t="shared" ref="C35:M35" si="4">C26-C19</f>
        <v>63727.909179999959</v>
      </c>
      <c r="D35" s="101"/>
      <c r="E35" s="42">
        <f t="shared" si="4"/>
        <v>33221.880000000005</v>
      </c>
      <c r="F35" s="42">
        <f t="shared" si="4"/>
        <v>14146.010000000009</v>
      </c>
      <c r="G35" s="109">
        <f t="shared" si="4"/>
        <v>-18312.12999999999</v>
      </c>
      <c r="H35" s="41">
        <f t="shared" si="4"/>
        <v>-18560.359999999993</v>
      </c>
      <c r="I35" s="42">
        <f t="shared" si="4"/>
        <v>39926.29</v>
      </c>
      <c r="J35" s="62">
        <f t="shared" si="4"/>
        <v>46664.810000000005</v>
      </c>
      <c r="K35" s="124">
        <f t="shared" si="4"/>
        <v>49806.888680000004</v>
      </c>
      <c r="L35" s="42">
        <f t="shared" si="4"/>
        <v>44875.458469999998</v>
      </c>
      <c r="M35" s="62">
        <f t="shared" si="4"/>
        <v>-18449.770710000001</v>
      </c>
    </row>
    <row r="36" spans="1:13" x14ac:dyDescent="0.35">
      <c r="A36" s="47" t="s">
        <v>136</v>
      </c>
      <c r="C36" s="101">
        <f t="shared" ref="C36:M36" si="5">C27-C20</f>
        <v>35742.400000000001</v>
      </c>
      <c r="D36" s="101"/>
      <c r="E36" s="42">
        <f t="shared" si="5"/>
        <v>-2672.9799999999996</v>
      </c>
      <c r="F36" s="42">
        <f t="shared" si="5"/>
        <v>-6196.1700000000019</v>
      </c>
      <c r="G36" s="109">
        <f t="shared" si="5"/>
        <v>-11101.98</v>
      </c>
      <c r="H36" s="41">
        <f t="shared" si="5"/>
        <v>-8681.94</v>
      </c>
      <c r="I36" s="42">
        <f t="shared" si="5"/>
        <v>11297.27</v>
      </c>
      <c r="J36" s="62">
        <f t="shared" si="5"/>
        <v>10368.150000000001</v>
      </c>
      <c r="K36" s="124">
        <f t="shared" si="5"/>
        <v>9506.9800000000014</v>
      </c>
      <c r="L36" s="42">
        <f t="shared" si="5"/>
        <v>9573.1787800000002</v>
      </c>
      <c r="M36" s="62">
        <f t="shared" si="5"/>
        <v>891.94808000000012</v>
      </c>
    </row>
    <row r="37" spans="1:13" x14ac:dyDescent="0.35">
      <c r="A37" s="47" t="s">
        <v>137</v>
      </c>
      <c r="C37" s="101">
        <f t="shared" ref="C37:M37" si="6">C28-C21</f>
        <v>120947.87096</v>
      </c>
      <c r="D37" s="101"/>
      <c r="E37" s="42">
        <f t="shared" si="6"/>
        <v>22592.649999999994</v>
      </c>
      <c r="F37" s="42">
        <f t="shared" si="6"/>
        <v>9895.86</v>
      </c>
      <c r="G37" s="109">
        <f t="shared" si="6"/>
        <v>-9841.4100000000035</v>
      </c>
      <c r="H37" s="41">
        <f t="shared" si="6"/>
        <v>-605.17999999999302</v>
      </c>
      <c r="I37" s="42">
        <f t="shared" si="6"/>
        <v>17455.990000000005</v>
      </c>
      <c r="J37" s="62">
        <f t="shared" si="6"/>
        <v>27454.100000000006</v>
      </c>
      <c r="K37" s="124">
        <f t="shared" si="6"/>
        <v>35649.329249999995</v>
      </c>
      <c r="L37" s="42">
        <f t="shared" si="6"/>
        <v>29372.221829999995</v>
      </c>
      <c r="M37" s="62">
        <f t="shared" si="6"/>
        <v>-84576.387929999997</v>
      </c>
    </row>
    <row r="38" spans="1:13" x14ac:dyDescent="0.35">
      <c r="A38" s="47" t="s">
        <v>138</v>
      </c>
      <c r="C38" s="101">
        <f t="shared" ref="C38:M38" si="7">C29-C22</f>
        <v>137823.74479999993</v>
      </c>
      <c r="D38" s="101"/>
      <c r="E38" s="42">
        <f t="shared" si="7"/>
        <v>13686.010000000009</v>
      </c>
      <c r="F38" s="42">
        <f t="shared" si="7"/>
        <v>7150.8600000000006</v>
      </c>
      <c r="G38" s="109">
        <f t="shared" si="7"/>
        <v>-10684.659999999989</v>
      </c>
      <c r="H38" s="41">
        <f t="shared" si="7"/>
        <v>4087.0899999999965</v>
      </c>
      <c r="I38" s="42">
        <f t="shared" si="7"/>
        <v>23454.589999999997</v>
      </c>
      <c r="J38" s="62">
        <f t="shared" si="7"/>
        <v>32274.660000000003</v>
      </c>
      <c r="K38" s="124">
        <f t="shared" si="7"/>
        <v>38132.604549999989</v>
      </c>
      <c r="L38" s="42">
        <f t="shared" si="7"/>
        <v>31843.981549999997</v>
      </c>
      <c r="M38" s="62">
        <f t="shared" si="7"/>
        <v>-84731.54525000001</v>
      </c>
    </row>
    <row r="39" spans="1:13" x14ac:dyDescent="0.35">
      <c r="A39" s="47" t="s">
        <v>139</v>
      </c>
      <c r="C39" s="101">
        <f t="shared" ref="C39:M39" si="8">C30-C23</f>
        <v>31357.048060000008</v>
      </c>
      <c r="D39" s="101"/>
      <c r="E39" s="42">
        <f t="shared" si="8"/>
        <v>12119.39</v>
      </c>
      <c r="F39" s="42">
        <f t="shared" si="8"/>
        <v>2857.2700000000004</v>
      </c>
      <c r="G39" s="109">
        <f t="shared" si="8"/>
        <v>274.15000000000146</v>
      </c>
      <c r="H39" s="41">
        <f t="shared" si="8"/>
        <v>1581.1599999999962</v>
      </c>
      <c r="I39" s="42">
        <f t="shared" si="8"/>
        <v>-332.90000000000146</v>
      </c>
      <c r="J39" s="62">
        <f t="shared" si="8"/>
        <v>7800.239999999998</v>
      </c>
      <c r="K39" s="124">
        <f t="shared" si="8"/>
        <v>8544.4546499999924</v>
      </c>
      <c r="L39" s="42">
        <f t="shared" si="8"/>
        <v>6408.5136999999922</v>
      </c>
      <c r="M39" s="62">
        <f t="shared" si="8"/>
        <v>-28779.209550000003</v>
      </c>
    </row>
    <row r="40" spans="1:13" x14ac:dyDescent="0.35">
      <c r="C40" s="100"/>
      <c r="D40" s="100"/>
      <c r="E40" s="17"/>
      <c r="F40" s="17"/>
      <c r="G40" s="17"/>
      <c r="H40" s="10"/>
      <c r="I40" s="17"/>
      <c r="J40" s="11"/>
      <c r="K40" s="17"/>
      <c r="L40" s="17"/>
      <c r="M40" s="11"/>
    </row>
    <row r="41" spans="1:13" x14ac:dyDescent="0.35">
      <c r="A41" s="47" t="s">
        <v>53</v>
      </c>
      <c r="C41" s="100"/>
      <c r="D41" s="100"/>
      <c r="E41" s="17"/>
      <c r="F41" s="17"/>
      <c r="G41" s="17"/>
      <c r="H41" s="10"/>
      <c r="I41" s="17"/>
      <c r="J41" s="11"/>
      <c r="K41" s="17"/>
      <c r="L41" s="17"/>
      <c r="M41" s="11"/>
    </row>
    <row r="42" spans="1:13" x14ac:dyDescent="0.35">
      <c r="A42" s="47" t="s">
        <v>24</v>
      </c>
      <c r="B42" s="62">
        <v>-30891.879180000025</v>
      </c>
      <c r="C42" s="101">
        <f t="shared" ref="C42:M42" si="9">B42+C35+B50</f>
        <v>32836.029999999933</v>
      </c>
      <c r="D42" s="101"/>
      <c r="E42" s="42">
        <f>C42+E35+C50+D50</f>
        <v>65946.259999999951</v>
      </c>
      <c r="F42" s="42">
        <f t="shared" si="9"/>
        <v>80137.349999999962</v>
      </c>
      <c r="G42" s="109">
        <f t="shared" si="9"/>
        <v>61891.369999999974</v>
      </c>
      <c r="H42" s="41">
        <f t="shared" si="9"/>
        <v>43395.749999999978</v>
      </c>
      <c r="I42" s="42">
        <f t="shared" si="9"/>
        <v>83369.879999999976</v>
      </c>
      <c r="J42" s="62">
        <f t="shared" si="9"/>
        <v>130091.95999999998</v>
      </c>
      <c r="K42" s="124">
        <f t="shared" si="9"/>
        <v>179995.34868</v>
      </c>
      <c r="L42" s="42">
        <f t="shared" si="9"/>
        <v>225010.98715</v>
      </c>
      <c r="M42" s="62">
        <f t="shared" si="9"/>
        <v>206744.31644</v>
      </c>
    </row>
    <row r="43" spans="1:13" x14ac:dyDescent="0.35">
      <c r="A43" s="47" t="s">
        <v>136</v>
      </c>
      <c r="B43" s="62">
        <v>-101167.77000000002</v>
      </c>
      <c r="C43" s="101">
        <f t="shared" ref="C43:M43" si="10">B43+C36+B51</f>
        <v>-65425.370000000017</v>
      </c>
      <c r="D43" s="101"/>
      <c r="E43" s="42">
        <f t="shared" ref="E43:E46" si="11">C43+E36+C51+D51</f>
        <v>-67968.010000000024</v>
      </c>
      <c r="F43" s="42">
        <f t="shared" si="10"/>
        <v>-74225.060000000027</v>
      </c>
      <c r="G43" s="109">
        <f t="shared" si="10"/>
        <v>-85391.440000000017</v>
      </c>
      <c r="H43" s="41">
        <f t="shared" si="10"/>
        <v>-94146.130000000019</v>
      </c>
      <c r="I43" s="42">
        <f t="shared" si="10"/>
        <v>-82930.420000000013</v>
      </c>
      <c r="J43" s="62">
        <f t="shared" si="10"/>
        <v>-72642.270000000019</v>
      </c>
      <c r="K43" s="124">
        <f t="shared" si="10"/>
        <v>-63205.640000000014</v>
      </c>
      <c r="L43" s="42">
        <f t="shared" si="10"/>
        <v>-53693.891220000012</v>
      </c>
      <c r="M43" s="62">
        <f t="shared" si="10"/>
        <v>-52854.803140000011</v>
      </c>
    </row>
    <row r="44" spans="1:13" x14ac:dyDescent="0.35">
      <c r="A44" s="47" t="s">
        <v>137</v>
      </c>
      <c r="B44" s="62">
        <v>73408.679040000017</v>
      </c>
      <c r="C44" s="101">
        <f t="shared" ref="C44:M44" si="12">B44+C37+B52</f>
        <v>194356.55000000002</v>
      </c>
      <c r="D44" s="101"/>
      <c r="E44" s="42">
        <f t="shared" si="11"/>
        <v>216580.31</v>
      </c>
      <c r="F44" s="42">
        <f t="shared" si="12"/>
        <v>226663.74999999997</v>
      </c>
      <c r="G44" s="109">
        <f t="shared" si="12"/>
        <v>217023.07999999996</v>
      </c>
      <c r="H44" s="41">
        <f t="shared" si="12"/>
        <v>216620.12999999998</v>
      </c>
      <c r="I44" s="42">
        <f t="shared" si="12"/>
        <v>234273.12</v>
      </c>
      <c r="J44" s="62">
        <f t="shared" si="12"/>
        <v>261930.92</v>
      </c>
      <c r="K44" s="124">
        <f t="shared" si="12"/>
        <v>297804.59924999997</v>
      </c>
      <c r="L44" s="42">
        <f t="shared" si="12"/>
        <v>327429.89107999997</v>
      </c>
      <c r="M44" s="62">
        <f t="shared" si="12"/>
        <v>243136.18314999997</v>
      </c>
    </row>
    <row r="45" spans="1:13" x14ac:dyDescent="0.35">
      <c r="A45" s="47" t="s">
        <v>138</v>
      </c>
      <c r="B45" s="62">
        <v>36953.425199999998</v>
      </c>
      <c r="C45" s="101">
        <f t="shared" ref="C45:M45" si="13">B45+C38+B53</f>
        <v>174777.16999999993</v>
      </c>
      <c r="D45" s="101"/>
      <c r="E45" s="42">
        <f t="shared" si="11"/>
        <v>188135.98999999993</v>
      </c>
      <c r="F45" s="42">
        <f t="shared" si="13"/>
        <v>195452.50999999992</v>
      </c>
      <c r="G45" s="109">
        <f t="shared" si="13"/>
        <v>184941.56999999992</v>
      </c>
      <c r="H45" s="41">
        <f t="shared" si="13"/>
        <v>189202.03999999992</v>
      </c>
      <c r="I45" s="42">
        <f t="shared" si="13"/>
        <v>212826.59999999992</v>
      </c>
      <c r="J45" s="62">
        <f t="shared" si="13"/>
        <v>245282.87999999992</v>
      </c>
      <c r="K45" s="124">
        <f t="shared" si="13"/>
        <v>283622.60454999993</v>
      </c>
      <c r="L45" s="42">
        <f t="shared" si="13"/>
        <v>315705.71609999996</v>
      </c>
      <c r="M45" s="62">
        <f t="shared" si="13"/>
        <v>231245.14084999994</v>
      </c>
    </row>
    <row r="46" spans="1:13" x14ac:dyDescent="0.35">
      <c r="A46" s="47" t="s">
        <v>139</v>
      </c>
      <c r="B46" s="62">
        <v>42347.941940000012</v>
      </c>
      <c r="C46" s="101">
        <f>B46+C39+B54</f>
        <v>73704.99000000002</v>
      </c>
      <c r="D46" s="101"/>
      <c r="E46" s="42">
        <f t="shared" si="11"/>
        <v>85683.530000000013</v>
      </c>
      <c r="F46" s="42">
        <f t="shared" ref="F46:M46" si="14">E46+F39+E54</f>
        <v>88613.560000000012</v>
      </c>
      <c r="G46" s="109">
        <f t="shared" si="14"/>
        <v>88966.650000000023</v>
      </c>
      <c r="H46" s="41">
        <f t="shared" si="14"/>
        <v>90628.750000000029</v>
      </c>
      <c r="I46" s="42">
        <f t="shared" si="14"/>
        <v>90377.440000000031</v>
      </c>
      <c r="J46" s="62">
        <f t="shared" si="14"/>
        <v>98259.460000000021</v>
      </c>
      <c r="K46" s="124">
        <f t="shared" si="14"/>
        <v>106889.20465000001</v>
      </c>
      <c r="L46" s="42">
        <f t="shared" si="14"/>
        <v>113390.46835000001</v>
      </c>
      <c r="M46" s="62">
        <f t="shared" si="14"/>
        <v>84710.858800000016</v>
      </c>
    </row>
    <row r="47" spans="1:13" x14ac:dyDescent="0.35">
      <c r="C47" s="100"/>
      <c r="D47" s="100"/>
      <c r="E47" s="17"/>
      <c r="F47" s="17"/>
      <c r="G47" s="17"/>
      <c r="H47" s="10"/>
      <c r="I47" s="17"/>
      <c r="J47" s="11"/>
      <c r="K47" s="17"/>
      <c r="L47" s="17"/>
      <c r="M47" s="11"/>
    </row>
    <row r="48" spans="1:13" x14ac:dyDescent="0.35">
      <c r="A48" s="40" t="s">
        <v>88</v>
      </c>
      <c r="B48" s="40"/>
      <c r="C48" s="105"/>
      <c r="D48" s="105"/>
      <c r="E48" s="84">
        <f>+'PCR Cycle 2'!E50</f>
        <v>9.1374999999999996E-4</v>
      </c>
      <c r="F48" s="84">
        <f>+'PCR Cycle 2'!F50</f>
        <v>9.0538999999999995E-4</v>
      </c>
      <c r="G48" s="84">
        <f>+'PCR Cycle 2'!G50</f>
        <v>9.1118000000000004E-4</v>
      </c>
      <c r="H48" s="85">
        <f>+'PCR Cycle 2'!H50</f>
        <v>9.0817999999999997E-4</v>
      </c>
      <c r="I48" s="84">
        <f>+'PCR Cycle 2'!I50</f>
        <v>9.0315999999999997E-4</v>
      </c>
      <c r="J48" s="93">
        <f>+'PCR Cycle 2'!J50</f>
        <v>9.0388000000000003E-4</v>
      </c>
      <c r="K48" s="84">
        <f>+'PCR Cycle 2'!K50</f>
        <v>9.0388000000000003E-4</v>
      </c>
      <c r="L48" s="84">
        <f>+'PCR Cycle 2'!L50</f>
        <v>9.0388000000000003E-4</v>
      </c>
      <c r="M48" s="86"/>
    </row>
    <row r="49" spans="1:13" x14ac:dyDescent="0.35">
      <c r="A49" s="40" t="s">
        <v>37</v>
      </c>
      <c r="B49" s="40"/>
      <c r="C49" s="107"/>
      <c r="D49" s="107"/>
      <c r="E49" s="84"/>
      <c r="F49" s="84"/>
      <c r="G49" s="84"/>
      <c r="H49" s="85"/>
      <c r="I49" s="84"/>
      <c r="J49" s="86"/>
      <c r="K49" s="84"/>
      <c r="L49" s="84"/>
      <c r="M49" s="86"/>
    </row>
    <row r="50" spans="1:13" x14ac:dyDescent="0.35">
      <c r="A50" s="47" t="s">
        <v>24</v>
      </c>
      <c r="C50" s="101">
        <v>-111.65</v>
      </c>
      <c r="D50" s="101"/>
      <c r="E50" s="42">
        <f>ROUND((C42+C50+D50+E35/2)*E$48,2)</f>
        <v>45.08</v>
      </c>
      <c r="F50" s="42">
        <f t="shared" ref="F50:M50" si="15">ROUND((E42+E50+F35/2)*F$48,2)</f>
        <v>66.150000000000006</v>
      </c>
      <c r="G50" s="109">
        <f t="shared" si="15"/>
        <v>64.739999999999995</v>
      </c>
      <c r="H50" s="41">
        <f t="shared" si="15"/>
        <v>47.84</v>
      </c>
      <c r="I50" s="124">
        <f t="shared" si="15"/>
        <v>57.27</v>
      </c>
      <c r="J50" s="50">
        <f t="shared" si="15"/>
        <v>96.5</v>
      </c>
      <c r="K50" s="166">
        <f t="shared" si="15"/>
        <v>140.18</v>
      </c>
      <c r="L50" s="109">
        <f t="shared" si="15"/>
        <v>183.1</v>
      </c>
      <c r="M50" s="62">
        <f t="shared" si="15"/>
        <v>0</v>
      </c>
    </row>
    <row r="51" spans="1:13" x14ac:dyDescent="0.35">
      <c r="A51" s="47" t="s">
        <v>136</v>
      </c>
      <c r="C51" s="101">
        <v>130.34</v>
      </c>
      <c r="D51" s="101"/>
      <c r="E51" s="42">
        <f t="shared" ref="E51:E54" si="16">ROUND((C43+C51+D51+E36/2)*E$48,2)</f>
        <v>-60.88</v>
      </c>
      <c r="F51" s="42">
        <f t="shared" ref="F51:M51" si="17">ROUND((E43+E51+F36/2)*F$48,2)</f>
        <v>-64.400000000000006</v>
      </c>
      <c r="G51" s="109">
        <f t="shared" si="17"/>
        <v>-72.75</v>
      </c>
      <c r="H51" s="41">
        <f t="shared" si="17"/>
        <v>-81.56</v>
      </c>
      <c r="I51" s="124">
        <f t="shared" si="17"/>
        <v>-80</v>
      </c>
      <c r="J51" s="50">
        <f t="shared" si="17"/>
        <v>-70.349999999999994</v>
      </c>
      <c r="K51" s="166">
        <f t="shared" si="17"/>
        <v>-61.43</v>
      </c>
      <c r="L51" s="109">
        <f t="shared" si="17"/>
        <v>-52.86</v>
      </c>
      <c r="M51" s="62">
        <f t="shared" si="17"/>
        <v>0</v>
      </c>
    </row>
    <row r="52" spans="1:13" x14ac:dyDescent="0.35">
      <c r="A52" s="47" t="s">
        <v>137</v>
      </c>
      <c r="C52" s="101">
        <v>-368.89</v>
      </c>
      <c r="D52" s="101"/>
      <c r="E52" s="42">
        <f t="shared" si="16"/>
        <v>187.58</v>
      </c>
      <c r="F52" s="42">
        <f t="shared" ref="F52:M52" si="18">ROUND((E44+E52+F37/2)*F$48,2)</f>
        <v>200.74</v>
      </c>
      <c r="G52" s="109">
        <f t="shared" si="18"/>
        <v>202.23</v>
      </c>
      <c r="H52" s="41">
        <f t="shared" si="18"/>
        <v>197</v>
      </c>
      <c r="I52" s="124">
        <f t="shared" si="18"/>
        <v>203.7</v>
      </c>
      <c r="J52" s="50">
        <f t="shared" si="18"/>
        <v>224.35</v>
      </c>
      <c r="K52" s="166">
        <f t="shared" si="18"/>
        <v>253.07</v>
      </c>
      <c r="L52" s="109">
        <f t="shared" si="18"/>
        <v>282.68</v>
      </c>
      <c r="M52" s="62">
        <f t="shared" si="18"/>
        <v>0</v>
      </c>
    </row>
    <row r="53" spans="1:13" x14ac:dyDescent="0.35">
      <c r="A53" s="47" t="s">
        <v>138</v>
      </c>
      <c r="C53" s="101">
        <v>-327.19</v>
      </c>
      <c r="D53" s="101"/>
      <c r="E53" s="42">
        <f t="shared" si="16"/>
        <v>165.66</v>
      </c>
      <c r="F53" s="42">
        <f t="shared" ref="F53:M53" si="19">ROUND((E45+E53+F38/2)*F$48,2)</f>
        <v>173.72</v>
      </c>
      <c r="G53" s="109">
        <f t="shared" si="19"/>
        <v>173.38</v>
      </c>
      <c r="H53" s="41">
        <f t="shared" si="19"/>
        <v>169.97</v>
      </c>
      <c r="I53" s="124">
        <f t="shared" si="19"/>
        <v>181.62</v>
      </c>
      <c r="J53" s="50">
        <f t="shared" si="19"/>
        <v>207.12</v>
      </c>
      <c r="K53" s="166">
        <f t="shared" si="19"/>
        <v>239.13</v>
      </c>
      <c r="L53" s="109">
        <f t="shared" si="19"/>
        <v>270.97000000000003</v>
      </c>
      <c r="M53" s="62">
        <f t="shared" si="19"/>
        <v>0</v>
      </c>
    </row>
    <row r="54" spans="1:13" ht="15" thickBot="1" x14ac:dyDescent="0.4">
      <c r="A54" s="47" t="s">
        <v>139</v>
      </c>
      <c r="C54" s="101">
        <v>-140.85000000000002</v>
      </c>
      <c r="D54" s="101"/>
      <c r="E54" s="42">
        <f t="shared" si="16"/>
        <v>72.760000000000005</v>
      </c>
      <c r="F54" s="42">
        <f t="shared" ref="F54:M54" si="20">ROUND((E46+E54+F39/2)*F$48,2)</f>
        <v>78.94</v>
      </c>
      <c r="G54" s="109">
        <f t="shared" si="20"/>
        <v>80.94</v>
      </c>
      <c r="H54" s="41">
        <f t="shared" si="20"/>
        <v>81.59</v>
      </c>
      <c r="I54" s="124">
        <f t="shared" si="20"/>
        <v>81.78</v>
      </c>
      <c r="J54" s="50">
        <f t="shared" si="20"/>
        <v>85.29</v>
      </c>
      <c r="K54" s="166">
        <f t="shared" si="20"/>
        <v>92.75</v>
      </c>
      <c r="L54" s="109">
        <f t="shared" si="20"/>
        <v>99.6</v>
      </c>
      <c r="M54" s="62">
        <f t="shared" si="20"/>
        <v>0</v>
      </c>
    </row>
    <row r="55" spans="1:13" ht="15.5" thickTop="1" thickBot="1" x14ac:dyDescent="0.4">
      <c r="A55" s="55" t="s">
        <v>22</v>
      </c>
      <c r="B55" s="55"/>
      <c r="C55" s="108">
        <v>0</v>
      </c>
      <c r="D55" s="108"/>
      <c r="E55" s="43">
        <f t="shared" ref="E55:J55" si="21">SUM(E50:E54)+SUM(E42:E46)-E58</f>
        <v>0</v>
      </c>
      <c r="F55" s="43">
        <f t="shared" si="21"/>
        <v>0</v>
      </c>
      <c r="G55" s="51">
        <f t="shared" ref="G55:I55" si="22">SUM(G50:G54)+SUM(G42:G46)-G58</f>
        <v>0</v>
      </c>
      <c r="H55" s="148">
        <f t="shared" si="22"/>
        <v>0</v>
      </c>
      <c r="I55" s="51">
        <f t="shared" si="22"/>
        <v>0</v>
      </c>
      <c r="J55" s="63">
        <f t="shared" si="21"/>
        <v>0</v>
      </c>
      <c r="K55" s="167">
        <f t="shared" ref="K55:M55" si="23">SUM(K50:K54)+SUM(K42:K46)-K58</f>
        <v>0</v>
      </c>
      <c r="L55" s="51">
        <f t="shared" si="23"/>
        <v>0</v>
      </c>
      <c r="M55" s="63">
        <f t="shared" si="23"/>
        <v>0</v>
      </c>
    </row>
    <row r="56" spans="1:13" ht="15.5" thickTop="1" thickBot="1" x14ac:dyDescent="0.4">
      <c r="A56" s="55" t="s">
        <v>23</v>
      </c>
      <c r="B56" s="55"/>
      <c r="C56" s="108">
        <v>0</v>
      </c>
      <c r="D56" s="108"/>
      <c r="E56" s="43">
        <f t="shared" ref="E56:J56" si="24">SUM(E50:E54)-E32</f>
        <v>9.9999999999909051E-3</v>
      </c>
      <c r="F56" s="43">
        <f t="shared" si="24"/>
        <v>-9.9999999999340616E-3</v>
      </c>
      <c r="G56" s="51">
        <f t="shared" ref="G56:I56" si="25">SUM(G50:G54)-G32</f>
        <v>-1.0000000000047748E-2</v>
      </c>
      <c r="H56" s="148">
        <f t="shared" si="25"/>
        <v>-9.9999999999909051E-3</v>
      </c>
      <c r="I56" s="51">
        <f t="shared" si="25"/>
        <v>-9.9999999999909051E-3</v>
      </c>
      <c r="J56" s="63">
        <f t="shared" si="24"/>
        <v>0</v>
      </c>
      <c r="K56" s="168">
        <f t="shared" ref="K56:M56" si="26">SUM(K50:K54)-K32</f>
        <v>0</v>
      </c>
      <c r="L56" s="43">
        <f t="shared" si="26"/>
        <v>0</v>
      </c>
      <c r="M56" s="43">
        <f t="shared" si="26"/>
        <v>0</v>
      </c>
    </row>
    <row r="57" spans="1:13" ht="15.5" thickTop="1" thickBot="1" x14ac:dyDescent="0.4">
      <c r="C57" s="100"/>
      <c r="D57" s="100"/>
      <c r="E57" s="17"/>
      <c r="F57" s="17"/>
      <c r="G57" s="17"/>
      <c r="H57" s="10"/>
      <c r="I57" s="17"/>
      <c r="J57" s="11"/>
      <c r="K57" s="17"/>
      <c r="L57" s="17"/>
      <c r="M57" s="11"/>
    </row>
    <row r="58" spans="1:13" ht="15" thickBot="1" x14ac:dyDescent="0.4">
      <c r="A58" s="47" t="s">
        <v>36</v>
      </c>
      <c r="B58" s="120">
        <f>SUM(B42:B46)</f>
        <v>20650.39699999999</v>
      </c>
      <c r="C58" s="101">
        <f t="shared" ref="C58:M58" si="27">(C16-SUM(C19:C23))+SUM(C50:C54)+B58</f>
        <v>409431.12999999977</v>
      </c>
      <c r="D58" s="101"/>
      <c r="E58" s="42">
        <f>(E16-SUM(E19:E23))+SUM(D50:E54)+C58</f>
        <v>488788.2799999998</v>
      </c>
      <c r="F58" s="42">
        <f t="shared" si="27"/>
        <v>517097.25999999983</v>
      </c>
      <c r="G58" s="109">
        <f t="shared" si="27"/>
        <v>467879.76999999984</v>
      </c>
      <c r="H58" s="41">
        <f t="shared" si="27"/>
        <v>446115.37999999989</v>
      </c>
      <c r="I58" s="42">
        <f t="shared" si="27"/>
        <v>538360.99</v>
      </c>
      <c r="J58" s="62">
        <f t="shared" si="27"/>
        <v>663465.86</v>
      </c>
      <c r="K58" s="166">
        <f t="shared" si="27"/>
        <v>805769.81712999998</v>
      </c>
      <c r="L58" s="109">
        <f t="shared" si="27"/>
        <v>928626.66145999997</v>
      </c>
      <c r="M58" s="62">
        <f t="shared" si="27"/>
        <v>712981.69609999994</v>
      </c>
    </row>
    <row r="59" spans="1:13" x14ac:dyDescent="0.35">
      <c r="A59" s="47" t="s">
        <v>12</v>
      </c>
      <c r="C59" s="121"/>
      <c r="D59" s="17"/>
      <c r="E59" s="17"/>
      <c r="F59" s="17"/>
      <c r="G59" s="17"/>
      <c r="H59" s="10"/>
      <c r="I59" s="17"/>
      <c r="J59" s="11"/>
      <c r="K59" s="17"/>
      <c r="L59" s="17"/>
      <c r="M59" s="11"/>
    </row>
    <row r="60" spans="1:13" ht="15" thickBot="1" x14ac:dyDescent="0.4">
      <c r="A60" s="38"/>
      <c r="B60" s="38"/>
      <c r="C60" s="149"/>
      <c r="D60" s="279"/>
      <c r="E60" s="45"/>
      <c r="F60" s="45"/>
      <c r="G60" s="45"/>
      <c r="H60" s="44"/>
      <c r="I60" s="45"/>
      <c r="J60" s="46"/>
      <c r="K60" s="45"/>
      <c r="L60" s="45"/>
      <c r="M60" s="46"/>
    </row>
    <row r="62" spans="1:13" x14ac:dyDescent="0.35">
      <c r="A62" s="70" t="s">
        <v>11</v>
      </c>
      <c r="B62" s="70"/>
      <c r="C62" s="70"/>
      <c r="D62" s="70"/>
    </row>
    <row r="63" spans="1:13" ht="31.5" customHeight="1" x14ac:dyDescent="0.35">
      <c r="A63" s="302" t="s">
        <v>172</v>
      </c>
      <c r="B63" s="302"/>
      <c r="C63" s="302"/>
      <c r="D63" s="302"/>
      <c r="E63" s="302"/>
      <c r="F63" s="302"/>
      <c r="G63" s="302"/>
      <c r="H63" s="302"/>
      <c r="I63" s="302"/>
      <c r="J63" s="302"/>
      <c r="K63" s="243"/>
      <c r="L63" s="243"/>
      <c r="M63" s="243"/>
    </row>
    <row r="64" spans="1:13" ht="45" customHeight="1" x14ac:dyDescent="0.35">
      <c r="A64" s="302" t="s">
        <v>171</v>
      </c>
      <c r="B64" s="302"/>
      <c r="C64" s="302"/>
      <c r="D64" s="302"/>
      <c r="E64" s="302"/>
      <c r="F64" s="302"/>
      <c r="G64" s="302"/>
      <c r="H64" s="302"/>
      <c r="I64" s="302"/>
      <c r="J64" s="302"/>
      <c r="K64" s="243"/>
      <c r="L64" s="243"/>
    </row>
    <row r="65" spans="1:13" ht="18.75" customHeight="1" x14ac:dyDescent="0.35">
      <c r="A65" s="302" t="s">
        <v>173</v>
      </c>
      <c r="B65" s="302"/>
      <c r="C65" s="302"/>
      <c r="D65" s="302"/>
      <c r="E65" s="302"/>
      <c r="F65" s="302"/>
      <c r="G65" s="302"/>
      <c r="H65" s="302"/>
      <c r="I65" s="302"/>
      <c r="J65" s="302"/>
      <c r="K65" s="243"/>
      <c r="L65" s="243"/>
      <c r="M65" s="243"/>
    </row>
    <row r="66" spans="1:13" x14ac:dyDescent="0.35">
      <c r="A66" s="64" t="s">
        <v>31</v>
      </c>
      <c r="B66" s="64"/>
      <c r="C66" s="64"/>
      <c r="D66" s="64"/>
      <c r="E66" s="40"/>
      <c r="F66" s="40"/>
      <c r="G66" s="40"/>
      <c r="H66" s="40"/>
      <c r="I66" s="40"/>
      <c r="J66" s="40"/>
    </row>
    <row r="67" spans="1:13" x14ac:dyDescent="0.35">
      <c r="A67" s="64" t="s">
        <v>168</v>
      </c>
      <c r="B67" s="64"/>
      <c r="C67" s="64"/>
      <c r="D67" s="64"/>
      <c r="E67" s="40"/>
      <c r="F67" s="40"/>
      <c r="G67" s="40"/>
      <c r="H67" s="40"/>
      <c r="I67" s="40"/>
      <c r="J67" s="40"/>
    </row>
    <row r="68" spans="1:13" x14ac:dyDescent="0.35">
      <c r="A68" s="64" t="s">
        <v>96</v>
      </c>
      <c r="B68" s="64"/>
      <c r="C68" s="64"/>
      <c r="D68" s="64"/>
      <c r="E68" s="40"/>
      <c r="F68" s="40"/>
      <c r="G68" s="40"/>
      <c r="H68" s="40"/>
      <c r="I68" s="40"/>
      <c r="J68" s="40"/>
    </row>
    <row r="69" spans="1:13" x14ac:dyDescent="0.35">
      <c r="A69" s="3" t="s">
        <v>169</v>
      </c>
      <c r="B69" s="3"/>
      <c r="C69" s="3"/>
      <c r="D69" s="3"/>
    </row>
    <row r="71" spans="1:13" ht="36" customHeight="1" x14ac:dyDescent="0.35">
      <c r="A71" s="298" t="s">
        <v>174</v>
      </c>
      <c r="B71" s="298"/>
      <c r="C71" s="298"/>
      <c r="D71" s="298"/>
      <c r="E71" s="298"/>
      <c r="F71" s="298"/>
      <c r="G71" s="298"/>
    </row>
  </sheetData>
  <mergeCells count="7">
    <mergeCell ref="A71:G71"/>
    <mergeCell ref="A65:J65"/>
    <mergeCell ref="E14:G14"/>
    <mergeCell ref="H14:J14"/>
    <mergeCell ref="K14:M14"/>
    <mergeCell ref="A63:J63"/>
    <mergeCell ref="A64:J64"/>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4"/>
  <sheetViews>
    <sheetView workbookViewId="0"/>
  </sheetViews>
  <sheetFormatPr defaultColWidth="9.1796875" defaultRowHeight="14.5" x14ac:dyDescent="0.35"/>
  <cols>
    <col min="1" max="1" width="43.1796875" style="47" customWidth="1"/>
    <col min="2" max="2" width="14.26953125" style="47" bestFit="1" customWidth="1"/>
    <col min="3" max="3" width="14.26953125" style="47" customWidth="1"/>
    <col min="4" max="4" width="13.26953125" style="47" bestFit="1" customWidth="1"/>
    <col min="5" max="5" width="9.7265625" style="47" bestFit="1" customWidth="1"/>
    <col min="6" max="6" width="12.26953125" style="47" bestFit="1" customWidth="1"/>
    <col min="7" max="16384" width="9.1796875" style="47"/>
  </cols>
  <sheetData>
    <row r="1" spans="1:6" x14ac:dyDescent="0.35">
      <c r="A1" s="64" t="str">
        <f>+'PPC Cycle 3'!A1</f>
        <v>Evergy Metro, Inc. - DSIM Rider Update Filed 12/02/2021</v>
      </c>
    </row>
    <row r="2" spans="1:6" x14ac:dyDescent="0.35">
      <c r="A2" s="9" t="str">
        <f>+'PPC Cycle 3'!A2</f>
        <v>Projections for Cycle 3 January - December 2022 DSIM</v>
      </c>
    </row>
    <row r="3" spans="1:6" ht="45.75" customHeight="1" x14ac:dyDescent="0.35">
      <c r="B3" s="295" t="s">
        <v>98</v>
      </c>
      <c r="C3" s="295"/>
      <c r="D3" s="295"/>
    </row>
    <row r="4" spans="1:6" x14ac:dyDescent="0.35">
      <c r="B4" s="71"/>
      <c r="C4" s="71"/>
      <c r="D4" s="49" t="s">
        <v>17</v>
      </c>
    </row>
    <row r="5" spans="1:6" x14ac:dyDescent="0.35">
      <c r="A5" s="20" t="s">
        <v>84</v>
      </c>
      <c r="B5" s="71"/>
      <c r="C5" s="71"/>
      <c r="D5" s="195">
        <v>0</v>
      </c>
    </row>
    <row r="6" spans="1:6" x14ac:dyDescent="0.35">
      <c r="A6" s="20" t="s">
        <v>85</v>
      </c>
      <c r="B6" s="71"/>
      <c r="C6" s="71"/>
      <c r="D6" s="195">
        <v>0</v>
      </c>
    </row>
    <row r="7" spans="1:6" ht="58" x14ac:dyDescent="0.35">
      <c r="A7" s="20"/>
      <c r="B7" s="71"/>
      <c r="C7" s="71" t="s">
        <v>93</v>
      </c>
      <c r="D7" s="283" t="s">
        <v>84</v>
      </c>
      <c r="E7" s="284" t="s">
        <v>85</v>
      </c>
      <c r="F7" s="3" t="s">
        <v>5</v>
      </c>
    </row>
    <row r="8" spans="1:6" x14ac:dyDescent="0.35">
      <c r="A8" s="20" t="s">
        <v>24</v>
      </c>
      <c r="B8" s="71"/>
      <c r="C8" s="194">
        <f>+'[21]MO Metro'!$D$110</f>
        <v>0.22251130932352628</v>
      </c>
      <c r="D8" s="224">
        <v>0</v>
      </c>
      <c r="E8" s="224">
        <v>0</v>
      </c>
      <c r="F8" s="224">
        <f>SUM(D8:E8)</f>
        <v>0</v>
      </c>
    </row>
    <row r="9" spans="1:6" x14ac:dyDescent="0.35">
      <c r="A9" s="20" t="s">
        <v>25</v>
      </c>
      <c r="B9" s="71"/>
      <c r="C9" s="194">
        <f>+'[21]MO Metro'!$D$111</f>
        <v>0.77748869067647375</v>
      </c>
      <c r="D9" s="224">
        <v>0</v>
      </c>
      <c r="E9" s="224">
        <v>0</v>
      </c>
      <c r="F9" s="224">
        <f>SUM(D9:E9)</f>
        <v>0</v>
      </c>
    </row>
    <row r="10" spans="1:6" ht="15" thickBot="1" x14ac:dyDescent="0.4">
      <c r="A10" s="20" t="s">
        <v>5</v>
      </c>
      <c r="B10" s="71"/>
      <c r="C10" s="194">
        <f>SUM(C8:C9)</f>
        <v>1</v>
      </c>
      <c r="D10" s="225">
        <f>SUM(D8:D9)</f>
        <v>0</v>
      </c>
      <c r="E10" s="225">
        <f>SUM(E8:E9)</f>
        <v>0</v>
      </c>
      <c r="F10" s="225">
        <f>SUM(F8:F9)</f>
        <v>0</v>
      </c>
    </row>
    <row r="11" spans="1:6" ht="15.5" thickTop="1" thickBot="1" x14ac:dyDescent="0.4">
      <c r="B11" s="23"/>
      <c r="C11" s="23"/>
      <c r="D11" s="226">
        <f>+D10-D5</f>
        <v>0</v>
      </c>
      <c r="E11" s="226">
        <f>+E10-D6</f>
        <v>0</v>
      </c>
      <c r="F11" s="226">
        <f>ROUND(D5+D6,2)-F10</f>
        <v>0</v>
      </c>
    </row>
    <row r="12" spans="1:6" ht="58.5" thickTop="1" x14ac:dyDescent="0.35">
      <c r="D12" s="236"/>
      <c r="E12" s="235" t="s">
        <v>112</v>
      </c>
    </row>
    <row r="13" spans="1:6" x14ac:dyDescent="0.35">
      <c r="A13" s="20" t="s">
        <v>108</v>
      </c>
      <c r="D13" s="224">
        <v>0</v>
      </c>
      <c r="E13" s="233">
        <f>+'PCR Cycle 2'!L8</f>
        <v>0.13576441564001979</v>
      </c>
    </row>
    <row r="14" spans="1:6" x14ac:dyDescent="0.35">
      <c r="A14" s="20" t="s">
        <v>109</v>
      </c>
      <c r="D14" s="224">
        <v>0</v>
      </c>
      <c r="E14" s="233">
        <f>+'PCR Cycle 2'!L9</f>
        <v>0.35611574316442379</v>
      </c>
    </row>
    <row r="15" spans="1:6" x14ac:dyDescent="0.35">
      <c r="A15" s="20" t="s">
        <v>110</v>
      </c>
      <c r="D15" s="285">
        <v>0</v>
      </c>
      <c r="E15" s="233">
        <f>+'PCR Cycle 2'!L10</f>
        <v>0.4183185730547726</v>
      </c>
    </row>
    <row r="16" spans="1:6" ht="15" thickBot="1" x14ac:dyDescent="0.4">
      <c r="A16" s="20" t="s">
        <v>111</v>
      </c>
      <c r="D16" s="224">
        <v>0</v>
      </c>
      <c r="E16" s="233">
        <f>+'PCR Cycle 2'!L11</f>
        <v>8.9801268140783777E-2</v>
      </c>
    </row>
    <row r="17" spans="1:5" ht="15.5" thickTop="1" thickBot="1" x14ac:dyDescent="0.4">
      <c r="A17" s="20" t="s">
        <v>113</v>
      </c>
      <c r="D17" s="33">
        <f>SUM(D13:D16)</f>
        <v>0</v>
      </c>
      <c r="E17" s="234">
        <f>SUM(E13:E16)</f>
        <v>1</v>
      </c>
    </row>
    <row r="18" spans="1:5" ht="15" thickTop="1" x14ac:dyDescent="0.35"/>
    <row r="19" spans="1:5" x14ac:dyDescent="0.35">
      <c r="A19" s="54" t="s">
        <v>11</v>
      </c>
    </row>
    <row r="20" spans="1:5" s="40" customFormat="1" x14ac:dyDescent="0.35">
      <c r="A20" s="3" t="s">
        <v>214</v>
      </c>
      <c r="B20" s="47"/>
      <c r="C20" s="47"/>
      <c r="D20" s="47"/>
    </row>
    <row r="21" spans="1:5" s="40" customFormat="1" x14ac:dyDescent="0.35">
      <c r="A21" s="3" t="s">
        <v>215</v>
      </c>
      <c r="B21" s="47"/>
      <c r="C21" s="47"/>
      <c r="D21" s="47"/>
    </row>
    <row r="22" spans="1:5" s="40" customFormat="1" x14ac:dyDescent="0.35">
      <c r="A22" s="3"/>
      <c r="B22" s="47"/>
      <c r="C22" s="47"/>
      <c r="D22" s="47"/>
    </row>
    <row r="24" spans="1:5" x14ac:dyDescent="0.35">
      <c r="A24" s="3"/>
      <c r="D24" s="196"/>
    </row>
    <row r="25" spans="1:5" x14ac:dyDescent="0.35">
      <c r="D25" s="196"/>
    </row>
    <row r="26" spans="1:5" x14ac:dyDescent="0.35">
      <c r="B26" s="71"/>
      <c r="D26" s="196"/>
    </row>
    <row r="27" spans="1:5" x14ac:dyDescent="0.35">
      <c r="A27" s="221"/>
      <c r="B27" s="222"/>
      <c r="D27" s="196"/>
    </row>
    <row r="28" spans="1:5" x14ac:dyDescent="0.35">
      <c r="A28" s="221"/>
      <c r="B28" s="222"/>
      <c r="D28" s="196"/>
    </row>
    <row r="29" spans="1:5" x14ac:dyDescent="0.35">
      <c r="A29" s="221"/>
      <c r="B29" s="222"/>
      <c r="D29" s="196"/>
    </row>
    <row r="30" spans="1:5" x14ac:dyDescent="0.35">
      <c r="A30" s="221"/>
      <c r="B30" s="222"/>
      <c r="D30" s="196"/>
    </row>
    <row r="31" spans="1:5" x14ac:dyDescent="0.35">
      <c r="A31" s="221"/>
      <c r="B31" s="197"/>
      <c r="D31" s="196"/>
    </row>
    <row r="32" spans="1:5" x14ac:dyDescent="0.35">
      <c r="A32" s="221"/>
      <c r="B32" s="197"/>
      <c r="D32" s="196"/>
    </row>
    <row r="33" spans="1:4" ht="16" x14ac:dyDescent="0.5">
      <c r="A33" s="221"/>
      <c r="B33" s="197"/>
      <c r="D33" s="223"/>
    </row>
    <row r="34" spans="1:4" x14ac:dyDescent="0.35">
      <c r="A34" s="221"/>
      <c r="D34" s="196"/>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54"/>
  <sheetViews>
    <sheetView workbookViewId="0"/>
  </sheetViews>
  <sheetFormatPr defaultColWidth="9.1796875" defaultRowHeight="14.5" x14ac:dyDescent="0.35"/>
  <cols>
    <col min="1" max="1" width="37.7265625" style="47" customWidth="1"/>
    <col min="2" max="2" width="12.26953125" style="47" bestFit="1" customWidth="1"/>
    <col min="3" max="3" width="12.453125" style="47" bestFit="1" customWidth="1"/>
    <col min="4" max="4" width="15.453125" style="47" customWidth="1"/>
    <col min="5" max="5" width="15.81640625" style="47" bestFit="1" customWidth="1"/>
    <col min="6" max="6" width="12.26953125" style="47" bestFit="1" customWidth="1"/>
    <col min="7" max="8" width="13.26953125" style="47" bestFit="1" customWidth="1"/>
    <col min="9" max="9" width="12.26953125" style="47" bestFit="1" customWidth="1"/>
    <col min="10" max="10" width="12.453125" style="47" customWidth="1"/>
    <col min="11" max="11" width="12.81640625" style="47" customWidth="1"/>
    <col min="12" max="12" width="16" style="47" customWidth="1"/>
    <col min="13" max="13" width="15" style="47" bestFit="1" customWidth="1"/>
    <col min="14" max="14" width="16" style="47" bestFit="1" customWidth="1"/>
    <col min="15" max="15" width="17.81640625" style="47"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Metro, Inc. - DSIM Rider Update Filed 12/02/2021</v>
      </c>
      <c r="B1" s="3"/>
      <c r="C1" s="3"/>
    </row>
    <row r="2" spans="1:35" x14ac:dyDescent="0.35">
      <c r="D2" s="3" t="s">
        <v>97</v>
      </c>
    </row>
    <row r="3" spans="1:35" ht="29" x14ac:dyDescent="0.35">
      <c r="D3" s="49" t="s">
        <v>46</v>
      </c>
      <c r="E3" s="71" t="s">
        <v>17</v>
      </c>
      <c r="F3" s="49" t="s">
        <v>3</v>
      </c>
      <c r="G3" s="71" t="s">
        <v>55</v>
      </c>
      <c r="H3" s="49" t="s">
        <v>10</v>
      </c>
      <c r="I3" s="49" t="s">
        <v>18</v>
      </c>
      <c r="S3" s="49"/>
    </row>
    <row r="4" spans="1:35" x14ac:dyDescent="0.35">
      <c r="A4" s="20" t="s">
        <v>24</v>
      </c>
      <c r="B4" s="20"/>
      <c r="C4" s="20"/>
      <c r="D4" s="22">
        <f>SUM(C19:L19)</f>
        <v>-2349.2600000000002</v>
      </c>
      <c r="E4" s="22">
        <f>SUM(C23:K23)</f>
        <v>-2225.11</v>
      </c>
      <c r="F4" s="22">
        <f>E4-D4</f>
        <v>124.15000000000009</v>
      </c>
      <c r="G4" s="22">
        <f>+B33</f>
        <v>0</v>
      </c>
      <c r="H4" s="22">
        <f>SUM(C38:K38)</f>
        <v>-124.15</v>
      </c>
      <c r="I4" s="26">
        <f>SUM(F4:H4)</f>
        <v>0</v>
      </c>
      <c r="J4" s="48">
        <f>+I4-L33</f>
        <v>0</v>
      </c>
      <c r="M4" s="48"/>
    </row>
    <row r="5" spans="1:35" ht="15" thickBot="1" x14ac:dyDescent="0.4">
      <c r="A5" s="20" t="s">
        <v>25</v>
      </c>
      <c r="B5" s="20"/>
      <c r="C5" s="20"/>
      <c r="D5" s="22">
        <f>SUM(C20:L20)</f>
        <v>-8158.69</v>
      </c>
      <c r="E5" s="22">
        <f>SUM(C24:K24)</f>
        <v>-7774.89</v>
      </c>
      <c r="F5" s="22">
        <f>E5-D5</f>
        <v>383.79999999999927</v>
      </c>
      <c r="G5" s="22">
        <f>+B34</f>
        <v>0</v>
      </c>
      <c r="H5" s="22">
        <f>SUM(C39:K39)</f>
        <v>-383.8</v>
      </c>
      <c r="I5" s="26">
        <f>SUM(F5:H5)</f>
        <v>-7.3896444519050419E-13</v>
      </c>
      <c r="J5" s="48">
        <f>+I5-L34</f>
        <v>0</v>
      </c>
      <c r="M5" s="48"/>
    </row>
    <row r="6" spans="1:35" ht="15.5" thickTop="1" thickBot="1" x14ac:dyDescent="0.4">
      <c r="D6" s="28">
        <f t="shared" ref="D6" si="0">SUM(D4:D5)</f>
        <v>-10507.95</v>
      </c>
      <c r="E6" s="28">
        <f>SUM(E4:E5)</f>
        <v>-10000</v>
      </c>
      <c r="F6" s="28">
        <f>SUM(F4:F5)</f>
        <v>507.94999999999936</v>
      </c>
      <c r="G6" s="28">
        <f>SUM(G4:G5)</f>
        <v>0</v>
      </c>
      <c r="H6" s="28">
        <f>SUM(H4:H5)</f>
        <v>-507.95000000000005</v>
      </c>
      <c r="I6" s="28">
        <f>SUM(I4:I5)</f>
        <v>-7.3896444519050419E-13</v>
      </c>
      <c r="T6" s="5"/>
    </row>
    <row r="7" spans="1:35" ht="44" thickTop="1" x14ac:dyDescent="0.35">
      <c r="I7" s="236"/>
      <c r="J7" s="235" t="s">
        <v>124</v>
      </c>
    </row>
    <row r="8" spans="1:35" x14ac:dyDescent="0.35">
      <c r="A8" s="20" t="s">
        <v>108</v>
      </c>
      <c r="I8" s="26">
        <f>ROUND($I$5*J8,2)</f>
        <v>0</v>
      </c>
      <c r="J8" s="233">
        <f>+'PCR Cycle 2'!L8</f>
        <v>0.13576441564001979</v>
      </c>
    </row>
    <row r="9" spans="1:35" x14ac:dyDescent="0.35">
      <c r="A9" s="20" t="s">
        <v>109</v>
      </c>
      <c r="I9" s="26">
        <f t="shared" ref="I9:I11" si="1">ROUND($I$5*J9,2)</f>
        <v>0</v>
      </c>
      <c r="J9" s="233">
        <f>+'PCR Cycle 2'!L9</f>
        <v>0.35611574316442379</v>
      </c>
    </row>
    <row r="10" spans="1:35" x14ac:dyDescent="0.35">
      <c r="A10" s="20" t="s">
        <v>110</v>
      </c>
      <c r="I10" s="26">
        <f t="shared" si="1"/>
        <v>0</v>
      </c>
      <c r="J10" s="233">
        <f>+'PCR Cycle 2'!L10</f>
        <v>0.4183185730547726</v>
      </c>
    </row>
    <row r="11" spans="1:35" ht="15" thickBot="1" x14ac:dyDescent="0.4">
      <c r="A11" s="20" t="s">
        <v>111</v>
      </c>
      <c r="I11" s="26">
        <f t="shared" si="1"/>
        <v>0</v>
      </c>
      <c r="J11" s="233">
        <f>+'PCR Cycle 2'!L11</f>
        <v>8.9801268140783777E-2</v>
      </c>
    </row>
    <row r="12" spans="1:35" ht="15.5" thickTop="1" thickBot="1" x14ac:dyDescent="0.4">
      <c r="A12" s="20" t="s">
        <v>113</v>
      </c>
      <c r="I12" s="28">
        <f>SUM(I8:I11)</f>
        <v>0</v>
      </c>
      <c r="J12" s="234">
        <f>SUM(J8:J11)</f>
        <v>1</v>
      </c>
      <c r="V12" s="4"/>
    </row>
    <row r="13" spans="1:35" ht="15.5" thickTop="1" thickBot="1" x14ac:dyDescent="0.4">
      <c r="V13" s="4"/>
      <c r="W13" s="5"/>
    </row>
    <row r="14" spans="1:35" ht="87.5" thickBot="1" x14ac:dyDescent="0.4">
      <c r="B14" s="119" t="str">
        <f>+'PCR Cycle 2'!B14</f>
        <v>Cumulative Over/Under Carryover From 06/01/2021 Filing</v>
      </c>
      <c r="C14" s="154" t="str">
        <f>+'PCR Cycle 2'!C14</f>
        <v>Reverse May - October 2021  Forecast From 06/01/2021 Filing</v>
      </c>
      <c r="D14" s="303" t="s">
        <v>33</v>
      </c>
      <c r="E14" s="303"/>
      <c r="F14" s="304"/>
      <c r="G14" s="308" t="s">
        <v>33</v>
      </c>
      <c r="H14" s="309"/>
      <c r="I14" s="310"/>
      <c r="J14" s="299" t="s">
        <v>8</v>
      </c>
      <c r="K14" s="300"/>
      <c r="L14" s="301"/>
    </row>
    <row r="15" spans="1:35" x14ac:dyDescent="0.35">
      <c r="A15" s="47" t="s">
        <v>91</v>
      </c>
      <c r="C15" s="106"/>
      <c r="D15" s="19">
        <f>+'PCR Cycle 2'!E15</f>
        <v>44347</v>
      </c>
      <c r="E15" s="19">
        <f t="shared" ref="E15:L15" si="2">EOMONTH(D15,1)</f>
        <v>44377</v>
      </c>
      <c r="F15" s="19">
        <f t="shared" si="2"/>
        <v>44408</v>
      </c>
      <c r="G15" s="14">
        <f t="shared" si="2"/>
        <v>44439</v>
      </c>
      <c r="H15" s="19">
        <f t="shared" si="2"/>
        <v>44469</v>
      </c>
      <c r="I15" s="15">
        <f t="shared" si="2"/>
        <v>44500</v>
      </c>
      <c r="J15" s="19">
        <f t="shared" si="2"/>
        <v>44530</v>
      </c>
      <c r="K15" s="19">
        <f t="shared" si="2"/>
        <v>44561</v>
      </c>
      <c r="L15" s="15">
        <f t="shared" si="2"/>
        <v>44592</v>
      </c>
      <c r="Z15" s="1"/>
      <c r="AA15" s="1"/>
      <c r="AB15" s="1"/>
      <c r="AC15" s="1"/>
      <c r="AD15" s="1"/>
      <c r="AE15" s="1"/>
      <c r="AF15" s="1"/>
      <c r="AG15" s="1"/>
      <c r="AH15" s="1"/>
      <c r="AI15" s="1"/>
    </row>
    <row r="16" spans="1:35" x14ac:dyDescent="0.35">
      <c r="A16" s="47" t="s">
        <v>5</v>
      </c>
      <c r="C16" s="98">
        <v>0</v>
      </c>
      <c r="D16" s="110">
        <f>SUM(D23:D24)</f>
        <v>0</v>
      </c>
      <c r="E16" s="110">
        <f t="shared" ref="E16:H16" si="3">SUM(E23:E24)</f>
        <v>0</v>
      </c>
      <c r="F16" s="111">
        <f t="shared" si="3"/>
        <v>0</v>
      </c>
      <c r="G16" s="16">
        <f t="shared" si="3"/>
        <v>-10000</v>
      </c>
      <c r="H16" s="56">
        <f t="shared" si="3"/>
        <v>0</v>
      </c>
      <c r="I16" s="169">
        <f>+I23+I24</f>
        <v>0</v>
      </c>
      <c r="J16" s="162">
        <f t="shared" ref="J16:K16" si="4">+J23+J24</f>
        <v>0</v>
      </c>
      <c r="K16" s="79">
        <f t="shared" si="4"/>
        <v>0</v>
      </c>
      <c r="L16" s="80"/>
    </row>
    <row r="17" spans="1:14" x14ac:dyDescent="0.35">
      <c r="C17" s="100"/>
      <c r="D17" s="17"/>
      <c r="E17" s="17"/>
      <c r="F17" s="17"/>
      <c r="G17" s="10"/>
      <c r="H17" s="17"/>
      <c r="I17" s="11"/>
      <c r="J17" s="32"/>
      <c r="K17" s="32"/>
      <c r="L17" s="30"/>
    </row>
    <row r="18" spans="1:14" x14ac:dyDescent="0.35">
      <c r="A18" s="47" t="s">
        <v>90</v>
      </c>
      <c r="C18" s="100"/>
      <c r="D18" s="18"/>
      <c r="E18" s="18"/>
      <c r="F18" s="18"/>
      <c r="G18" s="92"/>
      <c r="H18" s="18"/>
      <c r="I18" s="170"/>
      <c r="J18" s="32"/>
      <c r="K18" s="32"/>
      <c r="L18" s="30"/>
      <c r="M18" s="3" t="s">
        <v>50</v>
      </c>
      <c r="N18" s="40"/>
    </row>
    <row r="19" spans="1:14" x14ac:dyDescent="0.35">
      <c r="A19" s="47" t="s">
        <v>24</v>
      </c>
      <c r="C19" s="98">
        <v>0</v>
      </c>
      <c r="D19" s="137">
        <v>0</v>
      </c>
      <c r="E19" s="137">
        <v>0</v>
      </c>
      <c r="F19" s="191">
        <v>0</v>
      </c>
      <c r="G19" s="16">
        <f>ROUND('[4]Aug 2021'!$F38,2)</f>
        <v>-2349.2600000000002</v>
      </c>
      <c r="H19" s="122">
        <v>0</v>
      </c>
      <c r="I19" s="171">
        <v>0</v>
      </c>
      <c r="J19" s="124">
        <f>'PCR Cycle 2'!K27*$M19</f>
        <v>0</v>
      </c>
      <c r="K19" s="42">
        <f>'PCR Cycle 2'!L27*$M19</f>
        <v>0</v>
      </c>
      <c r="L19" s="62">
        <f>'PCR Cycle 2'!M27*$M19</f>
        <v>0</v>
      </c>
      <c r="M19" s="73">
        <v>0</v>
      </c>
      <c r="N19" s="4"/>
    </row>
    <row r="20" spans="1:14" x14ac:dyDescent="0.35">
      <c r="A20" s="47" t="s">
        <v>25</v>
      </c>
      <c r="C20" s="98">
        <v>0</v>
      </c>
      <c r="D20" s="137">
        <v>0</v>
      </c>
      <c r="E20" s="137">
        <v>0</v>
      </c>
      <c r="F20" s="191">
        <v>0</v>
      </c>
      <c r="G20" s="16">
        <f>ROUND('[4]Aug 2021'!$F39,2)</f>
        <v>-8158.69</v>
      </c>
      <c r="H20" s="122">
        <v>0</v>
      </c>
      <c r="I20" s="171">
        <v>0</v>
      </c>
      <c r="J20" s="124">
        <f>SUM('PCR Cycle 2'!K28:K31)*$M20</f>
        <v>0</v>
      </c>
      <c r="K20" s="42">
        <f>SUM('PCR Cycle 2'!L28:L31)*$M20</f>
        <v>0</v>
      </c>
      <c r="L20" s="62">
        <f>SUM('PCR Cycle 2'!M28:M31)*$M20</f>
        <v>0</v>
      </c>
      <c r="M20" s="73">
        <v>0</v>
      </c>
      <c r="N20" s="4"/>
    </row>
    <row r="21" spans="1:14" x14ac:dyDescent="0.35">
      <c r="C21" s="68"/>
      <c r="D21" s="69"/>
      <c r="E21" s="69"/>
      <c r="F21" s="69"/>
      <c r="G21" s="99"/>
      <c r="H21" s="69"/>
      <c r="I21" s="172"/>
      <c r="J21" s="57"/>
      <c r="K21" s="57"/>
      <c r="L21" s="13"/>
      <c r="N21" s="4"/>
    </row>
    <row r="22" spans="1:14" x14ac:dyDescent="0.35">
      <c r="A22" s="47" t="s">
        <v>92</v>
      </c>
      <c r="C22" s="37"/>
      <c r="D22" s="38"/>
      <c r="E22" s="38"/>
      <c r="F22" s="38"/>
      <c r="G22" s="37"/>
      <c r="H22" s="38"/>
      <c r="I22" s="175"/>
      <c r="J22" s="53"/>
      <c r="K22" s="53"/>
      <c r="L22" s="39"/>
    </row>
    <row r="23" spans="1:14" x14ac:dyDescent="0.35">
      <c r="A23" s="47" t="s">
        <v>24</v>
      </c>
      <c r="C23" s="98">
        <v>0</v>
      </c>
      <c r="D23" s="110">
        <v>0</v>
      </c>
      <c r="E23" s="110">
        <v>0</v>
      </c>
      <c r="F23" s="111">
        <v>0</v>
      </c>
      <c r="G23" s="16">
        <f>ROUND(-'[21]MO Metro'!E110,2)</f>
        <v>-2225.11</v>
      </c>
      <c r="H23" s="56">
        <v>0</v>
      </c>
      <c r="I23" s="169">
        <v>0</v>
      </c>
      <c r="J23" s="164">
        <v>0</v>
      </c>
      <c r="K23" s="144">
        <v>0</v>
      </c>
      <c r="L23" s="80"/>
    </row>
    <row r="24" spans="1:14" x14ac:dyDescent="0.35">
      <c r="A24" s="47" t="s">
        <v>25</v>
      </c>
      <c r="C24" s="98">
        <v>0</v>
      </c>
      <c r="D24" s="110">
        <v>0</v>
      </c>
      <c r="E24" s="110">
        <v>0</v>
      </c>
      <c r="F24" s="111">
        <v>0</v>
      </c>
      <c r="G24" s="16">
        <f>ROUND(-'[21]MO Metro'!E111,2)</f>
        <v>-7774.89</v>
      </c>
      <c r="H24" s="56">
        <v>0</v>
      </c>
      <c r="I24" s="169">
        <v>0</v>
      </c>
      <c r="J24" s="164">
        <v>0</v>
      </c>
      <c r="K24" s="144">
        <v>0</v>
      </c>
      <c r="L24" s="80"/>
      <c r="N24" s="48"/>
    </row>
    <row r="25" spans="1:14" x14ac:dyDescent="0.35">
      <c r="C25" s="100"/>
      <c r="D25" s="18"/>
      <c r="E25" s="18"/>
      <c r="F25" s="18"/>
      <c r="G25" s="92"/>
      <c r="H25" s="18"/>
      <c r="I25" s="170"/>
      <c r="J25" s="57"/>
      <c r="K25" s="57"/>
      <c r="L25" s="13"/>
    </row>
    <row r="26" spans="1:14" ht="15" thickBot="1" x14ac:dyDescent="0.4">
      <c r="A26" s="3" t="s">
        <v>14</v>
      </c>
      <c r="B26" s="3"/>
      <c r="C26" s="104">
        <v>0</v>
      </c>
      <c r="D26" s="137">
        <v>0</v>
      </c>
      <c r="E26" s="137">
        <v>0</v>
      </c>
      <c r="F26" s="138">
        <v>0</v>
      </c>
      <c r="G26" s="27">
        <v>-507.95</v>
      </c>
      <c r="H26" s="123">
        <v>0</v>
      </c>
      <c r="I26" s="176">
        <v>0</v>
      </c>
      <c r="J26" s="165"/>
      <c r="K26" s="146"/>
      <c r="L26" s="83"/>
    </row>
    <row r="27" spans="1:14" x14ac:dyDescent="0.35">
      <c r="C27" s="65"/>
      <c r="D27" s="150"/>
      <c r="E27" s="150"/>
      <c r="F27" s="151"/>
      <c r="G27" s="65"/>
      <c r="H27" s="34"/>
      <c r="I27" s="177"/>
      <c r="J27" s="35"/>
      <c r="K27" s="35"/>
      <c r="L27" s="61"/>
    </row>
    <row r="28" spans="1:14" x14ac:dyDescent="0.35">
      <c r="A28" s="47" t="s">
        <v>52</v>
      </c>
      <c r="C28" s="66"/>
      <c r="D28" s="151"/>
      <c r="E28" s="151"/>
      <c r="F28" s="151"/>
      <c r="G28" s="66"/>
      <c r="H28" s="36"/>
      <c r="I28" s="178"/>
      <c r="J28" s="35"/>
      <c r="K28" s="35"/>
      <c r="L28" s="61"/>
    </row>
    <row r="29" spans="1:14" x14ac:dyDescent="0.35">
      <c r="A29" s="47" t="s">
        <v>24</v>
      </c>
      <c r="C29" s="101">
        <f t="shared" ref="C29:L29" si="5">C23-C19</f>
        <v>0</v>
      </c>
      <c r="D29" s="42">
        <f t="shared" si="5"/>
        <v>0</v>
      </c>
      <c r="E29" s="42">
        <f t="shared" si="5"/>
        <v>0</v>
      </c>
      <c r="F29" s="109">
        <f t="shared" si="5"/>
        <v>0</v>
      </c>
      <c r="G29" s="41">
        <f t="shared" si="5"/>
        <v>124.15000000000009</v>
      </c>
      <c r="H29" s="42">
        <f t="shared" si="5"/>
        <v>0</v>
      </c>
      <c r="I29" s="62">
        <f t="shared" si="5"/>
        <v>0</v>
      </c>
      <c r="J29" s="124">
        <f t="shared" si="5"/>
        <v>0</v>
      </c>
      <c r="K29" s="42">
        <f t="shared" si="5"/>
        <v>0</v>
      </c>
      <c r="L29" s="62">
        <f t="shared" si="5"/>
        <v>0</v>
      </c>
    </row>
    <row r="30" spans="1:14" x14ac:dyDescent="0.35">
      <c r="A30" s="47" t="s">
        <v>25</v>
      </c>
      <c r="C30" s="101">
        <f t="shared" ref="C30:L30" si="6">C24-C20</f>
        <v>0</v>
      </c>
      <c r="D30" s="42">
        <f t="shared" si="6"/>
        <v>0</v>
      </c>
      <c r="E30" s="42">
        <f t="shared" si="6"/>
        <v>0</v>
      </c>
      <c r="F30" s="109">
        <f t="shared" si="6"/>
        <v>0</v>
      </c>
      <c r="G30" s="41">
        <f t="shared" si="6"/>
        <v>383.79999999999927</v>
      </c>
      <c r="H30" s="42">
        <f t="shared" si="6"/>
        <v>0</v>
      </c>
      <c r="I30" s="62">
        <f t="shared" si="6"/>
        <v>0</v>
      </c>
      <c r="J30" s="124">
        <f t="shared" si="6"/>
        <v>0</v>
      </c>
      <c r="K30" s="42">
        <f t="shared" si="6"/>
        <v>0</v>
      </c>
      <c r="L30" s="62">
        <f t="shared" si="6"/>
        <v>0</v>
      </c>
    </row>
    <row r="31" spans="1:14" x14ac:dyDescent="0.35">
      <c r="C31" s="100"/>
      <c r="D31" s="17"/>
      <c r="E31" s="17"/>
      <c r="F31" s="17"/>
      <c r="G31" s="10"/>
      <c r="H31" s="17"/>
      <c r="I31" s="11"/>
      <c r="J31" s="17"/>
      <c r="K31" s="17"/>
      <c r="L31" s="11"/>
    </row>
    <row r="32" spans="1:14" ht="15" thickBot="1" x14ac:dyDescent="0.4">
      <c r="A32" s="47" t="s">
        <v>53</v>
      </c>
      <c r="C32" s="100"/>
      <c r="D32" s="17"/>
      <c r="E32" s="17"/>
      <c r="F32" s="17"/>
      <c r="G32" s="10"/>
      <c r="H32" s="17"/>
      <c r="I32" s="11"/>
      <c r="J32" s="17"/>
      <c r="K32" s="17"/>
      <c r="L32" s="11"/>
    </row>
    <row r="33" spans="1:12" x14ac:dyDescent="0.35">
      <c r="A33" s="47" t="s">
        <v>24</v>
      </c>
      <c r="B33" s="117">
        <v>0</v>
      </c>
      <c r="C33" s="101">
        <f>B33+C29+B38</f>
        <v>0</v>
      </c>
      <c r="D33" s="42">
        <f t="shared" ref="D33:L34" si="7">C33+D29+C38</f>
        <v>0</v>
      </c>
      <c r="E33" s="42">
        <f t="shared" si="7"/>
        <v>0</v>
      </c>
      <c r="F33" s="109">
        <f t="shared" si="7"/>
        <v>0</v>
      </c>
      <c r="G33" s="41">
        <f t="shared" si="7"/>
        <v>124.15000000000009</v>
      </c>
      <c r="H33" s="42">
        <f t="shared" si="7"/>
        <v>0</v>
      </c>
      <c r="I33" s="62">
        <f t="shared" si="7"/>
        <v>0</v>
      </c>
      <c r="J33" s="124">
        <f t="shared" si="7"/>
        <v>0</v>
      </c>
      <c r="K33" s="42">
        <f t="shared" si="7"/>
        <v>0</v>
      </c>
      <c r="L33" s="62">
        <f t="shared" si="7"/>
        <v>0</v>
      </c>
    </row>
    <row r="34" spans="1:12" ht="15" thickBot="1" x14ac:dyDescent="0.4">
      <c r="A34" s="47" t="s">
        <v>25</v>
      </c>
      <c r="B34" s="118">
        <v>0</v>
      </c>
      <c r="C34" s="101">
        <f>B34+C30+B39</f>
        <v>0</v>
      </c>
      <c r="D34" s="42">
        <f t="shared" si="7"/>
        <v>0</v>
      </c>
      <c r="E34" s="42">
        <f t="shared" si="7"/>
        <v>0</v>
      </c>
      <c r="F34" s="109">
        <f t="shared" si="7"/>
        <v>0</v>
      </c>
      <c r="G34" s="41">
        <f t="shared" si="7"/>
        <v>383.79999999999927</v>
      </c>
      <c r="H34" s="42">
        <f t="shared" si="7"/>
        <v>-7.3896444519050419E-13</v>
      </c>
      <c r="I34" s="62">
        <f t="shared" si="7"/>
        <v>-7.3896444519050419E-13</v>
      </c>
      <c r="J34" s="124">
        <f t="shared" si="7"/>
        <v>-7.3896444519050419E-13</v>
      </c>
      <c r="K34" s="42">
        <f t="shared" si="7"/>
        <v>-7.3896444519050419E-13</v>
      </c>
      <c r="L34" s="62">
        <f t="shared" si="7"/>
        <v>-7.3896444519050419E-13</v>
      </c>
    </row>
    <row r="35" spans="1:12" x14ac:dyDescent="0.35">
      <c r="C35" s="100"/>
      <c r="D35" s="17"/>
      <c r="E35" s="17"/>
      <c r="F35" s="17"/>
      <c r="G35" s="10"/>
      <c r="H35" s="17"/>
      <c r="I35" s="11"/>
      <c r="J35" s="17"/>
      <c r="K35" s="17"/>
      <c r="L35" s="11"/>
    </row>
    <row r="36" spans="1:12" x14ac:dyDescent="0.35">
      <c r="A36" s="40" t="s">
        <v>88</v>
      </c>
      <c r="B36" s="40"/>
      <c r="C36" s="105"/>
      <c r="D36" s="84">
        <f>+'PCR Cycle 2'!E50</f>
        <v>9.1374999999999996E-4</v>
      </c>
      <c r="E36" s="84">
        <f>+'PCR Cycle 2'!F50</f>
        <v>9.0538999999999995E-4</v>
      </c>
      <c r="F36" s="84">
        <f>+'PCR Cycle 2'!G50</f>
        <v>9.1118000000000004E-4</v>
      </c>
      <c r="G36" s="85">
        <f>+'PCR Cycle 2'!H50</f>
        <v>9.0817999999999997E-4</v>
      </c>
      <c r="H36" s="84">
        <f>+'PCR Cycle 2'!I50</f>
        <v>9.0315999999999997E-4</v>
      </c>
      <c r="I36" s="93">
        <f>+'PCR Cycle 2'!J50</f>
        <v>9.0388000000000003E-4</v>
      </c>
      <c r="J36" s="84">
        <f>+'PCR Cycle 2'!K50</f>
        <v>9.0388000000000003E-4</v>
      </c>
      <c r="K36" s="84">
        <f>+'PCR Cycle 2'!L50</f>
        <v>9.0388000000000003E-4</v>
      </c>
      <c r="L36" s="86"/>
    </row>
    <row r="37" spans="1:12" x14ac:dyDescent="0.35">
      <c r="A37" s="40" t="s">
        <v>37</v>
      </c>
      <c r="B37" s="40"/>
      <c r="C37" s="107"/>
      <c r="D37" s="84"/>
      <c r="E37" s="84"/>
      <c r="F37" s="84"/>
      <c r="G37" s="85"/>
      <c r="H37" s="84"/>
      <c r="I37" s="86"/>
      <c r="J37" s="84"/>
      <c r="K37" s="84"/>
      <c r="L37" s="86"/>
    </row>
    <row r="38" spans="1:12" x14ac:dyDescent="0.35">
      <c r="A38" s="47" t="s">
        <v>24</v>
      </c>
      <c r="C38" s="101">
        <v>0</v>
      </c>
      <c r="D38" s="42">
        <f t="shared" ref="D38:L39" si="8">ROUND((C33+C38+D29/2)*D$36,2)</f>
        <v>0</v>
      </c>
      <c r="E38" s="42">
        <f t="shared" si="8"/>
        <v>0</v>
      </c>
      <c r="F38" s="109">
        <f t="shared" si="8"/>
        <v>0</v>
      </c>
      <c r="G38" s="41">
        <f>+'[22]Metro Ordered Adjustmt Cycle 2'!$K$95</f>
        <v>-124.15</v>
      </c>
      <c r="H38" s="124">
        <f t="shared" si="8"/>
        <v>0</v>
      </c>
      <c r="I38" s="50">
        <f t="shared" si="8"/>
        <v>0</v>
      </c>
      <c r="J38" s="166">
        <f t="shared" si="8"/>
        <v>0</v>
      </c>
      <c r="K38" s="109">
        <f t="shared" si="8"/>
        <v>0</v>
      </c>
      <c r="L38" s="62">
        <f t="shared" si="8"/>
        <v>0</v>
      </c>
    </row>
    <row r="39" spans="1:12" ht="15" thickBot="1" x14ac:dyDescent="0.4">
      <c r="A39" s="47" t="s">
        <v>25</v>
      </c>
      <c r="C39" s="101">
        <v>0</v>
      </c>
      <c r="D39" s="42">
        <f t="shared" si="8"/>
        <v>0</v>
      </c>
      <c r="E39" s="42">
        <f t="shared" si="8"/>
        <v>0</v>
      </c>
      <c r="F39" s="109">
        <f t="shared" si="8"/>
        <v>0</v>
      </c>
      <c r="G39" s="41">
        <f>+'[22]Metro Ordered Adjustmt Cycle 2'!$X$95</f>
        <v>-383.8</v>
      </c>
      <c r="H39" s="124">
        <f t="shared" si="8"/>
        <v>0</v>
      </c>
      <c r="I39" s="50">
        <f t="shared" si="8"/>
        <v>0</v>
      </c>
      <c r="J39" s="166">
        <f t="shared" si="8"/>
        <v>0</v>
      </c>
      <c r="K39" s="109">
        <f t="shared" si="8"/>
        <v>0</v>
      </c>
      <c r="L39" s="62">
        <f t="shared" si="8"/>
        <v>0</v>
      </c>
    </row>
    <row r="40" spans="1:12" ht="15.5" thickTop="1" thickBot="1" x14ac:dyDescent="0.4">
      <c r="A40" s="55" t="s">
        <v>22</v>
      </c>
      <c r="B40" s="55"/>
      <c r="C40" s="108">
        <v>0</v>
      </c>
      <c r="D40" s="43">
        <f t="shared" ref="D40:I40" si="9">SUM(D38:D39)+SUM(D33:D34)-D43</f>
        <v>0</v>
      </c>
      <c r="E40" s="43">
        <f t="shared" si="9"/>
        <v>0</v>
      </c>
      <c r="F40" s="51">
        <f t="shared" ref="F40:H40" si="10">SUM(F38:F39)+SUM(F33:F34)-F43</f>
        <v>0</v>
      </c>
      <c r="G40" s="148">
        <f t="shared" si="10"/>
        <v>-1.3642420526593924E-12</v>
      </c>
      <c r="H40" s="51">
        <f t="shared" si="10"/>
        <v>-1.4210854715202004E-12</v>
      </c>
      <c r="I40" s="63">
        <f t="shared" si="9"/>
        <v>-1.4210854715202004E-12</v>
      </c>
      <c r="J40" s="167">
        <f t="shared" ref="J40:L40" si="11">SUM(J38:J39)+SUM(J33:J34)-J43</f>
        <v>-1.4210854715202004E-12</v>
      </c>
      <c r="K40" s="51">
        <f t="shared" si="11"/>
        <v>-1.4210854715202004E-12</v>
      </c>
      <c r="L40" s="63">
        <f t="shared" si="11"/>
        <v>-1.4210854715202004E-12</v>
      </c>
    </row>
    <row r="41" spans="1:12" ht="15.5" thickTop="1" thickBot="1" x14ac:dyDescent="0.4">
      <c r="A41" s="55" t="s">
        <v>23</v>
      </c>
      <c r="B41" s="55"/>
      <c r="C41" s="108">
        <v>0</v>
      </c>
      <c r="D41" s="43">
        <f t="shared" ref="D41:I41" si="12">SUM(D38:D39)-D26</f>
        <v>0</v>
      </c>
      <c r="E41" s="43">
        <f t="shared" si="12"/>
        <v>0</v>
      </c>
      <c r="F41" s="51">
        <f t="shared" ref="F41:H41" si="13">SUM(F38:F39)-F26</f>
        <v>0</v>
      </c>
      <c r="G41" s="148">
        <f t="shared" si="13"/>
        <v>0</v>
      </c>
      <c r="H41" s="51">
        <f t="shared" si="13"/>
        <v>0</v>
      </c>
      <c r="I41" s="63">
        <f t="shared" si="12"/>
        <v>0</v>
      </c>
      <c r="J41" s="168">
        <f t="shared" ref="J41:L41" si="14">SUM(J38:J39)-J26</f>
        <v>0</v>
      </c>
      <c r="K41" s="43">
        <f t="shared" si="14"/>
        <v>0</v>
      </c>
      <c r="L41" s="43">
        <f t="shared" si="14"/>
        <v>0</v>
      </c>
    </row>
    <row r="42" spans="1:12" ht="15.5" thickTop="1" thickBot="1" x14ac:dyDescent="0.4">
      <c r="C42" s="100"/>
      <c r="D42" s="17"/>
      <c r="E42" s="17"/>
      <c r="F42" s="17"/>
      <c r="G42" s="10"/>
      <c r="H42" s="17"/>
      <c r="I42" s="11"/>
      <c r="J42" s="17"/>
      <c r="K42" s="17"/>
      <c r="L42" s="11"/>
    </row>
    <row r="43" spans="1:12" ht="15" thickBot="1" x14ac:dyDescent="0.4">
      <c r="A43" s="47" t="s">
        <v>36</v>
      </c>
      <c r="B43" s="120">
        <v>0</v>
      </c>
      <c r="C43" s="101">
        <f t="shared" ref="C43:L43" si="15">(C16-SUM(C19:C20))+SUM(C38:C39)+B43</f>
        <v>0</v>
      </c>
      <c r="D43" s="42">
        <f t="shared" si="15"/>
        <v>0</v>
      </c>
      <c r="E43" s="42">
        <f t="shared" si="15"/>
        <v>0</v>
      </c>
      <c r="F43" s="109">
        <f t="shared" si="15"/>
        <v>0</v>
      </c>
      <c r="G43" s="41">
        <f t="shared" si="15"/>
        <v>6.8212102632969618E-13</v>
      </c>
      <c r="H43" s="42">
        <f t="shared" si="15"/>
        <v>6.8212102632969618E-13</v>
      </c>
      <c r="I43" s="62">
        <f t="shared" si="15"/>
        <v>6.8212102632969618E-13</v>
      </c>
      <c r="J43" s="166">
        <f t="shared" si="15"/>
        <v>6.8212102632969618E-13</v>
      </c>
      <c r="K43" s="109">
        <f t="shared" si="15"/>
        <v>6.8212102632969618E-13</v>
      </c>
      <c r="L43" s="62">
        <f t="shared" si="15"/>
        <v>6.8212102632969618E-13</v>
      </c>
    </row>
    <row r="44" spans="1:12" x14ac:dyDescent="0.35">
      <c r="A44" s="47" t="s">
        <v>12</v>
      </c>
      <c r="C44" s="121"/>
      <c r="D44" s="17"/>
      <c r="E44" s="17"/>
      <c r="F44" s="17"/>
      <c r="G44" s="10"/>
      <c r="H44" s="17"/>
      <c r="I44" s="11"/>
      <c r="J44" s="17"/>
      <c r="K44" s="17"/>
      <c r="L44" s="11"/>
    </row>
    <row r="45" spans="1:12" ht="15" thickBot="1" x14ac:dyDescent="0.4">
      <c r="A45" s="38"/>
      <c r="B45" s="38"/>
      <c r="C45" s="149"/>
      <c r="D45" s="45"/>
      <c r="E45" s="45"/>
      <c r="F45" s="45"/>
      <c r="G45" s="44"/>
      <c r="H45" s="45"/>
      <c r="I45" s="46"/>
      <c r="J45" s="45"/>
      <c r="K45" s="45"/>
      <c r="L45" s="46"/>
    </row>
    <row r="47" spans="1:12" x14ac:dyDescent="0.35">
      <c r="A47" s="70" t="s">
        <v>11</v>
      </c>
      <c r="B47" s="70"/>
      <c r="C47" s="70"/>
    </row>
    <row r="48" spans="1:12" x14ac:dyDescent="0.35">
      <c r="A48" s="311" t="s">
        <v>213</v>
      </c>
      <c r="B48" s="311"/>
      <c r="C48" s="311"/>
      <c r="D48" s="311"/>
      <c r="E48" s="311"/>
      <c r="F48" s="311"/>
      <c r="G48" s="311"/>
      <c r="H48" s="311"/>
      <c r="I48" s="311"/>
      <c r="J48" s="185"/>
      <c r="K48" s="185"/>
      <c r="L48" s="185"/>
    </row>
    <row r="49" spans="1:12" ht="32.25" customHeight="1" x14ac:dyDescent="0.35">
      <c r="A49" s="311" t="s">
        <v>211</v>
      </c>
      <c r="B49" s="311"/>
      <c r="C49" s="311"/>
      <c r="D49" s="311"/>
      <c r="E49" s="311"/>
      <c r="F49" s="311"/>
      <c r="G49" s="311"/>
      <c r="H49" s="311"/>
      <c r="I49" s="311"/>
      <c r="J49" s="185"/>
      <c r="K49" s="185"/>
    </row>
    <row r="50" spans="1:12" ht="18.75" customHeight="1" x14ac:dyDescent="0.35">
      <c r="A50" s="3" t="s">
        <v>212</v>
      </c>
      <c r="B50" s="3"/>
      <c r="C50" s="3"/>
      <c r="I50" s="4"/>
      <c r="J50" s="185"/>
      <c r="K50" s="185"/>
      <c r="L50" s="185"/>
    </row>
    <row r="51" spans="1:12" x14ac:dyDescent="0.35">
      <c r="A51" s="3" t="s">
        <v>159</v>
      </c>
      <c r="B51" s="3"/>
      <c r="C51" s="3"/>
      <c r="I51" s="4"/>
    </row>
    <row r="52" spans="1:12" x14ac:dyDescent="0.35">
      <c r="A52" s="3" t="s">
        <v>127</v>
      </c>
      <c r="B52" s="3"/>
      <c r="C52" s="3"/>
      <c r="I52" s="4"/>
    </row>
    <row r="53" spans="1:12" x14ac:dyDescent="0.35">
      <c r="A53" s="3" t="s">
        <v>160</v>
      </c>
      <c r="B53" s="64"/>
      <c r="C53" s="64"/>
      <c r="D53" s="40"/>
      <c r="E53" s="40"/>
      <c r="F53" s="40"/>
      <c r="G53" s="40"/>
      <c r="H53" s="40"/>
      <c r="I53" s="40"/>
    </row>
    <row r="54" spans="1:12" x14ac:dyDescent="0.35">
      <c r="A54" s="3"/>
      <c r="B54" s="3"/>
      <c r="C54" s="3"/>
    </row>
  </sheetData>
  <mergeCells count="5">
    <mergeCell ref="D14:F14"/>
    <mergeCell ref="G14:I14"/>
    <mergeCell ref="J14:L14"/>
    <mergeCell ref="A48:I48"/>
    <mergeCell ref="A49:I49"/>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3:G33"/>
  <sheetViews>
    <sheetView workbookViewId="0"/>
  </sheetViews>
  <sheetFormatPr defaultRowHeight="14.5" x14ac:dyDescent="0.35"/>
  <cols>
    <col min="1" max="1" width="23.1796875" bestFit="1" customWidth="1"/>
    <col min="2" max="2" width="11.26953125" bestFit="1" customWidth="1"/>
    <col min="3" max="3" width="10.1796875" bestFit="1" customWidth="1"/>
    <col min="4" max="4" width="11.26953125" bestFit="1" customWidth="1"/>
    <col min="5" max="6" width="10.1796875" bestFit="1" customWidth="1"/>
    <col min="7" max="7" width="8.26953125" bestFit="1" customWidth="1"/>
  </cols>
  <sheetData>
    <row r="3" spans="1:6" ht="15" thickBot="1" x14ac:dyDescent="0.4">
      <c r="A3" s="3" t="s">
        <v>128</v>
      </c>
    </row>
    <row r="4" spans="1:6" ht="27.5" thickBot="1" x14ac:dyDescent="0.4">
      <c r="A4" s="88" t="s">
        <v>135</v>
      </c>
      <c r="B4" s="131" t="s">
        <v>134</v>
      </c>
      <c r="C4" s="131" t="s">
        <v>133</v>
      </c>
      <c r="D4" s="131" t="s">
        <v>132</v>
      </c>
      <c r="E4" s="131" t="s">
        <v>131</v>
      </c>
      <c r="F4" s="90" t="s">
        <v>161</v>
      </c>
    </row>
    <row r="5" spans="1:6" ht="15" thickBot="1" x14ac:dyDescent="0.4">
      <c r="A5" s="91" t="s">
        <v>24</v>
      </c>
      <c r="B5" s="245">
        <f>+'tariff tables'!S13+'tariff tables'!S22</f>
        <v>1.0000000000000001E-5</v>
      </c>
      <c r="C5" s="246">
        <f>+'tariff tables'!T13+'tariff tables'!T22</f>
        <v>1.2800000000000001E-3</v>
      </c>
      <c r="D5" s="246">
        <f>+'tariff tables'!U13+'tariff tables'!U22</f>
        <v>-1.3000000000000002E-4</v>
      </c>
      <c r="E5" s="246">
        <f>+'tariff tables'!V13+'tariff tables'!V22</f>
        <v>0</v>
      </c>
      <c r="F5" s="244">
        <f>SUM(B5:E5)</f>
        <v>1.16E-3</v>
      </c>
    </row>
    <row r="6" spans="1:6" ht="15" thickBot="1" x14ac:dyDescent="0.4">
      <c r="A6" s="91" t="s">
        <v>108</v>
      </c>
      <c r="B6" s="245">
        <f>+'tariff tables'!S14+'tariff tables'!S23</f>
        <v>-3.0000000000000004E-5</v>
      </c>
      <c r="C6" s="246">
        <f>+'tariff tables'!T14+'tariff tables'!T23</f>
        <v>1.0499999999999999E-3</v>
      </c>
      <c r="D6" s="246">
        <f>+'tariff tables'!U14+'tariff tables'!U23</f>
        <v>-2.7000000000000006E-4</v>
      </c>
      <c r="E6" s="246">
        <f>+'tariff tables'!V14+'tariff tables'!V23</f>
        <v>0</v>
      </c>
      <c r="F6" s="244">
        <f t="shared" ref="F6:F9" si="0">SUM(B6:E6)</f>
        <v>7.499999999999998E-4</v>
      </c>
    </row>
    <row r="7" spans="1:6" ht="15" thickBot="1" x14ac:dyDescent="0.4">
      <c r="A7" s="91" t="s">
        <v>109</v>
      </c>
      <c r="B7" s="245">
        <f>+'tariff tables'!S15+'tariff tables'!S24</f>
        <v>-4.0000000000000003E-5</v>
      </c>
      <c r="C7" s="246">
        <f>+'tariff tables'!T15+'tariff tables'!T24</f>
        <v>1.17E-3</v>
      </c>
      <c r="D7" s="246">
        <f>+'tariff tables'!U15+'tariff tables'!U24</f>
        <v>5.2999999999999998E-4</v>
      </c>
      <c r="E7" s="246">
        <f>+'tariff tables'!V15+'tariff tables'!V24</f>
        <v>0</v>
      </c>
      <c r="F7" s="244">
        <f t="shared" si="0"/>
        <v>1.66E-3</v>
      </c>
    </row>
    <row r="8" spans="1:6" ht="15" thickBot="1" x14ac:dyDescent="0.4">
      <c r="A8" s="91" t="s">
        <v>110</v>
      </c>
      <c r="B8" s="245">
        <f>+'tariff tables'!S16+'tariff tables'!S25</f>
        <v>-3.0000000000000001E-5</v>
      </c>
      <c r="C8" s="246">
        <f>+'tariff tables'!T16+'tariff tables'!T25</f>
        <v>7.1999999999999994E-4</v>
      </c>
      <c r="D8" s="246">
        <f>+'tariff tables'!U16+'tariff tables'!U25</f>
        <v>3.3E-4</v>
      </c>
      <c r="E8" s="246">
        <f>+'tariff tables'!V16+'tariff tables'!V25</f>
        <v>0</v>
      </c>
      <c r="F8" s="244">
        <f t="shared" si="0"/>
        <v>1.0200000000000001E-3</v>
      </c>
    </row>
    <row r="9" spans="1:6" ht="15" thickBot="1" x14ac:dyDescent="0.4">
      <c r="A9" s="91" t="s">
        <v>111</v>
      </c>
      <c r="B9" s="245">
        <f>+'tariff tables'!S17+'tariff tables'!S26</f>
        <v>-2.0000000000000002E-5</v>
      </c>
      <c r="C9" s="246">
        <f>+'tariff tables'!T17+'tariff tables'!T26</f>
        <v>3.2000000000000003E-4</v>
      </c>
      <c r="D9" s="246">
        <f>+'tariff tables'!U17+'tariff tables'!U26</f>
        <v>5.0000000000000001E-4</v>
      </c>
      <c r="E9" s="246">
        <f>+'tariff tables'!V17+'tariff tables'!V26</f>
        <v>0</v>
      </c>
      <c r="F9" s="244">
        <f t="shared" si="0"/>
        <v>8.0000000000000004E-4</v>
      </c>
    </row>
    <row r="12" spans="1:6" ht="15" thickBot="1" x14ac:dyDescent="0.4">
      <c r="A12" s="3" t="s">
        <v>129</v>
      </c>
      <c r="B12" s="47"/>
      <c r="C12" s="47"/>
      <c r="D12" s="47"/>
      <c r="E12" s="47"/>
      <c r="F12" s="47"/>
    </row>
    <row r="13" spans="1:6" ht="27.5" thickBot="1" x14ac:dyDescent="0.4">
      <c r="A13" s="88" t="s">
        <v>135</v>
      </c>
      <c r="B13" s="131" t="s">
        <v>134</v>
      </c>
      <c r="C13" s="131" t="s">
        <v>133</v>
      </c>
      <c r="D13" s="131" t="s">
        <v>132</v>
      </c>
      <c r="E13" s="131" t="s">
        <v>131</v>
      </c>
      <c r="F13" s="90" t="s">
        <v>161</v>
      </c>
    </row>
    <row r="14" spans="1:6" ht="15" thickBot="1" x14ac:dyDescent="0.4">
      <c r="A14" s="91" t="s">
        <v>24</v>
      </c>
      <c r="B14" s="245">
        <f>+'tariff tables'!X13+'tariff tables'!X22</f>
        <v>2.7300000000000002E-3</v>
      </c>
      <c r="C14" s="246">
        <f>+'tariff tables'!Y13+'tariff tables'!Y22</f>
        <v>2.6199999999999999E-3</v>
      </c>
      <c r="D14" s="246">
        <f>+'tariff tables'!Z13+'tariff tables'!Z22</f>
        <v>2.7999999999999998E-4</v>
      </c>
      <c r="E14" s="246">
        <f>+'tariff tables'!AA13+'tariff tables'!AA22</f>
        <v>0</v>
      </c>
      <c r="F14" s="244">
        <f>SUM(B14:E14)</f>
        <v>5.6300000000000005E-3</v>
      </c>
    </row>
    <row r="15" spans="1:6" ht="15" thickBot="1" x14ac:dyDescent="0.4">
      <c r="A15" s="91" t="s">
        <v>108</v>
      </c>
      <c r="B15" s="245">
        <f>+'tariff tables'!X14+'tariff tables'!X23</f>
        <v>1.2399999999999998E-3</v>
      </c>
      <c r="C15" s="246">
        <f>+'tariff tables'!Y14+'tariff tables'!Y23</f>
        <v>6.0000000000000006E-4</v>
      </c>
      <c r="D15" s="246">
        <f>+'tariff tables'!Z14+'tariff tables'!Z23</f>
        <v>1.7000000000000001E-4</v>
      </c>
      <c r="E15" s="246">
        <f>+'tariff tables'!AA14+'tariff tables'!AA23</f>
        <v>0</v>
      </c>
      <c r="F15" s="244">
        <f t="shared" ref="F15:F18" si="1">SUM(B15:E15)</f>
        <v>2.0099999999999996E-3</v>
      </c>
    </row>
    <row r="16" spans="1:6" ht="15" thickBot="1" x14ac:dyDescent="0.4">
      <c r="A16" s="91" t="s">
        <v>109</v>
      </c>
      <c r="B16" s="245">
        <f>+'tariff tables'!X15+'tariff tables'!X24</f>
        <v>2.6900000000000001E-3</v>
      </c>
      <c r="C16" s="246">
        <f>+'tariff tables'!Y15+'tariff tables'!Y24</f>
        <v>8.5000000000000006E-4</v>
      </c>
      <c r="D16" s="246">
        <f>+'tariff tables'!Z15+'tariff tables'!Z24</f>
        <v>2.6999999999999995E-4</v>
      </c>
      <c r="E16" s="246">
        <f>+'tariff tables'!AA15+'tariff tables'!AA24</f>
        <v>0</v>
      </c>
      <c r="F16" s="244">
        <f t="shared" si="1"/>
        <v>3.81E-3</v>
      </c>
    </row>
    <row r="17" spans="1:7" ht="15" thickBot="1" x14ac:dyDescent="0.4">
      <c r="A17" s="91" t="s">
        <v>110</v>
      </c>
      <c r="B17" s="245">
        <f>+'tariff tables'!X16+'tariff tables'!X25</f>
        <v>2.2699999999999999E-3</v>
      </c>
      <c r="C17" s="246">
        <f>+'tariff tables'!Y16+'tariff tables'!Y25</f>
        <v>5.5000000000000003E-4</v>
      </c>
      <c r="D17" s="246">
        <f>+'tariff tables'!Z16+'tariff tables'!Z25</f>
        <v>2.3000000000000001E-4</v>
      </c>
      <c r="E17" s="246">
        <f>+'tariff tables'!AA16+'tariff tables'!AA25</f>
        <v>0</v>
      </c>
      <c r="F17" s="244">
        <f t="shared" si="1"/>
        <v>3.0500000000000002E-3</v>
      </c>
    </row>
    <row r="18" spans="1:7" ht="15" thickBot="1" x14ac:dyDescent="0.4">
      <c r="A18" s="91" t="s">
        <v>111</v>
      </c>
      <c r="B18" s="245">
        <f>+'tariff tables'!X17+'tariff tables'!X26</f>
        <v>1.7800000000000001E-3</v>
      </c>
      <c r="C18" s="246">
        <f>+'tariff tables'!Y17+'tariff tables'!Y26</f>
        <v>3.9999999999999983E-5</v>
      </c>
      <c r="D18" s="246">
        <f>+'tariff tables'!Z17+'tariff tables'!Z26</f>
        <v>1.2E-4</v>
      </c>
      <c r="E18" s="246">
        <f>+'tariff tables'!AA17+'tariff tables'!AA26</f>
        <v>0</v>
      </c>
      <c r="F18" s="244">
        <f t="shared" si="1"/>
        <v>1.9400000000000001E-3</v>
      </c>
    </row>
    <row r="21" spans="1:7" ht="15" thickBot="1" x14ac:dyDescent="0.4">
      <c r="A21" s="3" t="s">
        <v>130</v>
      </c>
      <c r="B21" s="47"/>
      <c r="C21" s="47"/>
      <c r="D21" s="47"/>
      <c r="E21" s="47"/>
      <c r="F21" s="47"/>
    </row>
    <row r="22" spans="1:7" ht="27.5" thickBot="1" x14ac:dyDescent="0.4">
      <c r="A22" s="88" t="s">
        <v>135</v>
      </c>
      <c r="B22" s="131" t="s">
        <v>134</v>
      </c>
      <c r="C22" s="131" t="s">
        <v>133</v>
      </c>
      <c r="D22" s="131" t="s">
        <v>132</v>
      </c>
      <c r="E22" s="131" t="s">
        <v>131</v>
      </c>
      <c r="F22" s="90" t="s">
        <v>161</v>
      </c>
    </row>
    <row r="23" spans="1:7" ht="15" thickBot="1" x14ac:dyDescent="0.4">
      <c r="A23" s="91" t="s">
        <v>24</v>
      </c>
      <c r="B23" s="245">
        <f>+B5+B14</f>
        <v>2.7400000000000002E-3</v>
      </c>
      <c r="C23" s="246">
        <f t="shared" ref="C23:E23" si="2">+C5+C14</f>
        <v>3.8999999999999998E-3</v>
      </c>
      <c r="D23" s="246">
        <f t="shared" si="2"/>
        <v>1.4999999999999996E-4</v>
      </c>
      <c r="E23" s="246">
        <f t="shared" si="2"/>
        <v>0</v>
      </c>
      <c r="F23" s="244">
        <f>SUM(B23:E23)</f>
        <v>6.79E-3</v>
      </c>
      <c r="G23" s="247">
        <f>+F23-'tariff tables'!H4</f>
        <v>0</v>
      </c>
    </row>
    <row r="24" spans="1:7" ht="15" thickBot="1" x14ac:dyDescent="0.4">
      <c r="A24" s="91" t="s">
        <v>108</v>
      </c>
      <c r="B24" s="245">
        <f t="shared" ref="B24:E24" si="3">+B6+B15</f>
        <v>1.2099999999999997E-3</v>
      </c>
      <c r="C24" s="246">
        <f t="shared" si="3"/>
        <v>1.65E-3</v>
      </c>
      <c r="D24" s="246">
        <f t="shared" si="3"/>
        <v>-1.0000000000000005E-4</v>
      </c>
      <c r="E24" s="246">
        <f t="shared" si="3"/>
        <v>0</v>
      </c>
      <c r="F24" s="244">
        <f t="shared" ref="F24:F27" si="4">SUM(B24:E24)</f>
        <v>2.7599999999999994E-3</v>
      </c>
      <c r="G24" s="247">
        <f>+F24-'tariff tables'!H5</f>
        <v>0</v>
      </c>
    </row>
    <row r="25" spans="1:7" ht="15" thickBot="1" x14ac:dyDescent="0.4">
      <c r="A25" s="91" t="s">
        <v>109</v>
      </c>
      <c r="B25" s="245">
        <f t="shared" ref="B25:E25" si="5">+B7+B16</f>
        <v>2.65E-3</v>
      </c>
      <c r="C25" s="246">
        <f t="shared" si="5"/>
        <v>2.0200000000000001E-3</v>
      </c>
      <c r="D25" s="246">
        <f t="shared" si="5"/>
        <v>7.9999999999999993E-4</v>
      </c>
      <c r="E25" s="246">
        <f t="shared" si="5"/>
        <v>0</v>
      </c>
      <c r="F25" s="244">
        <f t="shared" si="4"/>
        <v>5.4700000000000009E-3</v>
      </c>
      <c r="G25" s="247">
        <f>+F25-'tariff tables'!H6</f>
        <v>0</v>
      </c>
    </row>
    <row r="26" spans="1:7" ht="15" thickBot="1" x14ac:dyDescent="0.4">
      <c r="A26" s="91" t="s">
        <v>110</v>
      </c>
      <c r="B26" s="245">
        <f t="shared" ref="B26:E26" si="6">+B8+B17</f>
        <v>2.2399999999999998E-3</v>
      </c>
      <c r="C26" s="246">
        <f t="shared" si="6"/>
        <v>1.2699999999999999E-3</v>
      </c>
      <c r="D26" s="246">
        <f t="shared" si="6"/>
        <v>5.5999999999999995E-4</v>
      </c>
      <c r="E26" s="246">
        <f t="shared" si="6"/>
        <v>0</v>
      </c>
      <c r="F26" s="244">
        <f t="shared" si="4"/>
        <v>4.0699999999999998E-3</v>
      </c>
      <c r="G26" s="247">
        <f>+F26-'tariff tables'!H7</f>
        <v>0</v>
      </c>
    </row>
    <row r="27" spans="1:7" ht="15" thickBot="1" x14ac:dyDescent="0.4">
      <c r="A27" s="91" t="s">
        <v>111</v>
      </c>
      <c r="B27" s="245">
        <f t="shared" ref="B27:E27" si="7">+B9+B18</f>
        <v>1.7600000000000001E-3</v>
      </c>
      <c r="C27" s="246">
        <f t="shared" si="7"/>
        <v>3.6000000000000002E-4</v>
      </c>
      <c r="D27" s="246">
        <f t="shared" si="7"/>
        <v>6.2E-4</v>
      </c>
      <c r="E27" s="246">
        <f t="shared" si="7"/>
        <v>0</v>
      </c>
      <c r="F27" s="244">
        <f t="shared" si="4"/>
        <v>2.7399999999999998E-3</v>
      </c>
      <c r="G27" s="247">
        <f>+F27-'tariff tables'!H8</f>
        <v>0</v>
      </c>
    </row>
    <row r="29" spans="1:7" x14ac:dyDescent="0.35">
      <c r="B29" s="247">
        <f>+B23-'tariff tables'!J4</f>
        <v>0</v>
      </c>
      <c r="C29" s="247">
        <f>+C23-'tariff tables'!K4</f>
        <v>0</v>
      </c>
      <c r="D29" s="247">
        <f>+D23-'tariff tables'!L4</f>
        <v>0</v>
      </c>
      <c r="E29" s="247">
        <f>+E23-'tariff tables'!M4</f>
        <v>0</v>
      </c>
      <c r="F29" s="247"/>
    </row>
    <row r="30" spans="1:7" x14ac:dyDescent="0.35">
      <c r="B30" s="247">
        <f>+B24-'tariff tables'!J5</f>
        <v>0</v>
      </c>
      <c r="C30" s="247">
        <f>+C24-'tariff tables'!K5</f>
        <v>0</v>
      </c>
      <c r="D30" s="247">
        <f>+D24-'tariff tables'!L5</f>
        <v>0</v>
      </c>
      <c r="E30" s="247">
        <f>+E24-'tariff tables'!M5</f>
        <v>0</v>
      </c>
      <c r="F30" s="247"/>
    </row>
    <row r="31" spans="1:7" x14ac:dyDescent="0.35">
      <c r="B31" s="247">
        <f>+B25-'tariff tables'!J6</f>
        <v>0</v>
      </c>
      <c r="C31" s="247">
        <f>+C25-'tariff tables'!K6</f>
        <v>0</v>
      </c>
      <c r="D31" s="247">
        <f>+D25-'tariff tables'!L6</f>
        <v>0</v>
      </c>
      <c r="E31" s="247">
        <f>+E25-'tariff tables'!M6</f>
        <v>0</v>
      </c>
      <c r="F31" s="247"/>
    </row>
    <row r="32" spans="1:7" x14ac:dyDescent="0.35">
      <c r="B32" s="247">
        <f>+B26-'tariff tables'!J7</f>
        <v>0</v>
      </c>
      <c r="C32" s="247">
        <f>+C26-'tariff tables'!K7</f>
        <v>0</v>
      </c>
      <c r="D32" s="247">
        <f>+D26-'tariff tables'!L7</f>
        <v>0</v>
      </c>
      <c r="E32" s="247">
        <f>+E26-'tariff tables'!M7</f>
        <v>0</v>
      </c>
      <c r="F32" s="247"/>
    </row>
    <row r="33" spans="2:6" x14ac:dyDescent="0.35">
      <c r="B33" s="247">
        <f>+B27-'tariff tables'!J8</f>
        <v>0</v>
      </c>
      <c r="C33" s="247">
        <f>+C27-'tariff tables'!K8</f>
        <v>0</v>
      </c>
      <c r="D33" s="247">
        <f>+D27-'tariff tables'!L8</f>
        <v>0</v>
      </c>
      <c r="E33" s="247">
        <f>+E27-'tariff tables'!M8</f>
        <v>0</v>
      </c>
      <c r="F33" s="247"/>
    </row>
  </sheetData>
  <pageMargins left="0.7" right="0.7" top="0.75" bottom="0.75" header="0.3" footer="0.3"/>
  <pageSetup orientation="portrait" r:id="rId1"/>
  <headerFoot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50"/>
  <sheetViews>
    <sheetView workbookViewId="0">
      <selection activeCell="A2" sqref="A2"/>
    </sheetView>
  </sheetViews>
  <sheetFormatPr defaultColWidth="9.1796875" defaultRowHeight="14.5" x14ac:dyDescent="0.35"/>
  <cols>
    <col min="1" max="1" width="20.81640625" style="47" customWidth="1"/>
    <col min="2" max="2" width="22" style="47" customWidth="1"/>
    <col min="3" max="3" width="17.26953125" style="47" customWidth="1"/>
    <col min="4" max="5" width="9.1796875" style="47"/>
    <col min="6" max="6" width="10.7265625" style="47" bestFit="1" customWidth="1"/>
    <col min="7" max="16384" width="9.1796875" style="47"/>
  </cols>
  <sheetData>
    <row r="1" spans="1:25" x14ac:dyDescent="0.35">
      <c r="A1" s="64" t="s">
        <v>217</v>
      </c>
    </row>
    <row r="2" spans="1:25" x14ac:dyDescent="0.35">
      <c r="A2" s="9" t="s">
        <v>178</v>
      </c>
    </row>
    <row r="3" spans="1:25" ht="35.25" customHeight="1" x14ac:dyDescent="0.35">
      <c r="B3" s="295" t="s">
        <v>114</v>
      </c>
      <c r="C3" s="295"/>
    </row>
    <row r="4" spans="1:25" ht="43.5" x14ac:dyDescent="0.35">
      <c r="B4" s="71" t="s">
        <v>44</v>
      </c>
      <c r="C4" s="241" t="s">
        <v>26</v>
      </c>
    </row>
    <row r="5" spans="1:25" x14ac:dyDescent="0.35">
      <c r="A5" s="20" t="s">
        <v>24</v>
      </c>
      <c r="B5" s="76">
        <f>SUM('[1]Billed kWh Sales'!$F36:$G36)</f>
        <v>2610127995</v>
      </c>
      <c r="C5" s="239">
        <f>ROUND(SUM('[2]Monthly Program Costs'!$AF290:$AQ290),2)</f>
        <v>7799480.1699999999</v>
      </c>
      <c r="F5" s="48"/>
    </row>
    <row r="6" spans="1:25" x14ac:dyDescent="0.35">
      <c r="A6" s="20" t="s">
        <v>108</v>
      </c>
      <c r="B6" s="76">
        <f>SUM('[1]Billed kWh Sales'!$F37:$G37)</f>
        <v>526314553</v>
      </c>
      <c r="C6" s="239">
        <f>ROUND(SUM('[2]Monthly Program Costs'!$AF291:$AQ291),2)</f>
        <v>1032901.83</v>
      </c>
      <c r="F6" s="48"/>
    </row>
    <row r="7" spans="1:25" x14ac:dyDescent="0.35">
      <c r="A7" s="20" t="s">
        <v>109</v>
      </c>
      <c r="B7" s="76">
        <f>SUM('[1]Billed kWh Sales'!$F38:$G38)</f>
        <v>1147270124</v>
      </c>
      <c r="C7" s="239">
        <f>ROUND(SUM('[2]Monthly Program Costs'!$AF292:$AQ292),2)</f>
        <v>2716182.5</v>
      </c>
      <c r="F7" s="48"/>
    </row>
    <row r="8" spans="1:25" x14ac:dyDescent="0.35">
      <c r="A8" s="20" t="s">
        <v>110</v>
      </c>
      <c r="B8" s="76">
        <f>SUM('[1]Billed kWh Sales'!$F39:$G39)</f>
        <v>1818101982</v>
      </c>
      <c r="C8" s="239">
        <f>ROUND(SUM('[2]Monthly Program Costs'!$AF293:$AQ293),2)</f>
        <v>4404512.22</v>
      </c>
      <c r="F8" s="48"/>
    </row>
    <row r="9" spans="1:25" x14ac:dyDescent="0.35">
      <c r="A9" s="20" t="s">
        <v>111</v>
      </c>
      <c r="B9" s="76">
        <f>SUM('[1]Billed kWh Sales'!$F40:$G40)</f>
        <v>522518060</v>
      </c>
      <c r="C9" s="239">
        <f>ROUND(SUM('[2]Monthly Program Costs'!$AF294:$AQ294),2)</f>
        <v>1562108.45</v>
      </c>
      <c r="F9" s="48"/>
      <c r="P9" s="1"/>
      <c r="Q9" s="1"/>
      <c r="R9" s="1"/>
      <c r="S9" s="1"/>
      <c r="T9" s="1"/>
      <c r="U9" s="1"/>
      <c r="V9" s="1"/>
      <c r="W9" s="1"/>
      <c r="X9" s="1"/>
      <c r="Y9" s="1"/>
    </row>
    <row r="10" spans="1:25" x14ac:dyDescent="0.35">
      <c r="A10" s="31" t="s">
        <v>113</v>
      </c>
      <c r="B10" s="258">
        <f>SUM(B5:B9)</f>
        <v>6624332714</v>
      </c>
      <c r="C10" s="240">
        <f>SUM(C5:C9)</f>
        <v>17515185.169999998</v>
      </c>
      <c r="P10" s="1"/>
      <c r="Q10" s="1"/>
      <c r="R10" s="1"/>
      <c r="S10" s="1"/>
      <c r="T10" s="1"/>
      <c r="U10" s="1"/>
      <c r="V10" s="1"/>
      <c r="W10" s="1"/>
      <c r="X10" s="1"/>
      <c r="Y10" s="1"/>
    </row>
    <row r="12" spans="1:25" x14ac:dyDescent="0.35">
      <c r="A12" s="54" t="s">
        <v>11</v>
      </c>
    </row>
    <row r="13" spans="1:25" ht="30" customHeight="1" x14ac:dyDescent="0.35">
      <c r="A13" s="296" t="s">
        <v>165</v>
      </c>
      <c r="B13" s="296"/>
      <c r="C13" s="296"/>
      <c r="D13" s="297"/>
      <c r="E13" s="297"/>
      <c r="F13" s="297"/>
      <c r="G13" s="297"/>
      <c r="H13" s="297"/>
      <c r="I13" s="297"/>
    </row>
    <row r="14" spans="1:25" ht="33.75" customHeight="1" x14ac:dyDescent="0.35">
      <c r="A14" s="296" t="s">
        <v>195</v>
      </c>
      <c r="B14" s="296"/>
      <c r="C14" s="296"/>
    </row>
    <row r="15" spans="1:25" x14ac:dyDescent="0.35">
      <c r="A15" s="3"/>
    </row>
    <row r="24" spans="3:3" x14ac:dyDescent="0.35">
      <c r="C24" s="2"/>
    </row>
    <row r="46" spans="2:3" x14ac:dyDescent="0.35">
      <c r="B46" s="8"/>
      <c r="C46" s="8"/>
    </row>
    <row r="50" spans="2:3" x14ac:dyDescent="0.35">
      <c r="B50" s="8"/>
      <c r="C50" s="8"/>
    </row>
  </sheetData>
  <mergeCells count="5">
    <mergeCell ref="B3:C3"/>
    <mergeCell ref="A14:C14"/>
    <mergeCell ref="A13:C13"/>
    <mergeCell ref="D13:F13"/>
    <mergeCell ref="G13:I13"/>
  </mergeCells>
  <pageMargins left="0.2" right="0.2" top="0.75" bottom="0.25" header="0.3" footer="0.3"/>
  <pageSetup scale="80" orientation="landscape" r:id="rId1"/>
  <headerFooter>
    <oddHeader>&amp;C&amp;F &amp;A&amp;R&amp;"Arial"&amp;10&amp;K000000CONFIDENTIAL</oddHead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77"/>
  <sheetViews>
    <sheetView workbookViewId="0"/>
  </sheetViews>
  <sheetFormatPr defaultColWidth="9.1796875" defaultRowHeight="14.5" outlineLevelCol="1" x14ac:dyDescent="0.35"/>
  <cols>
    <col min="1" max="1" width="54.54296875" style="47" customWidth="1"/>
    <col min="2" max="2" width="14.7265625" style="47" customWidth="1"/>
    <col min="3" max="3" width="15" style="47" customWidth="1"/>
    <col min="4" max="4" width="15" style="47" hidden="1" customWidth="1" outlineLevel="1"/>
    <col min="5" max="5" width="15.26953125" style="47" customWidth="1" collapsed="1"/>
    <col min="6" max="6" width="15.81640625" style="47" customWidth="1"/>
    <col min="7" max="7" width="17.54296875" style="47" customWidth="1"/>
    <col min="8" max="9" width="13.26953125" style="47" customWidth="1"/>
    <col min="10" max="10" width="15.7265625" style="47" customWidth="1"/>
    <col min="11" max="12" width="12.54296875" style="47" bestFit="1" customWidth="1"/>
    <col min="13" max="13" width="14.453125" style="47" customWidth="1"/>
    <col min="14" max="14" width="15" style="47" bestFit="1" customWidth="1"/>
    <col min="15" max="15" width="16.26953125" style="47" bestFit="1" customWidth="1"/>
    <col min="16" max="16" width="16.1796875" style="47" customWidth="1"/>
    <col min="17" max="17" width="17.26953125" style="47" bestFit="1" customWidth="1"/>
    <col min="18" max="18" width="17.453125" style="47" customWidth="1"/>
    <col min="19" max="19" width="15.54296875" style="47" customWidth="1"/>
    <col min="20" max="20" width="13" style="47" customWidth="1"/>
    <col min="21" max="21" width="9.1796875" style="47"/>
    <col min="22" max="22" width="14.26953125" style="47" bestFit="1" customWidth="1"/>
    <col min="23" max="16384" width="9.1796875" style="47"/>
  </cols>
  <sheetData>
    <row r="1" spans="1:35" x14ac:dyDescent="0.35">
      <c r="A1" s="3" t="str">
        <f>+'PPC Cycle 3'!A1</f>
        <v>Evergy Metro, Inc. - DSIM Rider Update Filed 12/02/2021</v>
      </c>
      <c r="B1" s="3"/>
      <c r="C1" s="3"/>
      <c r="D1" s="3"/>
    </row>
    <row r="2" spans="1:35" x14ac:dyDescent="0.35">
      <c r="E2" s="3" t="s">
        <v>60</v>
      </c>
    </row>
    <row r="3" spans="1:35" ht="29" x14ac:dyDescent="0.35">
      <c r="E3" s="49" t="s">
        <v>46</v>
      </c>
      <c r="F3" s="49" t="s">
        <v>45</v>
      </c>
      <c r="G3" s="71" t="s">
        <v>2</v>
      </c>
      <c r="H3" s="49" t="s">
        <v>3</v>
      </c>
      <c r="I3" s="71" t="s">
        <v>55</v>
      </c>
      <c r="J3" s="49" t="s">
        <v>10</v>
      </c>
      <c r="K3" s="49" t="s">
        <v>4</v>
      </c>
    </row>
    <row r="4" spans="1:35" x14ac:dyDescent="0.35">
      <c r="A4" s="20" t="s">
        <v>24</v>
      </c>
      <c r="E4" s="22">
        <f>SUM(C34:M34)</f>
        <v>59047.290000000008</v>
      </c>
      <c r="F4" s="139">
        <f>SUM(C27:M27)</f>
        <v>1443557579.1081002</v>
      </c>
      <c r="G4" s="22">
        <f>SUM(C23:L23)</f>
        <v>0</v>
      </c>
      <c r="H4" s="22">
        <f>G4-E4</f>
        <v>-59047.290000000008</v>
      </c>
      <c r="I4" s="22">
        <f>+B47</f>
        <v>85091.804999999644</v>
      </c>
      <c r="J4" s="22">
        <f>SUM(C52:L52)</f>
        <v>322.41999999999996</v>
      </c>
      <c r="K4" s="26">
        <f>SUM(H4:J4)</f>
        <v>26366.934999999634</v>
      </c>
      <c r="L4" s="48">
        <f>+K4-M47</f>
        <v>0</v>
      </c>
    </row>
    <row r="5" spans="1:35" ht="15" thickBot="1" x14ac:dyDescent="0.4">
      <c r="A5" s="20" t="s">
        <v>25</v>
      </c>
      <c r="E5" s="22">
        <f>SUM(C35:M38)</f>
        <v>-149334.35</v>
      </c>
      <c r="F5" s="139">
        <f>SUM(C28:M31)</f>
        <v>1972959184.3843999</v>
      </c>
      <c r="G5" s="22">
        <f>SUM(C24:L24)</f>
        <v>0</v>
      </c>
      <c r="H5" s="22">
        <f>G5-E5</f>
        <v>149334.35</v>
      </c>
      <c r="I5" s="22">
        <f>+B48</f>
        <v>-289360.60500000004</v>
      </c>
      <c r="J5" s="22">
        <f>SUM(C53:L53)</f>
        <v>-1342.68</v>
      </c>
      <c r="K5" s="26">
        <f>SUM(H5:J5)</f>
        <v>-141368.93500000003</v>
      </c>
      <c r="L5" s="48">
        <f>+K5-M48</f>
        <v>0</v>
      </c>
    </row>
    <row r="6" spans="1:35" ht="15.5" thickTop="1" thickBot="1" x14ac:dyDescent="0.4">
      <c r="E6" s="28">
        <f t="shared" ref="E6" si="0">SUM(E4:E5)</f>
        <v>-90287.06</v>
      </c>
      <c r="F6" s="28">
        <f t="shared" ref="F6:I6" si="1">SUM(F4:F5)</f>
        <v>3416516763.4925003</v>
      </c>
      <c r="G6" s="28">
        <f t="shared" si="1"/>
        <v>0</v>
      </c>
      <c r="H6" s="28">
        <f t="shared" si="1"/>
        <v>90287.06</v>
      </c>
      <c r="I6" s="28">
        <f t="shared" si="1"/>
        <v>-204268.8000000004</v>
      </c>
      <c r="J6" s="28">
        <f>SUM(J4:J5)</f>
        <v>-1020.2600000000001</v>
      </c>
      <c r="K6" s="28">
        <f>SUM(K4:K5)</f>
        <v>-115002.00000000039</v>
      </c>
    </row>
    <row r="7" spans="1:35" ht="44" thickTop="1" x14ac:dyDescent="0.35">
      <c r="E7" s="237"/>
      <c r="F7" s="238"/>
      <c r="G7" s="237"/>
      <c r="H7" s="237"/>
      <c r="I7" s="237"/>
      <c r="J7" s="236"/>
      <c r="K7" s="236"/>
      <c r="L7" s="235" t="s">
        <v>124</v>
      </c>
    </row>
    <row r="8" spans="1:35" x14ac:dyDescent="0.35">
      <c r="A8" s="20" t="s">
        <v>108</v>
      </c>
      <c r="E8" s="237"/>
      <c r="F8" s="238"/>
      <c r="G8" s="237"/>
      <c r="H8" s="237"/>
      <c r="I8" s="237"/>
      <c r="J8" s="236"/>
      <c r="K8" s="26">
        <f>ROUND($K$5*L8,2)</f>
        <v>-19192.87</v>
      </c>
      <c r="L8" s="233">
        <f>+'[3]Monthly TD Calc'!$CY$44</f>
        <v>0.13576441564001979</v>
      </c>
    </row>
    <row r="9" spans="1:35" x14ac:dyDescent="0.35">
      <c r="A9" s="20" t="s">
        <v>109</v>
      </c>
      <c r="E9" s="237"/>
      <c r="F9" s="238"/>
      <c r="G9" s="237"/>
      <c r="H9" s="237"/>
      <c r="I9" s="237"/>
      <c r="J9" s="236"/>
      <c r="K9" s="26">
        <f t="shared" ref="K9:K11" si="2">ROUND($K$5*L9,2)</f>
        <v>-50343.7</v>
      </c>
      <c r="L9" s="233">
        <f>+'[3]Monthly TD Calc'!$CZ$44</f>
        <v>0.35611574316442379</v>
      </c>
    </row>
    <row r="10" spans="1:35" x14ac:dyDescent="0.35">
      <c r="A10" s="20" t="s">
        <v>110</v>
      </c>
      <c r="E10" s="237"/>
      <c r="F10" s="238"/>
      <c r="G10" s="237"/>
      <c r="H10" s="237"/>
      <c r="I10" s="237"/>
      <c r="J10" s="236"/>
      <c r="K10" s="26">
        <f t="shared" si="2"/>
        <v>-59137.25</v>
      </c>
      <c r="L10" s="233">
        <f>+'[3]Monthly TD Calc'!$DA$44</f>
        <v>0.4183185730547726</v>
      </c>
    </row>
    <row r="11" spans="1:35" ht="15" thickBot="1" x14ac:dyDescent="0.4">
      <c r="A11" s="20" t="s">
        <v>111</v>
      </c>
      <c r="E11" s="237"/>
      <c r="F11" s="238"/>
      <c r="G11" s="237"/>
      <c r="H11" s="237"/>
      <c r="I11" s="237"/>
      <c r="J11" s="236"/>
      <c r="K11" s="26">
        <f t="shared" si="2"/>
        <v>-12695.11</v>
      </c>
      <c r="L11" s="233">
        <f>+'[3]Monthly TD Calc'!$DB$44</f>
        <v>8.9801268140783777E-2</v>
      </c>
    </row>
    <row r="12" spans="1:35" ht="15.5" thickTop="1" thickBot="1" x14ac:dyDescent="0.4">
      <c r="A12" s="20" t="s">
        <v>113</v>
      </c>
      <c r="E12" s="237"/>
      <c r="F12" s="238"/>
      <c r="G12" s="237"/>
      <c r="H12" s="237"/>
      <c r="I12" s="237"/>
      <c r="J12" s="236"/>
      <c r="K12" s="28">
        <f>SUM(K8:K11)</f>
        <v>-141368.93</v>
      </c>
      <c r="L12" s="234">
        <f>SUM(L8:L11)</f>
        <v>1</v>
      </c>
    </row>
    <row r="13" spans="1:35" ht="15.5" thickTop="1" thickBot="1" x14ac:dyDescent="0.4"/>
    <row r="14" spans="1:35" ht="73" thickBot="1" x14ac:dyDescent="0.4">
      <c r="B14" s="119" t="s">
        <v>176</v>
      </c>
      <c r="C14" s="280" t="s">
        <v>177</v>
      </c>
      <c r="D14" s="280"/>
      <c r="E14" s="303" t="s">
        <v>33</v>
      </c>
      <c r="F14" s="303"/>
      <c r="G14" s="304"/>
      <c r="H14" s="305" t="s">
        <v>33</v>
      </c>
      <c r="I14" s="306"/>
      <c r="J14" s="307"/>
      <c r="K14" s="299" t="s">
        <v>8</v>
      </c>
      <c r="L14" s="300"/>
      <c r="M14" s="301"/>
    </row>
    <row r="15" spans="1:35" x14ac:dyDescent="0.35">
      <c r="A15" s="47" t="s">
        <v>32</v>
      </c>
      <c r="C15" s="14"/>
      <c r="D15" s="19"/>
      <c r="E15" s="19">
        <v>44347</v>
      </c>
      <c r="F15" s="19">
        <f>EOMONTH(E15,1)</f>
        <v>44377</v>
      </c>
      <c r="G15" s="19">
        <f t="shared" ref="G15:M15" si="3">EOMONTH(F15,1)</f>
        <v>44408</v>
      </c>
      <c r="H15" s="14">
        <f t="shared" si="3"/>
        <v>44439</v>
      </c>
      <c r="I15" s="19">
        <f t="shared" si="3"/>
        <v>44469</v>
      </c>
      <c r="J15" s="15">
        <f t="shared" si="3"/>
        <v>44500</v>
      </c>
      <c r="K15" s="19">
        <f t="shared" si="3"/>
        <v>44530</v>
      </c>
      <c r="L15" s="19">
        <f t="shared" si="3"/>
        <v>44561</v>
      </c>
      <c r="M15" s="96">
        <f t="shared" si="3"/>
        <v>44592</v>
      </c>
      <c r="Z15" s="1"/>
      <c r="AA15" s="1"/>
      <c r="AB15" s="1"/>
      <c r="AC15" s="1"/>
      <c r="AD15" s="1"/>
      <c r="AE15" s="1"/>
      <c r="AF15" s="1"/>
      <c r="AG15" s="1"/>
      <c r="AH15" s="1"/>
      <c r="AI15" s="1"/>
    </row>
    <row r="16" spans="1:35" x14ac:dyDescent="0.35">
      <c r="A16" s="47" t="s">
        <v>24</v>
      </c>
      <c r="C16" s="98">
        <v>0</v>
      </c>
      <c r="D16" s="269"/>
      <c r="E16" s="110">
        <v>0</v>
      </c>
      <c r="F16" s="110">
        <v>0</v>
      </c>
      <c r="G16" s="111">
        <v>0</v>
      </c>
      <c r="H16" s="16">
        <v>0</v>
      </c>
      <c r="I16" s="56">
        <v>0</v>
      </c>
      <c r="J16" s="169">
        <v>0</v>
      </c>
      <c r="K16" s="179">
        <v>0</v>
      </c>
      <c r="L16" s="141">
        <v>0</v>
      </c>
      <c r="M16" s="77"/>
    </row>
    <row r="17" spans="1:14" x14ac:dyDescent="0.35">
      <c r="A17" s="47" t="s">
        <v>25</v>
      </c>
      <c r="C17" s="98">
        <v>0</v>
      </c>
      <c r="D17" s="269"/>
      <c r="E17" s="110">
        <v>0</v>
      </c>
      <c r="F17" s="110">
        <v>0</v>
      </c>
      <c r="G17" s="111">
        <v>0</v>
      </c>
      <c r="H17" s="16">
        <v>0</v>
      </c>
      <c r="I17" s="56">
        <v>0</v>
      </c>
      <c r="J17" s="169">
        <v>0</v>
      </c>
      <c r="K17" s="179">
        <v>0</v>
      </c>
      <c r="L17" s="141">
        <v>0</v>
      </c>
      <c r="M17" s="77"/>
      <c r="N17" s="64" t="s">
        <v>27</v>
      </c>
    </row>
    <row r="18" spans="1:14" x14ac:dyDescent="0.35">
      <c r="A18" s="47" t="s">
        <v>0</v>
      </c>
      <c r="C18" s="98">
        <v>0</v>
      </c>
      <c r="D18" s="269"/>
      <c r="E18" s="110">
        <v>0</v>
      </c>
      <c r="F18" s="110">
        <v>0</v>
      </c>
      <c r="G18" s="111">
        <v>0</v>
      </c>
      <c r="H18" s="16">
        <v>0</v>
      </c>
      <c r="I18" s="56">
        <v>0</v>
      </c>
      <c r="J18" s="169">
        <v>0</v>
      </c>
      <c r="K18" s="179">
        <v>0</v>
      </c>
      <c r="L18" s="141">
        <v>0</v>
      </c>
      <c r="M18" s="77"/>
      <c r="N18" s="74">
        <v>0.5</v>
      </c>
    </row>
    <row r="19" spans="1:14" x14ac:dyDescent="0.35">
      <c r="A19" s="47" t="s">
        <v>1</v>
      </c>
      <c r="C19" s="98">
        <v>0</v>
      </c>
      <c r="D19" s="269"/>
      <c r="E19" s="110">
        <v>0</v>
      </c>
      <c r="F19" s="110">
        <v>0</v>
      </c>
      <c r="G19" s="111">
        <v>0</v>
      </c>
      <c r="H19" s="16">
        <v>0</v>
      </c>
      <c r="I19" s="56">
        <v>0</v>
      </c>
      <c r="J19" s="169">
        <v>0</v>
      </c>
      <c r="K19" s="179">
        <v>0</v>
      </c>
      <c r="L19" s="141">
        <v>0</v>
      </c>
      <c r="M19" s="77"/>
      <c r="N19" s="64"/>
    </row>
    <row r="20" spans="1:14" x14ac:dyDescent="0.35">
      <c r="C20" s="99"/>
      <c r="D20" s="270"/>
      <c r="E20" s="32"/>
      <c r="F20" s="32"/>
      <c r="G20" s="32"/>
      <c r="H20" s="29"/>
      <c r="I20" s="32"/>
      <c r="J20" s="11"/>
      <c r="K20" s="32"/>
      <c r="L20" s="32"/>
      <c r="M20" s="30"/>
    </row>
    <row r="21" spans="1:14" x14ac:dyDescent="0.35">
      <c r="C21" s="99"/>
      <c r="D21" s="270"/>
      <c r="E21" s="32"/>
      <c r="F21" s="32"/>
      <c r="G21" s="32"/>
      <c r="H21" s="29"/>
      <c r="I21" s="32"/>
      <c r="J21" s="11"/>
      <c r="K21" s="32"/>
      <c r="L21" s="32"/>
      <c r="M21" s="30"/>
    </row>
    <row r="22" spans="1:14" x14ac:dyDescent="0.35">
      <c r="A22" s="47" t="s">
        <v>35</v>
      </c>
      <c r="C22" s="100"/>
      <c r="D22" s="152"/>
      <c r="E22" s="32"/>
      <c r="F22" s="32"/>
      <c r="G22" s="32"/>
      <c r="H22" s="29"/>
      <c r="I22" s="32"/>
      <c r="J22" s="170"/>
      <c r="K22" s="17"/>
      <c r="L22" s="17"/>
      <c r="M22" s="11"/>
    </row>
    <row r="23" spans="1:14" x14ac:dyDescent="0.35">
      <c r="A23" s="47" t="s">
        <v>24</v>
      </c>
      <c r="C23" s="41">
        <f>C16+($N$18*C$18)+($N$18*C$19)</f>
        <v>0</v>
      </c>
      <c r="D23" s="124"/>
      <c r="E23" s="42">
        <f t="shared" ref="E23:L23" si="4">E16+($N$18*E$18)+($N$18*E$19)</f>
        <v>0</v>
      </c>
      <c r="F23" s="42">
        <f t="shared" si="4"/>
        <v>0</v>
      </c>
      <c r="G23" s="109">
        <f t="shared" si="4"/>
        <v>0</v>
      </c>
      <c r="H23" s="41">
        <f t="shared" si="4"/>
        <v>0</v>
      </c>
      <c r="I23" s="42">
        <f t="shared" si="4"/>
        <v>0</v>
      </c>
      <c r="J23" s="62">
        <f t="shared" si="4"/>
        <v>0</v>
      </c>
      <c r="K23" s="124">
        <f t="shared" si="4"/>
        <v>0</v>
      </c>
      <c r="L23" s="42">
        <f t="shared" si="4"/>
        <v>0</v>
      </c>
      <c r="M23" s="62">
        <f t="shared" ref="M23" si="5">M16+($N$18*M$18)+($N$18*M$19)+M$20*(1-$N$20)</f>
        <v>0</v>
      </c>
    </row>
    <row r="24" spans="1:14" x14ac:dyDescent="0.35">
      <c r="A24" s="47" t="s">
        <v>25</v>
      </c>
      <c r="C24" s="41">
        <f>(C$17+$N$18*C$18)+C$19*$N$18</f>
        <v>0</v>
      </c>
      <c r="D24" s="124"/>
      <c r="E24" s="42">
        <f t="shared" ref="E24:L24" si="6">(E$17+$N$18*E$18)+E$19*$N$18</f>
        <v>0</v>
      </c>
      <c r="F24" s="42">
        <f t="shared" si="6"/>
        <v>0</v>
      </c>
      <c r="G24" s="109">
        <f t="shared" si="6"/>
        <v>0</v>
      </c>
      <c r="H24" s="41">
        <f t="shared" si="6"/>
        <v>0</v>
      </c>
      <c r="I24" s="42">
        <f t="shared" si="6"/>
        <v>0</v>
      </c>
      <c r="J24" s="62">
        <f t="shared" si="6"/>
        <v>0</v>
      </c>
      <c r="K24" s="124">
        <f t="shared" si="6"/>
        <v>0</v>
      </c>
      <c r="L24" s="42">
        <f t="shared" si="6"/>
        <v>0</v>
      </c>
      <c r="M24" s="62">
        <f t="shared" ref="M24" si="7">(M$17+$N$18*M$18+M$20*$N$20)+M$19*$N$18</f>
        <v>0</v>
      </c>
    </row>
    <row r="25" spans="1:14" x14ac:dyDescent="0.35">
      <c r="C25" s="100"/>
      <c r="D25" s="152"/>
      <c r="E25" s="32"/>
      <c r="F25" s="32"/>
      <c r="G25" s="32"/>
      <c r="H25" s="29"/>
      <c r="I25" s="32"/>
      <c r="J25" s="11"/>
      <c r="K25" s="17"/>
      <c r="L25" s="17"/>
      <c r="M25" s="11"/>
    </row>
    <row r="26" spans="1:14" x14ac:dyDescent="0.35">
      <c r="A26" s="40" t="s">
        <v>47</v>
      </c>
      <c r="B26" s="40"/>
      <c r="C26" s="102"/>
      <c r="D26" s="271"/>
      <c r="E26" s="32"/>
      <c r="F26" s="32"/>
      <c r="G26" s="32"/>
      <c r="H26" s="29"/>
      <c r="I26" s="32"/>
      <c r="J26" s="11"/>
      <c r="K26" s="17"/>
      <c r="L26" s="17"/>
      <c r="M26" s="11"/>
    </row>
    <row r="27" spans="1:14" x14ac:dyDescent="0.35">
      <c r="A27" s="47" t="s">
        <v>24</v>
      </c>
      <c r="C27" s="103">
        <v>-628397562</v>
      </c>
      <c r="D27" s="272"/>
      <c r="E27" s="112">
        <f>+'[4]May 2021'!$F123</f>
        <v>147282038.08810005</v>
      </c>
      <c r="F27" s="112">
        <f>+'[4]Jun 2021'!$F123</f>
        <v>196171734.23339999</v>
      </c>
      <c r="G27" s="112">
        <f>+'[4]Jul 2021'!$F123</f>
        <v>279414551.53509992</v>
      </c>
      <c r="H27" s="189">
        <f>+'[4]Aug 2021'!$F123</f>
        <v>295182650.73329997</v>
      </c>
      <c r="I27" s="192">
        <f>+'[4]Sep 2021'!$F123</f>
        <v>294496035.16650015</v>
      </c>
      <c r="J27" s="184">
        <f>+'[4]Oct 2021'!$F123</f>
        <v>204427223.35170001</v>
      </c>
      <c r="K27" s="180">
        <f>+'[1]Billed kWh Sales'!O24</f>
        <v>160481876</v>
      </c>
      <c r="L27" s="142">
        <f>+'[1]Billed kWh Sales'!P24</f>
        <v>230930879</v>
      </c>
      <c r="M27" s="78">
        <f>+'[1]Billed kWh Sales'!Q24</f>
        <v>263568153</v>
      </c>
    </row>
    <row r="28" spans="1:14" x14ac:dyDescent="0.35">
      <c r="A28" s="47" t="s">
        <v>108</v>
      </c>
      <c r="C28" s="103">
        <v>-134463720</v>
      </c>
      <c r="D28" s="272"/>
      <c r="E28" s="112">
        <f>+'[4]May 2021'!$F124</f>
        <v>36848623.247099996</v>
      </c>
      <c r="F28" s="112">
        <f>+'[4]Jun 2021'!$F124</f>
        <v>43877797.03329999</v>
      </c>
      <c r="G28" s="112">
        <f>+'[4]Jul 2021'!$F124</f>
        <v>53696775.105300002</v>
      </c>
      <c r="H28" s="189">
        <f>+'[4]Aug 2021'!$F124</f>
        <v>56153495.013299994</v>
      </c>
      <c r="I28" s="192">
        <f>+'[4]Sep 2021'!$F124</f>
        <v>52890855.771599993</v>
      </c>
      <c r="J28" s="184">
        <f>+'[4]Oct 2021'!$F124</f>
        <v>46427685.345600002</v>
      </c>
      <c r="K28" s="180">
        <f>+'[1]Billed kWh Sales'!O25</f>
        <v>40322500</v>
      </c>
      <c r="L28" s="142">
        <f>+'[1]Billed kWh Sales'!P25</f>
        <v>43632439</v>
      </c>
      <c r="M28" s="78">
        <f>+'[1]Billed kWh Sales'!Q25</f>
        <v>44597404</v>
      </c>
    </row>
    <row r="29" spans="1:14" x14ac:dyDescent="0.35">
      <c r="A29" s="47" t="s">
        <v>109</v>
      </c>
      <c r="C29" s="103">
        <v>-293106488</v>
      </c>
      <c r="D29" s="272"/>
      <c r="E29" s="112">
        <f>+'[4]May 2021'!$F125</f>
        <v>75602264.983800039</v>
      </c>
      <c r="F29" s="112">
        <f>+'[4]Jun 2021'!$F125</f>
        <v>86408118.883999988</v>
      </c>
      <c r="G29" s="112">
        <f>+'[4]Jul 2021'!$F125</f>
        <v>103277584.3792</v>
      </c>
      <c r="H29" s="189">
        <f>+'[4]Aug 2021'!$F125</f>
        <v>105609261.8351</v>
      </c>
      <c r="I29" s="192">
        <f>+'[4]Sep 2021'!$F125</f>
        <v>108724188.08940001</v>
      </c>
      <c r="J29" s="184">
        <f>+'[4]Oct 2021'!$F125</f>
        <v>97146018.783299997</v>
      </c>
      <c r="K29" s="180">
        <f>+'[1]Billed kWh Sales'!O26</f>
        <v>87895725</v>
      </c>
      <c r="L29" s="142">
        <f>+'[1]Billed kWh Sales'!P26</f>
        <v>95110791</v>
      </c>
      <c r="M29" s="78">
        <f>+'[1]Billed kWh Sales'!Q26</f>
        <v>97214239</v>
      </c>
    </row>
    <row r="30" spans="1:14" x14ac:dyDescent="0.35">
      <c r="A30" s="47" t="s">
        <v>110</v>
      </c>
      <c r="C30" s="103">
        <v>-464491731</v>
      </c>
      <c r="D30" s="272"/>
      <c r="E30" s="112">
        <f>+'[4]May 2021'!$F126</f>
        <v>128983645.07529999</v>
      </c>
      <c r="F30" s="112">
        <f>+'[4]Jun 2021'!$F126</f>
        <v>137167450.23320001</v>
      </c>
      <c r="G30" s="112">
        <f>+'[4]Jul 2021'!$F126</f>
        <v>159461837.919</v>
      </c>
      <c r="H30" s="189">
        <f>+'[4]Aug 2021'!$F126</f>
        <v>156439272.3057</v>
      </c>
      <c r="I30" s="192">
        <f>+'[4]Sep 2021'!$F126</f>
        <v>164496787.10320002</v>
      </c>
      <c r="J30" s="184">
        <f>+'[4]Oct 2021'!$F126</f>
        <v>150065248.4544</v>
      </c>
      <c r="K30" s="180">
        <f>+'[1]Billed kWh Sales'!O27</f>
        <v>139290119</v>
      </c>
      <c r="L30" s="142">
        <f>+'[1]Billed kWh Sales'!P27</f>
        <v>150723979</v>
      </c>
      <c r="M30" s="78">
        <f>+'[1]Billed kWh Sales'!Q27</f>
        <v>154057355</v>
      </c>
    </row>
    <row r="31" spans="1:14" x14ac:dyDescent="0.35">
      <c r="A31" s="47" t="s">
        <v>111</v>
      </c>
      <c r="C31" s="103">
        <v>-133493786</v>
      </c>
      <c r="D31" s="272"/>
      <c r="E31" s="112">
        <f>+'[4]May 2021'!$F127</f>
        <v>27598772.784599997</v>
      </c>
      <c r="F31" s="112">
        <f>+'[4]Jun 2021'!$F127</f>
        <v>40640141.118799999</v>
      </c>
      <c r="G31" s="112">
        <f>+'[4]Jul 2021'!$F127</f>
        <v>44278338.182700001</v>
      </c>
      <c r="H31" s="189">
        <f>+'[4]Aug 2021'!$F127</f>
        <v>47412812.01919999</v>
      </c>
      <c r="I31" s="192">
        <f>+'[4]Sep 2021'!$F127</f>
        <v>53661747.1633</v>
      </c>
      <c r="J31" s="184">
        <f>+'[4]Oct 2021'!$F127</f>
        <v>41176589.553999998</v>
      </c>
      <c r="K31" s="180">
        <f>+'[1]Billed kWh Sales'!O28</f>
        <v>40031639</v>
      </c>
      <c r="L31" s="142">
        <f>+'[1]Billed kWh Sales'!P28</f>
        <v>43317702</v>
      </c>
      <c r="M31" s="78">
        <f>+'[1]Billed kWh Sales'!Q28</f>
        <v>44275707</v>
      </c>
    </row>
    <row r="32" spans="1:14" x14ac:dyDescent="0.35">
      <c r="C32" s="100"/>
      <c r="D32" s="152"/>
      <c r="E32" s="32"/>
      <c r="F32" s="32"/>
      <c r="G32" s="32"/>
      <c r="H32" s="29"/>
      <c r="I32" s="32"/>
      <c r="J32" s="11"/>
      <c r="K32" s="17"/>
      <c r="L32" s="17"/>
      <c r="M32" s="11"/>
    </row>
    <row r="33" spans="1:15" x14ac:dyDescent="0.35">
      <c r="A33" s="47" t="s">
        <v>34</v>
      </c>
      <c r="C33" s="100"/>
      <c r="D33" s="152"/>
      <c r="E33" s="18"/>
      <c r="F33" s="18"/>
      <c r="G33" s="18"/>
      <c r="H33" s="92"/>
      <c r="I33" s="18"/>
      <c r="J33" s="11"/>
      <c r="K33" s="58"/>
      <c r="L33" s="58"/>
      <c r="M33" s="59"/>
      <c r="N33" s="64" t="s">
        <v>50</v>
      </c>
      <c r="O33" s="40"/>
    </row>
    <row r="34" spans="1:15" x14ac:dyDescent="0.35">
      <c r="A34" s="47" t="s">
        <v>24</v>
      </c>
      <c r="C34" s="98">
        <v>-62839.759999999995</v>
      </c>
      <c r="D34" s="269"/>
      <c r="E34" s="110">
        <f>ROUND('[4]May 2021'!$F43+'[4]May 2021'!$F52,2)</f>
        <v>14711.15</v>
      </c>
      <c r="F34" s="110">
        <f>ROUND('[4]Jun 2021'!$F43+'[4]Jun 2021'!$F52,2)</f>
        <v>19709</v>
      </c>
      <c r="G34" s="112">
        <f>ROUND('[4]Jul 2021'!$F43+'[4]Jul 2021'!$F52,2)</f>
        <v>28046.45</v>
      </c>
      <c r="H34" s="190">
        <f>ROUND('[4]Aug 2021'!$F43+'[4]Aug 2021'!$F52,2)</f>
        <v>24298.27</v>
      </c>
      <c r="I34" s="56">
        <f>ROUND('[4]Sep 2021'!$F43+'[4]Sep 2021'!$F52,2)</f>
        <v>9154.42</v>
      </c>
      <c r="J34" s="182">
        <f>ROUND('[4]Oct 2021'!$F43+'[4]Oct 2021'!$F52,2)</f>
        <v>6318.33</v>
      </c>
      <c r="K34" s="124">
        <f>ROUND(K27*$N34,2)</f>
        <v>4814.46</v>
      </c>
      <c r="L34" s="42">
        <f t="shared" ref="L34:M34" si="8">ROUND(L27*$N34,2)</f>
        <v>6927.93</v>
      </c>
      <c r="M34" s="62">
        <f t="shared" si="8"/>
        <v>7907.04</v>
      </c>
      <c r="N34" s="73">
        <v>3.0000000000000001E-5</v>
      </c>
    </row>
    <row r="35" spans="1:15" x14ac:dyDescent="0.35">
      <c r="A35" s="47" t="s">
        <v>108</v>
      </c>
      <c r="C35" s="98">
        <v>25548.11</v>
      </c>
      <c r="D35" s="269"/>
      <c r="E35" s="110">
        <f>ROUND('[4]May 2021'!$F44+'[4]May 2021'!$F53,2)</f>
        <v>-6786.6</v>
      </c>
      <c r="F35" s="110">
        <f>ROUND('[4]Jun 2021'!$F44+'[4]Jun 2021'!$F53,2)</f>
        <v>-8338.14</v>
      </c>
      <c r="G35" s="112">
        <f>ROUND('[4]Jul 2021'!$F44+'[4]Jul 2021'!$F53,2)</f>
        <v>-10208.66</v>
      </c>
      <c r="H35" s="190">
        <f>ROUND('[4]Aug 2021'!$F44+'[4]Aug 2021'!$F53,2)</f>
        <v>-7302.04</v>
      </c>
      <c r="I35" s="56">
        <f>ROUND('[4]Sep 2021'!$F44+'[4]Sep 2021'!$F53,2)</f>
        <v>-3907.11</v>
      </c>
      <c r="J35" s="182">
        <f>ROUND('[4]Oct 2021'!$F44+'[4]Oct 2021'!$F53,2)</f>
        <v>-3558.81</v>
      </c>
      <c r="K35" s="124">
        <f t="shared" ref="K35:M35" si="9">ROUND(K28*$N35,2)</f>
        <v>-3225.8</v>
      </c>
      <c r="L35" s="42">
        <f t="shared" si="9"/>
        <v>-3490.6</v>
      </c>
      <c r="M35" s="62">
        <f t="shared" si="9"/>
        <v>-3567.79</v>
      </c>
      <c r="N35" s="73">
        <v>-7.9999999999999993E-5</v>
      </c>
    </row>
    <row r="36" spans="1:15" x14ac:dyDescent="0.35">
      <c r="A36" s="47" t="s">
        <v>109</v>
      </c>
      <c r="C36" s="98">
        <v>46897.04</v>
      </c>
      <c r="D36" s="269"/>
      <c r="E36" s="110">
        <f>ROUND('[4]May 2021'!$F45+'[4]May 2021'!$F54,2)</f>
        <v>-11291.93</v>
      </c>
      <c r="F36" s="110">
        <f>ROUND('[4]Jun 2021'!$F45+'[4]Jun 2021'!$F54,2)</f>
        <v>-13831.42</v>
      </c>
      <c r="G36" s="112">
        <f>ROUND('[4]Jul 2021'!$F45+'[4]Jul 2021'!$F54,2)</f>
        <v>-16534.91</v>
      </c>
      <c r="H36" s="190">
        <f>ROUND('[4]Aug 2021'!$F45+'[4]Aug 2021'!$F54,2)</f>
        <v>-11832.66</v>
      </c>
      <c r="I36" s="56">
        <f>ROUND('[4]Sep 2021'!$F45+'[4]Sep 2021'!$F54,2)</f>
        <v>-10891.18</v>
      </c>
      <c r="J36" s="182">
        <f>ROUND('[4]Oct 2021'!$F45+'[4]Oct 2021'!$F54,2)</f>
        <v>-9772.1299999999992</v>
      </c>
      <c r="K36" s="124">
        <f t="shared" ref="K36:M36" si="10">ROUND(K29*$N36,2)</f>
        <v>-8789.57</v>
      </c>
      <c r="L36" s="42">
        <f t="shared" si="10"/>
        <v>-9511.08</v>
      </c>
      <c r="M36" s="62">
        <f t="shared" si="10"/>
        <v>-9721.42</v>
      </c>
      <c r="N36" s="73">
        <v>-1E-4</v>
      </c>
    </row>
    <row r="37" spans="1:15" x14ac:dyDescent="0.35">
      <c r="A37" s="47" t="s">
        <v>110</v>
      </c>
      <c r="C37" s="98">
        <v>60383.92</v>
      </c>
      <c r="D37" s="269"/>
      <c r="E37" s="110">
        <f>ROUND('[4]May 2021'!$F46+'[4]May 2021'!$F55,2)</f>
        <v>-16875.88</v>
      </c>
      <c r="F37" s="110">
        <f>ROUND('[4]Jun 2021'!$F46+'[4]Jun 2021'!$F55,2)</f>
        <v>-17839.669999999998</v>
      </c>
      <c r="G37" s="112">
        <f>ROUND('[4]Jul 2021'!$F46+'[4]Jul 2021'!$F55,2)</f>
        <v>-20743.22</v>
      </c>
      <c r="H37" s="190">
        <f>ROUND('[4]Aug 2021'!$F46+'[4]Aug 2021'!$F55,2)</f>
        <v>-13454.01</v>
      </c>
      <c r="I37" s="56">
        <f>ROUND('[4]Sep 2021'!$F46+'[4]Sep 2021'!$F55,2)</f>
        <v>-11714.79</v>
      </c>
      <c r="J37" s="182">
        <f>ROUND('[4]Oct 2021'!$F46+'[4]Oct 2021'!$F55,2)</f>
        <v>-10488.39</v>
      </c>
      <c r="K37" s="124">
        <f t="shared" ref="K37:M37" si="11">ROUND(K30*$N37,2)</f>
        <v>-9750.31</v>
      </c>
      <c r="L37" s="42">
        <f t="shared" si="11"/>
        <v>-10550.68</v>
      </c>
      <c r="M37" s="62">
        <f t="shared" si="11"/>
        <v>-10784.01</v>
      </c>
      <c r="N37" s="73">
        <v>-6.9999999999999994E-5</v>
      </c>
    </row>
    <row r="38" spans="1:15" x14ac:dyDescent="0.35">
      <c r="A38" s="47" t="s">
        <v>111</v>
      </c>
      <c r="C38" s="98">
        <v>12014.43</v>
      </c>
      <c r="D38" s="269"/>
      <c r="E38" s="110">
        <f>ROUND('[4]May 2021'!$F47+'[4]May 2021'!$F56,2)</f>
        <v>-3586.94</v>
      </c>
      <c r="F38" s="110">
        <f>ROUND('[4]Jun 2021'!$F47+'[4]Jun 2021'!$F56,2)</f>
        <v>-2836.33</v>
      </c>
      <c r="G38" s="112">
        <f>ROUND('[4]Jul 2021'!$F47+'[4]Jul 2021'!$F56,2)</f>
        <v>-1716.71</v>
      </c>
      <c r="H38" s="190">
        <f>ROUND('[4]Aug 2021'!$F47+'[4]Aug 2021'!$F56,2)</f>
        <v>-1792.09</v>
      </c>
      <c r="I38" s="56">
        <f>ROUND('[4]Sep 2021'!$F47+'[4]Sep 2021'!$F56,2)</f>
        <v>-1237.4100000000001</v>
      </c>
      <c r="J38" s="182">
        <f>ROUND('[4]Oct 2021'!$F47+'[4]Oct 2021'!$F56,2)</f>
        <v>-1864.3</v>
      </c>
      <c r="K38" s="124">
        <f>ROUND(K31*$N38,2)</f>
        <v>-2001.58</v>
      </c>
      <c r="L38" s="42">
        <f t="shared" ref="L38:M38" si="12">ROUND(L31*$N38,2)</f>
        <v>-2165.89</v>
      </c>
      <c r="M38" s="62">
        <f t="shared" si="12"/>
        <v>-2213.79</v>
      </c>
      <c r="N38" s="73">
        <v>-5.0000000000000002E-5</v>
      </c>
    </row>
    <row r="39" spans="1:15" x14ac:dyDescent="0.35">
      <c r="C39" s="68"/>
      <c r="D39" s="69"/>
      <c r="E39" s="18"/>
      <c r="F39" s="18"/>
      <c r="G39" s="18"/>
      <c r="H39" s="92"/>
      <c r="I39" s="18"/>
      <c r="J39" s="11"/>
      <c r="K39" s="57"/>
      <c r="L39" s="57"/>
      <c r="M39" s="13"/>
      <c r="N39" s="4"/>
    </row>
    <row r="40" spans="1:15" ht="15" thickBot="1" x14ac:dyDescent="0.4">
      <c r="A40" s="47" t="s">
        <v>14</v>
      </c>
      <c r="C40" s="104">
        <v>476.79</v>
      </c>
      <c r="D40" s="273"/>
      <c r="E40" s="113">
        <v>-250.24999999999997</v>
      </c>
      <c r="F40" s="113">
        <v>-226.93</v>
      </c>
      <c r="G40" s="114">
        <v>-208.41000000000003</v>
      </c>
      <c r="H40" s="27">
        <v>-193.72000000000003</v>
      </c>
      <c r="I40" s="123">
        <v>-179.88000000000002</v>
      </c>
      <c r="J40" s="183">
        <v>-163.04000000000002</v>
      </c>
      <c r="K40" s="181">
        <v>-145.86000000000001</v>
      </c>
      <c r="L40" s="143">
        <v>-128.94</v>
      </c>
      <c r="M40" s="82"/>
    </row>
    <row r="41" spans="1:15" x14ac:dyDescent="0.35">
      <c r="C41" s="100"/>
      <c r="D41" s="152"/>
      <c r="E41" s="32"/>
      <c r="F41" s="32"/>
      <c r="G41" s="32"/>
      <c r="H41" s="29"/>
      <c r="I41" s="32"/>
      <c r="J41" s="11"/>
      <c r="K41" s="17"/>
      <c r="L41" s="17"/>
      <c r="M41" s="11"/>
    </row>
    <row r="42" spans="1:15" x14ac:dyDescent="0.35">
      <c r="A42" s="47" t="s">
        <v>52</v>
      </c>
      <c r="C42" s="100"/>
      <c r="D42" s="152"/>
      <c r="E42" s="32"/>
      <c r="F42" s="32"/>
      <c r="G42" s="32"/>
      <c r="H42" s="29"/>
      <c r="I42" s="32"/>
      <c r="J42" s="11"/>
      <c r="K42" s="17"/>
      <c r="L42" s="17"/>
      <c r="M42" s="11"/>
    </row>
    <row r="43" spans="1:15" x14ac:dyDescent="0.35">
      <c r="A43" s="47" t="s">
        <v>24</v>
      </c>
      <c r="C43" s="41">
        <f t="shared" ref="C43:M43" si="13">C23-C34</f>
        <v>62839.759999999995</v>
      </c>
      <c r="D43" s="124"/>
      <c r="E43" s="42">
        <f t="shared" si="13"/>
        <v>-14711.15</v>
      </c>
      <c r="F43" s="42">
        <f t="shared" si="13"/>
        <v>-19709</v>
      </c>
      <c r="G43" s="109">
        <f t="shared" si="13"/>
        <v>-28046.45</v>
      </c>
      <c r="H43" s="41">
        <f t="shared" si="13"/>
        <v>-24298.27</v>
      </c>
      <c r="I43" s="42">
        <f t="shared" si="13"/>
        <v>-9154.42</v>
      </c>
      <c r="J43" s="62">
        <f t="shared" si="13"/>
        <v>-6318.33</v>
      </c>
      <c r="K43" s="124">
        <f t="shared" si="13"/>
        <v>-4814.46</v>
      </c>
      <c r="L43" s="42">
        <f t="shared" si="13"/>
        <v>-6927.93</v>
      </c>
      <c r="M43" s="50">
        <f t="shared" si="13"/>
        <v>-7907.04</v>
      </c>
    </row>
    <row r="44" spans="1:15" x14ac:dyDescent="0.35">
      <c r="A44" s="47" t="s">
        <v>25</v>
      </c>
      <c r="C44" s="41">
        <f>C24-SUM(C35:C38)</f>
        <v>-144843.5</v>
      </c>
      <c r="D44" s="124"/>
      <c r="E44" s="42">
        <f>E24-SUM(E35:E38)</f>
        <v>38541.350000000006</v>
      </c>
      <c r="F44" s="42">
        <f t="shared" ref="F44:M44" si="14">F24-SUM(F35:F38)</f>
        <v>42845.56</v>
      </c>
      <c r="G44" s="109">
        <f t="shared" si="14"/>
        <v>49203.5</v>
      </c>
      <c r="H44" s="41">
        <f t="shared" si="14"/>
        <v>34380.799999999996</v>
      </c>
      <c r="I44" s="42">
        <f t="shared" si="14"/>
        <v>27750.49</v>
      </c>
      <c r="J44" s="62">
        <f t="shared" si="14"/>
        <v>25683.629999999997</v>
      </c>
      <c r="K44" s="124">
        <f t="shared" si="14"/>
        <v>23767.260000000002</v>
      </c>
      <c r="L44" s="42">
        <f t="shared" si="14"/>
        <v>25718.25</v>
      </c>
      <c r="M44" s="50">
        <f t="shared" si="14"/>
        <v>26287.010000000002</v>
      </c>
    </row>
    <row r="45" spans="1:15" x14ac:dyDescent="0.35">
      <c r="C45" s="100"/>
      <c r="D45" s="152"/>
      <c r="E45" s="32"/>
      <c r="F45" s="32"/>
      <c r="G45" s="32"/>
      <c r="H45" s="29"/>
      <c r="I45" s="32"/>
      <c r="J45" s="11"/>
      <c r="K45" s="17"/>
      <c r="L45" s="17"/>
      <c r="M45" s="11"/>
    </row>
    <row r="46" spans="1:15" ht="15" thickBot="1" x14ac:dyDescent="0.4">
      <c r="A46" s="47" t="s">
        <v>53</v>
      </c>
      <c r="C46" s="105"/>
      <c r="D46" s="274"/>
      <c r="E46" s="32"/>
      <c r="F46" s="32"/>
      <c r="G46" s="32"/>
      <c r="H46" s="29"/>
      <c r="I46" s="32"/>
      <c r="J46" s="11"/>
      <c r="K46" s="17"/>
      <c r="L46" s="17"/>
      <c r="M46" s="11"/>
    </row>
    <row r="47" spans="1:15" x14ac:dyDescent="0.35">
      <c r="A47" s="47" t="s">
        <v>24</v>
      </c>
      <c r="B47" s="117">
        <v>85091.804999999644</v>
      </c>
      <c r="C47" s="42">
        <f>B47+C43+B52</f>
        <v>147931.56499999965</v>
      </c>
      <c r="D47" s="42">
        <f>C47+D43+C52</f>
        <v>147687.83499999964</v>
      </c>
      <c r="E47" s="42">
        <f>C47+E43+C52+D52</f>
        <v>132976.68499999965</v>
      </c>
      <c r="F47" s="42">
        <f t="shared" ref="F47:M47" si="15">E47+F43+E52</f>
        <v>113395.91499999964</v>
      </c>
      <c r="G47" s="109">
        <f t="shared" si="15"/>
        <v>85461.054999999644</v>
      </c>
      <c r="H47" s="41">
        <f t="shared" si="15"/>
        <v>61253.434999999641</v>
      </c>
      <c r="I47" s="42">
        <f t="shared" si="15"/>
        <v>52165.674999999646</v>
      </c>
      <c r="J47" s="62">
        <f t="shared" si="15"/>
        <v>45898.594999999645</v>
      </c>
      <c r="K47" s="124">
        <f t="shared" si="15"/>
        <v>41128.474999999642</v>
      </c>
      <c r="L47" s="42">
        <f t="shared" si="15"/>
        <v>34239.89499999964</v>
      </c>
      <c r="M47" s="50">
        <f t="shared" si="15"/>
        <v>26366.934999999641</v>
      </c>
    </row>
    <row r="48" spans="1:15" ht="15" thickBot="1" x14ac:dyDescent="0.4">
      <c r="A48" s="47" t="s">
        <v>25</v>
      </c>
      <c r="B48" s="118">
        <v>-289360.60500000004</v>
      </c>
      <c r="C48" s="42">
        <f>B48+C44+B53</f>
        <v>-434204.10500000004</v>
      </c>
      <c r="D48" s="42">
        <f>C48+D44+C53</f>
        <v>-433483.58500000002</v>
      </c>
      <c r="E48" s="42">
        <f>C48+E44+C53+D53</f>
        <v>-394942.23499999999</v>
      </c>
      <c r="F48" s="42">
        <f t="shared" ref="F48:M48" si="16">E48+F44+E53</f>
        <v>-352475.16499999998</v>
      </c>
      <c r="G48" s="109">
        <f t="shared" si="16"/>
        <v>-303610.185</v>
      </c>
      <c r="H48" s="41">
        <f t="shared" si="16"/>
        <v>-269528.44500000001</v>
      </c>
      <c r="I48" s="42">
        <f t="shared" si="16"/>
        <v>-242038.34500000003</v>
      </c>
      <c r="J48" s="62">
        <f t="shared" si="16"/>
        <v>-216585.84500000003</v>
      </c>
      <c r="K48" s="124">
        <f t="shared" si="16"/>
        <v>-193025.96500000003</v>
      </c>
      <c r="L48" s="42">
        <f t="shared" si="16"/>
        <v>-167492.92500000002</v>
      </c>
      <c r="M48" s="50">
        <f t="shared" si="16"/>
        <v>-141368.935</v>
      </c>
    </row>
    <row r="49" spans="1:14" x14ac:dyDescent="0.35">
      <c r="C49" s="100"/>
      <c r="D49" s="152"/>
      <c r="E49" s="32"/>
      <c r="F49" s="32"/>
      <c r="G49" s="32"/>
      <c r="H49" s="29"/>
      <c r="I49" s="32"/>
      <c r="J49" s="11"/>
      <c r="K49" s="17"/>
      <c r="L49" s="17"/>
      <c r="M49" s="11"/>
    </row>
    <row r="50" spans="1:14" x14ac:dyDescent="0.35">
      <c r="A50" s="40" t="s">
        <v>49</v>
      </c>
      <c r="B50" s="40"/>
      <c r="C50" s="105"/>
      <c r="D50" s="274"/>
      <c r="E50" s="84">
        <f>+'[5]May 2021'!$F$51</f>
        <v>9.1374999999999996E-4</v>
      </c>
      <c r="F50" s="84">
        <f>+'[5]June 2021'!$F$50</f>
        <v>9.0538999999999995E-4</v>
      </c>
      <c r="G50" s="84">
        <f>+'[5]July 2021'!$F$52</f>
        <v>9.1118000000000004E-4</v>
      </c>
      <c r="H50" s="85">
        <f>+'[5]Aug 2021'!$F$52</f>
        <v>9.0817999999999997E-4</v>
      </c>
      <c r="I50" s="84">
        <f>+'[5]Sept 2021'!$F$51</f>
        <v>9.0315999999999997E-4</v>
      </c>
      <c r="J50" s="93">
        <f>+'[5]Oct 2021'!$E$43</f>
        <v>9.0388000000000003E-4</v>
      </c>
      <c r="K50" s="84">
        <f>+J50</f>
        <v>9.0388000000000003E-4</v>
      </c>
      <c r="L50" s="84">
        <f>+K50</f>
        <v>9.0388000000000003E-4</v>
      </c>
      <c r="M50" s="93"/>
    </row>
    <row r="51" spans="1:14" x14ac:dyDescent="0.35">
      <c r="A51" s="40" t="s">
        <v>37</v>
      </c>
      <c r="B51" s="40"/>
      <c r="C51" s="100"/>
      <c r="D51" s="152"/>
      <c r="E51" s="32"/>
      <c r="F51" s="32"/>
      <c r="G51" s="32"/>
      <c r="H51" s="29"/>
      <c r="I51" s="32"/>
      <c r="J51" s="11"/>
      <c r="K51" s="17"/>
      <c r="L51" s="17"/>
      <c r="M51" s="11"/>
      <c r="N51" s="72"/>
    </row>
    <row r="52" spans="1:14" x14ac:dyDescent="0.35">
      <c r="A52" s="47" t="s">
        <v>24</v>
      </c>
      <c r="C52" s="41">
        <v>-243.73000000000002</v>
      </c>
      <c r="D52" s="124"/>
      <c r="E52" s="42">
        <f>ROUND((C47+C52+D52+E43/2)*E$50,2)</f>
        <v>128.22999999999999</v>
      </c>
      <c r="F52" s="42">
        <f t="shared" ref="F52:F53" si="17">ROUND((E47+E52+F43/2)*F$50,2)</f>
        <v>111.59</v>
      </c>
      <c r="G52" s="109">
        <f t="shared" ref="G52:G53" si="18">ROUND((F47+F52+G43/2)*G$50,2)</f>
        <v>90.65</v>
      </c>
      <c r="H52" s="41">
        <f t="shared" ref="H52:H53" si="19">ROUND((G47+G52+H43/2)*H$50,2)</f>
        <v>66.66</v>
      </c>
      <c r="I52" s="124">
        <f t="shared" ref="I52:J53" si="20">ROUND((H47+H52+I43/2)*I$50,2)</f>
        <v>51.25</v>
      </c>
      <c r="J52" s="62">
        <f t="shared" si="20"/>
        <v>44.34</v>
      </c>
      <c r="K52" s="124">
        <f t="shared" ref="K52:K53" si="21">ROUND((J47+J52+K43/2)*K$50,2)</f>
        <v>39.35</v>
      </c>
      <c r="L52" s="124">
        <f t="shared" ref="L52:L53" si="22">ROUND((K47+K52+L43/2)*L$50,2)</f>
        <v>34.08</v>
      </c>
      <c r="M52" s="50"/>
    </row>
    <row r="53" spans="1:14" ht="15" thickBot="1" x14ac:dyDescent="0.4">
      <c r="A53" s="47" t="s">
        <v>25</v>
      </c>
      <c r="C53" s="115">
        <v>720.52</v>
      </c>
      <c r="D53" s="275"/>
      <c r="E53" s="42">
        <f>ROUND((C48+C53+D53+E44/2)*E$50,2)</f>
        <v>-378.49</v>
      </c>
      <c r="F53" s="42">
        <f t="shared" si="17"/>
        <v>-338.52</v>
      </c>
      <c r="G53" s="109">
        <f t="shared" si="18"/>
        <v>-299.06</v>
      </c>
      <c r="H53" s="41">
        <f t="shared" si="19"/>
        <v>-260.39</v>
      </c>
      <c r="I53" s="124">
        <f t="shared" si="20"/>
        <v>-231.13</v>
      </c>
      <c r="J53" s="62">
        <f t="shared" si="20"/>
        <v>-207.38</v>
      </c>
      <c r="K53" s="124">
        <f t="shared" si="21"/>
        <v>-185.21</v>
      </c>
      <c r="L53" s="124">
        <f t="shared" si="22"/>
        <v>-163.02000000000001</v>
      </c>
      <c r="M53" s="50"/>
    </row>
    <row r="54" spans="1:14" ht="15.5" thickTop="1" thickBot="1" x14ac:dyDescent="0.4">
      <c r="A54" s="55" t="s">
        <v>22</v>
      </c>
      <c r="B54" s="55"/>
      <c r="C54" s="116">
        <v>0</v>
      </c>
      <c r="D54" s="276"/>
      <c r="E54" s="33">
        <f t="shared" ref="E54:M54" si="23">SUM(E52:E53)+SUM(E47:E48)-E57</f>
        <v>0</v>
      </c>
      <c r="F54" s="33">
        <f t="shared" si="23"/>
        <v>0</v>
      </c>
      <c r="G54" s="51">
        <f t="shared" si="23"/>
        <v>0</v>
      </c>
      <c r="H54" s="125">
        <f t="shared" si="23"/>
        <v>0</v>
      </c>
      <c r="I54" s="33">
        <f t="shared" si="23"/>
        <v>0</v>
      </c>
      <c r="J54" s="63">
        <f t="shared" si="23"/>
        <v>0</v>
      </c>
      <c r="K54" s="168">
        <f t="shared" si="23"/>
        <v>0</v>
      </c>
      <c r="L54" s="33">
        <f t="shared" si="23"/>
        <v>0</v>
      </c>
      <c r="M54" s="97">
        <f t="shared" si="23"/>
        <v>0</v>
      </c>
    </row>
    <row r="55" spans="1:14" ht="15.5" thickTop="1" thickBot="1" x14ac:dyDescent="0.4">
      <c r="A55" s="55" t="s">
        <v>23</v>
      </c>
      <c r="B55" s="55"/>
      <c r="C55" s="108">
        <v>0</v>
      </c>
      <c r="D55" s="277"/>
      <c r="E55" s="33">
        <f t="shared" ref="E55:M55" si="24">SUM(E52:E53)-E40</f>
        <v>-1.0000000000047748E-2</v>
      </c>
      <c r="F55" s="33">
        <f t="shared" si="24"/>
        <v>0</v>
      </c>
      <c r="G55" s="51">
        <f t="shared" si="24"/>
        <v>0</v>
      </c>
      <c r="H55" s="52">
        <f t="shared" si="24"/>
        <v>-9.9999999999624833E-3</v>
      </c>
      <c r="I55" s="33">
        <f t="shared" si="24"/>
        <v>0</v>
      </c>
      <c r="J55" s="63">
        <f t="shared" si="24"/>
        <v>0</v>
      </c>
      <c r="K55" s="168">
        <f t="shared" si="24"/>
        <v>0</v>
      </c>
      <c r="L55" s="33">
        <f t="shared" si="24"/>
        <v>0</v>
      </c>
      <c r="M55" s="97">
        <f t="shared" si="24"/>
        <v>0</v>
      </c>
    </row>
    <row r="56" spans="1:14" ht="15.5" thickTop="1" thickBot="1" x14ac:dyDescent="0.4">
      <c r="C56" s="100"/>
      <c r="D56" s="152"/>
      <c r="E56" s="17"/>
      <c r="F56" s="17"/>
      <c r="G56" s="17"/>
      <c r="H56" s="10"/>
      <c r="I56" s="17"/>
      <c r="J56" s="11"/>
      <c r="K56" s="17"/>
      <c r="L56" s="17"/>
      <c r="M56" s="11"/>
    </row>
    <row r="57" spans="1:14" ht="15" thickBot="1" x14ac:dyDescent="0.4">
      <c r="A57" s="47" t="s">
        <v>36</v>
      </c>
      <c r="B57" s="120">
        <f>+B47+B48</f>
        <v>-204268.8000000004</v>
      </c>
      <c r="C57" s="41">
        <f t="shared" ref="C57:M57" si="25">(SUM(C16:C20)-SUM(C34:C38))+SUM(C52:C53)+B57</f>
        <v>-285795.75000000041</v>
      </c>
      <c r="D57" s="41">
        <f t="shared" si="25"/>
        <v>-285795.75000000041</v>
      </c>
      <c r="E57" s="42">
        <f>(SUM(E16:E20)-SUM(E34:E38))+SUM(D52:E53)+C57</f>
        <v>-262215.81000000041</v>
      </c>
      <c r="F57" s="42">
        <f t="shared" si="25"/>
        <v>-239306.1800000004</v>
      </c>
      <c r="G57" s="109">
        <f t="shared" si="25"/>
        <v>-218357.54000000039</v>
      </c>
      <c r="H57" s="41">
        <f t="shared" si="25"/>
        <v>-208468.7400000004</v>
      </c>
      <c r="I57" s="42">
        <f t="shared" si="25"/>
        <v>-190052.5500000004</v>
      </c>
      <c r="J57" s="62">
        <f t="shared" si="25"/>
        <v>-170850.29000000039</v>
      </c>
      <c r="K57" s="124">
        <f t="shared" si="25"/>
        <v>-152043.35000000038</v>
      </c>
      <c r="L57" s="42">
        <f t="shared" si="25"/>
        <v>-133381.97000000038</v>
      </c>
      <c r="M57" s="62">
        <f t="shared" si="25"/>
        <v>-115002.00000000038</v>
      </c>
    </row>
    <row r="58" spans="1:14" x14ac:dyDescent="0.35">
      <c r="A58" s="47" t="s">
        <v>12</v>
      </c>
      <c r="C58" s="121"/>
      <c r="D58" s="17"/>
      <c r="E58" s="57"/>
      <c r="F58" s="57"/>
      <c r="G58" s="57"/>
      <c r="H58" s="12"/>
      <c r="I58" s="57"/>
      <c r="J58" s="11"/>
      <c r="K58" s="17"/>
      <c r="L58" s="17"/>
      <c r="M58" s="11"/>
    </row>
    <row r="59" spans="1:14" ht="15" thickBot="1" x14ac:dyDescent="0.4">
      <c r="B59" s="17"/>
      <c r="C59" s="44"/>
      <c r="D59" s="45"/>
      <c r="E59" s="45"/>
      <c r="F59" s="45"/>
      <c r="G59" s="45"/>
      <c r="H59" s="44"/>
      <c r="I59" s="45"/>
      <c r="J59" s="46"/>
      <c r="K59" s="45"/>
      <c r="L59" s="45"/>
      <c r="M59" s="46"/>
    </row>
    <row r="61" spans="1:14" x14ac:dyDescent="0.35">
      <c r="A61" s="70" t="s">
        <v>11</v>
      </c>
      <c r="B61" s="70"/>
      <c r="C61" s="70"/>
      <c r="D61" s="70"/>
    </row>
    <row r="62" spans="1:14" ht="42.75" customHeight="1" x14ac:dyDescent="0.35">
      <c r="A62" s="302" t="s">
        <v>198</v>
      </c>
      <c r="B62" s="302"/>
      <c r="C62" s="302"/>
      <c r="D62" s="302"/>
      <c r="E62" s="302"/>
      <c r="F62" s="302"/>
      <c r="G62" s="302"/>
      <c r="H62" s="302"/>
      <c r="I62" s="302"/>
      <c r="J62" s="302"/>
      <c r="K62" s="147"/>
      <c r="L62" s="147"/>
      <c r="M62" s="147"/>
    </row>
    <row r="63" spans="1:14" ht="33.75" customHeight="1" x14ac:dyDescent="0.35">
      <c r="A63" s="302" t="s">
        <v>166</v>
      </c>
      <c r="B63" s="302"/>
      <c r="C63" s="302"/>
      <c r="D63" s="302"/>
      <c r="E63" s="302"/>
      <c r="F63" s="302"/>
      <c r="G63" s="302"/>
      <c r="H63" s="302"/>
      <c r="I63" s="302"/>
      <c r="J63" s="302"/>
      <c r="K63" s="147"/>
      <c r="L63" s="147"/>
      <c r="M63" s="147"/>
    </row>
    <row r="64" spans="1:14" ht="33.75" customHeight="1" x14ac:dyDescent="0.35">
      <c r="A64" s="302" t="s">
        <v>167</v>
      </c>
      <c r="B64" s="302"/>
      <c r="C64" s="302"/>
      <c r="D64" s="302"/>
      <c r="E64" s="302"/>
      <c r="F64" s="302"/>
      <c r="G64" s="302"/>
      <c r="H64" s="302"/>
      <c r="I64" s="302"/>
      <c r="J64" s="302"/>
      <c r="K64" s="147"/>
      <c r="L64" s="147"/>
      <c r="M64" s="147"/>
    </row>
    <row r="65" spans="1:14" x14ac:dyDescent="0.35">
      <c r="A65" s="3" t="s">
        <v>31</v>
      </c>
      <c r="B65" s="3"/>
      <c r="C65" s="3"/>
      <c r="D65" s="3"/>
      <c r="J65" s="4"/>
    </row>
    <row r="66" spans="1:14" x14ac:dyDescent="0.35">
      <c r="A66" s="64" t="s">
        <v>179</v>
      </c>
      <c r="B66" s="3"/>
      <c r="C66" s="3"/>
      <c r="D66" s="3"/>
      <c r="J66" s="4"/>
    </row>
    <row r="67" spans="1:14" x14ac:dyDescent="0.35">
      <c r="A67" s="3" t="s">
        <v>51</v>
      </c>
      <c r="B67" s="3"/>
      <c r="C67" s="3"/>
      <c r="D67" s="3"/>
      <c r="J67" s="4"/>
    </row>
    <row r="68" spans="1:14" x14ac:dyDescent="0.35">
      <c r="A68" s="3" t="s">
        <v>197</v>
      </c>
    </row>
    <row r="70" spans="1:14" ht="30" customHeight="1" x14ac:dyDescent="0.35">
      <c r="A70" s="298"/>
      <c r="B70" s="298"/>
      <c r="C70" s="298"/>
      <c r="D70" s="298"/>
      <c r="E70" s="298"/>
      <c r="F70" s="298"/>
      <c r="G70" s="298"/>
    </row>
    <row r="77" spans="1:14" x14ac:dyDescent="0.35">
      <c r="N77" s="8"/>
    </row>
  </sheetData>
  <mergeCells count="7">
    <mergeCell ref="A70:G70"/>
    <mergeCell ref="K14:M14"/>
    <mergeCell ref="A64:J64"/>
    <mergeCell ref="E14:G14"/>
    <mergeCell ref="A62:J62"/>
    <mergeCell ref="A63:J63"/>
    <mergeCell ref="H14:J14"/>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I81"/>
  <sheetViews>
    <sheetView workbookViewId="0"/>
  </sheetViews>
  <sheetFormatPr defaultColWidth="9.1796875" defaultRowHeight="14.5" x14ac:dyDescent="0.35"/>
  <cols>
    <col min="1" max="1" width="54.54296875" style="47" customWidth="1"/>
    <col min="2" max="2" width="14.7265625" style="47" customWidth="1"/>
    <col min="3" max="4" width="15" style="47" customWidth="1"/>
    <col min="5" max="5" width="15.26953125" style="47" customWidth="1"/>
    <col min="6" max="6" width="15.81640625" style="47" customWidth="1"/>
    <col min="7" max="7" width="17.54296875" style="47" customWidth="1"/>
    <col min="8" max="9" width="13.26953125" style="47" customWidth="1"/>
    <col min="10" max="10" width="15.7265625" style="47" customWidth="1"/>
    <col min="11" max="12" width="12.54296875" style="47" bestFit="1" customWidth="1"/>
    <col min="13" max="13" width="14.453125" style="47" customWidth="1"/>
    <col min="14" max="14" width="15" style="47" bestFit="1" customWidth="1"/>
    <col min="15" max="15" width="16.26953125" style="47" bestFit="1" customWidth="1"/>
    <col min="16" max="16" width="16.1796875" style="47" customWidth="1"/>
    <col min="17" max="17" width="17.26953125" style="47" bestFit="1" customWidth="1"/>
    <col min="18" max="18" width="17.453125" style="47" customWidth="1"/>
    <col min="19" max="19" width="15.54296875" style="47" customWidth="1"/>
    <col min="20" max="20" width="13" style="47" customWidth="1"/>
    <col min="21" max="21" width="9.1796875" style="47"/>
    <col min="22" max="22" width="14.26953125" style="47" bestFit="1" customWidth="1"/>
    <col min="23" max="16384" width="9.1796875" style="47"/>
  </cols>
  <sheetData>
    <row r="1" spans="1:35" x14ac:dyDescent="0.35">
      <c r="A1" s="3" t="str">
        <f>+'PPC Cycle 3'!A1</f>
        <v>Evergy Metro, Inc. - DSIM Rider Update Filed 12/02/2021</v>
      </c>
      <c r="B1" s="3"/>
      <c r="C1" s="3"/>
      <c r="D1" s="3"/>
    </row>
    <row r="2" spans="1:35" x14ac:dyDescent="0.35">
      <c r="E2" s="3" t="s">
        <v>140</v>
      </c>
    </row>
    <row r="3" spans="1:35" ht="29" x14ac:dyDescent="0.35">
      <c r="E3" s="49" t="s">
        <v>46</v>
      </c>
      <c r="F3" s="49" t="s">
        <v>45</v>
      </c>
      <c r="G3" s="71" t="s">
        <v>2</v>
      </c>
      <c r="H3" s="49" t="s">
        <v>3</v>
      </c>
      <c r="I3" s="71" t="s">
        <v>55</v>
      </c>
      <c r="J3" s="49" t="s">
        <v>10</v>
      </c>
      <c r="K3" s="49" t="s">
        <v>4</v>
      </c>
    </row>
    <row r="4" spans="1:35" x14ac:dyDescent="0.35">
      <c r="A4" s="20" t="s">
        <v>24</v>
      </c>
      <c r="E4" s="22">
        <f>SUM(C29:M29)</f>
        <v>4662804.74</v>
      </c>
      <c r="F4" s="139">
        <f>SUM(C22:M22)</f>
        <v>1443557579.1081002</v>
      </c>
      <c r="G4" s="22">
        <f>SUM(C15:L15)</f>
        <v>4572402.8</v>
      </c>
      <c r="H4" s="22">
        <f>G4-E4</f>
        <v>-90401.94000000041</v>
      </c>
      <c r="I4" s="22">
        <f>+B45</f>
        <v>-581798.28000000026</v>
      </c>
      <c r="J4" s="22">
        <f>SUM(C53:L53)</f>
        <v>2887.93</v>
      </c>
      <c r="K4" s="26">
        <f>SUM(H4:J4)</f>
        <v>-669312.29000000062</v>
      </c>
      <c r="L4" s="48">
        <f>+K4-M45</f>
        <v>0</v>
      </c>
    </row>
    <row r="5" spans="1:35" x14ac:dyDescent="0.35">
      <c r="A5" s="20" t="s">
        <v>108</v>
      </c>
      <c r="E5" s="22">
        <f>SUM(C30:M30)</f>
        <v>368859.76000000007</v>
      </c>
      <c r="F5" s="139">
        <f>SUM(C23:M23)</f>
        <v>283983854.51619995</v>
      </c>
      <c r="G5" s="22">
        <f>SUM(C16:L16)</f>
        <v>309008.01</v>
      </c>
      <c r="H5" s="22">
        <f>G5-E5</f>
        <v>-59851.750000000058</v>
      </c>
      <c r="I5" s="22">
        <f>+B46</f>
        <v>-317365.58</v>
      </c>
      <c r="J5" s="22">
        <f>SUM(C54:L54)</f>
        <v>-1735.3899999999999</v>
      </c>
      <c r="K5" s="26">
        <f>SUM(H5:J5)</f>
        <v>-378952.72000000009</v>
      </c>
      <c r="L5" s="48">
        <f t="shared" ref="L5:L7" si="0">+K5-M46</f>
        <v>0</v>
      </c>
    </row>
    <row r="6" spans="1:35" x14ac:dyDescent="0.35">
      <c r="A6" s="20" t="s">
        <v>109</v>
      </c>
      <c r="E6" s="22">
        <f>SUM(C31:M31)</f>
        <v>1532640.1800000002</v>
      </c>
      <c r="F6" s="139">
        <f>SUM(C24:M24)</f>
        <v>563881703.95480001</v>
      </c>
      <c r="G6" s="22">
        <f>SUM(C17:L17)</f>
        <v>1221148.68</v>
      </c>
      <c r="H6" s="22">
        <f>G6-E6</f>
        <v>-311491.50000000023</v>
      </c>
      <c r="I6" s="22">
        <f>+B47</f>
        <v>677036.94</v>
      </c>
      <c r="J6" s="22">
        <f>SUM(C55:L55)</f>
        <v>4614.7700000000004</v>
      </c>
      <c r="K6" s="26">
        <f>SUM(H6:J6)</f>
        <v>370160.20999999973</v>
      </c>
      <c r="L6" s="48">
        <f t="shared" si="0"/>
        <v>0</v>
      </c>
    </row>
    <row r="7" spans="1:35" x14ac:dyDescent="0.35">
      <c r="A7" s="20" t="s">
        <v>110</v>
      </c>
      <c r="E7" s="22">
        <f>SUM(C32:M32)</f>
        <v>2020988.0200000005</v>
      </c>
      <c r="F7" s="139">
        <f>SUM(C25:M25)</f>
        <v>876193963.09080005</v>
      </c>
      <c r="G7" s="22">
        <f>SUM(C18:L18)</f>
        <v>1486859.1600000001</v>
      </c>
      <c r="H7" s="22">
        <f>G7-E7</f>
        <v>-534128.86000000034</v>
      </c>
      <c r="I7" s="22">
        <f>+B48</f>
        <v>257218.99000000031</v>
      </c>
      <c r="J7" s="22">
        <f>SUM(C56:L56)</f>
        <v>2557.3200000000006</v>
      </c>
      <c r="K7" s="26">
        <f>SUM(H7:J7)</f>
        <v>-274352.55</v>
      </c>
      <c r="L7" s="48">
        <f t="shared" si="0"/>
        <v>0</v>
      </c>
    </row>
    <row r="8" spans="1:35" ht="15" thickBot="1" x14ac:dyDescent="0.4">
      <c r="A8" s="20" t="s">
        <v>111</v>
      </c>
      <c r="E8" s="22">
        <f>SUM(C33:M33)</f>
        <v>444120.23000000004</v>
      </c>
      <c r="F8" s="139">
        <f>SUM(C26:M26)</f>
        <v>248899662.82259998</v>
      </c>
      <c r="G8" s="22">
        <f>SUM(C19:L19)</f>
        <v>299928.83999999997</v>
      </c>
      <c r="H8" s="22">
        <f>G8-E8</f>
        <v>-144191.39000000007</v>
      </c>
      <c r="I8" s="22">
        <f>+B49</f>
        <v>-482429.74999999988</v>
      </c>
      <c r="J8" s="22">
        <f>SUM(C57:L57)</f>
        <v>-3169.58</v>
      </c>
      <c r="K8" s="26">
        <f>SUM(H8:J8)</f>
        <v>-629790.71999999986</v>
      </c>
      <c r="L8" s="48">
        <f>+K8-M49</f>
        <v>0</v>
      </c>
    </row>
    <row r="9" spans="1:35" ht="15.5" thickTop="1" thickBot="1" x14ac:dyDescent="0.4">
      <c r="E9" s="28">
        <f t="shared" ref="E9:I9" si="1">SUM(E4:E8)</f>
        <v>9029412.9299999997</v>
      </c>
      <c r="F9" s="28">
        <f t="shared" si="1"/>
        <v>3416516763.4924998</v>
      </c>
      <c r="G9" s="28">
        <f t="shared" si="1"/>
        <v>7889347.4899999993</v>
      </c>
      <c r="H9" s="28">
        <f t="shared" si="1"/>
        <v>-1140065.4400000011</v>
      </c>
      <c r="I9" s="28">
        <f t="shared" si="1"/>
        <v>-447337.67999999993</v>
      </c>
      <c r="J9" s="28">
        <f>SUM(J4:J8)</f>
        <v>5155.0500000000011</v>
      </c>
      <c r="K9" s="28">
        <f>SUM(K4:K8)</f>
        <v>-1582248.0700000008</v>
      </c>
    </row>
    <row r="10" spans="1:35" ht="15.5" thickTop="1" thickBot="1" x14ac:dyDescent="0.4"/>
    <row r="11" spans="1:35" ht="232.5" thickBot="1" x14ac:dyDescent="0.4">
      <c r="B11" s="119" t="str">
        <f>+'PCR Cycle 2'!B14</f>
        <v>Cumulative Over/Under Carryover From 06/01/2021 Filing</v>
      </c>
      <c r="C11" s="280" t="str">
        <f>+'PCR Cycle 2'!C14</f>
        <v>Reverse May - October 2021  Forecast From 06/01/2021 Filing</v>
      </c>
      <c r="D11" s="280" t="s">
        <v>175</v>
      </c>
      <c r="E11" s="303" t="s">
        <v>33</v>
      </c>
      <c r="F11" s="303"/>
      <c r="G11" s="304"/>
      <c r="H11" s="305" t="s">
        <v>33</v>
      </c>
      <c r="I11" s="306"/>
      <c r="J11" s="307"/>
      <c r="K11" s="299" t="s">
        <v>8</v>
      </c>
      <c r="L11" s="300"/>
      <c r="M11" s="301"/>
    </row>
    <row r="12" spans="1:35" x14ac:dyDescent="0.35">
      <c r="C12" s="14"/>
      <c r="D12" s="19"/>
      <c r="E12" s="19">
        <f>+'PCR Cycle 2'!E15</f>
        <v>44347</v>
      </c>
      <c r="F12" s="19">
        <f>+'PCR Cycle 2'!F15</f>
        <v>44377</v>
      </c>
      <c r="G12" s="19">
        <f>+'PCR Cycle 2'!G15</f>
        <v>44408</v>
      </c>
      <c r="H12" s="14">
        <f>+'PCR Cycle 2'!H15</f>
        <v>44439</v>
      </c>
      <c r="I12" s="19">
        <f>+'PCR Cycle 2'!I15</f>
        <v>44469</v>
      </c>
      <c r="J12" s="15">
        <f>+'PCR Cycle 2'!J15</f>
        <v>44500</v>
      </c>
      <c r="K12" s="19">
        <f>+'PCR Cycle 2'!K15</f>
        <v>44530</v>
      </c>
      <c r="L12" s="19">
        <f>+'PCR Cycle 2'!L15</f>
        <v>44561</v>
      </c>
      <c r="M12" s="96">
        <f>+'PCR Cycle 2'!M15</f>
        <v>44592</v>
      </c>
      <c r="Z12" s="1"/>
      <c r="AA12" s="1"/>
      <c r="AB12" s="1"/>
      <c r="AC12" s="1"/>
      <c r="AD12" s="1"/>
      <c r="AE12" s="1"/>
      <c r="AF12" s="1"/>
      <c r="AG12" s="1"/>
      <c r="AH12" s="1"/>
      <c r="AI12" s="1"/>
    </row>
    <row r="13" spans="1:35" x14ac:dyDescent="0.35">
      <c r="C13" s="99"/>
      <c r="D13" s="270"/>
      <c r="E13" s="32"/>
      <c r="F13" s="32"/>
      <c r="G13" s="32"/>
      <c r="H13" s="29"/>
      <c r="I13" s="32"/>
      <c r="J13" s="11"/>
      <c r="K13" s="32"/>
      <c r="L13" s="32"/>
      <c r="M13" s="30"/>
    </row>
    <row r="14" spans="1:35" x14ac:dyDescent="0.35">
      <c r="A14" s="47" t="s">
        <v>141</v>
      </c>
      <c r="C14" s="100"/>
      <c r="D14" s="152"/>
      <c r="E14" s="32"/>
      <c r="F14" s="32"/>
      <c r="G14" s="32"/>
      <c r="H14" s="29"/>
      <c r="I14" s="32"/>
      <c r="J14" s="170"/>
      <c r="K14" s="17"/>
      <c r="L14" s="17"/>
      <c r="M14" s="11"/>
    </row>
    <row r="15" spans="1:35" x14ac:dyDescent="0.35">
      <c r="A15" s="47" t="s">
        <v>24</v>
      </c>
      <c r="C15" s="98">
        <v>-1222577.93</v>
      </c>
      <c r="D15" s="269"/>
      <c r="E15" s="110">
        <f>ROUND([6]Pivot!$N$30,2)</f>
        <v>1111532.8600000001</v>
      </c>
      <c r="F15" s="110">
        <f>ROUND([7]Pivot!$N$30,2)</f>
        <v>750988.09</v>
      </c>
      <c r="G15" s="111">
        <f>ROUND([8]Pivot!$N$30,2)</f>
        <v>818386.19</v>
      </c>
      <c r="H15" s="16">
        <f>ROUND([9]Pivot!$N$30,2)</f>
        <v>452728.93</v>
      </c>
      <c r="I15" s="56">
        <f>ROUND([10]Pivot!$N$30,2)</f>
        <v>493757.43</v>
      </c>
      <c r="J15" s="169">
        <f>ROUND([11]Pivot!$N$30,2)</f>
        <v>691980.65</v>
      </c>
      <c r="K15" s="179">
        <f>ROUND('[2]Monthly Program Costs'!AD290,2)</f>
        <v>900713.4</v>
      </c>
      <c r="L15" s="141">
        <f>ROUND('[2]Monthly Program Costs'!AE290,2)</f>
        <v>574893.18000000005</v>
      </c>
      <c r="M15" s="77"/>
      <c r="R15" s="47">
        <v>532208.78</v>
      </c>
      <c r="S15" s="47">
        <v>716027.06</v>
      </c>
    </row>
    <row r="16" spans="1:35" x14ac:dyDescent="0.35">
      <c r="A16" s="47" t="s">
        <v>108</v>
      </c>
      <c r="C16" s="98">
        <v>-121147.98999999999</v>
      </c>
      <c r="D16" s="269"/>
      <c r="E16" s="110">
        <f>ROUND([6]Pivot!$O$30,2)</f>
        <v>54899.66</v>
      </c>
      <c r="F16" s="110">
        <f>ROUND([7]Pivot!$O$30,2)</f>
        <v>47235.88</v>
      </c>
      <c r="G16" s="111">
        <f>ROUND([8]Pivot!$O$30,2)</f>
        <v>55891.41</v>
      </c>
      <c r="H16" s="16">
        <f>ROUND([9]Pivot!$O$30,2)</f>
        <v>67897.73</v>
      </c>
      <c r="I16" s="56">
        <f>ROUND([10]Pivot!$O$30,2)</f>
        <v>38291.06</v>
      </c>
      <c r="J16" s="169">
        <f>ROUND([11]Pivot!$O$30,2)</f>
        <v>16089.63</v>
      </c>
      <c r="K16" s="179">
        <f>ROUND('[2]Monthly Program Costs'!AD291,2)</f>
        <v>69448.179999999993</v>
      </c>
      <c r="L16" s="141">
        <f>ROUND('[2]Monthly Program Costs'!AE291,2)</f>
        <v>80402.45</v>
      </c>
      <c r="M16" s="77"/>
      <c r="P16" s="267">
        <f>SUM(E16:J16)/SUM($E$16:$J$19)</f>
        <v>9.0943659632857138E-2</v>
      </c>
      <c r="R16" s="47">
        <v>52411.14</v>
      </c>
      <c r="S16" s="47">
        <v>66148.66</v>
      </c>
    </row>
    <row r="17" spans="1:19" x14ac:dyDescent="0.35">
      <c r="A17" s="47" t="s">
        <v>109</v>
      </c>
      <c r="C17" s="98">
        <v>-309179.27</v>
      </c>
      <c r="D17" s="269"/>
      <c r="E17" s="110">
        <f>ROUND([6]Pivot!$P$30,2)</f>
        <v>151844.28</v>
      </c>
      <c r="F17" s="110">
        <f>ROUND([7]Pivot!$P$30,2)</f>
        <v>125789.69</v>
      </c>
      <c r="G17" s="111">
        <f>ROUND([8]Pivot!$P$30,2)</f>
        <v>306792.95</v>
      </c>
      <c r="H17" s="16">
        <f>ROUND([9]Pivot!$P$30,2)</f>
        <v>194607.75</v>
      </c>
      <c r="I17" s="56">
        <f>ROUND([10]Pivot!$P$30,2)</f>
        <v>198216.76</v>
      </c>
      <c r="J17" s="169">
        <f>ROUND([11]Pivot!$P$30,2)</f>
        <v>180009.82</v>
      </c>
      <c r="K17" s="179">
        <f>ROUND('[2]Monthly Program Costs'!AD292,2)</f>
        <v>160932.95000000001</v>
      </c>
      <c r="L17" s="141">
        <f>ROUND('[2]Monthly Program Costs'!AE292,2)</f>
        <v>212133.75</v>
      </c>
      <c r="M17" s="77"/>
      <c r="P17" s="267">
        <f t="shared" ref="P17:P19" si="2">SUM(E17:J17)/SUM($E$16:$J$19)</f>
        <v>0.37546755963431877</v>
      </c>
      <c r="R17" s="47">
        <v>131571.41</v>
      </c>
      <c r="S17" s="47">
        <v>170309.47</v>
      </c>
    </row>
    <row r="18" spans="1:19" x14ac:dyDescent="0.35">
      <c r="A18" s="47" t="s">
        <v>110</v>
      </c>
      <c r="C18" s="98">
        <v>-500475.04000000004</v>
      </c>
      <c r="D18" s="269"/>
      <c r="E18" s="110">
        <f>ROUND([6]Pivot!$Q$30,2)</f>
        <v>264001.49</v>
      </c>
      <c r="F18" s="110">
        <f>ROUND([7]Pivot!$Q$30,2)</f>
        <v>593747.43000000005</v>
      </c>
      <c r="G18" s="111">
        <f>ROUND([8]Pivot!$Q$30,2)</f>
        <v>98816.67</v>
      </c>
      <c r="H18" s="16">
        <f>ROUND([9]Pivot!$Q$30,2)</f>
        <v>105534.34</v>
      </c>
      <c r="I18" s="56">
        <f>ROUND([10]Pivot!$Q$30,2)</f>
        <v>229746.6</v>
      </c>
      <c r="J18" s="169">
        <f>ROUND([11]Pivot!$Q$30,2)</f>
        <v>90017.8</v>
      </c>
      <c r="K18" s="179">
        <f>ROUND('[2]Monthly Program Costs'!AD293,2)</f>
        <v>261507.02</v>
      </c>
      <c r="L18" s="141">
        <f>ROUND('[2]Monthly Program Costs'!AE293,2)</f>
        <v>343962.85</v>
      </c>
      <c r="M18" s="77"/>
      <c r="P18" s="267">
        <f t="shared" si="2"/>
        <v>0.44833889299482987</v>
      </c>
      <c r="R18" s="47">
        <v>213540.87</v>
      </c>
      <c r="S18" s="47">
        <v>275298.77</v>
      </c>
    </row>
    <row r="19" spans="1:19" x14ac:dyDescent="0.35">
      <c r="A19" s="47" t="s">
        <v>111</v>
      </c>
      <c r="C19" s="98">
        <v>-177540.03</v>
      </c>
      <c r="D19" s="269"/>
      <c r="E19" s="110">
        <f>ROUND([6]Pivot!$R$30,2)</f>
        <v>31930.81</v>
      </c>
      <c r="F19" s="110">
        <f>ROUND([7]Pivot!$R$30,2)</f>
        <v>31688.45</v>
      </c>
      <c r="G19" s="111">
        <f>ROUND([8]Pivot!$R$30,2)</f>
        <v>26052.560000000001</v>
      </c>
      <c r="H19" s="16">
        <f>ROUND([9]Pivot!$R$30,2)</f>
        <v>24332.92</v>
      </c>
      <c r="I19" s="56">
        <f>ROUND([10]Pivot!$R$30,2)</f>
        <v>89358.55</v>
      </c>
      <c r="J19" s="169">
        <f>ROUND([11]Pivot!$R$30,2)</f>
        <v>59392.81</v>
      </c>
      <c r="K19" s="179">
        <f>ROUND('[2]Monthly Program Costs'!AD294,2)</f>
        <v>92721.22</v>
      </c>
      <c r="L19" s="141">
        <f>ROUND('[2]Monthly Program Costs'!AE294,2)</f>
        <v>121991.55</v>
      </c>
      <c r="M19" s="77"/>
      <c r="P19" s="267">
        <f t="shared" si="2"/>
        <v>8.5249887737994356E-2</v>
      </c>
      <c r="R19" s="47">
        <v>75725.94</v>
      </c>
      <c r="S19" s="47">
        <v>97678.19</v>
      </c>
    </row>
    <row r="20" spans="1:19" x14ac:dyDescent="0.35">
      <c r="C20" s="100"/>
      <c r="D20" s="152"/>
      <c r="E20" s="32"/>
      <c r="F20" s="32"/>
      <c r="G20" s="32"/>
      <c r="H20" s="29"/>
      <c r="I20" s="32"/>
      <c r="J20" s="32"/>
      <c r="K20" s="29"/>
      <c r="L20" s="17"/>
      <c r="M20" s="11"/>
    </row>
    <row r="21" spans="1:19" x14ac:dyDescent="0.35">
      <c r="A21" s="40" t="s">
        <v>47</v>
      </c>
      <c r="B21" s="40"/>
      <c r="C21" s="102"/>
      <c r="D21" s="271"/>
      <c r="E21" s="32"/>
      <c r="F21" s="32"/>
      <c r="G21" s="32"/>
      <c r="H21" s="29"/>
      <c r="I21" s="32"/>
      <c r="J21" s="11"/>
      <c r="K21" s="17"/>
      <c r="L21" s="17"/>
      <c r="M21" s="11"/>
    </row>
    <row r="22" spans="1:19" x14ac:dyDescent="0.35">
      <c r="A22" s="47" t="s">
        <v>24</v>
      </c>
      <c r="C22" s="103">
        <v>-628397562</v>
      </c>
      <c r="D22" s="272"/>
      <c r="E22" s="112">
        <f>+'PCR Cycle 2'!E27</f>
        <v>147282038.08810005</v>
      </c>
      <c r="F22" s="112">
        <f>+'PCR Cycle 2'!F27</f>
        <v>196171734.23339999</v>
      </c>
      <c r="G22" s="112">
        <f>+'PCR Cycle 2'!G27</f>
        <v>279414551.53509992</v>
      </c>
      <c r="H22" s="189">
        <f>+'PCR Cycle 2'!H27</f>
        <v>295182650.73329997</v>
      </c>
      <c r="I22" s="192">
        <f>+'PCR Cycle 2'!I27</f>
        <v>294496035.16650015</v>
      </c>
      <c r="J22" s="184">
        <f>+'PCR Cycle 2'!J27</f>
        <v>204427223.35170001</v>
      </c>
      <c r="K22" s="180">
        <f>+'PCR Cycle 2'!K27</f>
        <v>160481876</v>
      </c>
      <c r="L22" s="142">
        <f>+'PCR Cycle 2'!L27</f>
        <v>230930879</v>
      </c>
      <c r="M22" s="78">
        <f>+'PCR Cycle 2'!M27</f>
        <v>263568153</v>
      </c>
    </row>
    <row r="23" spans="1:19" x14ac:dyDescent="0.35">
      <c r="A23" s="47" t="s">
        <v>108</v>
      </c>
      <c r="C23" s="103">
        <v>-134463720</v>
      </c>
      <c r="D23" s="272"/>
      <c r="E23" s="112">
        <f>+'PCR Cycle 2'!E28</f>
        <v>36848623.247099996</v>
      </c>
      <c r="F23" s="112">
        <f>+'PCR Cycle 2'!F28</f>
        <v>43877797.03329999</v>
      </c>
      <c r="G23" s="112">
        <f>+'PCR Cycle 2'!G28</f>
        <v>53696775.105300002</v>
      </c>
      <c r="H23" s="189">
        <f>+'PCR Cycle 2'!H28</f>
        <v>56153495.013299994</v>
      </c>
      <c r="I23" s="192">
        <f>+'PCR Cycle 2'!I28</f>
        <v>52890855.771599993</v>
      </c>
      <c r="J23" s="184">
        <f>+'PCR Cycle 2'!J28</f>
        <v>46427685.345600002</v>
      </c>
      <c r="K23" s="180">
        <f>+'PCR Cycle 2'!K28</f>
        <v>40322500</v>
      </c>
      <c r="L23" s="142">
        <f>+'PCR Cycle 2'!L28</f>
        <v>43632439</v>
      </c>
      <c r="M23" s="78">
        <f>+'PCR Cycle 2'!M28</f>
        <v>44597404</v>
      </c>
    </row>
    <row r="24" spans="1:19" x14ac:dyDescent="0.35">
      <c r="A24" s="47" t="s">
        <v>109</v>
      </c>
      <c r="C24" s="103">
        <v>-293106488</v>
      </c>
      <c r="D24" s="272"/>
      <c r="E24" s="112">
        <f>+'PCR Cycle 2'!E29</f>
        <v>75602264.983800039</v>
      </c>
      <c r="F24" s="112">
        <f>+'PCR Cycle 2'!F29</f>
        <v>86408118.883999988</v>
      </c>
      <c r="G24" s="112">
        <f>+'PCR Cycle 2'!G29</f>
        <v>103277584.3792</v>
      </c>
      <c r="H24" s="189">
        <f>+'PCR Cycle 2'!H29</f>
        <v>105609261.8351</v>
      </c>
      <c r="I24" s="192">
        <f>+'PCR Cycle 2'!I29</f>
        <v>108724188.08940001</v>
      </c>
      <c r="J24" s="184">
        <f>+'PCR Cycle 2'!J29</f>
        <v>97146018.783299997</v>
      </c>
      <c r="K24" s="180">
        <f>+'PCR Cycle 2'!K29</f>
        <v>87895725</v>
      </c>
      <c r="L24" s="142">
        <f>+'PCR Cycle 2'!L29</f>
        <v>95110791</v>
      </c>
      <c r="M24" s="78">
        <f>+'PCR Cycle 2'!M29</f>
        <v>97214239</v>
      </c>
    </row>
    <row r="25" spans="1:19" x14ac:dyDescent="0.35">
      <c r="A25" s="47" t="s">
        <v>110</v>
      </c>
      <c r="C25" s="103">
        <v>-464491731</v>
      </c>
      <c r="D25" s="272"/>
      <c r="E25" s="112">
        <f>+'PCR Cycle 2'!E30</f>
        <v>128983645.07529999</v>
      </c>
      <c r="F25" s="112">
        <f>+'PCR Cycle 2'!F30</f>
        <v>137167450.23320001</v>
      </c>
      <c r="G25" s="112">
        <f>+'PCR Cycle 2'!G30</f>
        <v>159461837.919</v>
      </c>
      <c r="H25" s="189">
        <f>+'PCR Cycle 2'!H30</f>
        <v>156439272.3057</v>
      </c>
      <c r="I25" s="192">
        <f>+'PCR Cycle 2'!I30</f>
        <v>164496787.10320002</v>
      </c>
      <c r="J25" s="184">
        <f>+'PCR Cycle 2'!J30</f>
        <v>150065248.4544</v>
      </c>
      <c r="K25" s="180">
        <f>+'PCR Cycle 2'!K30</f>
        <v>139290119</v>
      </c>
      <c r="L25" s="142">
        <f>+'PCR Cycle 2'!L30</f>
        <v>150723979</v>
      </c>
      <c r="M25" s="78">
        <f>+'PCR Cycle 2'!M30</f>
        <v>154057355</v>
      </c>
    </row>
    <row r="26" spans="1:19" x14ac:dyDescent="0.35">
      <c r="A26" s="47" t="s">
        <v>111</v>
      </c>
      <c r="C26" s="103">
        <v>-133493786</v>
      </c>
      <c r="D26" s="272"/>
      <c r="E26" s="112">
        <f>+'PCR Cycle 2'!E31</f>
        <v>27598772.784599997</v>
      </c>
      <c r="F26" s="112">
        <f>+'PCR Cycle 2'!F31</f>
        <v>40640141.118799999</v>
      </c>
      <c r="G26" s="112">
        <f>+'PCR Cycle 2'!G31</f>
        <v>44278338.182700001</v>
      </c>
      <c r="H26" s="189">
        <f>+'PCR Cycle 2'!H31</f>
        <v>47412812.01919999</v>
      </c>
      <c r="I26" s="192">
        <f>+'PCR Cycle 2'!I31</f>
        <v>53661747.1633</v>
      </c>
      <c r="J26" s="184">
        <f>+'PCR Cycle 2'!J31</f>
        <v>41176589.553999998</v>
      </c>
      <c r="K26" s="180">
        <f>+'PCR Cycle 2'!K31</f>
        <v>40031639</v>
      </c>
      <c r="L26" s="142">
        <f>+'PCR Cycle 2'!L31</f>
        <v>43317702</v>
      </c>
      <c r="M26" s="78">
        <f>+'PCR Cycle 2'!M31</f>
        <v>44275707</v>
      </c>
    </row>
    <row r="27" spans="1:19" x14ac:dyDescent="0.35">
      <c r="C27" s="100"/>
      <c r="D27" s="152"/>
      <c r="E27" s="32"/>
      <c r="F27" s="32"/>
      <c r="G27" s="32"/>
      <c r="H27" s="29"/>
      <c r="I27" s="32"/>
      <c r="J27" s="11"/>
      <c r="K27" s="17"/>
      <c r="L27" s="17"/>
      <c r="M27" s="11"/>
    </row>
    <row r="28" spans="1:19" x14ac:dyDescent="0.35">
      <c r="A28" s="47" t="s">
        <v>34</v>
      </c>
      <c r="C28" s="100"/>
      <c r="D28" s="152"/>
      <c r="E28" s="18"/>
      <c r="F28" s="18"/>
      <c r="G28" s="18"/>
      <c r="H28" s="92"/>
      <c r="I28" s="18"/>
      <c r="J28" s="11"/>
      <c r="K28" s="58"/>
      <c r="L28" s="58"/>
      <c r="M28" s="59"/>
      <c r="N28" s="64" t="s">
        <v>50</v>
      </c>
      <c r="O28" s="40"/>
    </row>
    <row r="29" spans="1:19" x14ac:dyDescent="0.35">
      <c r="A29" s="47" t="s">
        <v>24</v>
      </c>
      <c r="C29" s="98">
        <v>-1765797.15</v>
      </c>
      <c r="D29" s="269"/>
      <c r="E29" s="110">
        <f>ROUND('[4]May 2021'!$F79+'[4]May 2021'!$F87,2)</f>
        <v>413865.25</v>
      </c>
      <c r="F29" s="110">
        <f>ROUND('[4]Jun 2021'!$F79+'[4]Jun 2021'!$F87,2)</f>
        <v>551244.6</v>
      </c>
      <c r="G29" s="110">
        <f>ROUND('[4]Jul 2021'!$F79+'[4]Jul 2021'!$F87,2)</f>
        <v>785156.09</v>
      </c>
      <c r="H29" s="190">
        <f>ROUND('[4]Aug 2021'!$F79+'[4]Aug 2021'!$F87,2)</f>
        <v>882776.74</v>
      </c>
      <c r="I29" s="56">
        <f>ROUND('[4]Sep 2021'!$F79+'[4]Sep 2021'!$F87,2)</f>
        <v>968172.18</v>
      </c>
      <c r="J29" s="182">
        <f>ROUND('[4]Oct 2021'!$F79+'[4]Oct 2021'!$F87,2)</f>
        <v>672499.85</v>
      </c>
      <c r="K29" s="124">
        <f>ROUND(K22*$N29,2)</f>
        <v>527985.37</v>
      </c>
      <c r="L29" s="42">
        <f t="shared" ref="L29:M29" si="3">ROUND(L22*$N29,2)</f>
        <v>759762.59</v>
      </c>
      <c r="M29" s="62">
        <f t="shared" si="3"/>
        <v>867139.22</v>
      </c>
      <c r="N29" s="73">
        <v>3.29E-3</v>
      </c>
    </row>
    <row r="30" spans="1:19" x14ac:dyDescent="0.35">
      <c r="A30" s="47" t="s">
        <v>108</v>
      </c>
      <c r="C30" s="98">
        <v>-282373.80999999994</v>
      </c>
      <c r="D30" s="269"/>
      <c r="E30" s="110">
        <f>ROUND('[4]May 2021'!$F80+'[4]May 2021'!$F88,2)</f>
        <v>77367.710000000006</v>
      </c>
      <c r="F30" s="110">
        <f>ROUND('[4]Jun 2021'!$F80+'[4]Jun 2021'!$F88,2)</f>
        <v>92145</v>
      </c>
      <c r="G30" s="110">
        <f>ROUND('[4]Jul 2021'!$F80+'[4]Jul 2021'!$F88,2)</f>
        <v>112761.16</v>
      </c>
      <c r="H30" s="190">
        <f>ROUND('[4]Aug 2021'!$F80+'[4]Aug 2021'!$F88,2)</f>
        <v>99409.12</v>
      </c>
      <c r="I30" s="56">
        <f>ROUND('[4]Sep 2021'!$F80+'[4]Sep 2021'!$F88,2)</f>
        <v>60804.27</v>
      </c>
      <c r="J30" s="182">
        <f>ROUND('[4]Oct 2021'!$F80+'[4]Oct 2021'!$F88,2)</f>
        <v>54483.5</v>
      </c>
      <c r="K30" s="124">
        <f t="shared" ref="K30:M30" si="4">ROUND(K23*$N30,2)</f>
        <v>48387</v>
      </c>
      <c r="L30" s="42">
        <f t="shared" si="4"/>
        <v>52358.93</v>
      </c>
      <c r="M30" s="62">
        <f t="shared" si="4"/>
        <v>53516.88</v>
      </c>
      <c r="N30" s="73">
        <v>1.2000000000000001E-3</v>
      </c>
    </row>
    <row r="31" spans="1:19" x14ac:dyDescent="0.35">
      <c r="A31" s="47" t="s">
        <v>109</v>
      </c>
      <c r="C31" s="98">
        <v>-756214.74</v>
      </c>
      <c r="D31" s="269"/>
      <c r="E31" s="110">
        <f>ROUND('[4]May 2021'!$F81+'[4]May 2021'!$F89,2)</f>
        <v>194868.81</v>
      </c>
      <c r="F31" s="110">
        <f>ROUND('[4]Jun 2021'!$F81+'[4]Jun 2021'!$F89,2)</f>
        <v>222932.94</v>
      </c>
      <c r="G31" s="110">
        <f>ROUND('[4]Jul 2021'!$F81+'[4]Jul 2021'!$F89,2)</f>
        <v>266456.17</v>
      </c>
      <c r="H31" s="190">
        <f>ROUND('[4]Aug 2021'!$F81+'[4]Aug 2021'!$F89,2)</f>
        <v>277891.42</v>
      </c>
      <c r="I31" s="56">
        <f>ROUND('[4]Sep 2021'!$F81+'[4]Sep 2021'!$F89,2)</f>
        <v>296780.74</v>
      </c>
      <c r="J31" s="182">
        <f>ROUND('[4]Oct 2021'!$F81+'[4]Oct 2021'!$F89,2)</f>
        <v>264922.18</v>
      </c>
      <c r="K31" s="124">
        <f t="shared" ref="K31:M31" si="5">ROUND(K24*$N31,2)</f>
        <v>239955.33</v>
      </c>
      <c r="L31" s="42">
        <f t="shared" si="5"/>
        <v>259652.46</v>
      </c>
      <c r="M31" s="62">
        <f t="shared" si="5"/>
        <v>265394.87</v>
      </c>
      <c r="N31" s="73">
        <v>2.7299999999999998E-3</v>
      </c>
    </row>
    <row r="32" spans="1:19" x14ac:dyDescent="0.35">
      <c r="A32" s="47" t="s">
        <v>110</v>
      </c>
      <c r="C32" s="98">
        <v>-989367.37999999989</v>
      </c>
      <c r="D32" s="269"/>
      <c r="E32" s="110">
        <f>ROUND('[4]May 2021'!$F82+'[4]May 2021'!$F90,2)</f>
        <v>274832.89</v>
      </c>
      <c r="F32" s="110">
        <f>ROUND('[4]Jun 2021'!$F82+'[4]Jun 2021'!$F90,2)</f>
        <v>292166.68</v>
      </c>
      <c r="G32" s="110">
        <f>ROUND('[4]Jul 2021'!$F82+'[4]Jul 2021'!$F90,2)</f>
        <v>339653.71</v>
      </c>
      <c r="H32" s="190">
        <f>ROUND('[4]Aug 2021'!$F82+'[4]Aug 2021'!$F90,2)</f>
        <v>344239.37</v>
      </c>
      <c r="I32" s="56">
        <f>ROUND('[4]Sep 2021'!$F82+'[4]Sep 2021'!$F90,2)</f>
        <v>381013.65</v>
      </c>
      <c r="J32" s="182">
        <f>ROUND('[4]Oct 2021'!$F82+'[4]Oct 2021'!$F90,2)</f>
        <v>348203.33</v>
      </c>
      <c r="K32" s="124">
        <f t="shared" ref="K32:M32" si="6">ROUND(K25*$N32,2)</f>
        <v>323153.08</v>
      </c>
      <c r="L32" s="42">
        <f t="shared" si="6"/>
        <v>349679.63</v>
      </c>
      <c r="M32" s="62">
        <f t="shared" si="6"/>
        <v>357413.06</v>
      </c>
      <c r="N32" s="73">
        <v>2.32E-3</v>
      </c>
    </row>
    <row r="33" spans="1:14" x14ac:dyDescent="0.35">
      <c r="A33" s="47" t="s">
        <v>111</v>
      </c>
      <c r="C33" s="98">
        <v>-246963.50999999998</v>
      </c>
      <c r="D33" s="269"/>
      <c r="E33" s="110">
        <f>ROUND('[4]May 2021'!$F83+'[4]May 2021'!$F91,2)</f>
        <v>51057.72</v>
      </c>
      <c r="F33" s="110">
        <f>ROUND('[4]Jun 2021'!$F83+'[4]Jun 2021'!$F91,2)</f>
        <v>75184.259999999995</v>
      </c>
      <c r="G33" s="110">
        <f>ROUND('[4]Jul 2021'!$F83+'[4]Jul 2021'!$F91,2)</f>
        <v>81914.92</v>
      </c>
      <c r="H33" s="190">
        <f>ROUND('[4]Aug 2021'!$F83+'[4]Aug 2021'!$F91,2)</f>
        <v>86921.27</v>
      </c>
      <c r="I33" s="56">
        <f>ROUND('[4]Sep 2021'!$F83+'[4]Sep 2021'!$F91,2)</f>
        <v>95538.65</v>
      </c>
      <c r="J33" s="182">
        <f>ROUND('[4]Oct 2021'!$F83+'[4]Oct 2021'!$F91,2)</f>
        <v>73294.33</v>
      </c>
      <c r="K33" s="124">
        <f>ROUND(K26*$N33,2)</f>
        <v>71256.320000000007</v>
      </c>
      <c r="L33" s="42">
        <f>ROUND(L26*$N33,2)</f>
        <v>77105.509999999995</v>
      </c>
      <c r="M33" s="62">
        <f>ROUND(M26*$N33,2)</f>
        <v>78810.759999999995</v>
      </c>
      <c r="N33" s="73">
        <v>1.7800000000000001E-3</v>
      </c>
    </row>
    <row r="34" spans="1:14" x14ac:dyDescent="0.35">
      <c r="C34" s="68"/>
      <c r="D34" s="69"/>
      <c r="E34" s="18"/>
      <c r="F34" s="18"/>
      <c r="G34" s="18"/>
      <c r="H34" s="92"/>
      <c r="I34" s="18"/>
      <c r="J34" s="11"/>
      <c r="K34" s="57"/>
      <c r="L34" s="57"/>
      <c r="M34" s="13"/>
      <c r="N34" s="4"/>
    </row>
    <row r="35" spans="1:14" ht="15" thickBot="1" x14ac:dyDescent="0.4">
      <c r="A35" s="47" t="s">
        <v>14</v>
      </c>
      <c r="C35" s="104">
        <v>-2201.62</v>
      </c>
      <c r="D35" s="273"/>
      <c r="E35" s="113">
        <v>1426.6999999999998</v>
      </c>
      <c r="F35" s="113">
        <v>1830.5000000000002</v>
      </c>
      <c r="G35" s="114">
        <v>1860.1799999999998</v>
      </c>
      <c r="H35" s="27">
        <v>1344.3700000000001</v>
      </c>
      <c r="I35" s="123">
        <v>616.04999999999995</v>
      </c>
      <c r="J35" s="183">
        <v>106.92000000000007</v>
      </c>
      <c r="K35" s="181">
        <v>61.219999999999914</v>
      </c>
      <c r="L35" s="143">
        <v>110.72000000000003</v>
      </c>
      <c r="M35" s="82"/>
    </row>
    <row r="36" spans="1:14" x14ac:dyDescent="0.35">
      <c r="C36" s="100"/>
      <c r="D36" s="152"/>
      <c r="E36" s="32"/>
      <c r="F36" s="32"/>
      <c r="G36" s="32"/>
      <c r="H36" s="29"/>
      <c r="I36" s="32"/>
      <c r="J36" s="11"/>
      <c r="K36" s="17"/>
      <c r="L36" s="17"/>
      <c r="M36" s="11"/>
    </row>
    <row r="37" spans="1:14" x14ac:dyDescent="0.35">
      <c r="A37" s="47" t="s">
        <v>52</v>
      </c>
      <c r="C37" s="100"/>
      <c r="D37" s="152"/>
      <c r="E37" s="32"/>
      <c r="F37" s="32"/>
      <c r="G37" s="32"/>
      <c r="H37" s="29"/>
      <c r="I37" s="32"/>
      <c r="J37" s="11"/>
      <c r="K37" s="17"/>
      <c r="L37" s="17"/>
      <c r="M37" s="11"/>
    </row>
    <row r="38" spans="1:14" x14ac:dyDescent="0.35">
      <c r="A38" s="47" t="s">
        <v>24</v>
      </c>
      <c r="C38" s="41">
        <f t="shared" ref="C38:M38" si="7">C15-C29</f>
        <v>543219.22</v>
      </c>
      <c r="D38" s="124">
        <f t="shared" ref="D38" si="8">D15-D29</f>
        <v>0</v>
      </c>
      <c r="E38" s="42">
        <f t="shared" si="7"/>
        <v>697667.6100000001</v>
      </c>
      <c r="F38" s="42">
        <f t="shared" si="7"/>
        <v>199743.49</v>
      </c>
      <c r="G38" s="109">
        <f t="shared" si="7"/>
        <v>33230.099999999977</v>
      </c>
      <c r="H38" s="41">
        <f t="shared" si="7"/>
        <v>-430047.81</v>
      </c>
      <c r="I38" s="42">
        <f t="shared" si="7"/>
        <v>-474414.75000000006</v>
      </c>
      <c r="J38" s="62">
        <f t="shared" si="7"/>
        <v>19480.800000000047</v>
      </c>
      <c r="K38" s="124">
        <f t="shared" si="7"/>
        <v>372728.03</v>
      </c>
      <c r="L38" s="42">
        <f t="shared" si="7"/>
        <v>-184869.40999999992</v>
      </c>
      <c r="M38" s="50">
        <f t="shared" si="7"/>
        <v>-867139.22</v>
      </c>
    </row>
    <row r="39" spans="1:14" x14ac:dyDescent="0.35">
      <c r="A39" s="47" t="s">
        <v>108</v>
      </c>
      <c r="C39" s="41">
        <f t="shared" ref="C39:M39" si="9">C16-C30</f>
        <v>161225.81999999995</v>
      </c>
      <c r="D39" s="124">
        <f t="shared" ref="D39" si="10">D16-D30</f>
        <v>0</v>
      </c>
      <c r="E39" s="42">
        <f t="shared" si="9"/>
        <v>-22468.050000000003</v>
      </c>
      <c r="F39" s="42">
        <f t="shared" si="9"/>
        <v>-44909.120000000003</v>
      </c>
      <c r="G39" s="109">
        <f t="shared" si="9"/>
        <v>-56869.75</v>
      </c>
      <c r="H39" s="41">
        <f t="shared" si="9"/>
        <v>-31511.39</v>
      </c>
      <c r="I39" s="42">
        <f t="shared" si="9"/>
        <v>-22513.21</v>
      </c>
      <c r="J39" s="62">
        <f t="shared" si="9"/>
        <v>-38393.870000000003</v>
      </c>
      <c r="K39" s="124">
        <f t="shared" si="9"/>
        <v>21061.179999999993</v>
      </c>
      <c r="L39" s="42">
        <f t="shared" si="9"/>
        <v>28043.519999999997</v>
      </c>
      <c r="M39" s="50">
        <f t="shared" si="9"/>
        <v>-53516.88</v>
      </c>
    </row>
    <row r="40" spans="1:14" x14ac:dyDescent="0.35">
      <c r="A40" s="47" t="s">
        <v>109</v>
      </c>
      <c r="C40" s="41">
        <f t="shared" ref="C40:M40" si="11">C17-C31</f>
        <v>447035.47</v>
      </c>
      <c r="D40" s="124">
        <f t="shared" ref="D40" si="12">D17-D31</f>
        <v>0</v>
      </c>
      <c r="E40" s="42">
        <f t="shared" si="11"/>
        <v>-43024.53</v>
      </c>
      <c r="F40" s="42">
        <f t="shared" si="11"/>
        <v>-97143.25</v>
      </c>
      <c r="G40" s="109">
        <f t="shared" si="11"/>
        <v>40336.780000000028</v>
      </c>
      <c r="H40" s="41">
        <f t="shared" si="11"/>
        <v>-83283.669999999984</v>
      </c>
      <c r="I40" s="42">
        <f t="shared" si="11"/>
        <v>-98563.979999999981</v>
      </c>
      <c r="J40" s="62">
        <f t="shared" si="11"/>
        <v>-84912.359999999986</v>
      </c>
      <c r="K40" s="124">
        <f t="shared" si="11"/>
        <v>-79022.379999999976</v>
      </c>
      <c r="L40" s="42">
        <f t="shared" si="11"/>
        <v>-47518.709999999992</v>
      </c>
      <c r="M40" s="50">
        <f t="shared" si="11"/>
        <v>-265394.87</v>
      </c>
    </row>
    <row r="41" spans="1:14" x14ac:dyDescent="0.35">
      <c r="A41" s="47" t="s">
        <v>110</v>
      </c>
      <c r="C41" s="41">
        <f t="shared" ref="C41:M41" si="13">C18-C32</f>
        <v>488892.33999999985</v>
      </c>
      <c r="D41" s="124">
        <f t="shared" ref="D41" si="14">D18-D32</f>
        <v>0</v>
      </c>
      <c r="E41" s="42">
        <f t="shared" si="13"/>
        <v>-10831.400000000023</v>
      </c>
      <c r="F41" s="42">
        <f t="shared" si="13"/>
        <v>301580.75000000006</v>
      </c>
      <c r="G41" s="109">
        <f t="shared" si="13"/>
        <v>-240837.04000000004</v>
      </c>
      <c r="H41" s="41">
        <f t="shared" si="13"/>
        <v>-238705.03</v>
      </c>
      <c r="I41" s="42">
        <f t="shared" si="13"/>
        <v>-151267.05000000002</v>
      </c>
      <c r="J41" s="62">
        <f t="shared" si="13"/>
        <v>-258185.53000000003</v>
      </c>
      <c r="K41" s="124">
        <f t="shared" si="13"/>
        <v>-61646.060000000027</v>
      </c>
      <c r="L41" s="42">
        <f t="shared" si="13"/>
        <v>-5716.7800000000279</v>
      </c>
      <c r="M41" s="50">
        <f t="shared" si="13"/>
        <v>-357413.06</v>
      </c>
    </row>
    <row r="42" spans="1:14" x14ac:dyDescent="0.35">
      <c r="A42" s="47" t="s">
        <v>111</v>
      </c>
      <c r="C42" s="41">
        <f t="shared" ref="C42:M42" si="15">C19-C33</f>
        <v>69423.479999999981</v>
      </c>
      <c r="D42" s="124">
        <f t="shared" ref="D42" si="16">D19-D33</f>
        <v>0</v>
      </c>
      <c r="E42" s="42">
        <f t="shared" si="15"/>
        <v>-19126.91</v>
      </c>
      <c r="F42" s="42">
        <f t="shared" si="15"/>
        <v>-43495.81</v>
      </c>
      <c r="G42" s="109">
        <f t="shared" si="15"/>
        <v>-55862.36</v>
      </c>
      <c r="H42" s="41">
        <f t="shared" si="15"/>
        <v>-62588.350000000006</v>
      </c>
      <c r="I42" s="42">
        <f t="shared" si="15"/>
        <v>-6180.0999999999913</v>
      </c>
      <c r="J42" s="62">
        <f t="shared" si="15"/>
        <v>-13901.520000000004</v>
      </c>
      <c r="K42" s="124">
        <f t="shared" si="15"/>
        <v>21464.899999999994</v>
      </c>
      <c r="L42" s="42">
        <f t="shared" si="15"/>
        <v>44886.040000000008</v>
      </c>
      <c r="M42" s="50">
        <f t="shared" si="15"/>
        <v>-78810.759999999995</v>
      </c>
    </row>
    <row r="43" spans="1:14" x14ac:dyDescent="0.35">
      <c r="C43" s="100"/>
      <c r="D43" s="152"/>
      <c r="E43" s="32"/>
      <c r="F43" s="32"/>
      <c r="G43" s="32"/>
      <c r="H43" s="29"/>
      <c r="I43" s="32"/>
      <c r="J43" s="11"/>
      <c r="K43" s="17"/>
      <c r="L43" s="17"/>
      <c r="M43" s="11"/>
    </row>
    <row r="44" spans="1:14" ht="15" thickBot="1" x14ac:dyDescent="0.4">
      <c r="A44" s="47" t="s">
        <v>53</v>
      </c>
      <c r="C44" s="105"/>
      <c r="D44" s="274"/>
      <c r="E44" s="32"/>
      <c r="F44" s="32"/>
      <c r="G44" s="32"/>
      <c r="H44" s="29"/>
      <c r="I44" s="32"/>
      <c r="J44" s="11"/>
      <c r="K44" s="17"/>
      <c r="L44" s="17"/>
      <c r="M44" s="11"/>
    </row>
    <row r="45" spans="1:14" x14ac:dyDescent="0.35">
      <c r="A45" s="47" t="s">
        <v>24</v>
      </c>
      <c r="B45" s="117">
        <v>-581798.28000000026</v>
      </c>
      <c r="C45" s="42">
        <f t="shared" ref="C45:M45" si="17">B45+C38+B53</f>
        <v>-38579.060000000289</v>
      </c>
      <c r="D45" s="42">
        <f t="shared" ref="D45:D49" si="18">C45+D38+C53</f>
        <v>-38720.630000000288</v>
      </c>
      <c r="E45" s="42">
        <f t="shared" ref="E45:E49" si="19">D45+E38+D53</f>
        <v>658946.97999999986</v>
      </c>
      <c r="F45" s="42">
        <f t="shared" si="17"/>
        <v>858973.83999999985</v>
      </c>
      <c r="G45" s="109">
        <f t="shared" si="17"/>
        <v>892891.21999999986</v>
      </c>
      <c r="H45" s="41">
        <f t="shared" si="17"/>
        <v>463641.85999999987</v>
      </c>
      <c r="I45" s="42">
        <f t="shared" si="17"/>
        <v>-10156.540000000188</v>
      </c>
      <c r="J45" s="62">
        <f t="shared" si="17"/>
        <v>9529.3199999998578</v>
      </c>
      <c r="K45" s="124">
        <f t="shared" si="17"/>
        <v>382257.15999999986</v>
      </c>
      <c r="L45" s="42">
        <f t="shared" si="17"/>
        <v>197564.80999999994</v>
      </c>
      <c r="M45" s="50">
        <f t="shared" si="17"/>
        <v>-669312.29</v>
      </c>
    </row>
    <row r="46" spans="1:14" x14ac:dyDescent="0.35">
      <c r="A46" s="47" t="s">
        <v>108</v>
      </c>
      <c r="B46" s="254">
        <v>-317365.58</v>
      </c>
      <c r="C46" s="42">
        <f t="shared" ref="C46:M46" si="20">B46+C39+B54</f>
        <v>-156139.76000000007</v>
      </c>
      <c r="D46" s="42">
        <f t="shared" si="18"/>
        <v>-155794.33000000007</v>
      </c>
      <c r="E46" s="42">
        <f t="shared" si="19"/>
        <v>-178262.38000000006</v>
      </c>
      <c r="F46" s="42">
        <f t="shared" si="20"/>
        <v>-223324.12000000005</v>
      </c>
      <c r="G46" s="109">
        <f t="shared" si="20"/>
        <v>-280375.74000000005</v>
      </c>
      <c r="H46" s="41">
        <f t="shared" si="20"/>
        <v>-312116.69000000006</v>
      </c>
      <c r="I46" s="42">
        <f t="shared" si="20"/>
        <v>-334899.0500000001</v>
      </c>
      <c r="J46" s="62">
        <f t="shared" si="20"/>
        <v>-373585.22000000009</v>
      </c>
      <c r="K46" s="124">
        <f t="shared" si="20"/>
        <v>-352844.3600000001</v>
      </c>
      <c r="L46" s="42">
        <f t="shared" si="20"/>
        <v>-325129.2900000001</v>
      </c>
      <c r="M46" s="50">
        <f t="shared" si="20"/>
        <v>-378952.72000000009</v>
      </c>
    </row>
    <row r="47" spans="1:14" x14ac:dyDescent="0.35">
      <c r="A47" s="47" t="s">
        <v>109</v>
      </c>
      <c r="B47" s="254">
        <v>677036.94</v>
      </c>
      <c r="C47" s="42">
        <f t="shared" ref="C47:M47" si="21">B47+C40+B55</f>
        <v>1124072.4099999999</v>
      </c>
      <c r="D47" s="42">
        <f t="shared" si="18"/>
        <v>1122159.52</v>
      </c>
      <c r="E47" s="42">
        <f t="shared" si="19"/>
        <v>1079134.99</v>
      </c>
      <c r="F47" s="42">
        <f t="shared" si="21"/>
        <v>982997.46</v>
      </c>
      <c r="G47" s="109">
        <f t="shared" si="21"/>
        <v>1024268.21</v>
      </c>
      <c r="H47" s="41">
        <f t="shared" si="21"/>
        <v>941899.46000000008</v>
      </c>
      <c r="I47" s="42">
        <f t="shared" si="21"/>
        <v>844228.71000000008</v>
      </c>
      <c r="J47" s="62">
        <f t="shared" si="21"/>
        <v>760123.33000000007</v>
      </c>
      <c r="K47" s="124">
        <f t="shared" si="21"/>
        <v>681826.39</v>
      </c>
      <c r="L47" s="42">
        <f t="shared" si="21"/>
        <v>634959.68000000005</v>
      </c>
      <c r="M47" s="50">
        <f t="shared" si="21"/>
        <v>370160.21000000008</v>
      </c>
    </row>
    <row r="48" spans="1:14" x14ac:dyDescent="0.35">
      <c r="A48" s="47" t="s">
        <v>110</v>
      </c>
      <c r="B48" s="254">
        <v>257218.99000000031</v>
      </c>
      <c r="C48" s="42">
        <f t="shared" ref="C48:M48" si="22">B48+C41+B56</f>
        <v>746111.33000000019</v>
      </c>
      <c r="D48" s="42">
        <f t="shared" si="18"/>
        <v>744866.15000000014</v>
      </c>
      <c r="E48" s="42">
        <f t="shared" si="19"/>
        <v>734034.75000000012</v>
      </c>
      <c r="F48" s="42">
        <f t="shared" si="22"/>
        <v>1036291.1700000003</v>
      </c>
      <c r="G48" s="109">
        <f t="shared" si="22"/>
        <v>796255.85000000021</v>
      </c>
      <c r="H48" s="41">
        <f t="shared" si="22"/>
        <v>558386.08000000019</v>
      </c>
      <c r="I48" s="42">
        <f t="shared" si="22"/>
        <v>407734.54000000015</v>
      </c>
      <c r="J48" s="62">
        <f t="shared" si="22"/>
        <v>149985.57000000012</v>
      </c>
      <c r="K48" s="124">
        <f t="shared" si="22"/>
        <v>88591.760000000097</v>
      </c>
      <c r="L48" s="42">
        <f t="shared" si="22"/>
        <v>82982.920000000071</v>
      </c>
      <c r="M48" s="50">
        <f t="shared" si="22"/>
        <v>-274352.54999999987</v>
      </c>
    </row>
    <row r="49" spans="1:14" ht="15" thickBot="1" x14ac:dyDescent="0.4">
      <c r="A49" s="47" t="s">
        <v>111</v>
      </c>
      <c r="B49" s="118">
        <v>-482429.74999999988</v>
      </c>
      <c r="C49" s="42">
        <f>B49+C42+B57</f>
        <v>-413006.2699999999</v>
      </c>
      <c r="D49" s="42">
        <f t="shared" si="18"/>
        <v>-412253.67999999988</v>
      </c>
      <c r="E49" s="42">
        <f t="shared" si="19"/>
        <v>-431380.58999999985</v>
      </c>
      <c r="F49" s="42">
        <f t="shared" ref="F49:M49" si="23">E49+F42+E57</f>
        <v>-475261.83999999985</v>
      </c>
      <c r="G49" s="109">
        <f t="shared" si="23"/>
        <v>-531534.80999999982</v>
      </c>
      <c r="H49" s="41">
        <f t="shared" si="23"/>
        <v>-594582.0299999998</v>
      </c>
      <c r="I49" s="42">
        <f t="shared" si="23"/>
        <v>-601273.69999999972</v>
      </c>
      <c r="J49" s="62">
        <f t="shared" si="23"/>
        <v>-615715.47999999975</v>
      </c>
      <c r="K49" s="124">
        <f t="shared" si="23"/>
        <v>-594800.82999999973</v>
      </c>
      <c r="L49" s="42">
        <f t="shared" si="23"/>
        <v>-550462.11999999965</v>
      </c>
      <c r="M49" s="50">
        <f t="shared" si="23"/>
        <v>-629790.71999999962</v>
      </c>
    </row>
    <row r="50" spans="1:14" x14ac:dyDescent="0.35">
      <c r="C50" s="100"/>
      <c r="D50" s="152"/>
      <c r="E50" s="32"/>
      <c r="F50" s="32"/>
      <c r="G50" s="32"/>
      <c r="H50" s="29"/>
      <c r="I50" s="32"/>
      <c r="J50" s="11"/>
      <c r="K50" s="17"/>
      <c r="L50" s="17"/>
      <c r="M50" s="11"/>
    </row>
    <row r="51" spans="1:14" x14ac:dyDescent="0.35">
      <c r="A51" s="40" t="s">
        <v>49</v>
      </c>
      <c r="B51" s="40"/>
      <c r="C51" s="105"/>
      <c r="D51" s="274"/>
      <c r="E51" s="84">
        <f>+'PCR Cycle 2'!E50</f>
        <v>9.1374999999999996E-4</v>
      </c>
      <c r="F51" s="84">
        <f>+'PCR Cycle 2'!F50</f>
        <v>9.0538999999999995E-4</v>
      </c>
      <c r="G51" s="84">
        <f>+'PCR Cycle 2'!G50</f>
        <v>9.1118000000000004E-4</v>
      </c>
      <c r="H51" s="85">
        <f>+'PCR Cycle 2'!H50</f>
        <v>9.0817999999999997E-4</v>
      </c>
      <c r="I51" s="84">
        <f>+'PCR Cycle 2'!I50</f>
        <v>9.0315999999999997E-4</v>
      </c>
      <c r="J51" s="93">
        <f>+'PCR Cycle 2'!J50</f>
        <v>9.0388000000000003E-4</v>
      </c>
      <c r="K51" s="84">
        <f>+'PCR Cycle 2'!K50</f>
        <v>9.0388000000000003E-4</v>
      </c>
      <c r="L51" s="84">
        <f>+'PCR Cycle 2'!L50</f>
        <v>9.0388000000000003E-4</v>
      </c>
      <c r="M51" s="93"/>
    </row>
    <row r="52" spans="1:14" x14ac:dyDescent="0.35">
      <c r="A52" s="40" t="s">
        <v>37</v>
      </c>
      <c r="B52" s="40"/>
      <c r="C52" s="100"/>
      <c r="D52" s="152"/>
      <c r="E52" s="32"/>
      <c r="F52" s="32"/>
      <c r="G52" s="32"/>
      <c r="H52" s="29"/>
      <c r="I52" s="32"/>
      <c r="J52" s="11"/>
      <c r="K52" s="17"/>
      <c r="L52" s="17"/>
      <c r="M52" s="11"/>
      <c r="N52" s="72"/>
    </row>
    <row r="53" spans="1:14" x14ac:dyDescent="0.35">
      <c r="A53" s="47" t="s">
        <v>24</v>
      </c>
      <c r="C53" s="41">
        <v>-141.57</v>
      </c>
      <c r="D53" s="124"/>
      <c r="E53" s="42">
        <f>ROUND((C45+C53+D53+E38/2)*E$51,2)</f>
        <v>283.37</v>
      </c>
      <c r="F53" s="42">
        <f t="shared" ref="F53:L57" si="24">ROUND((E45+E53+F38/2)*F$51,2)</f>
        <v>687.28</v>
      </c>
      <c r="G53" s="109">
        <f t="shared" si="24"/>
        <v>798.45</v>
      </c>
      <c r="H53" s="41">
        <f t="shared" si="24"/>
        <v>616.35</v>
      </c>
      <c r="I53" s="124">
        <f t="shared" si="24"/>
        <v>205.06</v>
      </c>
      <c r="J53" s="62">
        <f t="shared" si="24"/>
        <v>-0.19</v>
      </c>
      <c r="K53" s="124">
        <f t="shared" si="24"/>
        <v>177.06</v>
      </c>
      <c r="L53" s="124">
        <f t="shared" si="24"/>
        <v>262.12</v>
      </c>
      <c r="M53" s="50"/>
    </row>
    <row r="54" spans="1:14" x14ac:dyDescent="0.35">
      <c r="A54" s="47" t="s">
        <v>108</v>
      </c>
      <c r="C54" s="255">
        <v>345.43</v>
      </c>
      <c r="D54" s="275"/>
      <c r="E54" s="42">
        <f t="shared" ref="E54:E57" si="25">ROUND((C46+C54+D54+E39/2)*E$51,2)</f>
        <v>-152.62</v>
      </c>
      <c r="F54" s="42">
        <f t="shared" si="24"/>
        <v>-181.87</v>
      </c>
      <c r="G54" s="109">
        <f t="shared" si="24"/>
        <v>-229.56</v>
      </c>
      <c r="H54" s="41">
        <f t="shared" si="24"/>
        <v>-269.14999999999998</v>
      </c>
      <c r="I54" s="124">
        <f t="shared" si="24"/>
        <v>-292.3</v>
      </c>
      <c r="J54" s="62">
        <f t="shared" si="24"/>
        <v>-320.32</v>
      </c>
      <c r="K54" s="124">
        <f t="shared" si="24"/>
        <v>-328.45</v>
      </c>
      <c r="L54" s="124">
        <f t="shared" si="24"/>
        <v>-306.55</v>
      </c>
      <c r="M54" s="50"/>
    </row>
    <row r="55" spans="1:14" x14ac:dyDescent="0.35">
      <c r="A55" s="47" t="s">
        <v>109</v>
      </c>
      <c r="C55" s="255">
        <v>-1912.8899999999999</v>
      </c>
      <c r="D55" s="275"/>
      <c r="E55" s="42">
        <f t="shared" si="25"/>
        <v>1005.72</v>
      </c>
      <c r="F55" s="42">
        <f t="shared" si="24"/>
        <v>933.97</v>
      </c>
      <c r="G55" s="109">
        <f t="shared" si="24"/>
        <v>914.92</v>
      </c>
      <c r="H55" s="41">
        <f t="shared" si="24"/>
        <v>893.23</v>
      </c>
      <c r="I55" s="124">
        <f t="shared" si="24"/>
        <v>806.98</v>
      </c>
      <c r="J55" s="62">
        <f t="shared" si="24"/>
        <v>725.44</v>
      </c>
      <c r="K55" s="124">
        <f t="shared" si="24"/>
        <v>652</v>
      </c>
      <c r="L55" s="124">
        <f t="shared" si="24"/>
        <v>595.4</v>
      </c>
      <c r="M55" s="50"/>
    </row>
    <row r="56" spans="1:14" x14ac:dyDescent="0.35">
      <c r="A56" s="47" t="s">
        <v>110</v>
      </c>
      <c r="C56" s="255">
        <v>-1245.1799999999998</v>
      </c>
      <c r="D56" s="275"/>
      <c r="E56" s="42">
        <f t="shared" si="25"/>
        <v>675.67</v>
      </c>
      <c r="F56" s="42">
        <f t="shared" si="24"/>
        <v>801.72</v>
      </c>
      <c r="G56" s="109">
        <f t="shared" si="24"/>
        <v>835.26</v>
      </c>
      <c r="H56" s="41">
        <f t="shared" si="24"/>
        <v>615.51</v>
      </c>
      <c r="I56" s="124">
        <f t="shared" si="24"/>
        <v>436.56</v>
      </c>
      <c r="J56" s="62">
        <f t="shared" si="24"/>
        <v>252.25</v>
      </c>
      <c r="K56" s="124">
        <f t="shared" si="24"/>
        <v>107.94</v>
      </c>
      <c r="L56" s="124">
        <f t="shared" si="24"/>
        <v>77.59</v>
      </c>
      <c r="M56" s="50"/>
    </row>
    <row r="57" spans="1:14" ht="15" thickBot="1" x14ac:dyDescent="0.4">
      <c r="A57" s="47" t="s">
        <v>111</v>
      </c>
      <c r="C57" s="115">
        <v>752.59</v>
      </c>
      <c r="D57" s="275"/>
      <c r="E57" s="42">
        <f t="shared" si="25"/>
        <v>-385.44</v>
      </c>
      <c r="F57" s="42">
        <f t="shared" si="24"/>
        <v>-410.61</v>
      </c>
      <c r="G57" s="109">
        <f t="shared" si="24"/>
        <v>-458.87</v>
      </c>
      <c r="H57" s="41">
        <f t="shared" si="24"/>
        <v>-511.57</v>
      </c>
      <c r="I57" s="124">
        <f t="shared" si="24"/>
        <v>-540.26</v>
      </c>
      <c r="J57" s="62">
        <f t="shared" si="24"/>
        <v>-550.25</v>
      </c>
      <c r="K57" s="124">
        <f t="shared" si="24"/>
        <v>-547.33000000000004</v>
      </c>
      <c r="L57" s="124">
        <f t="shared" si="24"/>
        <v>-517.84</v>
      </c>
      <c r="M57" s="50"/>
    </row>
    <row r="58" spans="1:14" ht="15.5" thickTop="1" thickBot="1" x14ac:dyDescent="0.4">
      <c r="A58" s="55" t="s">
        <v>22</v>
      </c>
      <c r="B58" s="55"/>
      <c r="C58" s="116">
        <v>0</v>
      </c>
      <c r="D58" s="276"/>
      <c r="E58" s="33">
        <f t="shared" ref="E58:M58" si="26">SUM(E53:E57)+SUM(E45:E49)-E61</f>
        <v>0</v>
      </c>
      <c r="F58" s="33">
        <f t="shared" si="26"/>
        <v>0</v>
      </c>
      <c r="G58" s="51">
        <f t="shared" si="26"/>
        <v>0</v>
      </c>
      <c r="H58" s="125">
        <f t="shared" si="26"/>
        <v>0</v>
      </c>
      <c r="I58" s="33">
        <f t="shared" si="26"/>
        <v>0</v>
      </c>
      <c r="J58" s="63">
        <f t="shared" si="26"/>
        <v>-2.3283064365386963E-10</v>
      </c>
      <c r="K58" s="168">
        <f t="shared" si="26"/>
        <v>-2.6193447411060333E-10</v>
      </c>
      <c r="L58" s="33">
        <f t="shared" si="26"/>
        <v>-1.7462298274040222E-10</v>
      </c>
      <c r="M58" s="97">
        <f t="shared" si="26"/>
        <v>0</v>
      </c>
    </row>
    <row r="59" spans="1:14" ht="15.5" thickTop="1" thickBot="1" x14ac:dyDescent="0.4">
      <c r="A59" s="55" t="s">
        <v>23</v>
      </c>
      <c r="B59" s="55"/>
      <c r="C59" s="108">
        <v>0</v>
      </c>
      <c r="D59" s="277"/>
      <c r="E59" s="33">
        <f t="shared" ref="E59:J59" si="27">SUM(E53:E57)-E35</f>
        <v>0</v>
      </c>
      <c r="F59" s="33">
        <f t="shared" si="27"/>
        <v>-9.9999999999909051E-3</v>
      </c>
      <c r="G59" s="51">
        <f t="shared" ref="G59:I59" si="28">SUM(G53:G57)-G35</f>
        <v>1.999999999998181E-2</v>
      </c>
      <c r="H59" s="52">
        <f t="shared" si="28"/>
        <v>0</v>
      </c>
      <c r="I59" s="33">
        <f t="shared" si="28"/>
        <v>-9.9999999999909051E-3</v>
      </c>
      <c r="J59" s="63">
        <f t="shared" si="27"/>
        <v>9.9999999999909051E-3</v>
      </c>
      <c r="K59" s="168">
        <f t="shared" ref="K59:M59" si="29">SUM(K53:K57)-K35</f>
        <v>0</v>
      </c>
      <c r="L59" s="33">
        <f t="shared" si="29"/>
        <v>0</v>
      </c>
      <c r="M59" s="97">
        <f t="shared" si="29"/>
        <v>0</v>
      </c>
    </row>
    <row r="60" spans="1:14" ht="15.5" thickTop="1" thickBot="1" x14ac:dyDescent="0.4">
      <c r="C60" s="100"/>
      <c r="D60" s="152"/>
      <c r="E60" s="17"/>
      <c r="F60" s="17"/>
      <c r="G60" s="17"/>
      <c r="H60" s="10"/>
      <c r="I60" s="17"/>
      <c r="J60" s="11"/>
      <c r="K60" s="17"/>
      <c r="L60" s="17"/>
      <c r="M60" s="11"/>
    </row>
    <row r="61" spans="1:14" ht="15" thickBot="1" x14ac:dyDescent="0.4">
      <c r="A61" s="47" t="s">
        <v>36</v>
      </c>
      <c r="B61" s="120">
        <f>SUM(B45:B49)</f>
        <v>-447337.67999999993</v>
      </c>
      <c r="C61" s="41">
        <f>(SUM(C15:C19)-SUM(C29:C33))+SUM(C53:C57)+B61</f>
        <v>1260257.03</v>
      </c>
      <c r="D61" s="42">
        <f>(SUM(D15:D19)-SUM(D29:D33))+SUM(D53:D57)+C61</f>
        <v>1260257.03</v>
      </c>
      <c r="E61" s="42">
        <f>(SUM(E15:E19)-SUM(E29:E33))+SUM(D53:E57)+C61</f>
        <v>1863900.4500000002</v>
      </c>
      <c r="F61" s="42">
        <f t="shared" ref="F61:M61" si="30">(SUM(F15:F19)-SUM(F29:F33))+SUM(F53:F57)+E61</f>
        <v>2181507</v>
      </c>
      <c r="G61" s="109">
        <f t="shared" si="30"/>
        <v>1903364.9300000002</v>
      </c>
      <c r="H61" s="41">
        <f t="shared" si="30"/>
        <v>1058573.0500000003</v>
      </c>
      <c r="I61" s="42">
        <f t="shared" si="30"/>
        <v>306250.00000000047</v>
      </c>
      <c r="J61" s="62">
        <f t="shared" si="30"/>
        <v>-69555.549999999523</v>
      </c>
      <c r="K61" s="124">
        <f t="shared" si="30"/>
        <v>205091.34000000037</v>
      </c>
      <c r="L61" s="42">
        <f t="shared" si="30"/>
        <v>40026.720000000525</v>
      </c>
      <c r="M61" s="62">
        <f t="shared" si="30"/>
        <v>-1582248.0699999996</v>
      </c>
    </row>
    <row r="62" spans="1:14" x14ac:dyDescent="0.35">
      <c r="A62" s="47" t="s">
        <v>12</v>
      </c>
      <c r="C62" s="121"/>
      <c r="D62" s="17"/>
      <c r="E62" s="57"/>
      <c r="F62" s="57"/>
      <c r="G62" s="57"/>
      <c r="H62" s="12"/>
      <c r="I62" s="57"/>
      <c r="J62" s="11"/>
      <c r="K62" s="17"/>
      <c r="L62" s="17"/>
      <c r="M62" s="11"/>
    </row>
    <row r="63" spans="1:14" ht="15" thickBot="1" x14ac:dyDescent="0.4">
      <c r="B63" s="17"/>
      <c r="C63" s="44"/>
      <c r="D63" s="45"/>
      <c r="E63" s="45"/>
      <c r="F63" s="45"/>
      <c r="G63" s="45"/>
      <c r="H63" s="44"/>
      <c r="I63" s="45"/>
      <c r="J63" s="46"/>
      <c r="K63" s="45"/>
      <c r="L63" s="45"/>
      <c r="M63" s="46"/>
    </row>
    <row r="64" spans="1:14" x14ac:dyDescent="0.35">
      <c r="D64" s="48"/>
    </row>
    <row r="65" spans="1:13" x14ac:dyDescent="0.35">
      <c r="A65" s="70" t="s">
        <v>11</v>
      </c>
      <c r="B65" s="70"/>
      <c r="C65" s="70"/>
      <c r="D65" s="70"/>
    </row>
    <row r="66" spans="1:13" ht="66" customHeight="1" x14ac:dyDescent="0.35">
      <c r="A66" s="302" t="s">
        <v>196</v>
      </c>
      <c r="B66" s="302"/>
      <c r="C66" s="302"/>
      <c r="D66" s="302"/>
      <c r="E66" s="302"/>
      <c r="F66" s="302"/>
      <c r="G66" s="302"/>
      <c r="H66" s="302"/>
      <c r="I66" s="302"/>
      <c r="J66" s="302"/>
      <c r="K66" s="243"/>
      <c r="L66" s="243"/>
      <c r="M66" s="243"/>
    </row>
    <row r="67" spans="1:13" ht="33.75" customHeight="1" x14ac:dyDescent="0.35">
      <c r="A67" s="302" t="s">
        <v>166</v>
      </c>
      <c r="B67" s="302"/>
      <c r="C67" s="302"/>
      <c r="D67" s="302"/>
      <c r="E67" s="302"/>
      <c r="F67" s="302"/>
      <c r="G67" s="302"/>
      <c r="H67" s="302"/>
      <c r="I67" s="302"/>
      <c r="J67" s="302"/>
      <c r="K67" s="243"/>
      <c r="L67" s="243"/>
      <c r="M67" s="243"/>
    </row>
    <row r="68" spans="1:13" ht="33.75" customHeight="1" x14ac:dyDescent="0.35">
      <c r="A68" s="302" t="s">
        <v>167</v>
      </c>
      <c r="B68" s="302"/>
      <c r="C68" s="302"/>
      <c r="D68" s="302"/>
      <c r="E68" s="302"/>
      <c r="F68" s="302"/>
      <c r="G68" s="302"/>
      <c r="H68" s="302"/>
      <c r="I68" s="302"/>
      <c r="J68" s="302"/>
      <c r="K68" s="243"/>
      <c r="L68" s="243"/>
      <c r="M68" s="243"/>
    </row>
    <row r="69" spans="1:13" x14ac:dyDescent="0.35">
      <c r="A69" s="3" t="s">
        <v>31</v>
      </c>
      <c r="B69" s="3"/>
      <c r="C69" s="3"/>
      <c r="D69" s="3"/>
      <c r="J69" s="4"/>
    </row>
    <row r="70" spans="1:13" x14ac:dyDescent="0.35">
      <c r="A70" s="64" t="s">
        <v>179</v>
      </c>
      <c r="B70" s="3"/>
      <c r="C70" s="3"/>
      <c r="D70" s="3"/>
      <c r="J70" s="4"/>
    </row>
    <row r="71" spans="1:13" x14ac:dyDescent="0.35">
      <c r="A71" s="3" t="s">
        <v>51</v>
      </c>
      <c r="B71" s="3"/>
      <c r="C71" s="3"/>
      <c r="D71" s="3"/>
      <c r="J71" s="4"/>
    </row>
    <row r="72" spans="1:13" x14ac:dyDescent="0.35">
      <c r="A72" s="3"/>
    </row>
    <row r="73" spans="1:13" ht="33.75" customHeight="1" x14ac:dyDescent="0.35">
      <c r="A73" s="298"/>
      <c r="B73" s="298"/>
      <c r="C73" s="298"/>
      <c r="D73" s="298"/>
      <c r="E73" s="298"/>
      <c r="F73" s="298"/>
      <c r="G73" s="298"/>
    </row>
    <row r="75" spans="1:13" ht="31.5" customHeight="1" x14ac:dyDescent="0.35">
      <c r="A75" s="298"/>
      <c r="B75" s="298"/>
      <c r="C75" s="298"/>
      <c r="D75" s="298"/>
      <c r="E75" s="298"/>
      <c r="F75" s="298"/>
      <c r="G75" s="298"/>
    </row>
    <row r="81" spans="14:14" x14ac:dyDescent="0.35">
      <c r="N81" s="8"/>
    </row>
  </sheetData>
  <mergeCells count="8">
    <mergeCell ref="K11:M11"/>
    <mergeCell ref="A66:J66"/>
    <mergeCell ref="A67:J67"/>
    <mergeCell ref="A75:G75"/>
    <mergeCell ref="A73:G73"/>
    <mergeCell ref="A68:J68"/>
    <mergeCell ref="E11:G11"/>
    <mergeCell ref="H11:J11"/>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2"/>
  <sheetViews>
    <sheetView workbookViewId="0"/>
  </sheetViews>
  <sheetFormatPr defaultRowHeight="14.5" x14ac:dyDescent="0.35"/>
  <cols>
    <col min="1" max="1" width="24.7265625" customWidth="1"/>
    <col min="2" max="2" width="16.1796875" customWidth="1"/>
    <col min="3" max="3" width="15.1796875" customWidth="1"/>
  </cols>
  <sheetData>
    <row r="1" spans="1:23" s="47" customFormat="1" x14ac:dyDescent="0.35">
      <c r="A1" s="3" t="str">
        <f>+'PPC Cycle 3'!A1</f>
        <v>Evergy Metro, Inc. - DSIM Rider Update Filed 12/02/2021</v>
      </c>
    </row>
    <row r="2" spans="1:23" x14ac:dyDescent="0.35">
      <c r="A2" s="9" t="str">
        <f>+'PPC Cycle 3'!A2</f>
        <v>Projections for Cycle 3 January - December 2022 DSIM</v>
      </c>
    </row>
    <row r="3" spans="1:23" s="47" customFormat="1" x14ac:dyDescent="0.35">
      <c r="A3" s="9"/>
    </row>
    <row r="4" spans="1:23" ht="40.5" customHeight="1" x14ac:dyDescent="0.35">
      <c r="B4" s="295" t="s">
        <v>64</v>
      </c>
      <c r="C4" s="295"/>
    </row>
    <row r="5" spans="1:23" ht="29" x14ac:dyDescent="0.35">
      <c r="B5" s="153" t="s">
        <v>65</v>
      </c>
      <c r="C5" s="6" t="s">
        <v>29</v>
      </c>
    </row>
    <row r="6" spans="1:23" x14ac:dyDescent="0.35">
      <c r="A6" s="20" t="s">
        <v>24</v>
      </c>
      <c r="B6" s="24">
        <f>SUM('[3]Monthly TD Calc'!BT285:CE285)</f>
        <v>36570360.398311645</v>
      </c>
      <c r="C6" s="87">
        <f>ROUND(SUM('[3]Monthly TD Calc'!BT326:CE326),2)</f>
        <v>2690858.27</v>
      </c>
    </row>
    <row r="7" spans="1:23" x14ac:dyDescent="0.35">
      <c r="A7" s="31" t="s">
        <v>25</v>
      </c>
      <c r="B7" s="24">
        <f>+B14</f>
        <v>66659479.072820261</v>
      </c>
      <c r="C7" s="87">
        <f>+C14</f>
        <v>2687664.5500000003</v>
      </c>
    </row>
    <row r="8" spans="1:23" x14ac:dyDescent="0.35">
      <c r="A8" s="20" t="s">
        <v>5</v>
      </c>
      <c r="B8" s="25">
        <f>SUM(B6:B7)</f>
        <v>103229839.47113191</v>
      </c>
      <c r="C8" s="22">
        <f>SUM(C6:C7)</f>
        <v>5378522.8200000003</v>
      </c>
    </row>
    <row r="9" spans="1:23" s="47" customFormat="1" x14ac:dyDescent="0.35">
      <c r="A9" s="20"/>
    </row>
    <row r="10" spans="1:23" s="47" customFormat="1" x14ac:dyDescent="0.35">
      <c r="A10" s="20" t="s">
        <v>108</v>
      </c>
      <c r="B10" s="24">
        <f>SUM('[3]Monthly TD Calc'!BT286:CE286)</f>
        <v>5957519.6037281966</v>
      </c>
      <c r="C10" s="87">
        <f>ROUND(SUM('[3]Monthly TD Calc'!BT327:CE327),2)</f>
        <v>467470.34</v>
      </c>
    </row>
    <row r="11" spans="1:23" s="47" customFormat="1" x14ac:dyDescent="0.35">
      <c r="A11" s="20" t="s">
        <v>109</v>
      </c>
      <c r="B11" s="24">
        <f>SUM('[3]Monthly TD Calc'!BT287:CE287)</f>
        <v>21968161.381910343</v>
      </c>
      <c r="C11" s="87">
        <f>ROUND(SUM('[3]Monthly TD Calc'!BT328:CE328),2)</f>
        <v>1097337.47</v>
      </c>
    </row>
    <row r="12" spans="1:23" s="47" customFormat="1" x14ac:dyDescent="0.35">
      <c r="A12" s="20" t="s">
        <v>110</v>
      </c>
      <c r="B12" s="24">
        <f>SUM('[3]Monthly TD Calc'!BT288:CE288)</f>
        <v>32010525.716663267</v>
      </c>
      <c r="C12" s="87">
        <f>ROUND(SUM('[3]Monthly TD Calc'!BT329:CE329),2)</f>
        <v>1018206.55</v>
      </c>
    </row>
    <row r="13" spans="1:23" s="47" customFormat="1" x14ac:dyDescent="0.35">
      <c r="A13" s="20" t="s">
        <v>111</v>
      </c>
      <c r="B13" s="24">
        <f>SUM('[3]Monthly TD Calc'!BT289:CE289)</f>
        <v>6723272.3705184525</v>
      </c>
      <c r="C13" s="87">
        <f>ROUND(SUM('[3]Monthly TD Calc'!BT330:CE330),2)</f>
        <v>104650.19</v>
      </c>
    </row>
    <row r="14" spans="1:23" x14ac:dyDescent="0.35">
      <c r="A14" s="31" t="s">
        <v>113</v>
      </c>
      <c r="B14" s="25">
        <f>SUM(B10:B13)</f>
        <v>66659479.072820261</v>
      </c>
      <c r="C14" s="22">
        <f>SUM(C10:C13)</f>
        <v>2687664.5500000003</v>
      </c>
    </row>
    <row r="15" spans="1:23" x14ac:dyDescent="0.35">
      <c r="A15" s="47"/>
      <c r="B15" s="47"/>
      <c r="C15" s="47"/>
    </row>
    <row r="16" spans="1:23" x14ac:dyDescent="0.35">
      <c r="A16" s="70" t="s">
        <v>30</v>
      </c>
      <c r="B16" s="20"/>
      <c r="C16" s="21"/>
      <c r="N16" s="1"/>
      <c r="O16" s="1"/>
      <c r="P16" s="1"/>
      <c r="Q16" s="1"/>
      <c r="R16" s="1"/>
      <c r="S16" s="1"/>
      <c r="T16" s="1"/>
      <c r="U16" s="1"/>
      <c r="V16" s="1"/>
      <c r="W16" s="1"/>
    </row>
    <row r="17" spans="1:13" s="40" customFormat="1" x14ac:dyDescent="0.35">
      <c r="A17" s="297" t="s">
        <v>180</v>
      </c>
      <c r="B17" s="297"/>
      <c r="C17" s="297"/>
      <c r="D17" s="297"/>
      <c r="E17" s="297"/>
      <c r="F17" s="297"/>
      <c r="G17" s="297"/>
      <c r="H17" s="297"/>
      <c r="I17" s="297"/>
      <c r="J17" s="297"/>
      <c r="K17" s="297"/>
      <c r="L17" s="297"/>
      <c r="M17" s="297"/>
    </row>
    <row r="18" spans="1:13" s="40" customFormat="1" x14ac:dyDescent="0.35">
      <c r="A18" s="297" t="s">
        <v>181</v>
      </c>
      <c r="B18" s="297"/>
      <c r="C18" s="297"/>
      <c r="D18" s="297"/>
      <c r="E18" s="297"/>
      <c r="F18" s="297"/>
      <c r="G18" s="297"/>
      <c r="H18" s="297"/>
      <c r="I18" s="297"/>
      <c r="J18" s="297"/>
      <c r="K18" s="297"/>
      <c r="L18" s="297"/>
      <c r="M18" s="297"/>
    </row>
    <row r="38" spans="2:3" x14ac:dyDescent="0.35">
      <c r="B38" s="8"/>
      <c r="C38" s="8"/>
    </row>
    <row r="42" spans="2:3" x14ac:dyDescent="0.35">
      <c r="B42" s="8"/>
      <c r="C42" s="8"/>
    </row>
  </sheetData>
  <mergeCells count="3">
    <mergeCell ref="B4:C4"/>
    <mergeCell ref="A17:M17"/>
    <mergeCell ref="A18:M18"/>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9"/>
  <sheetViews>
    <sheetView workbookViewId="0"/>
  </sheetViews>
  <sheetFormatPr defaultColWidth="9.1796875" defaultRowHeight="14.5" x14ac:dyDescent="0.35"/>
  <cols>
    <col min="1" max="1" width="24.7265625" style="47" customWidth="1"/>
    <col min="2" max="2" width="16.1796875" style="47" customWidth="1"/>
    <col min="3" max="3" width="15.1796875" style="47" customWidth="1"/>
    <col min="4" max="16384" width="9.1796875" style="47"/>
  </cols>
  <sheetData>
    <row r="1" spans="1:23" x14ac:dyDescent="0.35">
      <c r="A1" s="3" t="str">
        <f>+'PPC Cycle 3'!A1</f>
        <v>Evergy Metro, Inc. - DSIM Rider Update Filed 12/02/2021</v>
      </c>
    </row>
    <row r="2" spans="1:23" x14ac:dyDescent="0.35">
      <c r="A2" s="9" t="str">
        <f>+'PPC Cycle 3'!A2</f>
        <v>Projections for Cycle 3 January - December 2022 DSIM</v>
      </c>
    </row>
    <row r="3" spans="1:23" x14ac:dyDescent="0.35">
      <c r="A3" s="9"/>
    </row>
    <row r="4" spans="1:23" ht="40.5" customHeight="1" x14ac:dyDescent="0.35">
      <c r="B4" s="295" t="s">
        <v>115</v>
      </c>
      <c r="C4" s="295"/>
    </row>
    <row r="5" spans="1:23" ht="29" x14ac:dyDescent="0.35">
      <c r="B5" s="153" t="s">
        <v>65</v>
      </c>
      <c r="C5" s="49" t="s">
        <v>29</v>
      </c>
    </row>
    <row r="6" spans="1:23" x14ac:dyDescent="0.35">
      <c r="A6" s="20" t="s">
        <v>24</v>
      </c>
      <c r="B6" s="24">
        <f>SUM('[2]Monthly TD Calc'!$AC461:$AN461)</f>
        <v>76733342.705297381</v>
      </c>
      <c r="C6" s="87">
        <f>ROUND(SUM('[2]Monthly TD Calc'!$AC563:$AN563),2)</f>
        <v>6322395.5899999999</v>
      </c>
    </row>
    <row r="7" spans="1:23" x14ac:dyDescent="0.35">
      <c r="A7" s="20" t="s">
        <v>108</v>
      </c>
      <c r="B7" s="24">
        <f>SUM('[2]Monthly TD Calc'!$AC462:$AN462)</f>
        <v>6274469.8255371768</v>
      </c>
      <c r="C7" s="87">
        <f>ROUND(SUM('[2]Monthly TD Calc'!$AC564:$AN564),2)</f>
        <v>519259.74</v>
      </c>
    </row>
    <row r="8" spans="1:23" x14ac:dyDescent="0.35">
      <c r="A8" s="20" t="s">
        <v>109</v>
      </c>
      <c r="B8" s="24">
        <f>SUM('[2]Monthly TD Calc'!$AC463:$AN463)</f>
        <v>21580650.242172584</v>
      </c>
      <c r="C8" s="87">
        <f>ROUND(SUM('[2]Monthly TD Calc'!$AC565:$AN565),2)</f>
        <v>1130737.68</v>
      </c>
    </row>
    <row r="9" spans="1:23" x14ac:dyDescent="0.35">
      <c r="A9" s="20" t="s">
        <v>110</v>
      </c>
      <c r="B9" s="24">
        <f>SUM('[2]Monthly TD Calc'!$AC464:$AN464)</f>
        <v>35675774.250887185</v>
      </c>
      <c r="C9" s="87">
        <f>ROUND(SUM('[2]Monthly TD Calc'!$AC566:$AN566),2)</f>
        <v>1152279.95</v>
      </c>
    </row>
    <row r="10" spans="1:23" x14ac:dyDescent="0.35">
      <c r="A10" s="20" t="s">
        <v>111</v>
      </c>
      <c r="B10" s="24">
        <f>SUM('[2]Monthly TD Calc'!$AC465:$AN465)</f>
        <v>4867290.9939942518</v>
      </c>
      <c r="C10" s="87">
        <f>ROUND(SUM('[2]Monthly TD Calc'!$AC567:$AN567),2)</f>
        <v>75314.509999999995</v>
      </c>
    </row>
    <row r="11" spans="1:23" x14ac:dyDescent="0.35">
      <c r="A11" s="31" t="s">
        <v>5</v>
      </c>
      <c r="B11" s="25">
        <f>SUM(B6:B10)</f>
        <v>145131528.01788858</v>
      </c>
      <c r="C11" s="25">
        <f>SUM(C6:C10)</f>
        <v>9199987.4699999988</v>
      </c>
    </row>
    <row r="13" spans="1:23" x14ac:dyDescent="0.35">
      <c r="A13" s="70" t="s">
        <v>30</v>
      </c>
      <c r="B13" s="20"/>
      <c r="C13" s="21"/>
      <c r="N13" s="1"/>
      <c r="O13" s="1"/>
      <c r="P13" s="1"/>
      <c r="Q13" s="1"/>
      <c r="R13" s="1"/>
      <c r="S13" s="1"/>
      <c r="T13" s="1"/>
      <c r="U13" s="1"/>
      <c r="V13" s="1"/>
      <c r="W13" s="1"/>
    </row>
    <row r="14" spans="1:23" s="40" customFormat="1" x14ac:dyDescent="0.35">
      <c r="A14" s="297" t="s">
        <v>199</v>
      </c>
      <c r="B14" s="297"/>
      <c r="C14" s="297"/>
      <c r="D14" s="297"/>
      <c r="E14" s="297"/>
      <c r="F14" s="297"/>
      <c r="G14" s="297"/>
      <c r="H14" s="297"/>
      <c r="I14" s="297"/>
      <c r="J14" s="297"/>
      <c r="K14" s="297"/>
      <c r="L14" s="297"/>
      <c r="M14" s="297"/>
    </row>
    <row r="15" spans="1:23" s="40" customFormat="1" x14ac:dyDescent="0.35">
      <c r="A15" s="297" t="s">
        <v>200</v>
      </c>
      <c r="B15" s="297"/>
      <c r="C15" s="297"/>
      <c r="D15" s="297"/>
      <c r="E15" s="297"/>
      <c r="F15" s="297"/>
      <c r="G15" s="297"/>
      <c r="H15" s="297"/>
      <c r="I15" s="297"/>
      <c r="J15" s="297"/>
      <c r="K15" s="297"/>
      <c r="L15" s="297"/>
      <c r="M15" s="297"/>
    </row>
    <row r="35" spans="2:3" x14ac:dyDescent="0.35">
      <c r="B35" s="8"/>
      <c r="C35" s="8"/>
    </row>
    <row r="39" spans="2:3" x14ac:dyDescent="0.35">
      <c r="B39" s="8"/>
      <c r="C39" s="8"/>
    </row>
  </sheetData>
  <mergeCells count="3">
    <mergeCell ref="B4:C4"/>
    <mergeCell ref="A14:M14"/>
    <mergeCell ref="A15:M15"/>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9"/>
  <sheetViews>
    <sheetView zoomScaleNormal="100" workbookViewId="0">
      <pane xSplit="1" ySplit="2" topLeftCell="B3" activePane="bottomRight" state="frozen"/>
      <selection activeCell="G8" sqref="G8"/>
      <selection pane="topRight" activeCell="G8" sqref="G8"/>
      <selection pane="bottomLeft" activeCell="G8" sqref="G8"/>
      <selection pane="bottomRight" activeCell="B3" sqref="B3"/>
    </sheetView>
  </sheetViews>
  <sheetFormatPr defaultColWidth="9.1796875" defaultRowHeight="14.5" outlineLevelCol="1" x14ac:dyDescent="0.35"/>
  <cols>
    <col min="1" max="1" width="61.7265625" style="47" customWidth="1"/>
    <col min="2" max="2" width="12.1796875" style="47" customWidth="1"/>
    <col min="3" max="3" width="12.453125" style="47" customWidth="1"/>
    <col min="4" max="4" width="12.453125" style="47" hidden="1" customWidth="1" outlineLevel="1"/>
    <col min="5" max="5" width="15.453125" style="47" customWidth="1" collapsed="1"/>
    <col min="6" max="6" width="15.81640625" style="47" customWidth="1"/>
    <col min="7" max="7" width="12.26953125" style="47" customWidth="1"/>
    <col min="8" max="9" width="13.26953125" style="47" customWidth="1"/>
    <col min="10" max="10" width="12.26953125" style="47" bestFit="1" customWidth="1"/>
    <col min="11" max="11" width="11.54296875" style="47" bestFit="1" customWidth="1"/>
    <col min="12" max="12" width="12.81640625" style="47" customWidth="1"/>
    <col min="13" max="13" width="16" style="47" customWidth="1"/>
    <col min="14" max="14" width="15" style="47" bestFit="1" customWidth="1"/>
    <col min="15" max="15" width="16" style="47" bestFit="1"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Metro, Inc. - DSIM Rider Update Filed 12/02/2021</v>
      </c>
      <c r="B1" s="3"/>
      <c r="C1" s="3"/>
      <c r="D1" s="3"/>
    </row>
    <row r="2" spans="1:35" x14ac:dyDescent="0.35">
      <c r="E2" s="3" t="s">
        <v>61</v>
      </c>
    </row>
    <row r="3" spans="1:35" ht="29" x14ac:dyDescent="0.35">
      <c r="E3" s="49" t="s">
        <v>46</v>
      </c>
      <c r="F3" s="71" t="s">
        <v>71</v>
      </c>
      <c r="G3" s="71" t="s">
        <v>54</v>
      </c>
      <c r="H3" s="49" t="s">
        <v>3</v>
      </c>
      <c r="I3" s="71" t="s">
        <v>55</v>
      </c>
      <c r="J3" s="49" t="s">
        <v>10</v>
      </c>
      <c r="K3" s="49" t="s">
        <v>9</v>
      </c>
      <c r="S3" s="49"/>
    </row>
    <row r="4" spans="1:35" x14ac:dyDescent="0.35">
      <c r="A4" s="20" t="s">
        <v>24</v>
      </c>
      <c r="B4" s="20"/>
      <c r="C4" s="20"/>
      <c r="D4" s="20"/>
      <c r="E4" s="22">
        <f>SUM(C19:M19)</f>
        <v>1035878.8329999999</v>
      </c>
      <c r="F4" s="139">
        <f>N26</f>
        <v>20179096.394506633</v>
      </c>
      <c r="G4" s="22">
        <f>SUM(C33:L33)</f>
        <v>1590091.86</v>
      </c>
      <c r="H4" s="22">
        <f>G4-E4</f>
        <v>554213.02700000023</v>
      </c>
      <c r="I4" s="22">
        <f>+B46</f>
        <v>92607.291879999961</v>
      </c>
      <c r="J4" s="22">
        <f>SUM(C51:L51)</f>
        <v>3246.8999999999996</v>
      </c>
      <c r="K4" s="26">
        <f>SUM(H4:J4)</f>
        <v>650067.21888000017</v>
      </c>
      <c r="L4" s="48">
        <f>+K4-M46</f>
        <v>0</v>
      </c>
    </row>
    <row r="5" spans="1:35" ht="15" thickBot="1" x14ac:dyDescent="0.4">
      <c r="A5" s="20" t="s">
        <v>25</v>
      </c>
      <c r="B5" s="20"/>
      <c r="C5" s="20"/>
      <c r="D5" s="20"/>
      <c r="E5" s="22">
        <f>SUM(C20:M23)</f>
        <v>807760.71632999985</v>
      </c>
      <c r="F5" s="139">
        <f>SUM(N27:N30)</f>
        <v>36344917.030176289</v>
      </c>
      <c r="G5" s="22">
        <f>SUM(C34:L37)</f>
        <v>1528185.9900000005</v>
      </c>
      <c r="H5" s="22">
        <f>G5-E5</f>
        <v>720425.27367000061</v>
      </c>
      <c r="I5" s="22">
        <f>+B47</f>
        <v>-48058.667119999955</v>
      </c>
      <c r="J5" s="22">
        <f>SUM(C52:L52)</f>
        <v>2878.3599999999997</v>
      </c>
      <c r="K5" s="26">
        <f>SUM(H5:J5)</f>
        <v>675244.96655000059</v>
      </c>
      <c r="L5" s="48">
        <f>+K5-M47</f>
        <v>0</v>
      </c>
    </row>
    <row r="6" spans="1:35" ht="15.5" thickTop="1" thickBot="1" x14ac:dyDescent="0.4">
      <c r="E6" s="28">
        <f t="shared" ref="E6" si="0">SUM(E4:E5)</f>
        <v>1843639.5493299998</v>
      </c>
      <c r="F6" s="140">
        <f t="shared" ref="F6:I6" si="1">SUM(F4:F5)</f>
        <v>56524013.424682923</v>
      </c>
      <c r="G6" s="28">
        <f t="shared" si="1"/>
        <v>3118277.8500000006</v>
      </c>
      <c r="H6" s="28">
        <f t="shared" si="1"/>
        <v>1274638.3006700007</v>
      </c>
      <c r="I6" s="28">
        <f t="shared" si="1"/>
        <v>44548.624760000006</v>
      </c>
      <c r="J6" s="28">
        <f>SUM(J4:J5)</f>
        <v>6125.2599999999993</v>
      </c>
      <c r="K6" s="28">
        <f>SUM(K4:K5)</f>
        <v>1325312.1854300008</v>
      </c>
      <c r="T6" s="5"/>
    </row>
    <row r="7" spans="1:35" ht="44" thickTop="1" x14ac:dyDescent="0.35">
      <c r="K7" s="236"/>
      <c r="L7" s="235" t="s">
        <v>126</v>
      </c>
    </row>
    <row r="8" spans="1:35" x14ac:dyDescent="0.35">
      <c r="A8" s="20" t="s">
        <v>108</v>
      </c>
      <c r="K8" s="26">
        <f>ROUND($K$5*L8,2)</f>
        <v>91674.240000000005</v>
      </c>
      <c r="L8" s="233">
        <f>+'PCR Cycle 2'!L8</f>
        <v>0.13576441564001979</v>
      </c>
    </row>
    <row r="9" spans="1:35" x14ac:dyDescent="0.35">
      <c r="A9" s="20" t="s">
        <v>109</v>
      </c>
      <c r="K9" s="26">
        <f t="shared" ref="K9:K11" si="2">ROUND($K$5*L9,2)</f>
        <v>240465.36</v>
      </c>
      <c r="L9" s="233">
        <f>+'PCR Cycle 2'!L9</f>
        <v>0.35611574316442379</v>
      </c>
    </row>
    <row r="10" spans="1:35" x14ac:dyDescent="0.35">
      <c r="A10" s="20" t="s">
        <v>110</v>
      </c>
      <c r="K10" s="26">
        <f t="shared" si="2"/>
        <v>282467.51</v>
      </c>
      <c r="L10" s="233">
        <f>+'PCR Cycle 2'!L10</f>
        <v>0.4183185730547726</v>
      </c>
    </row>
    <row r="11" spans="1:35" ht="15" thickBot="1" x14ac:dyDescent="0.4">
      <c r="A11" s="20" t="s">
        <v>111</v>
      </c>
      <c r="J11" s="4"/>
      <c r="K11" s="26">
        <f t="shared" si="2"/>
        <v>60637.85</v>
      </c>
      <c r="L11" s="233">
        <f>+'PCR Cycle 2'!L11</f>
        <v>8.9801268140783777E-2</v>
      </c>
      <c r="V11" s="4"/>
    </row>
    <row r="12" spans="1:35" ht="15.5" thickTop="1" thickBot="1" x14ac:dyDescent="0.4">
      <c r="A12" s="20" t="s">
        <v>113</v>
      </c>
      <c r="K12" s="28">
        <f>SUM(K8:K11)</f>
        <v>675244.96</v>
      </c>
      <c r="L12" s="234">
        <f>SUM(L8:L11)</f>
        <v>1</v>
      </c>
      <c r="V12" s="4"/>
      <c r="W12" s="5"/>
    </row>
    <row r="13" spans="1:35" ht="15.5" thickTop="1" thickBot="1" x14ac:dyDescent="0.4">
      <c r="V13" s="4"/>
      <c r="W13" s="5"/>
    </row>
    <row r="14" spans="1:35" ht="87.5" thickBot="1" x14ac:dyDescent="0.4">
      <c r="B14" s="119" t="str">
        <f>+'PCR Cycle 2'!B14</f>
        <v>Cumulative Over/Under Carryover From 06/01/2021 Filing</v>
      </c>
      <c r="C14" s="154" t="str">
        <f>+'PCR Cycle 2'!C14</f>
        <v>Reverse May - October 2021  Forecast From 06/01/2021 Filing</v>
      </c>
      <c r="D14" s="154">
        <f>+'PCR Cycle 2'!D14</f>
        <v>0</v>
      </c>
      <c r="E14" s="303" t="s">
        <v>33</v>
      </c>
      <c r="F14" s="303"/>
      <c r="G14" s="304"/>
      <c r="H14" s="308" t="s">
        <v>33</v>
      </c>
      <c r="I14" s="309"/>
      <c r="J14" s="310"/>
      <c r="K14" s="299" t="s">
        <v>8</v>
      </c>
      <c r="L14" s="300"/>
      <c r="M14" s="301"/>
    </row>
    <row r="15" spans="1:35" x14ac:dyDescent="0.35">
      <c r="A15" s="47" t="s">
        <v>63</v>
      </c>
      <c r="C15" s="106"/>
      <c r="D15" s="220"/>
      <c r="E15" s="19">
        <f>+'PCR Cycle 2'!E15</f>
        <v>44347</v>
      </c>
      <c r="F15" s="19">
        <f t="shared" ref="F15:M15" si="3">EOMONTH(E15,1)</f>
        <v>44377</v>
      </c>
      <c r="G15" s="19">
        <f t="shared" si="3"/>
        <v>44408</v>
      </c>
      <c r="H15" s="14">
        <f t="shared" si="3"/>
        <v>44439</v>
      </c>
      <c r="I15" s="19">
        <f t="shared" si="3"/>
        <v>44469</v>
      </c>
      <c r="J15" s="15">
        <f t="shared" si="3"/>
        <v>44500</v>
      </c>
      <c r="K15" s="19">
        <f t="shared" si="3"/>
        <v>44530</v>
      </c>
      <c r="L15" s="19">
        <f t="shared" si="3"/>
        <v>44561</v>
      </c>
      <c r="M15" s="15">
        <f t="shared" si="3"/>
        <v>44592</v>
      </c>
      <c r="Z15" s="1"/>
      <c r="AA15" s="1"/>
      <c r="AB15" s="1"/>
      <c r="AC15" s="1"/>
      <c r="AD15" s="1"/>
      <c r="AE15" s="1"/>
      <c r="AF15" s="1"/>
      <c r="AG15" s="1"/>
      <c r="AH15" s="1"/>
      <c r="AI15" s="1"/>
    </row>
    <row r="16" spans="1:35" x14ac:dyDescent="0.35">
      <c r="A16" s="47" t="s">
        <v>5</v>
      </c>
      <c r="C16" s="200">
        <v>-1077583.1000000001</v>
      </c>
      <c r="D16" s="203">
        <f t="shared" ref="D16" si="4">+D33+D37</f>
        <v>0</v>
      </c>
      <c r="E16" s="110">
        <f>SUM(E33:E37)</f>
        <v>456538.20000000007</v>
      </c>
      <c r="F16" s="110">
        <f t="shared" ref="F16:L16" si="5">SUM(F33:F37)</f>
        <v>621044.9</v>
      </c>
      <c r="G16" s="111">
        <f t="shared" si="5"/>
        <v>663550.51</v>
      </c>
      <c r="H16" s="16">
        <f t="shared" si="5"/>
        <v>654704.71</v>
      </c>
      <c r="I16" s="56">
        <f t="shared" si="5"/>
        <v>573179.68000000005</v>
      </c>
      <c r="J16" s="169">
        <f t="shared" si="5"/>
        <v>398707.63000000006</v>
      </c>
      <c r="K16" s="162">
        <f t="shared" si="5"/>
        <v>412698.88000000006</v>
      </c>
      <c r="L16" s="79">
        <f t="shared" si="5"/>
        <v>415436.44</v>
      </c>
      <c r="M16" s="80"/>
    </row>
    <row r="17" spans="1:15" x14ac:dyDescent="0.35">
      <c r="C17" s="100"/>
      <c r="D17" s="204"/>
      <c r="E17" s="17"/>
      <c r="F17" s="17"/>
      <c r="G17" s="17"/>
      <c r="H17" s="10"/>
      <c r="I17" s="17"/>
      <c r="J17" s="11"/>
      <c r="K17" s="32"/>
      <c r="L17" s="32"/>
      <c r="M17" s="30"/>
    </row>
    <row r="18" spans="1:15" x14ac:dyDescent="0.35">
      <c r="A18" s="47" t="s">
        <v>62</v>
      </c>
      <c r="C18" s="100"/>
      <c r="D18" s="204"/>
      <c r="E18" s="18"/>
      <c r="F18" s="18"/>
      <c r="G18" s="18"/>
      <c r="H18" s="92"/>
      <c r="I18" s="18"/>
      <c r="J18" s="170"/>
      <c r="K18" s="32"/>
      <c r="L18" s="32"/>
      <c r="M18" s="30"/>
      <c r="N18" s="3" t="s">
        <v>68</v>
      </c>
      <c r="O18" s="40"/>
    </row>
    <row r="19" spans="1:15" x14ac:dyDescent="0.35">
      <c r="A19" s="47" t="s">
        <v>24</v>
      </c>
      <c r="C19" s="200">
        <v>-791780.92812000006</v>
      </c>
      <c r="D19" s="203">
        <v>0</v>
      </c>
      <c r="E19" s="137">
        <f>ROUND('[4]May 2021'!$F61,2)</f>
        <v>185564.12</v>
      </c>
      <c r="F19" s="137">
        <f>ROUND('[4]Jun 2021'!$F61,2)</f>
        <v>247232.52</v>
      </c>
      <c r="G19" s="137">
        <f>ROUND('[4]Jul 2021'!$F61,2)</f>
        <v>352110.71</v>
      </c>
      <c r="H19" s="16">
        <f>ROUND('[4]Aug 2021'!$F61,2)</f>
        <v>303128.51</v>
      </c>
      <c r="I19" s="122">
        <f>ROUND('[4]Sep 2021'!$F61,2)</f>
        <v>189464.56</v>
      </c>
      <c r="J19" s="174">
        <f>ROUND('[4]Oct 2021'!$F61,2)</f>
        <v>130971.56</v>
      </c>
      <c r="K19" s="124">
        <f>'PCR Cycle 2'!K27*'TDR Cycle 2'!$N19</f>
        <v>102708.40063999999</v>
      </c>
      <c r="L19" s="42">
        <f>'PCR Cycle 2'!L27*'TDR Cycle 2'!$N19</f>
        <v>147795.76255999997</v>
      </c>
      <c r="M19" s="62">
        <f>'PCR Cycle 2'!M27*'TDR Cycle 2'!$N19</f>
        <v>168683.61791999999</v>
      </c>
      <c r="N19" s="73">
        <v>6.3999999999999994E-4</v>
      </c>
      <c r="O19" s="4"/>
    </row>
    <row r="20" spans="1:15" x14ac:dyDescent="0.35">
      <c r="A20" s="47" t="s">
        <v>108</v>
      </c>
      <c r="C20" s="200">
        <v>-174802.83600000001</v>
      </c>
      <c r="D20" s="203"/>
      <c r="E20" s="137">
        <f>ROUND('[4]May 2021'!$F62,2)</f>
        <v>47961.02</v>
      </c>
      <c r="F20" s="137">
        <f>ROUND('[4]Jun 2021'!$F62,2)</f>
        <v>57061.33</v>
      </c>
      <c r="G20" s="137">
        <f>ROUND('[4]Jul 2021'!$F62,2)</f>
        <v>69842.039999999994</v>
      </c>
      <c r="H20" s="16">
        <f>ROUND('[4]Aug 2021'!$F62,2)</f>
        <v>56359.31</v>
      </c>
      <c r="I20" s="122">
        <f>ROUND('[4]Sep 2021'!$F62,2)</f>
        <v>23524.01</v>
      </c>
      <c r="J20" s="174">
        <f>ROUND('[4]Oct 2021'!$F62,2)</f>
        <v>21748.959999999999</v>
      </c>
      <c r="K20" s="124">
        <f>'PCR Cycle 2'!K28*'TDR Cycle 2'!$N20</f>
        <v>19758.024999999998</v>
      </c>
      <c r="L20" s="42">
        <f>'PCR Cycle 2'!L28*'TDR Cycle 2'!$N20</f>
        <v>21379.895109999998</v>
      </c>
      <c r="M20" s="62">
        <f>'PCR Cycle 2'!M28*'TDR Cycle 2'!$N20</f>
        <v>21852.72796</v>
      </c>
      <c r="N20" s="73">
        <v>4.8999999999999998E-4</v>
      </c>
      <c r="O20" s="4"/>
    </row>
    <row r="21" spans="1:15" x14ac:dyDescent="0.35">
      <c r="A21" s="47" t="s">
        <v>109</v>
      </c>
      <c r="C21" s="200">
        <v>-313623.94215999998</v>
      </c>
      <c r="D21" s="203"/>
      <c r="E21" s="137">
        <f>ROUND('[4]May 2021'!$F63,2)</f>
        <v>81026.679999999993</v>
      </c>
      <c r="F21" s="137">
        <f>ROUND('[4]Jun 2021'!$F63,2)</f>
        <v>92490.02</v>
      </c>
      <c r="G21" s="137">
        <f>ROUND('[4]Jul 2021'!$F63,2)</f>
        <v>110563.88</v>
      </c>
      <c r="H21" s="16">
        <f>ROUND('[4]Aug 2021'!$F63,2)</f>
        <v>93536.65</v>
      </c>
      <c r="I21" s="122">
        <f>ROUND('[4]Sep 2021'!$F63,2)</f>
        <v>57776.59</v>
      </c>
      <c r="J21" s="174">
        <f>ROUND('[4]Oct 2021'!$F63,2)</f>
        <v>51840.27</v>
      </c>
      <c r="K21" s="124">
        <f>'PCR Cycle 2'!K29*'TDR Cycle 2'!$N21</f>
        <v>46584.734250000001</v>
      </c>
      <c r="L21" s="42">
        <f>'PCR Cycle 2'!L29*'TDR Cycle 2'!$N21</f>
        <v>50408.719229999995</v>
      </c>
      <c r="M21" s="62">
        <f>'PCR Cycle 2'!M29*'TDR Cycle 2'!$N21</f>
        <v>51523.546669999996</v>
      </c>
      <c r="N21" s="73">
        <v>5.2999999999999998E-4</v>
      </c>
      <c r="O21" s="4"/>
    </row>
    <row r="22" spans="1:15" x14ac:dyDescent="0.35">
      <c r="A22" s="47" t="s">
        <v>110</v>
      </c>
      <c r="C22" s="200">
        <v>-306564.54246000003</v>
      </c>
      <c r="D22" s="203"/>
      <c r="E22" s="137">
        <f>ROUND('[4]May 2021'!$F64,2)</f>
        <v>85128.72</v>
      </c>
      <c r="F22" s="137">
        <f>ROUND('[4]Jun 2021'!$F64,2)</f>
        <v>90563.15</v>
      </c>
      <c r="G22" s="137">
        <f>ROUND('[4]Jul 2021'!$F64,2)</f>
        <v>105298.97</v>
      </c>
      <c r="H22" s="16">
        <f>ROUND('[4]Aug 2021'!$F64,2)</f>
        <v>82992.800000000003</v>
      </c>
      <c r="I22" s="122">
        <f>ROUND('[4]Sep 2021'!$F64,2)</f>
        <v>52154.06</v>
      </c>
      <c r="J22" s="174">
        <f>ROUND('[4]Oct 2021'!$F64,2)</f>
        <v>46425.45</v>
      </c>
      <c r="K22" s="124">
        <f>'PCR Cycle 2'!K30*'TDR Cycle 2'!$N22</f>
        <v>43179.936889999997</v>
      </c>
      <c r="L22" s="42">
        <f>'PCR Cycle 2'!L30*'TDR Cycle 2'!$N22</f>
        <v>46724.433490000003</v>
      </c>
      <c r="M22" s="62">
        <f>'PCR Cycle 2'!M30*'TDR Cycle 2'!$N22</f>
        <v>47757.780050000001</v>
      </c>
      <c r="N22" s="73">
        <v>3.1E-4</v>
      </c>
      <c r="O22" s="4"/>
    </row>
    <row r="23" spans="1:15" x14ac:dyDescent="0.35">
      <c r="A23" s="47" t="s">
        <v>111</v>
      </c>
      <c r="C23" s="200">
        <v>-33373.446499999998</v>
      </c>
      <c r="D23" s="203">
        <v>0</v>
      </c>
      <c r="E23" s="137">
        <f>ROUND('[4]May 2021'!$F65,2)</f>
        <v>6641.32</v>
      </c>
      <c r="F23" s="137">
        <f>ROUND('[4]Jun 2021'!$F65,2)</f>
        <v>10174.19</v>
      </c>
      <c r="G23" s="137">
        <f>ROUND('[4]Jul 2021'!$F65,2)</f>
        <v>11202.41</v>
      </c>
      <c r="H23" s="16">
        <f>ROUND('[4]Aug 2021'!$F65,2)</f>
        <v>10201.36</v>
      </c>
      <c r="I23" s="122">
        <f>ROUND('[4]Sep 2021'!$F65,2)</f>
        <v>5540.41</v>
      </c>
      <c r="J23" s="174">
        <f>ROUND('[4]Oct 2021'!$F65,2)</f>
        <v>4139.58</v>
      </c>
      <c r="K23" s="124">
        <f>'PCR Cycle 2'!K31*'TDR Cycle 2'!$N23</f>
        <v>4003.1639</v>
      </c>
      <c r="L23" s="42">
        <f>'PCR Cycle 2'!L31*'TDR Cycle 2'!$N23</f>
        <v>4331.7701999999999</v>
      </c>
      <c r="M23" s="62">
        <f>'PCR Cycle 2'!M31*'TDR Cycle 2'!$N23</f>
        <v>4427.5707000000002</v>
      </c>
      <c r="N23" s="73">
        <v>1E-4</v>
      </c>
      <c r="O23" s="4"/>
    </row>
    <row r="24" spans="1:15" x14ac:dyDescent="0.35">
      <c r="C24" s="68"/>
      <c r="D24" s="205"/>
      <c r="E24" s="69"/>
      <c r="F24" s="69"/>
      <c r="G24" s="69"/>
      <c r="H24" s="68"/>
      <c r="I24" s="69"/>
      <c r="J24" s="172"/>
      <c r="K24" s="57"/>
      <c r="L24" s="57"/>
      <c r="M24" s="13"/>
      <c r="O24" s="4"/>
    </row>
    <row r="25" spans="1:15" x14ac:dyDescent="0.35">
      <c r="A25" s="40" t="s">
        <v>66</v>
      </c>
      <c r="B25" s="40"/>
      <c r="C25" s="68"/>
      <c r="D25" s="205"/>
      <c r="E25" s="57"/>
      <c r="F25" s="57"/>
      <c r="G25" s="57"/>
      <c r="H25" s="12"/>
      <c r="I25" s="57"/>
      <c r="J25" s="173"/>
      <c r="K25" s="57"/>
      <c r="L25" s="57"/>
      <c r="M25" s="13"/>
      <c r="N25" s="7"/>
    </row>
    <row r="26" spans="1:15" x14ac:dyDescent="0.35">
      <c r="A26" s="47" t="s">
        <v>24</v>
      </c>
      <c r="C26" s="201">
        <v>-6636495.2629699912</v>
      </c>
      <c r="D26" s="206"/>
      <c r="E26" s="112">
        <f>+'[3]Monthly TD Calc'!BL285</f>
        <v>3370413.5458254805</v>
      </c>
      <c r="F26" s="112">
        <f>+'[3]Monthly TD Calc'!BM285</f>
        <v>3266081.7171445102</v>
      </c>
      <c r="G26" s="126">
        <f>+'[3]Monthly TD Calc'!BN285</f>
        <v>3680422.2557181921</v>
      </c>
      <c r="H26" s="75">
        <f>+'[3]Monthly TD Calc'!BO285</f>
        <v>3515394.0907785045</v>
      </c>
      <c r="I26" s="76">
        <f>+'[3]Monthly TD Calc'!BP285</f>
        <v>3065941.0702093444</v>
      </c>
      <c r="J26" s="174">
        <f>+'[3]Monthly TD Calc'!BQ285</f>
        <v>3188466.8000968723</v>
      </c>
      <c r="K26" s="163">
        <f>+'[3]Monthly TD Calc'!BR285</f>
        <v>3066562.9817966414</v>
      </c>
      <c r="L26" s="145">
        <f>+'[3]Monthly TD Calc'!BS285</f>
        <v>3662309.1959070778</v>
      </c>
      <c r="M26" s="81"/>
      <c r="N26" s="60">
        <f>SUM(C26:L26)</f>
        <v>20179096.394506633</v>
      </c>
    </row>
    <row r="27" spans="1:15" x14ac:dyDescent="0.35">
      <c r="A27" s="47" t="s">
        <v>108</v>
      </c>
      <c r="C27" s="201">
        <v>-1103492.0612218208</v>
      </c>
      <c r="D27" s="206"/>
      <c r="E27" s="112">
        <f>+'[3]Monthly TD Calc'!BL286</f>
        <v>556499.47614329192</v>
      </c>
      <c r="F27" s="112">
        <f>+'[3]Monthly TD Calc'!BM286</f>
        <v>546992.58507852885</v>
      </c>
      <c r="G27" s="126">
        <f>+'[3]Monthly TD Calc'!BN286</f>
        <v>563211.1824736062</v>
      </c>
      <c r="H27" s="75">
        <f>+'[3]Monthly TD Calc'!BO286</f>
        <v>575288.93952046824</v>
      </c>
      <c r="I27" s="76">
        <f>+'[3]Monthly TD Calc'!BP286</f>
        <v>521940.09533534345</v>
      </c>
      <c r="J27" s="174">
        <f>+'[3]Monthly TD Calc'!BQ286</f>
        <v>550893.96566210699</v>
      </c>
      <c r="K27" s="163">
        <f>+'[3]Monthly TD Calc'!BR286</f>
        <v>519241.44169683417</v>
      </c>
      <c r="L27" s="145">
        <f>+'[3]Monthly TD Calc'!BS286</f>
        <v>517792.72147182899</v>
      </c>
      <c r="M27" s="81"/>
      <c r="N27" s="60">
        <f t="shared" ref="N27:N30" si="6">SUM(C27:L27)</f>
        <v>3248368.3461601879</v>
      </c>
    </row>
    <row r="28" spans="1:15" x14ac:dyDescent="0.35">
      <c r="A28" s="47" t="s">
        <v>109</v>
      </c>
      <c r="C28" s="201">
        <v>-4086115.8519828301</v>
      </c>
      <c r="D28" s="206"/>
      <c r="E28" s="112">
        <f>+'[3]Monthly TD Calc'!BL287</f>
        <v>2051435.6097464242</v>
      </c>
      <c r="F28" s="112">
        <f>+'[3]Monthly TD Calc'!BM287</f>
        <v>2034680.2422364058</v>
      </c>
      <c r="G28" s="126">
        <f>+'[3]Monthly TD Calc'!BN287</f>
        <v>2100193.7252263715</v>
      </c>
      <c r="H28" s="75">
        <f>+'[3]Monthly TD Calc'!BO287</f>
        <v>2134682.8023906159</v>
      </c>
      <c r="I28" s="76">
        <f>+'[3]Monthly TD Calc'!BP287</f>
        <v>1939903.2451075946</v>
      </c>
      <c r="J28" s="174">
        <f>+'[3]Monthly TD Calc'!BQ287</f>
        <v>2014354.5312926706</v>
      </c>
      <c r="K28" s="163">
        <f>+'[3]Monthly TD Calc'!BR287</f>
        <v>1902188.3875856276</v>
      </c>
      <c r="L28" s="145">
        <f>+'[3]Monthly TD Calc'!BS287</f>
        <v>1896713.2328896965</v>
      </c>
      <c r="M28" s="81"/>
      <c r="N28" s="60">
        <f t="shared" si="6"/>
        <v>11988035.924492577</v>
      </c>
    </row>
    <row r="29" spans="1:15" x14ac:dyDescent="0.35">
      <c r="A29" s="47" t="s">
        <v>110</v>
      </c>
      <c r="C29" s="201">
        <v>-5933287.1080048326</v>
      </c>
      <c r="D29" s="206"/>
      <c r="E29" s="112">
        <f>+'[3]Monthly TD Calc'!BL288</f>
        <v>2991661.3414560268</v>
      </c>
      <c r="F29" s="112">
        <f>+'[3]Monthly TD Calc'!BM288</f>
        <v>2941625.7665488054</v>
      </c>
      <c r="G29" s="126">
        <f>+'[3]Monthly TD Calc'!BN288</f>
        <v>3026421.3147310298</v>
      </c>
      <c r="H29" s="75">
        <f>+'[3]Monthly TD Calc'!BO288</f>
        <v>3087695.406693608</v>
      </c>
      <c r="I29" s="76">
        <f>+'[3]Monthly TD Calc'!BP288</f>
        <v>2808644.072664205</v>
      </c>
      <c r="J29" s="174">
        <f>+'[3]Monthly TD Calc'!BQ288</f>
        <v>2956303.3048945833</v>
      </c>
      <c r="K29" s="163">
        <f>+'[3]Monthly TD Calc'!BR288</f>
        <v>2788695.0613562055</v>
      </c>
      <c r="L29" s="145">
        <f>+'[3]Monthly TD Calc'!BS288</f>
        <v>2780898.9069368993</v>
      </c>
      <c r="M29" s="81"/>
      <c r="N29" s="60">
        <f t="shared" si="6"/>
        <v>17448658.06727653</v>
      </c>
    </row>
    <row r="30" spans="1:15" x14ac:dyDescent="0.35">
      <c r="A30" s="47" t="s">
        <v>111</v>
      </c>
      <c r="C30" s="201">
        <v>-1239357.2914375155</v>
      </c>
      <c r="D30" s="206"/>
      <c r="E30" s="112">
        <f>+'[3]Monthly TD Calc'!BL289</f>
        <v>629016.14873591927</v>
      </c>
      <c r="F30" s="112">
        <f>+'[3]Monthly TD Calc'!BM289</f>
        <v>610341.14270159625</v>
      </c>
      <c r="G30" s="126">
        <f>+'[3]Monthly TD Calc'!BN289</f>
        <v>625162.41647787194</v>
      </c>
      <c r="H30" s="75">
        <f>+'[3]Monthly TD Calc'!BO289</f>
        <v>640902.78208922653</v>
      </c>
      <c r="I30" s="76">
        <f>+'[3]Monthly TD Calc'!BP289</f>
        <v>585000.13350031408</v>
      </c>
      <c r="J30" s="174">
        <f>+'[3]Monthly TD Calc'!BQ289</f>
        <v>627474.44586290943</v>
      </c>
      <c r="K30" s="163">
        <f>+'[3]Monthly TD Calc'!BR289</f>
        <v>591300.97023510153</v>
      </c>
      <c r="L30" s="145">
        <f>+'[3]Monthly TD Calc'!BS289</f>
        <v>590013.94408156979</v>
      </c>
      <c r="M30" s="81"/>
      <c r="N30" s="60">
        <f t="shared" si="6"/>
        <v>3659854.6922469931</v>
      </c>
    </row>
    <row r="31" spans="1:15" x14ac:dyDescent="0.35">
      <c r="C31" s="68"/>
      <c r="D31" s="205"/>
      <c r="E31" s="69"/>
      <c r="F31" s="69"/>
      <c r="G31" s="69"/>
      <c r="H31" s="68"/>
      <c r="I31" s="69"/>
      <c r="J31" s="172"/>
      <c r="K31" s="57"/>
      <c r="L31" s="57"/>
      <c r="M31" s="13"/>
    </row>
    <row r="32" spans="1:15" x14ac:dyDescent="0.35">
      <c r="A32" s="47" t="s">
        <v>69</v>
      </c>
      <c r="C32" s="37"/>
      <c r="D32" s="207"/>
      <c r="E32" s="38"/>
      <c r="F32" s="38"/>
      <c r="G32" s="38"/>
      <c r="H32" s="37"/>
      <c r="I32" s="38"/>
      <c r="J32" s="175"/>
      <c r="K32" s="53"/>
      <c r="L32" s="53"/>
      <c r="M32" s="39"/>
    </row>
    <row r="33" spans="1:15" x14ac:dyDescent="0.35">
      <c r="A33" s="47" t="s">
        <v>24</v>
      </c>
      <c r="C33" s="200">
        <v>-527633.56000000006</v>
      </c>
      <c r="D33" s="203"/>
      <c r="E33" s="110">
        <f>ROUND('[3]Monthly TD Calc'!BL326,2)</f>
        <v>216990.47</v>
      </c>
      <c r="F33" s="110">
        <f>ROUND('[3]Monthly TD Calc'!BM326,2)</f>
        <v>310643.09000000003</v>
      </c>
      <c r="G33" s="111">
        <f>ROUND('[3]Monthly TD Calc'!BN326,2)</f>
        <v>359810.86</v>
      </c>
      <c r="H33" s="16">
        <f>ROUND('[3]Monthly TD Calc'!BO326,2)</f>
        <v>342311.19</v>
      </c>
      <c r="I33" s="56">
        <f>ROUND('[3]Monthly TD Calc'!BP326,2)</f>
        <v>291163.2</v>
      </c>
      <c r="J33" s="174">
        <f>ROUND('[3]Monthly TD Calc'!BQ326,2)</f>
        <v>182673.64</v>
      </c>
      <c r="K33" s="164">
        <f>ROUND('[3]Monthly TD Calc'!BR326,2)</f>
        <v>195698.16</v>
      </c>
      <c r="L33" s="144">
        <f>ROUND('[3]Monthly TD Calc'!BS326,2)</f>
        <v>218434.81</v>
      </c>
      <c r="M33" s="80"/>
    </row>
    <row r="34" spans="1:15" x14ac:dyDescent="0.35">
      <c r="A34" s="47" t="s">
        <v>108</v>
      </c>
      <c r="C34" s="200">
        <v>-94264.8</v>
      </c>
      <c r="D34" s="203"/>
      <c r="E34" s="110">
        <f>ROUND('[3]Monthly TD Calc'!BL327,2)</f>
        <v>41945.8</v>
      </c>
      <c r="F34" s="110">
        <f>ROUND('[3]Monthly TD Calc'!BM327,2)</f>
        <v>52319</v>
      </c>
      <c r="G34" s="111">
        <f>ROUND('[3]Monthly TD Calc'!BN327,2)</f>
        <v>51334.75</v>
      </c>
      <c r="H34" s="16">
        <f>ROUND('[3]Monthly TD Calc'!BO327,2)</f>
        <v>52372.19</v>
      </c>
      <c r="I34" s="56">
        <f>ROUND('[3]Monthly TD Calc'!BP327,2)</f>
        <v>48332.98</v>
      </c>
      <c r="J34" s="174">
        <f>ROUND('[3]Monthly TD Calc'!BQ327,2)</f>
        <v>39120.79</v>
      </c>
      <c r="K34" s="164">
        <f>ROUND('[3]Monthly TD Calc'!BR327,2)</f>
        <v>38159.29</v>
      </c>
      <c r="L34" s="144">
        <f>ROUND('[3]Monthly TD Calc'!BS327,2)</f>
        <v>35422.89</v>
      </c>
      <c r="M34" s="80"/>
    </row>
    <row r="35" spans="1:15" x14ac:dyDescent="0.35">
      <c r="A35" s="47" t="s">
        <v>109</v>
      </c>
      <c r="C35" s="200">
        <v>-225887.18</v>
      </c>
      <c r="D35" s="203"/>
      <c r="E35" s="110">
        <f>ROUND('[3]Monthly TD Calc'!BL328,2)</f>
        <v>98233.21</v>
      </c>
      <c r="F35" s="110">
        <f>ROUND('[3]Monthly TD Calc'!BM328,2)</f>
        <v>127653.97</v>
      </c>
      <c r="G35" s="111">
        <f>ROUND('[3]Monthly TD Calc'!BN328,2)</f>
        <v>126334.1</v>
      </c>
      <c r="H35" s="16">
        <f>ROUND('[3]Monthly TD Calc'!BO328,2)</f>
        <v>128917.53</v>
      </c>
      <c r="I35" s="56">
        <f>ROUND('[3]Monthly TD Calc'!BP328,2)</f>
        <v>117550.52</v>
      </c>
      <c r="J35" s="174">
        <f>ROUND('[3]Monthly TD Calc'!BQ328,2)</f>
        <v>87309.38</v>
      </c>
      <c r="K35" s="164">
        <f>ROUND('[3]Monthly TD Calc'!BR328,2)</f>
        <v>88423.72</v>
      </c>
      <c r="L35" s="144">
        <f>ROUND('[3]Monthly TD Calc'!BS328,2)</f>
        <v>80119.53</v>
      </c>
      <c r="M35" s="80"/>
    </row>
    <row r="36" spans="1:15" x14ac:dyDescent="0.35">
      <c r="A36" s="47" t="s">
        <v>110</v>
      </c>
      <c r="C36" s="200">
        <v>-208681.3</v>
      </c>
      <c r="D36" s="203"/>
      <c r="E36" s="110">
        <f>ROUND('[3]Monthly TD Calc'!BL329,2)</f>
        <v>89527.57</v>
      </c>
      <c r="F36" s="110">
        <f>ROUND('[3]Monthly TD Calc'!BM329,2)</f>
        <v>119153.73</v>
      </c>
      <c r="G36" s="111">
        <f>ROUND('[3]Monthly TD Calc'!BN329,2)</f>
        <v>115601.38</v>
      </c>
      <c r="H36" s="16">
        <f>ROUND('[3]Monthly TD Calc'!BO329,2)</f>
        <v>119766.95</v>
      </c>
      <c r="I36" s="56">
        <f>ROUND('[3]Monthly TD Calc'!BP329,2)</f>
        <v>105741.59</v>
      </c>
      <c r="J36" s="174">
        <f>ROUND('[3]Monthly TD Calc'!BQ329,2)</f>
        <v>81169.53</v>
      </c>
      <c r="K36" s="164">
        <f>ROUND('[3]Monthly TD Calc'!BR329,2)</f>
        <v>81177.56</v>
      </c>
      <c r="L36" s="144">
        <f>ROUND('[3]Monthly TD Calc'!BS329,2)</f>
        <v>73142.13</v>
      </c>
      <c r="M36" s="80"/>
    </row>
    <row r="37" spans="1:15" x14ac:dyDescent="0.35">
      <c r="A37" s="47" t="s">
        <v>111</v>
      </c>
      <c r="C37" s="200">
        <v>-21116.260000000002</v>
      </c>
      <c r="D37" s="203"/>
      <c r="E37" s="110">
        <f>ROUND('[3]Monthly TD Calc'!BL330,2)</f>
        <v>9841.15</v>
      </c>
      <c r="F37" s="110">
        <f>ROUND('[3]Monthly TD Calc'!BM330,2)</f>
        <v>11275.11</v>
      </c>
      <c r="G37" s="111">
        <f>ROUND('[3]Monthly TD Calc'!BN330,2)</f>
        <v>10469.42</v>
      </c>
      <c r="H37" s="16">
        <f>ROUND('[3]Monthly TD Calc'!BO330,2)</f>
        <v>11336.85</v>
      </c>
      <c r="I37" s="56">
        <f>ROUND('[3]Monthly TD Calc'!BP330,2)</f>
        <v>10391.39</v>
      </c>
      <c r="J37" s="174">
        <f>ROUND('[3]Monthly TD Calc'!BQ330,2)</f>
        <v>8434.2900000000009</v>
      </c>
      <c r="K37" s="164">
        <f>ROUND('[3]Monthly TD Calc'!BR330,2)</f>
        <v>9240.15</v>
      </c>
      <c r="L37" s="144">
        <f>ROUND('[3]Monthly TD Calc'!BS330,2)</f>
        <v>8317.08</v>
      </c>
      <c r="M37" s="80"/>
      <c r="O37" s="48"/>
    </row>
    <row r="38" spans="1:15" x14ac:dyDescent="0.35">
      <c r="C38" s="100"/>
      <c r="D38" s="204"/>
      <c r="E38" s="18"/>
      <c r="F38" s="18"/>
      <c r="G38" s="18"/>
      <c r="H38" s="92"/>
      <c r="I38" s="18"/>
      <c r="J38" s="170"/>
      <c r="K38" s="57"/>
      <c r="L38" s="57"/>
      <c r="M38" s="13"/>
    </row>
    <row r="39" spans="1:15" ht="15" thickBot="1" x14ac:dyDescent="0.4">
      <c r="A39" s="3" t="s">
        <v>15</v>
      </c>
      <c r="B39" s="3"/>
      <c r="C39" s="202">
        <v>-1155.8799999999999</v>
      </c>
      <c r="D39" s="208"/>
      <c r="E39" s="137">
        <v>558.36</v>
      </c>
      <c r="F39" s="137">
        <v>632.4</v>
      </c>
      <c r="G39" s="138">
        <v>699.92000000000007</v>
      </c>
      <c r="H39" s="27">
        <v>754.11999999999989</v>
      </c>
      <c r="I39" s="123">
        <v>910.14</v>
      </c>
      <c r="J39" s="176">
        <v>1087.1599999999999</v>
      </c>
      <c r="K39" s="165">
        <v>1241.8400000000001</v>
      </c>
      <c r="L39" s="146">
        <v>1397.19</v>
      </c>
      <c r="M39" s="83"/>
    </row>
    <row r="40" spans="1:15" x14ac:dyDescent="0.35">
      <c r="C40" s="65"/>
      <c r="D40" s="211"/>
      <c r="E40" s="67"/>
      <c r="F40" s="67"/>
      <c r="G40" s="34"/>
      <c r="H40" s="65"/>
      <c r="I40" s="34"/>
      <c r="J40" s="177"/>
      <c r="K40" s="35"/>
      <c r="L40" s="35"/>
      <c r="M40" s="61"/>
    </row>
    <row r="41" spans="1:15" x14ac:dyDescent="0.35">
      <c r="A41" s="47" t="s">
        <v>52</v>
      </c>
      <c r="C41" s="66"/>
      <c r="D41" s="212"/>
      <c r="E41" s="36"/>
      <c r="F41" s="36"/>
      <c r="G41" s="36"/>
      <c r="H41" s="66"/>
      <c r="I41" s="36"/>
      <c r="J41" s="178"/>
      <c r="K41" s="35"/>
      <c r="L41" s="35"/>
      <c r="M41" s="61"/>
    </row>
    <row r="42" spans="1:15" x14ac:dyDescent="0.35">
      <c r="A42" s="47" t="s">
        <v>24</v>
      </c>
      <c r="C42" s="209">
        <f>C33-C19</f>
        <v>264147.36812</v>
      </c>
      <c r="D42" s="213">
        <f t="shared" ref="D42" si="7">D33-D19</f>
        <v>0</v>
      </c>
      <c r="E42" s="42">
        <f t="shared" ref="E42:M42" si="8">E33-E19</f>
        <v>31426.350000000006</v>
      </c>
      <c r="F42" s="42">
        <f t="shared" si="8"/>
        <v>63410.570000000036</v>
      </c>
      <c r="G42" s="109">
        <f t="shared" si="8"/>
        <v>7700.1499999999651</v>
      </c>
      <c r="H42" s="41">
        <f t="shared" si="8"/>
        <v>39182.679999999993</v>
      </c>
      <c r="I42" s="42">
        <f t="shared" si="8"/>
        <v>101698.64000000001</v>
      </c>
      <c r="J42" s="62">
        <f t="shared" si="8"/>
        <v>51702.080000000016</v>
      </c>
      <c r="K42" s="124">
        <f t="shared" si="8"/>
        <v>92989.759360000011</v>
      </c>
      <c r="L42" s="42">
        <f t="shared" si="8"/>
        <v>70639.047440000024</v>
      </c>
      <c r="M42" s="62">
        <f t="shared" si="8"/>
        <v>-168683.61791999999</v>
      </c>
    </row>
    <row r="43" spans="1:15" x14ac:dyDescent="0.35">
      <c r="A43" s="47" t="s">
        <v>25</v>
      </c>
      <c r="C43" s="209">
        <f t="shared" ref="C43:D43" si="9">SUM(C34:C37)-SUM(C20:C23)</f>
        <v>278415.22711999994</v>
      </c>
      <c r="D43" s="213">
        <f t="shared" si="9"/>
        <v>0</v>
      </c>
      <c r="E43" s="42">
        <f>SUM(E34:E37)-SUM(E20:E23)</f>
        <v>18789.99000000002</v>
      </c>
      <c r="F43" s="42">
        <f t="shared" ref="F43:M43" si="10">SUM(F34:F37)-SUM(F20:F23)</f>
        <v>60113.119999999995</v>
      </c>
      <c r="G43" s="109">
        <f t="shared" si="10"/>
        <v>6832.3499999999767</v>
      </c>
      <c r="H43" s="41">
        <f t="shared" si="10"/>
        <v>69303.399999999965</v>
      </c>
      <c r="I43" s="42">
        <f t="shared" si="10"/>
        <v>143021.41</v>
      </c>
      <c r="J43" s="62">
        <f t="shared" si="10"/>
        <v>91879.730000000025</v>
      </c>
      <c r="K43" s="124">
        <f t="shared" si="10"/>
        <v>103474.85996</v>
      </c>
      <c r="L43" s="42">
        <f t="shared" si="10"/>
        <v>74156.811969999981</v>
      </c>
      <c r="M43" s="62">
        <f t="shared" si="10"/>
        <v>-125561.62538</v>
      </c>
    </row>
    <row r="44" spans="1:15" x14ac:dyDescent="0.35">
      <c r="C44" s="100"/>
      <c r="D44" s="204"/>
      <c r="E44" s="17"/>
      <c r="F44" s="17"/>
      <c r="G44" s="17"/>
      <c r="H44" s="10"/>
      <c r="I44" s="17"/>
      <c r="J44" s="11"/>
      <c r="K44" s="17"/>
      <c r="L44" s="17"/>
      <c r="M44" s="11"/>
    </row>
    <row r="45" spans="1:15" ht="15" thickBot="1" x14ac:dyDescent="0.4">
      <c r="A45" s="47" t="s">
        <v>53</v>
      </c>
      <c r="C45" s="100"/>
      <c r="D45" s="204"/>
      <c r="E45" s="17"/>
      <c r="F45" s="17"/>
      <c r="G45" s="17"/>
      <c r="H45" s="10"/>
      <c r="I45" s="17"/>
      <c r="J45" s="11"/>
      <c r="K45" s="17"/>
      <c r="L45" s="17"/>
      <c r="M45" s="11"/>
    </row>
    <row r="46" spans="1:15" x14ac:dyDescent="0.35">
      <c r="A46" s="47" t="s">
        <v>24</v>
      </c>
      <c r="B46" s="117">
        <v>92607.291879999961</v>
      </c>
      <c r="C46" s="209">
        <f t="shared" ref="C46:E47" si="11">+B46+C42+B51</f>
        <v>356754.66</v>
      </c>
      <c r="D46" s="213">
        <f t="shared" si="11"/>
        <v>356027.39999999997</v>
      </c>
      <c r="E46" s="42">
        <f t="shared" si="11"/>
        <v>387453.75</v>
      </c>
      <c r="F46" s="42">
        <f t="shared" ref="F46:M46" si="12">+E46+F42+E51</f>
        <v>451204.00000000006</v>
      </c>
      <c r="G46" s="109">
        <f t="shared" si="12"/>
        <v>459283.96</v>
      </c>
      <c r="H46" s="41">
        <f t="shared" si="12"/>
        <v>498881.62</v>
      </c>
      <c r="I46" s="42">
        <f t="shared" si="12"/>
        <v>601015.54</v>
      </c>
      <c r="J46" s="62">
        <f t="shared" si="12"/>
        <v>653214.51000000013</v>
      </c>
      <c r="K46" s="124">
        <f t="shared" si="12"/>
        <v>746771.32936000021</v>
      </c>
      <c r="L46" s="42">
        <f t="shared" si="12"/>
        <v>818043.34680000017</v>
      </c>
      <c r="M46" s="62">
        <f t="shared" si="12"/>
        <v>650067.21888000017</v>
      </c>
    </row>
    <row r="47" spans="1:15" ht="15" thickBot="1" x14ac:dyDescent="0.4">
      <c r="A47" s="47" t="s">
        <v>25</v>
      </c>
      <c r="B47" s="118">
        <v>-48058.667119999955</v>
      </c>
      <c r="C47" s="209">
        <f t="shared" si="11"/>
        <v>230356.56</v>
      </c>
      <c r="D47" s="213">
        <f t="shared" si="11"/>
        <v>229927.94</v>
      </c>
      <c r="E47" s="42">
        <f t="shared" si="11"/>
        <v>248717.93000000002</v>
      </c>
      <c r="F47" s="42">
        <f t="shared" ref="F47:M47" si="13">+E47+F43+E52</f>
        <v>309049.73000000004</v>
      </c>
      <c r="G47" s="109">
        <f t="shared" si="13"/>
        <v>316134.68</v>
      </c>
      <c r="H47" s="41">
        <f t="shared" si="13"/>
        <v>385723.01999999996</v>
      </c>
      <c r="I47" s="42">
        <f t="shared" si="13"/>
        <v>529063.2699999999</v>
      </c>
      <c r="J47" s="62">
        <f t="shared" si="13"/>
        <v>621356.23999999987</v>
      </c>
      <c r="K47" s="124">
        <f t="shared" si="13"/>
        <v>725351.20995999989</v>
      </c>
      <c r="L47" s="42">
        <f t="shared" si="13"/>
        <v>800116.89192999981</v>
      </c>
      <c r="M47" s="62">
        <f t="shared" si="13"/>
        <v>675244.96654999978</v>
      </c>
    </row>
    <row r="48" spans="1:15" x14ac:dyDescent="0.35">
      <c r="C48" s="100"/>
      <c r="D48" s="204"/>
      <c r="E48" s="17"/>
      <c r="F48" s="17"/>
      <c r="G48" s="17"/>
      <c r="H48" s="10"/>
      <c r="I48" s="17"/>
      <c r="J48" s="11"/>
      <c r="K48" s="17"/>
      <c r="L48" s="17"/>
      <c r="M48" s="11"/>
    </row>
    <row r="49" spans="1:13" x14ac:dyDescent="0.35">
      <c r="A49" s="40" t="s">
        <v>125</v>
      </c>
      <c r="B49" s="40"/>
      <c r="C49" s="105"/>
      <c r="D49" s="214"/>
      <c r="E49" s="84">
        <f>+'PCR Cycle 2'!E50</f>
        <v>9.1374999999999996E-4</v>
      </c>
      <c r="F49" s="84">
        <f>+'PCR Cycle 2'!F50</f>
        <v>9.0538999999999995E-4</v>
      </c>
      <c r="G49" s="84">
        <f>+'PCR Cycle 2'!G50</f>
        <v>9.1118000000000004E-4</v>
      </c>
      <c r="H49" s="85">
        <f>+'PCR Cycle 2'!H50</f>
        <v>9.0817999999999997E-4</v>
      </c>
      <c r="I49" s="84">
        <f>+'PCR Cycle 2'!I50</f>
        <v>9.0315999999999997E-4</v>
      </c>
      <c r="J49" s="93">
        <f>+'PCR Cycle 2'!J50</f>
        <v>9.0388000000000003E-4</v>
      </c>
      <c r="K49" s="84">
        <f>+'PCR Cycle 2'!K50</f>
        <v>9.0388000000000003E-4</v>
      </c>
      <c r="L49" s="84">
        <f>+'PCR Cycle 2'!L50</f>
        <v>9.0388000000000003E-4</v>
      </c>
      <c r="M49" s="86"/>
    </row>
    <row r="50" spans="1:13" x14ac:dyDescent="0.35">
      <c r="A50" s="40" t="s">
        <v>37</v>
      </c>
      <c r="B50" s="40"/>
      <c r="C50" s="107"/>
      <c r="D50" s="215"/>
      <c r="E50" s="84"/>
      <c r="F50" s="84"/>
      <c r="G50" s="84"/>
      <c r="H50" s="85"/>
      <c r="I50" s="84"/>
      <c r="J50" s="86"/>
      <c r="K50" s="84"/>
      <c r="L50" s="84"/>
      <c r="M50" s="86"/>
    </row>
    <row r="51" spans="1:13" x14ac:dyDescent="0.35">
      <c r="A51" s="47" t="s">
        <v>24</v>
      </c>
      <c r="C51" s="209">
        <v>-727.26</v>
      </c>
      <c r="D51" s="213"/>
      <c r="E51" s="257">
        <f>ROUND((D46+D51+E42/2)*E$49,2)</f>
        <v>339.68</v>
      </c>
      <c r="F51" s="257">
        <f t="shared" ref="F51:F52" si="14">ROUND((E46+E51+F42/2)*F$49,2)</f>
        <v>379.81</v>
      </c>
      <c r="G51" s="256">
        <f t="shared" ref="G51:G52" si="15">ROUND((F46+F51+G42/2)*G$49,2)</f>
        <v>414.98</v>
      </c>
      <c r="H51" s="41">
        <f t="shared" ref="H51:H52" si="16">ROUND((G46+G51+H42/2)*H$49,2)</f>
        <v>435.28</v>
      </c>
      <c r="I51" s="124">
        <f t="shared" ref="I51:J52" si="17">ROUND((H46+H51+I42/2)*I$49,2)</f>
        <v>496.89</v>
      </c>
      <c r="J51" s="62">
        <f t="shared" si="17"/>
        <v>567.05999999999995</v>
      </c>
      <c r="K51" s="166">
        <f t="shared" ref="K51:K52" si="18">ROUND((J46+J51+K42/2)*K$49,2)</f>
        <v>632.97</v>
      </c>
      <c r="L51" s="109">
        <f t="shared" ref="L51:L52" si="19">ROUND((K46+K51+L42/2)*L$49,2)</f>
        <v>707.49</v>
      </c>
      <c r="M51" s="62">
        <f t="shared" ref="M51:M52" si="20">ROUND((L46+L51+M42/2)*M$49,2)</f>
        <v>0</v>
      </c>
    </row>
    <row r="52" spans="1:13" ht="15" thickBot="1" x14ac:dyDescent="0.4">
      <c r="A52" s="47" t="s">
        <v>25</v>
      </c>
      <c r="C52" s="209">
        <v>-428.62</v>
      </c>
      <c r="D52" s="213"/>
      <c r="E52" s="257">
        <f>ROUND((D47+D52+E43/2)*E$49,2)</f>
        <v>218.68</v>
      </c>
      <c r="F52" s="257">
        <f t="shared" si="14"/>
        <v>252.6</v>
      </c>
      <c r="G52" s="256">
        <f t="shared" si="15"/>
        <v>284.94</v>
      </c>
      <c r="H52" s="41">
        <f t="shared" si="16"/>
        <v>318.83999999999997</v>
      </c>
      <c r="I52" s="124">
        <f t="shared" si="17"/>
        <v>413.24</v>
      </c>
      <c r="J52" s="62">
        <f t="shared" si="17"/>
        <v>520.11</v>
      </c>
      <c r="K52" s="166">
        <f t="shared" si="18"/>
        <v>608.87</v>
      </c>
      <c r="L52" s="109">
        <f t="shared" si="19"/>
        <v>689.7</v>
      </c>
      <c r="M52" s="62">
        <f t="shared" si="20"/>
        <v>0</v>
      </c>
    </row>
    <row r="53" spans="1:13" ht="15.5" thickTop="1" thickBot="1" x14ac:dyDescent="0.4">
      <c r="A53" s="55" t="s">
        <v>22</v>
      </c>
      <c r="B53" s="55"/>
      <c r="C53" s="210">
        <v>0</v>
      </c>
      <c r="D53" s="216"/>
      <c r="E53" s="43">
        <f>SUM(E51:E52)+SUM(E46:E47)-E56</f>
        <v>0</v>
      </c>
      <c r="F53" s="43">
        <f t="shared" ref="F53:M53" si="21">SUM(F51:F52)+SUM(F46:F47)-F56</f>
        <v>0</v>
      </c>
      <c r="G53" s="51">
        <f t="shared" si="21"/>
        <v>0</v>
      </c>
      <c r="H53" s="52">
        <f t="shared" si="21"/>
        <v>0</v>
      </c>
      <c r="I53" s="43">
        <f t="shared" si="21"/>
        <v>0</v>
      </c>
      <c r="J53" s="63">
        <f t="shared" si="21"/>
        <v>0</v>
      </c>
      <c r="K53" s="167">
        <f t="shared" si="21"/>
        <v>0</v>
      </c>
      <c r="L53" s="51">
        <f t="shared" si="21"/>
        <v>0</v>
      </c>
      <c r="M53" s="63">
        <f t="shared" si="21"/>
        <v>0</v>
      </c>
    </row>
    <row r="54" spans="1:13" ht="15.5" thickTop="1" thickBot="1" x14ac:dyDescent="0.4">
      <c r="A54" s="55" t="s">
        <v>23</v>
      </c>
      <c r="B54" s="55"/>
      <c r="C54" s="210">
        <v>0</v>
      </c>
      <c r="D54" s="216"/>
      <c r="E54" s="43">
        <f>SUM(E51:E52)-E39</f>
        <v>0</v>
      </c>
      <c r="F54" s="43">
        <f t="shared" ref="F54:J54" si="22">SUM(F51:F52)-F39</f>
        <v>9.9999999999909051E-3</v>
      </c>
      <c r="G54" s="51">
        <f t="shared" ref="G54:I54" si="23">SUM(G51:G52)-G39</f>
        <v>0</v>
      </c>
      <c r="H54" s="52">
        <f t="shared" si="23"/>
        <v>0</v>
      </c>
      <c r="I54" s="43">
        <f t="shared" si="23"/>
        <v>-9.9999999999909051E-3</v>
      </c>
      <c r="J54" s="63">
        <f t="shared" si="22"/>
        <v>1.0000000000218279E-2</v>
      </c>
      <c r="K54" s="168">
        <f t="shared" ref="K54:M54" si="24">SUM(K51:K52)-K39</f>
        <v>0</v>
      </c>
      <c r="L54" s="43">
        <f t="shared" si="24"/>
        <v>0</v>
      </c>
      <c r="M54" s="43">
        <f t="shared" si="24"/>
        <v>0</v>
      </c>
    </row>
    <row r="55" spans="1:13" ht="15.5" thickTop="1" thickBot="1" x14ac:dyDescent="0.4">
      <c r="C55" s="100"/>
      <c r="D55" s="204"/>
      <c r="E55" s="17"/>
      <c r="F55" s="17"/>
      <c r="G55" s="17"/>
      <c r="H55" s="10"/>
      <c r="I55" s="17"/>
      <c r="J55" s="11"/>
      <c r="K55" s="17"/>
      <c r="L55" s="17"/>
      <c r="M55" s="11"/>
    </row>
    <row r="56" spans="1:13" ht="15" thickBot="1" x14ac:dyDescent="0.4">
      <c r="A56" s="47" t="s">
        <v>36</v>
      </c>
      <c r="B56" s="120">
        <f>+B46+B47</f>
        <v>44548.624760000006</v>
      </c>
      <c r="C56" s="209">
        <f>(C16-SUM(C19:C23))+SUM(C51:C52)+B56</f>
        <v>585955.3400000002</v>
      </c>
      <c r="D56" s="213">
        <f>(D16-SUM(D19:D23))+SUM(D51:D52)+C56</f>
        <v>585955.3400000002</v>
      </c>
      <c r="E56" s="42">
        <f>(E16-SUM(E19:E23))+SUM(E51:E52)+D56</f>
        <v>636730.04000000039</v>
      </c>
      <c r="F56" s="257">
        <f t="shared" ref="F56:M56" si="25">(F16-SUM(F19:F23))+SUM(F51:F52)+E56</f>
        <v>760886.14000000036</v>
      </c>
      <c r="G56" s="109">
        <f t="shared" si="25"/>
        <v>776118.56000000041</v>
      </c>
      <c r="H56" s="41">
        <f t="shared" si="25"/>
        <v>885358.76000000036</v>
      </c>
      <c r="I56" s="42">
        <f t="shared" si="25"/>
        <v>1130988.9400000004</v>
      </c>
      <c r="J56" s="62">
        <f t="shared" si="25"/>
        <v>1275657.9200000004</v>
      </c>
      <c r="K56" s="166">
        <f t="shared" si="25"/>
        <v>1473364.3793200005</v>
      </c>
      <c r="L56" s="109">
        <f t="shared" si="25"/>
        <v>1619557.4287300005</v>
      </c>
      <c r="M56" s="62">
        <f t="shared" si="25"/>
        <v>1325312.1854300005</v>
      </c>
    </row>
    <row r="57" spans="1:13" x14ac:dyDescent="0.35">
      <c r="A57" s="47" t="s">
        <v>12</v>
      </c>
      <c r="C57" s="121"/>
      <c r="D57" s="217"/>
      <c r="E57" s="17"/>
      <c r="F57" s="17"/>
      <c r="G57" s="17"/>
      <c r="H57" s="10"/>
      <c r="I57" s="17"/>
      <c r="J57" s="11"/>
      <c r="K57" s="17"/>
      <c r="L57" s="17"/>
      <c r="M57" s="11"/>
    </row>
    <row r="58" spans="1:13" ht="15" thickBot="1" x14ac:dyDescent="0.4">
      <c r="A58" s="38"/>
      <c r="B58" s="38"/>
      <c r="C58" s="149"/>
      <c r="D58" s="218"/>
      <c r="E58" s="45"/>
      <c r="F58" s="45"/>
      <c r="G58" s="45"/>
      <c r="H58" s="44"/>
      <c r="I58" s="45"/>
      <c r="J58" s="46"/>
      <c r="K58" s="45"/>
      <c r="L58" s="45"/>
      <c r="M58" s="46"/>
    </row>
    <row r="60" spans="1:13" x14ac:dyDescent="0.35">
      <c r="A60" s="70" t="s">
        <v>11</v>
      </c>
      <c r="B60" s="70"/>
      <c r="C60" s="70"/>
      <c r="D60" s="70"/>
    </row>
    <row r="61" spans="1:13" ht="34.5" customHeight="1" x14ac:dyDescent="0.35">
      <c r="A61" s="302" t="s">
        <v>182</v>
      </c>
      <c r="B61" s="302"/>
      <c r="C61" s="302"/>
      <c r="D61" s="302"/>
      <c r="E61" s="302"/>
      <c r="F61" s="302"/>
      <c r="G61" s="302"/>
      <c r="H61" s="302"/>
      <c r="I61" s="302"/>
      <c r="J61" s="302"/>
      <c r="K61" s="198"/>
      <c r="L61" s="147"/>
      <c r="M61" s="147"/>
    </row>
    <row r="62" spans="1:13" ht="42.75" customHeight="1" x14ac:dyDescent="0.35">
      <c r="A62" s="302" t="s">
        <v>170</v>
      </c>
      <c r="B62" s="302"/>
      <c r="C62" s="302"/>
      <c r="D62" s="302"/>
      <c r="E62" s="302"/>
      <c r="F62" s="302"/>
      <c r="G62" s="302"/>
      <c r="H62" s="302"/>
      <c r="I62" s="302"/>
      <c r="J62" s="302"/>
      <c r="K62" s="302"/>
      <c r="L62" s="147"/>
      <c r="M62" s="147"/>
    </row>
    <row r="63" spans="1:13" ht="33.75" customHeight="1" x14ac:dyDescent="0.35">
      <c r="A63" s="302" t="s">
        <v>183</v>
      </c>
      <c r="B63" s="302"/>
      <c r="C63" s="302"/>
      <c r="D63" s="302"/>
      <c r="E63" s="302"/>
      <c r="F63" s="302"/>
      <c r="G63" s="302"/>
      <c r="H63" s="302"/>
      <c r="I63" s="302"/>
      <c r="J63" s="302"/>
      <c r="K63" s="198"/>
      <c r="L63" s="147"/>
      <c r="M63" s="147"/>
    </row>
    <row r="64" spans="1:13" x14ac:dyDescent="0.35">
      <c r="A64" s="3" t="s">
        <v>67</v>
      </c>
      <c r="B64" s="3"/>
      <c r="C64" s="3"/>
      <c r="D64" s="3"/>
    </row>
    <row r="65" spans="1:7" x14ac:dyDescent="0.35">
      <c r="A65" s="64" t="s">
        <v>179</v>
      </c>
      <c r="B65" s="3"/>
      <c r="C65" s="3"/>
      <c r="D65" s="3"/>
    </row>
    <row r="66" spans="1:7" x14ac:dyDescent="0.35">
      <c r="A66" s="3" t="s">
        <v>70</v>
      </c>
      <c r="B66" s="3"/>
      <c r="C66" s="3"/>
      <c r="D66" s="3"/>
    </row>
    <row r="67" spans="1:7" x14ac:dyDescent="0.35">
      <c r="A67" s="3" t="s">
        <v>184</v>
      </c>
      <c r="B67" s="3"/>
      <c r="C67" s="3"/>
      <c r="D67" s="3"/>
    </row>
    <row r="69" spans="1:7" ht="31.5" customHeight="1" x14ac:dyDescent="0.35">
      <c r="A69" s="298"/>
      <c r="B69" s="298"/>
      <c r="C69" s="298"/>
      <c r="D69" s="298"/>
      <c r="E69" s="298"/>
      <c r="F69" s="298"/>
      <c r="G69" s="298"/>
    </row>
  </sheetData>
  <mergeCells count="7">
    <mergeCell ref="A69:G69"/>
    <mergeCell ref="A63:J63"/>
    <mergeCell ref="E14:G14"/>
    <mergeCell ref="A61:J61"/>
    <mergeCell ref="A62:K62"/>
    <mergeCell ref="H14:J14"/>
    <mergeCell ref="K14:M14"/>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74"/>
  <sheetViews>
    <sheetView zoomScaleNormal="100" workbookViewId="0">
      <pane xSplit="1" ySplit="2" topLeftCell="B3" activePane="bottomRight" state="frozen"/>
      <selection activeCell="G8" sqref="G8"/>
      <selection pane="topRight" activeCell="G8" sqref="G8"/>
      <selection pane="bottomLeft" activeCell="G8" sqref="G8"/>
      <selection pane="bottomRight" activeCell="B3" sqref="B3"/>
    </sheetView>
  </sheetViews>
  <sheetFormatPr defaultColWidth="9.1796875" defaultRowHeight="14.5" outlineLevelCol="1" x14ac:dyDescent="0.35"/>
  <cols>
    <col min="1" max="1" width="61.7265625" style="47" customWidth="1"/>
    <col min="2" max="2" width="12.1796875" style="47" customWidth="1"/>
    <col min="3" max="3" width="12.453125" style="47" customWidth="1"/>
    <col min="4" max="4" width="12.453125" style="47" hidden="1" customWidth="1" outlineLevel="1"/>
    <col min="5" max="5" width="15.453125" style="47" customWidth="1" collapsed="1"/>
    <col min="6" max="6" width="15.81640625" style="47" customWidth="1"/>
    <col min="7" max="7" width="12.26953125" style="47" customWidth="1"/>
    <col min="8" max="9" width="13.26953125" style="47" customWidth="1"/>
    <col min="10" max="10" width="12.26953125" style="47" bestFit="1" customWidth="1"/>
    <col min="11" max="11" width="11.54296875" style="47" bestFit="1" customWidth="1"/>
    <col min="12" max="12" width="12.81640625" style="47" customWidth="1"/>
    <col min="13" max="13" width="10.7265625" style="47" bestFit="1" customWidth="1"/>
    <col min="14" max="14" width="15" style="47" bestFit="1" customWidth="1"/>
    <col min="15" max="15" width="16" style="47" bestFit="1"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Metro, Inc. - DSIM Rider Update Filed 12/02/2021</v>
      </c>
      <c r="B1" s="3"/>
      <c r="C1" s="3"/>
      <c r="D1" s="3"/>
    </row>
    <row r="2" spans="1:35" x14ac:dyDescent="0.35">
      <c r="E2" s="3" t="s">
        <v>142</v>
      </c>
    </row>
    <row r="3" spans="1:35" ht="29" x14ac:dyDescent="0.35">
      <c r="E3" s="49" t="s">
        <v>46</v>
      </c>
      <c r="F3" s="71" t="s">
        <v>71</v>
      </c>
      <c r="G3" s="71" t="s">
        <v>54</v>
      </c>
      <c r="H3" s="49" t="s">
        <v>3</v>
      </c>
      <c r="I3" s="71" t="s">
        <v>55</v>
      </c>
      <c r="J3" s="49" t="s">
        <v>10</v>
      </c>
      <c r="K3" s="49" t="s">
        <v>9</v>
      </c>
      <c r="S3" s="49"/>
    </row>
    <row r="4" spans="1:35" x14ac:dyDescent="0.35">
      <c r="A4" s="20" t="s">
        <v>24</v>
      </c>
      <c r="B4" s="20"/>
      <c r="C4" s="20"/>
      <c r="D4" s="20"/>
      <c r="E4" s="22">
        <f>SUM(C16:M16)</f>
        <v>2609037.7596</v>
      </c>
      <c r="F4" s="139">
        <f>N23</f>
        <v>33599465.279287368</v>
      </c>
      <c r="G4" s="22">
        <f>SUM(C30:L30)</f>
        <v>3036991.06</v>
      </c>
      <c r="H4" s="22">
        <f>G4-E4</f>
        <v>427953.30040000007</v>
      </c>
      <c r="I4" s="22">
        <f>+B46</f>
        <v>92678.580720000013</v>
      </c>
      <c r="J4" s="22">
        <f>SUM(C54:L54)</f>
        <v>5311.24</v>
      </c>
      <c r="K4" s="26">
        <f>SUM(H4:J4)</f>
        <v>525943.12112000014</v>
      </c>
      <c r="L4" s="48">
        <f>+K4-M46</f>
        <v>0</v>
      </c>
    </row>
    <row r="5" spans="1:35" x14ac:dyDescent="0.35">
      <c r="A5" s="20" t="s">
        <v>108</v>
      </c>
      <c r="B5" s="20"/>
      <c r="C5" s="20"/>
      <c r="D5" s="20"/>
      <c r="E5" s="22">
        <f t="shared" ref="E5:E7" si="0">SUM(C17:M17)</f>
        <v>201278.80747</v>
      </c>
      <c r="F5" s="139">
        <f t="shared" ref="F5:F7" si="1">N24</f>
        <v>2122567.4163450301</v>
      </c>
      <c r="G5" s="22">
        <f t="shared" ref="G5:G7" si="2">SUM(C31:L31)</f>
        <v>182113.06</v>
      </c>
      <c r="H5" s="22">
        <f t="shared" ref="H5:H7" si="3">G5-E5</f>
        <v>-19165.747470000002</v>
      </c>
      <c r="I5" s="22">
        <f t="shared" ref="I5:I7" si="4">+B47</f>
        <v>-187541.60919999998</v>
      </c>
      <c r="J5" s="22">
        <f t="shared" ref="J5:J7" si="5">SUM(C55:L55)</f>
        <v>-911.9</v>
      </c>
      <c r="K5" s="26">
        <f t="shared" ref="K5:K7" si="6">SUM(H5:J5)</f>
        <v>-207619.25666999997</v>
      </c>
      <c r="L5" s="48">
        <f>+K5-M47</f>
        <v>0</v>
      </c>
    </row>
    <row r="6" spans="1:35" x14ac:dyDescent="0.35">
      <c r="A6" s="20" t="s">
        <v>109</v>
      </c>
      <c r="B6" s="20"/>
      <c r="C6" s="20"/>
      <c r="D6" s="20"/>
      <c r="E6" s="22">
        <f t="shared" si="0"/>
        <v>524450.09053000004</v>
      </c>
      <c r="F6" s="139">
        <f t="shared" si="1"/>
        <v>7770442.5514824819</v>
      </c>
      <c r="G6" s="22">
        <f t="shared" si="2"/>
        <v>423570.84</v>
      </c>
      <c r="H6" s="22">
        <f t="shared" si="3"/>
        <v>-100879.25053000002</v>
      </c>
      <c r="I6" s="22">
        <f t="shared" si="4"/>
        <v>-55535.986719999986</v>
      </c>
      <c r="J6" s="22">
        <f t="shared" si="5"/>
        <v>0.81000000000000227</v>
      </c>
      <c r="K6" s="26">
        <f t="shared" si="6"/>
        <v>-156414.42725000001</v>
      </c>
      <c r="L6" s="48">
        <f>+K6-M48</f>
        <v>0</v>
      </c>
    </row>
    <row r="7" spans="1:35" x14ac:dyDescent="0.35">
      <c r="A7" s="20" t="s">
        <v>110</v>
      </c>
      <c r="B7" s="20"/>
      <c r="C7" s="20"/>
      <c r="D7" s="20"/>
      <c r="E7" s="22">
        <f t="shared" si="0"/>
        <v>453785.82692999998</v>
      </c>
      <c r="F7" s="139">
        <f t="shared" si="1"/>
        <v>13451021.126601141</v>
      </c>
      <c r="G7" s="22">
        <f t="shared" si="2"/>
        <v>444484.14</v>
      </c>
      <c r="H7" s="22">
        <f t="shared" si="3"/>
        <v>-9301.6869299999671</v>
      </c>
      <c r="I7" s="22">
        <f t="shared" si="4"/>
        <v>-137043.58315999998</v>
      </c>
      <c r="J7" s="22">
        <f t="shared" si="5"/>
        <v>-226.86000000000004</v>
      </c>
      <c r="K7" s="26">
        <f t="shared" si="6"/>
        <v>-146572.13008999993</v>
      </c>
      <c r="L7" s="48">
        <f>+K7-M49</f>
        <v>0</v>
      </c>
    </row>
    <row r="8" spans="1:35" ht="15" thickBot="1" x14ac:dyDescent="0.4">
      <c r="A8" s="20" t="s">
        <v>111</v>
      </c>
      <c r="B8" s="20"/>
      <c r="C8" s="20"/>
      <c r="D8" s="20"/>
      <c r="E8" s="22">
        <f>SUM(C20:M20)</f>
        <v>29559.707159999998</v>
      </c>
      <c r="F8" s="139">
        <f>N27</f>
        <v>757972.87262411555</v>
      </c>
      <c r="G8" s="22">
        <f>SUM(C34:L34)</f>
        <v>12691.630000000001</v>
      </c>
      <c r="H8" s="22">
        <f>G8-E8</f>
        <v>-16868.077159999997</v>
      </c>
      <c r="I8" s="22">
        <f>+B50</f>
        <v>-37329.498599999992</v>
      </c>
      <c r="J8" s="22">
        <f>SUM(C58:L58)</f>
        <v>-230.39</v>
      </c>
      <c r="K8" s="26">
        <f>SUM(H8:J8)</f>
        <v>-54427.965759999992</v>
      </c>
      <c r="L8" s="48">
        <f>+K8-M50</f>
        <v>0</v>
      </c>
    </row>
    <row r="9" spans="1:35" ht="15.5" thickTop="1" thickBot="1" x14ac:dyDescent="0.4">
      <c r="E9" s="28">
        <f t="shared" ref="E9:I9" si="7">SUM(E4:E8)</f>
        <v>3818112.1916900002</v>
      </c>
      <c r="F9" s="140">
        <f t="shared" si="7"/>
        <v>57701469.246340141</v>
      </c>
      <c r="G9" s="28">
        <f t="shared" si="7"/>
        <v>4099850.73</v>
      </c>
      <c r="H9" s="28">
        <f t="shared" si="7"/>
        <v>281738.53831000009</v>
      </c>
      <c r="I9" s="28">
        <f t="shared" si="7"/>
        <v>-324772.09695999994</v>
      </c>
      <c r="J9" s="28">
        <f>SUM(J4:J8)</f>
        <v>3942.900000000001</v>
      </c>
      <c r="K9" s="28">
        <f>SUM(K4:K8)</f>
        <v>-39090.658649999765</v>
      </c>
      <c r="T9" s="5"/>
    </row>
    <row r="10" spans="1:35" ht="15.5" thickTop="1" thickBot="1" x14ac:dyDescent="0.4">
      <c r="K10" s="236"/>
      <c r="L10" s="235"/>
    </row>
    <row r="11" spans="1:35" ht="87.5" thickBot="1" x14ac:dyDescent="0.4">
      <c r="B11" s="119" t="str">
        <f>+'PCR Cycle 2'!B14</f>
        <v>Cumulative Over/Under Carryover From 06/01/2021 Filing</v>
      </c>
      <c r="C11" s="154" t="str">
        <f>+'PCR Cycle 2'!C14</f>
        <v>Reverse May - October 2021  Forecast From 06/01/2021 Filing</v>
      </c>
      <c r="D11" s="219">
        <f>+'PCR Cycle 2'!D14</f>
        <v>0</v>
      </c>
      <c r="E11" s="303" t="s">
        <v>33</v>
      </c>
      <c r="F11" s="303"/>
      <c r="G11" s="304"/>
      <c r="H11" s="308" t="s">
        <v>33</v>
      </c>
      <c r="I11" s="309"/>
      <c r="J11" s="310"/>
      <c r="K11" s="299" t="s">
        <v>8</v>
      </c>
      <c r="L11" s="300"/>
      <c r="M11" s="301"/>
    </row>
    <row r="12" spans="1:35" x14ac:dyDescent="0.35">
      <c r="A12" s="47" t="s">
        <v>63</v>
      </c>
      <c r="C12" s="106"/>
      <c r="D12" s="220"/>
      <c r="E12" s="19">
        <f>+'PCR Cycle 2'!E15</f>
        <v>44347</v>
      </c>
      <c r="F12" s="19">
        <f t="shared" ref="F12:M12" si="8">EOMONTH(E12,1)</f>
        <v>44377</v>
      </c>
      <c r="G12" s="19">
        <f t="shared" si="8"/>
        <v>44408</v>
      </c>
      <c r="H12" s="14">
        <f t="shared" si="8"/>
        <v>44439</v>
      </c>
      <c r="I12" s="19">
        <f t="shared" si="8"/>
        <v>44469</v>
      </c>
      <c r="J12" s="15">
        <f t="shared" si="8"/>
        <v>44500</v>
      </c>
      <c r="K12" s="19">
        <f t="shared" si="8"/>
        <v>44530</v>
      </c>
      <c r="L12" s="19">
        <f t="shared" si="8"/>
        <v>44561</v>
      </c>
      <c r="M12" s="15">
        <f t="shared" si="8"/>
        <v>44592</v>
      </c>
      <c r="Z12" s="1"/>
      <c r="AA12" s="1"/>
      <c r="AB12" s="1"/>
      <c r="AC12" s="1"/>
      <c r="AD12" s="1"/>
      <c r="AE12" s="1"/>
      <c r="AF12" s="1"/>
      <c r="AG12" s="1"/>
      <c r="AH12" s="1"/>
      <c r="AI12" s="1"/>
    </row>
    <row r="13" spans="1:35" x14ac:dyDescent="0.35">
      <c r="A13" s="47" t="s">
        <v>5</v>
      </c>
      <c r="C13" s="200">
        <v>-1007995.2300000001</v>
      </c>
      <c r="D13" s="203"/>
      <c r="E13" s="110">
        <f t="shared" ref="E13:L13" si="9">SUM(E30:E34)</f>
        <v>432001.73</v>
      </c>
      <c r="F13" s="110">
        <f t="shared" si="9"/>
        <v>672924.94</v>
      </c>
      <c r="G13" s="111">
        <f t="shared" si="9"/>
        <v>811775.12</v>
      </c>
      <c r="H13" s="16">
        <f t="shared" si="9"/>
        <v>850090.50999999989</v>
      </c>
      <c r="I13" s="56">
        <f t="shared" si="9"/>
        <v>777980.83000000007</v>
      </c>
      <c r="J13" s="169">
        <f t="shared" si="9"/>
        <v>512794.12999999995</v>
      </c>
      <c r="K13" s="162">
        <f t="shared" si="9"/>
        <v>512238.3</v>
      </c>
      <c r="L13" s="79">
        <f t="shared" si="9"/>
        <v>538040.4</v>
      </c>
      <c r="M13" s="80"/>
    </row>
    <row r="14" spans="1:35" x14ac:dyDescent="0.35">
      <c r="C14" s="100"/>
      <c r="D14" s="204"/>
      <c r="E14" s="17"/>
      <c r="F14" s="17"/>
      <c r="G14" s="17"/>
      <c r="H14" s="10"/>
      <c r="I14" s="17"/>
      <c r="J14" s="11"/>
      <c r="K14" s="32"/>
      <c r="L14" s="32"/>
      <c r="M14" s="30"/>
    </row>
    <row r="15" spans="1:35" x14ac:dyDescent="0.35">
      <c r="A15" s="47" t="s">
        <v>62</v>
      </c>
      <c r="C15" s="100"/>
      <c r="D15" s="204"/>
      <c r="E15" s="18"/>
      <c r="F15" s="18"/>
      <c r="G15" s="18"/>
      <c r="H15" s="92"/>
      <c r="I15" s="18"/>
      <c r="J15" s="170"/>
      <c r="K15" s="32"/>
      <c r="L15" s="32"/>
      <c r="M15" s="30"/>
      <c r="N15" s="3" t="s">
        <v>68</v>
      </c>
      <c r="O15" s="40"/>
    </row>
    <row r="16" spans="1:35" x14ac:dyDescent="0.35">
      <c r="A16" s="47" t="s">
        <v>24</v>
      </c>
      <c r="C16" s="200">
        <v>-904892.4892800001</v>
      </c>
      <c r="D16" s="203"/>
      <c r="E16" s="137">
        <f>ROUND('[4]May 2021'!$F95,2)</f>
        <v>212041.03</v>
      </c>
      <c r="F16" s="137">
        <f>ROUND('[4]Jun 2021'!$F95,2)</f>
        <v>282442.13</v>
      </c>
      <c r="G16" s="137">
        <f>ROUND('[4]Jul 2021'!$F95,2)</f>
        <v>402317.68</v>
      </c>
      <c r="H16" s="16">
        <f>ROUND('[4]Aug 2021'!$F95,2)</f>
        <v>471652.81</v>
      </c>
      <c r="I16" s="122">
        <f>ROUND('[4]Sep 2021'!$F95,2)</f>
        <v>547077.56999999995</v>
      </c>
      <c r="J16" s="174">
        <f>ROUND('[4]Oct 2021'!$F95,2)</f>
        <v>380134.54</v>
      </c>
      <c r="K16" s="124">
        <f>'PCR Cycle 2'!K27*'TDR Cycle 3'!$N16</f>
        <v>298496.28936</v>
      </c>
      <c r="L16" s="42">
        <f>'PCR Cycle 2'!L27*'TDR Cycle 3'!$N16</f>
        <v>429531.43494000001</v>
      </c>
      <c r="M16" s="62">
        <f>'PCR Cycle 2'!M27*'TDR Cycle 3'!$N16</f>
        <v>490236.76458000002</v>
      </c>
      <c r="N16" s="73">
        <v>1.8600000000000001E-3</v>
      </c>
      <c r="O16" s="4"/>
    </row>
    <row r="17" spans="1:15" x14ac:dyDescent="0.35">
      <c r="A17" s="47" t="s">
        <v>108</v>
      </c>
      <c r="C17" s="200">
        <v>-115638.79919999998</v>
      </c>
      <c r="D17" s="203"/>
      <c r="E17" s="137">
        <f>ROUND('[4]May 2021'!$F96,2)</f>
        <v>31685.23</v>
      </c>
      <c r="F17" s="137">
        <f>ROUND('[4]Jun 2021'!$F96,2)</f>
        <v>37734.239999999998</v>
      </c>
      <c r="G17" s="137">
        <f>ROUND('[4]Jul 2021'!$F96,2)</f>
        <v>46179.41</v>
      </c>
      <c r="H17" s="16">
        <f>ROUND('[4]Aug 2021'!$F96,2)</f>
        <v>44792.86</v>
      </c>
      <c r="I17" s="122">
        <f>ROUND('[4]Sep 2021'!$F96,2)</f>
        <v>35990.5</v>
      </c>
      <c r="J17" s="174">
        <f>ROUND('[4]Oct 2021'!$F96,2)</f>
        <v>31834.25</v>
      </c>
      <c r="K17" s="124">
        <f>'PCR Cycle 2'!K28*'TDR Cycle 3'!$N17</f>
        <v>27822.524999999994</v>
      </c>
      <c r="L17" s="42">
        <f>'PCR Cycle 2'!L28*'TDR Cycle 3'!$N17</f>
        <v>30106.382909999993</v>
      </c>
      <c r="M17" s="62">
        <f>'PCR Cycle 2'!M28*'TDR Cycle 3'!$N17</f>
        <v>30772.208759999994</v>
      </c>
      <c r="N17" s="73">
        <v>6.8999999999999986E-4</v>
      </c>
      <c r="O17" s="4"/>
    </row>
    <row r="18" spans="1:15" x14ac:dyDescent="0.35">
      <c r="A18" s="47" t="s">
        <v>109</v>
      </c>
      <c r="C18" s="200">
        <v>-202243.47671999998</v>
      </c>
      <c r="D18" s="203"/>
      <c r="E18" s="137">
        <f>ROUND('[4]May 2021'!$F97,2)</f>
        <v>52085.82</v>
      </c>
      <c r="F18" s="137">
        <f>ROUND('[4]Jun 2021'!$F97,2)</f>
        <v>59621.61</v>
      </c>
      <c r="G18" s="137">
        <f>ROUND('[4]Jul 2021'!$F97,2)</f>
        <v>71261.53</v>
      </c>
      <c r="H18" s="16">
        <f>ROUND('[4]Aug 2021'!$F97,2)</f>
        <v>82264.23</v>
      </c>
      <c r="I18" s="122">
        <f>ROUND('[4]Sep 2021'!$F97,2)</f>
        <v>103225.08</v>
      </c>
      <c r="J18" s="174">
        <f>ROUND('[4]Oct 2021'!$F97,2)</f>
        <v>92025.58</v>
      </c>
      <c r="K18" s="124">
        <f>'PCR Cycle 2'!K29*'TDR Cycle 3'!$N18</f>
        <v>83500.938750000001</v>
      </c>
      <c r="L18" s="42">
        <f>'PCR Cycle 2'!L29*'TDR Cycle 3'!$N18</f>
        <v>90355.251449999996</v>
      </c>
      <c r="M18" s="62">
        <f>'PCR Cycle 2'!M29*'TDR Cycle 3'!$N18</f>
        <v>92353.527050000004</v>
      </c>
      <c r="N18" s="73">
        <v>9.5E-4</v>
      </c>
      <c r="O18" s="4"/>
    </row>
    <row r="19" spans="1:15" x14ac:dyDescent="0.35">
      <c r="A19" s="47" t="s">
        <v>110</v>
      </c>
      <c r="C19" s="200">
        <v>-167217.02315999998</v>
      </c>
      <c r="D19" s="203"/>
      <c r="E19" s="137">
        <f>ROUND('[4]May 2021'!$F98,2)</f>
        <v>46468.480000000003</v>
      </c>
      <c r="F19" s="137">
        <f>ROUND('[4]Jun 2021'!$F98,2)</f>
        <v>49380.28</v>
      </c>
      <c r="G19" s="137">
        <f>ROUND('[4]Jul 2021'!$F98,2)</f>
        <v>57406.26</v>
      </c>
      <c r="H19" s="16">
        <f>ROUND('[4]Aug 2021'!$F98,2)</f>
        <v>66179.34</v>
      </c>
      <c r="I19" s="122">
        <f>ROUND('[4]Sep 2021'!$F98,2)</f>
        <v>86629.54</v>
      </c>
      <c r="J19" s="174">
        <f>ROUND('[4]Oct 2021'!$F98,2)</f>
        <v>79581.08</v>
      </c>
      <c r="K19" s="124">
        <f>'PCR Cycle 2'!K30*'TDR Cycle 3'!$N19</f>
        <v>73823.763070000001</v>
      </c>
      <c r="L19" s="42">
        <f>'PCR Cycle 2'!L30*'TDR Cycle 3'!$N19</f>
        <v>79883.708870000002</v>
      </c>
      <c r="M19" s="62">
        <f>'PCR Cycle 2'!M30*'TDR Cycle 3'!$N19</f>
        <v>81650.398149999994</v>
      </c>
      <c r="N19" s="73">
        <v>5.2999999999999998E-4</v>
      </c>
      <c r="O19" s="4"/>
    </row>
    <row r="20" spans="1:15" x14ac:dyDescent="0.35">
      <c r="A20" s="47" t="s">
        <v>111</v>
      </c>
      <c r="C20" s="200">
        <v>-13349.3786</v>
      </c>
      <c r="D20" s="203"/>
      <c r="E20" s="137">
        <f>ROUND('[4]May 2021'!$F99,2)</f>
        <v>2759.88</v>
      </c>
      <c r="F20" s="137">
        <f>ROUND('[4]Jun 2021'!$F99,2)</f>
        <v>4064.01</v>
      </c>
      <c r="G20" s="137">
        <f>ROUND('[4]Jul 2021'!$F99,2)</f>
        <v>4427.83</v>
      </c>
      <c r="H20" s="16">
        <f>ROUND('[4]Aug 2021'!$F99,2)</f>
        <v>4967.6899999999996</v>
      </c>
      <c r="I20" s="122">
        <f>ROUND('[4]Sep 2021'!$F99,2)</f>
        <v>6433.48</v>
      </c>
      <c r="J20" s="174">
        <f>ROUND('[4]Oct 2021'!$F99,2)</f>
        <v>4941.1899999999996</v>
      </c>
      <c r="K20" s="124">
        <f>'PCR Cycle 2'!K31*'TDR Cycle 3'!$N20</f>
        <v>4803.7966800000004</v>
      </c>
      <c r="L20" s="42">
        <f>'PCR Cycle 2'!L31*'TDR Cycle 3'!$N20</f>
        <v>5198.124240000001</v>
      </c>
      <c r="M20" s="62">
        <f>'PCR Cycle 2'!M31*'TDR Cycle 3'!$N20</f>
        <v>5313.0848400000004</v>
      </c>
      <c r="N20" s="73">
        <v>1.2000000000000002E-4</v>
      </c>
      <c r="O20" s="4"/>
    </row>
    <row r="21" spans="1:15" x14ac:dyDescent="0.35">
      <c r="C21" s="68"/>
      <c r="D21" s="205"/>
      <c r="E21" s="69"/>
      <c r="F21" s="69"/>
      <c r="G21" s="69"/>
      <c r="H21" s="68"/>
      <c r="I21" s="69"/>
      <c r="J21" s="172"/>
      <c r="K21" s="57"/>
      <c r="L21" s="57"/>
      <c r="M21" s="13"/>
      <c r="O21" s="4"/>
    </row>
    <row r="22" spans="1:15" x14ac:dyDescent="0.35">
      <c r="A22" s="40" t="s">
        <v>66</v>
      </c>
      <c r="B22" s="40"/>
      <c r="C22" s="68"/>
      <c r="D22" s="205"/>
      <c r="E22" s="57"/>
      <c r="F22" s="57"/>
      <c r="G22" s="57"/>
      <c r="H22" s="12"/>
      <c r="I22" s="57"/>
      <c r="J22" s="173"/>
      <c r="K22" s="57"/>
      <c r="L22" s="57"/>
      <c r="M22" s="13"/>
      <c r="N22" s="7"/>
    </row>
    <row r="23" spans="1:15" x14ac:dyDescent="0.35">
      <c r="A23" s="47" t="s">
        <v>24</v>
      </c>
      <c r="C23" s="201">
        <v>-7163846.1232812619</v>
      </c>
      <c r="D23" s="206"/>
      <c r="E23" s="112">
        <f>+'[12]Monthly TD Calc'!U460</f>
        <v>3980499.1650471725</v>
      </c>
      <c r="F23" s="112">
        <f>+'[12]Monthly TD Calc'!V460</f>
        <v>4407770.1746592643</v>
      </c>
      <c r="G23" s="126">
        <f>+'[12]Monthly TD Calc'!W460</f>
        <v>5436082.978209787</v>
      </c>
      <c r="H23" s="75">
        <f>+'[12]Monthly TD Calc'!X460</f>
        <v>5669826.6027339119</v>
      </c>
      <c r="I23" s="76">
        <f>+'[12]Monthly TD Calc'!Y460</f>
        <v>5257928.0988771114</v>
      </c>
      <c r="J23" s="174">
        <f>+'[12]Monthly TD Calc'!Z460</f>
        <v>5384998.3033330524</v>
      </c>
      <c r="K23" s="163">
        <f>+'[2]Monthly TD Calc'!AA461</f>
        <v>4847073.4897640916</v>
      </c>
      <c r="L23" s="145">
        <f>+'[2]Monthly TD Calc'!AB461</f>
        <v>5779132.5899442406</v>
      </c>
      <c r="M23" s="81"/>
      <c r="N23" s="60">
        <f>SUM(C23:L23)</f>
        <v>33599465.279287368</v>
      </c>
    </row>
    <row r="24" spans="1:15" x14ac:dyDescent="0.35">
      <c r="A24" s="47" t="s">
        <v>108</v>
      </c>
      <c r="C24" s="201">
        <v>-715395.51176387141</v>
      </c>
      <c r="D24" s="206"/>
      <c r="E24" s="112">
        <f>+'[12]Monthly TD Calc'!U461</f>
        <v>323760.29270714673</v>
      </c>
      <c r="F24" s="112">
        <f>+'[12]Monthly TD Calc'!V461</f>
        <v>321228.66593239456</v>
      </c>
      <c r="G24" s="126">
        <f>+'[12]Monthly TD Calc'!W461</f>
        <v>351847.14475177933</v>
      </c>
      <c r="H24" s="75">
        <f>+'[12]Monthly TD Calc'!X461</f>
        <v>370990.73975802975</v>
      </c>
      <c r="I24" s="76">
        <f>+'[12]Monthly TD Calc'!Y461</f>
        <v>348439.9149008891</v>
      </c>
      <c r="J24" s="174">
        <f>+'[12]Monthly TD Calc'!Z461</f>
        <v>374090.44946320012</v>
      </c>
      <c r="K24" s="163">
        <f>+'[2]Monthly TD Calc'!AA462</f>
        <v>363081.11455638212</v>
      </c>
      <c r="L24" s="145">
        <f>+'[2]Monthly TD Calc'!AB462</f>
        <v>384524.6060390799</v>
      </c>
      <c r="M24" s="81"/>
      <c r="N24" s="60">
        <f t="shared" ref="N24:N27" si="10">SUM(C24:L24)</f>
        <v>2122567.4163450301</v>
      </c>
    </row>
    <row r="25" spans="1:15" x14ac:dyDescent="0.35">
      <c r="A25" s="47" t="s">
        <v>109</v>
      </c>
      <c r="C25" s="201">
        <v>-2528377.8094392186</v>
      </c>
      <c r="D25" s="206"/>
      <c r="E25" s="112">
        <f>+'[12]Monthly TD Calc'!U462</f>
        <v>1178668.404998081</v>
      </c>
      <c r="F25" s="112">
        <f>+'[12]Monthly TD Calc'!V462</f>
        <v>1163491.3383089521</v>
      </c>
      <c r="G25" s="126">
        <f>+'[12]Monthly TD Calc'!W462</f>
        <v>1252216.6811077944</v>
      </c>
      <c r="H25" s="75">
        <f>+'[12]Monthly TD Calc'!X462</f>
        <v>1319165.0304883297</v>
      </c>
      <c r="I25" s="76">
        <f>+'[12]Monthly TD Calc'!Y462</f>
        <v>1256424.9717319557</v>
      </c>
      <c r="J25" s="174">
        <f>+'[12]Monthly TD Calc'!Z462</f>
        <v>1379029.4390379479</v>
      </c>
      <c r="K25" s="163">
        <f>+'[2]Monthly TD Calc'!AA463</f>
        <v>1343769.2687918793</v>
      </c>
      <c r="L25" s="145">
        <f>+'[2]Monthly TD Calc'!AB463</f>
        <v>1406055.2264567607</v>
      </c>
      <c r="M25" s="81"/>
      <c r="N25" s="60">
        <f t="shared" si="10"/>
        <v>7770442.5514824819</v>
      </c>
    </row>
    <row r="26" spans="1:15" x14ac:dyDescent="0.35">
      <c r="A26" s="47" t="s">
        <v>110</v>
      </c>
      <c r="C26" s="201">
        <v>-3813729.3090347275</v>
      </c>
      <c r="D26" s="206"/>
      <c r="E26" s="112">
        <f>+'[12]Monthly TD Calc'!U463</f>
        <v>1787445.2104531885</v>
      </c>
      <c r="F26" s="112">
        <f>+'[12]Monthly TD Calc'!V463</f>
        <v>1944538.1388479329</v>
      </c>
      <c r="G26" s="126">
        <f>+'[12]Monthly TD Calc'!W463</f>
        <v>2208064.5591682591</v>
      </c>
      <c r="H26" s="75">
        <f>+'[12]Monthly TD Calc'!X463</f>
        <v>2266525.8707199586</v>
      </c>
      <c r="I26" s="76">
        <f>+'[12]Monthly TD Calc'!Y463</f>
        <v>2144629.2152454029</v>
      </c>
      <c r="J26" s="174">
        <f>+'[12]Monthly TD Calc'!Z463</f>
        <v>2324624.0820788736</v>
      </c>
      <c r="K26" s="163">
        <f>+'[2]Monthly TD Calc'!AA464</f>
        <v>2244502.8891312792</v>
      </c>
      <c r="L26" s="145">
        <f>+'[2]Monthly TD Calc'!AB464</f>
        <v>2344420.469990972</v>
      </c>
      <c r="M26" s="81"/>
      <c r="N26" s="60">
        <f t="shared" si="10"/>
        <v>13451021.126601141</v>
      </c>
    </row>
    <row r="27" spans="1:15" x14ac:dyDescent="0.35">
      <c r="A27" s="47" t="s">
        <v>111</v>
      </c>
      <c r="C27" s="201">
        <v>-374028.50720384211</v>
      </c>
      <c r="D27" s="206"/>
      <c r="E27" s="112">
        <f>+'[12]Monthly TD Calc'!U464</f>
        <v>119374.57456917239</v>
      </c>
      <c r="F27" s="112">
        <f>+'[12]Monthly TD Calc'!V464</f>
        <v>117827.79506364545</v>
      </c>
      <c r="G27" s="126">
        <f>+'[12]Monthly TD Calc'!W464</f>
        <v>127482.28986077405</v>
      </c>
      <c r="H27" s="75">
        <f>+'[12]Monthly TD Calc'!X464</f>
        <v>132774.07753581149</v>
      </c>
      <c r="I27" s="76">
        <f>+'[12]Monthly TD Calc'!Y464</f>
        <v>129428.60224238969</v>
      </c>
      <c r="J27" s="174">
        <f>+'[12]Monthly TD Calc'!Z464</f>
        <v>149482.31196562355</v>
      </c>
      <c r="K27" s="163">
        <f>+'[2]Monthly TD Calc'!AA465</f>
        <v>161287.91159300529</v>
      </c>
      <c r="L27" s="145">
        <f>+'[2]Monthly TD Calc'!AB465</f>
        <v>194343.81699753573</v>
      </c>
      <c r="M27" s="81"/>
      <c r="N27" s="60">
        <f t="shared" si="10"/>
        <v>757972.87262411555</v>
      </c>
    </row>
    <row r="28" spans="1:15" x14ac:dyDescent="0.35">
      <c r="C28" s="68"/>
      <c r="D28" s="205"/>
      <c r="E28" s="69"/>
      <c r="F28" s="69"/>
      <c r="G28" s="69"/>
      <c r="H28" s="68"/>
      <c r="I28" s="69"/>
      <c r="J28" s="172"/>
      <c r="K28" s="57"/>
      <c r="L28" s="57"/>
      <c r="M28" s="13"/>
    </row>
    <row r="29" spans="1:15" x14ac:dyDescent="0.35">
      <c r="A29" s="47" t="s">
        <v>69</v>
      </c>
      <c r="C29" s="37"/>
      <c r="D29" s="207"/>
      <c r="E29" s="38"/>
      <c r="F29" s="38"/>
      <c r="G29" s="38"/>
      <c r="H29" s="37"/>
      <c r="I29" s="38"/>
      <c r="J29" s="175"/>
      <c r="K29" s="53"/>
      <c r="L29" s="53"/>
      <c r="M29" s="39"/>
    </row>
    <row r="30" spans="1:15" x14ac:dyDescent="0.35">
      <c r="A30" s="47" t="s">
        <v>24</v>
      </c>
      <c r="C30" s="200">
        <v>-638544.21</v>
      </c>
      <c r="D30" s="203"/>
      <c r="E30" s="110">
        <f>ROUND('[12]Monthly TD Calc'!U562,2)</f>
        <v>290589.45</v>
      </c>
      <c r="F30" s="110">
        <f>ROUND('[12]Monthly TD Calc'!V562,2)</f>
        <v>480846.62</v>
      </c>
      <c r="G30" s="111">
        <f>ROUND('[12]Monthly TD Calc'!W562,2)</f>
        <v>609059.44999999995</v>
      </c>
      <c r="H30" s="16">
        <f>ROUND('[12]Monthly TD Calc'!X562,2)</f>
        <v>635329.85</v>
      </c>
      <c r="I30" s="56">
        <f>ROUND('[12]Monthly TD Calc'!Y562,2)</f>
        <v>576147.93000000005</v>
      </c>
      <c r="J30" s="174">
        <f>ROUND('[12]Monthly TD Calc'!Z562,2)</f>
        <v>352029.04</v>
      </c>
      <c r="K30" s="164">
        <f>ROUND('[2]Monthly TD Calc'!AA563,2)</f>
        <v>348092.11</v>
      </c>
      <c r="L30" s="144">
        <f>ROUND('[2]Monthly TD Calc'!AB563,2)</f>
        <v>383440.82</v>
      </c>
      <c r="M30" s="80"/>
    </row>
    <row r="31" spans="1:15" x14ac:dyDescent="0.35">
      <c r="A31" s="47" t="s">
        <v>108</v>
      </c>
      <c r="C31" s="200">
        <v>-65367.21</v>
      </c>
      <c r="D31" s="203"/>
      <c r="E31" s="110">
        <f>ROUND('[12]Monthly TD Calc'!U563,2)</f>
        <v>25932.75</v>
      </c>
      <c r="F31" s="110">
        <f>ROUND('[12]Monthly TD Calc'!V563,2)</f>
        <v>32638.39</v>
      </c>
      <c r="G31" s="111">
        <f>ROUND('[12]Monthly TD Calc'!W563,2)</f>
        <v>34105.4</v>
      </c>
      <c r="H31" s="16">
        <f>ROUND('[12]Monthly TD Calc'!X563,2)</f>
        <v>36009.57</v>
      </c>
      <c r="I31" s="56">
        <f>ROUND('[12]Monthly TD Calc'!Y563,2)</f>
        <v>34306.78</v>
      </c>
      <c r="J31" s="174">
        <f>ROUND('[12]Monthly TD Calc'!Z563,2)</f>
        <v>28336.13</v>
      </c>
      <c r="K31" s="164">
        <f>ROUND('[2]Monthly TD Calc'!AA564,2)</f>
        <v>28382.54</v>
      </c>
      <c r="L31" s="144">
        <f>ROUND('[2]Monthly TD Calc'!AB564,2)</f>
        <v>27768.71</v>
      </c>
      <c r="M31" s="80"/>
    </row>
    <row r="32" spans="1:15" x14ac:dyDescent="0.35">
      <c r="A32" s="47" t="s">
        <v>109</v>
      </c>
      <c r="C32" s="200">
        <v>-150706.85999999999</v>
      </c>
      <c r="D32" s="203"/>
      <c r="E32" s="110">
        <f>ROUND('[12]Monthly TD Calc'!U564,2)</f>
        <v>59468.42</v>
      </c>
      <c r="F32" s="110">
        <f>ROUND('[12]Monthly TD Calc'!V564,2)</f>
        <v>77089.19</v>
      </c>
      <c r="G32" s="111">
        <f>ROUND('[12]Monthly TD Calc'!W564,2)</f>
        <v>79846.41</v>
      </c>
      <c r="H32" s="16">
        <f>ROUND('[12]Monthly TD Calc'!X564,2)</f>
        <v>84830.24</v>
      </c>
      <c r="I32" s="56">
        <f>ROUND('[12]Monthly TD Calc'!Y564,2)</f>
        <v>81012.81</v>
      </c>
      <c r="J32" s="174">
        <f>ROUND('[12]Monthly TD Calc'!Z564,2)</f>
        <v>63666.87</v>
      </c>
      <c r="K32" s="164">
        <f>ROUND('[2]Monthly TD Calc'!AA565,2)</f>
        <v>66136.009999999995</v>
      </c>
      <c r="L32" s="144">
        <f>ROUND('[2]Monthly TD Calc'!AB565,2)</f>
        <v>62227.75</v>
      </c>
      <c r="M32" s="80"/>
    </row>
    <row r="33" spans="1:15" x14ac:dyDescent="0.35">
      <c r="A33" s="47" t="s">
        <v>110</v>
      </c>
      <c r="C33" s="200">
        <v>-144024.31</v>
      </c>
      <c r="D33" s="203"/>
      <c r="E33" s="110">
        <f>ROUND('[12]Monthly TD Calc'!U565,2)</f>
        <v>54176.85</v>
      </c>
      <c r="F33" s="110">
        <f>ROUND('[12]Monthly TD Calc'!V565,2)</f>
        <v>80013.78</v>
      </c>
      <c r="G33" s="111">
        <f>ROUND('[12]Monthly TD Calc'!W565,2)</f>
        <v>85981.62</v>
      </c>
      <c r="H33" s="16">
        <f>ROUND('[12]Monthly TD Calc'!X565,2)</f>
        <v>90585.37</v>
      </c>
      <c r="I33" s="56">
        <f>ROUND('[12]Monthly TD Calc'!Y565,2)</f>
        <v>83105.55</v>
      </c>
      <c r="J33" s="174">
        <f>ROUND('[12]Monthly TD Calc'!Z565,2)</f>
        <v>66098.429999999993</v>
      </c>
      <c r="K33" s="164">
        <f>ROUND('[2]Monthly TD Calc'!AA566,2)</f>
        <v>66758.2</v>
      </c>
      <c r="L33" s="144">
        <f>ROUND('[2]Monthly TD Calc'!AB566,2)</f>
        <v>61788.65</v>
      </c>
      <c r="M33" s="80"/>
    </row>
    <row r="34" spans="1:15" x14ac:dyDescent="0.35">
      <c r="A34" s="47" t="s">
        <v>111</v>
      </c>
      <c r="C34" s="200">
        <v>-9352.64</v>
      </c>
      <c r="D34" s="203"/>
      <c r="E34" s="110">
        <f>ROUND('[12]Monthly TD Calc'!U566,2)</f>
        <v>1834.26</v>
      </c>
      <c r="F34" s="110">
        <f>ROUND('[12]Monthly TD Calc'!V566,2)</f>
        <v>2336.96</v>
      </c>
      <c r="G34" s="111">
        <f>ROUND('[12]Monthly TD Calc'!W566,2)</f>
        <v>2782.24</v>
      </c>
      <c r="H34" s="16">
        <f>ROUND('[12]Monthly TD Calc'!X566,2)</f>
        <v>3335.48</v>
      </c>
      <c r="I34" s="56">
        <f>ROUND('[12]Monthly TD Calc'!Y566,2)</f>
        <v>3407.76</v>
      </c>
      <c r="J34" s="174">
        <f>ROUND('[12]Monthly TD Calc'!Z566,2)</f>
        <v>2663.66</v>
      </c>
      <c r="K34" s="164">
        <f>ROUND('[2]Monthly TD Calc'!AA567,2)</f>
        <v>2869.44</v>
      </c>
      <c r="L34" s="144">
        <f>ROUND('[2]Monthly TD Calc'!AB567,2)</f>
        <v>2814.47</v>
      </c>
      <c r="M34" s="80"/>
      <c r="O34" s="48"/>
    </row>
    <row r="35" spans="1:15" x14ac:dyDescent="0.35">
      <c r="C35" s="100"/>
      <c r="D35" s="204"/>
      <c r="E35" s="18"/>
      <c r="F35" s="18"/>
      <c r="G35" s="18"/>
      <c r="H35" s="92"/>
      <c r="I35" s="18"/>
      <c r="J35" s="170"/>
      <c r="K35" s="57"/>
      <c r="L35" s="57"/>
      <c r="M35" s="13"/>
    </row>
    <row r="36" spans="1:15" ht="15" thickBot="1" x14ac:dyDescent="0.4">
      <c r="A36" s="3" t="s">
        <v>15</v>
      </c>
      <c r="B36" s="3"/>
      <c r="C36" s="202">
        <v>-271.63999999999993</v>
      </c>
      <c r="D36" s="208"/>
      <c r="E36" s="281">
        <v>103.97000000000003</v>
      </c>
      <c r="F36" s="137">
        <v>250.98</v>
      </c>
      <c r="G36" s="138">
        <v>466.87999999999994</v>
      </c>
      <c r="H36" s="27">
        <v>652.12999999999988</v>
      </c>
      <c r="I36" s="123">
        <v>729.89</v>
      </c>
      <c r="J36" s="176">
        <v>696.29</v>
      </c>
      <c r="K36" s="165">
        <v>673.44999999999993</v>
      </c>
      <c r="L36" s="146">
        <v>640.95000000000005</v>
      </c>
      <c r="M36" s="83"/>
    </row>
    <row r="37" spans="1:15" x14ac:dyDescent="0.35">
      <c r="C37" s="65"/>
      <c r="D37" s="211"/>
      <c r="E37" s="67"/>
      <c r="F37" s="67"/>
      <c r="G37" s="34"/>
      <c r="H37" s="65"/>
      <c r="I37" s="34"/>
      <c r="J37" s="177"/>
      <c r="K37" s="35"/>
      <c r="L37" s="35"/>
      <c r="M37" s="61"/>
    </row>
    <row r="38" spans="1:15" x14ac:dyDescent="0.35">
      <c r="A38" s="47" t="s">
        <v>52</v>
      </c>
      <c r="C38" s="66"/>
      <c r="D38" s="212"/>
      <c r="E38" s="36"/>
      <c r="F38" s="36"/>
      <c r="G38" s="36"/>
      <c r="H38" s="66"/>
      <c r="I38" s="36"/>
      <c r="J38" s="178"/>
      <c r="K38" s="35"/>
      <c r="L38" s="35"/>
      <c r="M38" s="61"/>
    </row>
    <row r="39" spans="1:15" x14ac:dyDescent="0.35">
      <c r="A39" s="47" t="s">
        <v>24</v>
      </c>
      <c r="C39" s="209">
        <f t="shared" ref="C39" si="11">C30-C16</f>
        <v>266348.27928000013</v>
      </c>
      <c r="D39" s="213">
        <f t="shared" ref="D39" si="12">D30-D16</f>
        <v>0</v>
      </c>
      <c r="E39" s="42">
        <f t="shared" ref="E39:M39" si="13">E30-E16</f>
        <v>78548.420000000013</v>
      </c>
      <c r="F39" s="42">
        <f t="shared" si="13"/>
        <v>198404.49</v>
      </c>
      <c r="G39" s="109">
        <f t="shared" si="13"/>
        <v>206741.76999999996</v>
      </c>
      <c r="H39" s="41">
        <f t="shared" si="13"/>
        <v>163677.03999999998</v>
      </c>
      <c r="I39" s="42">
        <f t="shared" si="13"/>
        <v>29070.360000000102</v>
      </c>
      <c r="J39" s="62">
        <f t="shared" si="13"/>
        <v>-28105.5</v>
      </c>
      <c r="K39" s="124">
        <f t="shared" si="13"/>
        <v>49595.820639999991</v>
      </c>
      <c r="L39" s="42">
        <f t="shared" si="13"/>
        <v>-46090.614939999999</v>
      </c>
      <c r="M39" s="62">
        <f t="shared" si="13"/>
        <v>-490236.76458000002</v>
      </c>
    </row>
    <row r="40" spans="1:15" x14ac:dyDescent="0.35">
      <c r="A40" s="47" t="s">
        <v>108</v>
      </c>
      <c r="C40" s="209">
        <f t="shared" ref="C40" si="14">C31-C17</f>
        <v>50271.58919999998</v>
      </c>
      <c r="D40" s="213">
        <f t="shared" ref="D40:M40" si="15">D31-D17</f>
        <v>0</v>
      </c>
      <c r="E40" s="42">
        <f t="shared" si="15"/>
        <v>-5752.48</v>
      </c>
      <c r="F40" s="42">
        <f t="shared" si="15"/>
        <v>-5095.8499999999985</v>
      </c>
      <c r="G40" s="109">
        <f t="shared" si="15"/>
        <v>-12074.010000000002</v>
      </c>
      <c r="H40" s="41">
        <f t="shared" si="15"/>
        <v>-8783.2900000000009</v>
      </c>
      <c r="I40" s="42">
        <f t="shared" si="15"/>
        <v>-1683.7200000000012</v>
      </c>
      <c r="J40" s="62">
        <f t="shared" si="15"/>
        <v>-3498.119999999999</v>
      </c>
      <c r="K40" s="124">
        <f t="shared" si="15"/>
        <v>560.01500000000669</v>
      </c>
      <c r="L40" s="42">
        <f t="shared" si="15"/>
        <v>-2337.6729099999939</v>
      </c>
      <c r="M40" s="62">
        <f t="shared" si="15"/>
        <v>-30772.208759999994</v>
      </c>
    </row>
    <row r="41" spans="1:15" x14ac:dyDescent="0.35">
      <c r="A41" s="47" t="s">
        <v>109</v>
      </c>
      <c r="C41" s="209">
        <f t="shared" ref="C41" si="16">C32-C18</f>
        <v>51536.616719999991</v>
      </c>
      <c r="D41" s="213">
        <f t="shared" ref="D41:M41" si="17">D32-D18</f>
        <v>0</v>
      </c>
      <c r="E41" s="42">
        <f t="shared" si="17"/>
        <v>7382.5999999999985</v>
      </c>
      <c r="F41" s="42">
        <f t="shared" si="17"/>
        <v>17467.580000000002</v>
      </c>
      <c r="G41" s="109">
        <f t="shared" si="17"/>
        <v>8584.8800000000047</v>
      </c>
      <c r="H41" s="41">
        <f t="shared" si="17"/>
        <v>2566.0100000000093</v>
      </c>
      <c r="I41" s="42">
        <f t="shared" si="17"/>
        <v>-22212.270000000004</v>
      </c>
      <c r="J41" s="62">
        <f t="shared" si="17"/>
        <v>-28358.71</v>
      </c>
      <c r="K41" s="124">
        <f t="shared" si="17"/>
        <v>-17364.928750000006</v>
      </c>
      <c r="L41" s="42">
        <f t="shared" si="17"/>
        <v>-28127.501449999996</v>
      </c>
      <c r="M41" s="62">
        <f t="shared" si="17"/>
        <v>-92353.527050000004</v>
      </c>
    </row>
    <row r="42" spans="1:15" x14ac:dyDescent="0.35">
      <c r="A42" s="47" t="s">
        <v>110</v>
      </c>
      <c r="C42" s="209">
        <f t="shared" ref="C42" si="18">C33-C19</f>
        <v>23192.713159999985</v>
      </c>
      <c r="D42" s="213">
        <f t="shared" ref="D42:M42" si="19">D33-D19</f>
        <v>0</v>
      </c>
      <c r="E42" s="42">
        <f t="shared" si="19"/>
        <v>7708.3699999999953</v>
      </c>
      <c r="F42" s="42">
        <f t="shared" si="19"/>
        <v>30633.5</v>
      </c>
      <c r="G42" s="109">
        <f t="shared" si="19"/>
        <v>28575.359999999993</v>
      </c>
      <c r="H42" s="41">
        <f t="shared" si="19"/>
        <v>24406.03</v>
      </c>
      <c r="I42" s="42">
        <f t="shared" si="19"/>
        <v>-3523.9899999999907</v>
      </c>
      <c r="J42" s="62">
        <f t="shared" si="19"/>
        <v>-13482.650000000009</v>
      </c>
      <c r="K42" s="124">
        <f t="shared" si="19"/>
        <v>-7065.5630700000038</v>
      </c>
      <c r="L42" s="42">
        <f t="shared" si="19"/>
        <v>-18095.058870000001</v>
      </c>
      <c r="M42" s="62">
        <f t="shared" si="19"/>
        <v>-81650.398149999994</v>
      </c>
    </row>
    <row r="43" spans="1:15" x14ac:dyDescent="0.35">
      <c r="A43" s="47" t="s">
        <v>111</v>
      </c>
      <c r="C43" s="209">
        <f t="shared" ref="C43" si="20">C34-C20</f>
        <v>3996.7386000000006</v>
      </c>
      <c r="D43" s="213">
        <f t="shared" ref="D43:M43" si="21">D34-D20</f>
        <v>0</v>
      </c>
      <c r="E43" s="42">
        <f t="shared" si="21"/>
        <v>-925.62000000000012</v>
      </c>
      <c r="F43" s="42">
        <f t="shared" si="21"/>
        <v>-1727.0500000000002</v>
      </c>
      <c r="G43" s="109">
        <f t="shared" si="21"/>
        <v>-1645.5900000000001</v>
      </c>
      <c r="H43" s="41">
        <f t="shared" si="21"/>
        <v>-1632.2099999999996</v>
      </c>
      <c r="I43" s="42">
        <f t="shared" si="21"/>
        <v>-3025.7199999999993</v>
      </c>
      <c r="J43" s="62">
        <f t="shared" si="21"/>
        <v>-2277.5299999999997</v>
      </c>
      <c r="K43" s="124">
        <f t="shared" si="21"/>
        <v>-1934.3566800000003</v>
      </c>
      <c r="L43" s="42">
        <f t="shared" si="21"/>
        <v>-2383.6542400000012</v>
      </c>
      <c r="M43" s="62">
        <f t="shared" si="21"/>
        <v>-5313.0848400000004</v>
      </c>
    </row>
    <row r="44" spans="1:15" x14ac:dyDescent="0.35">
      <c r="C44" s="100"/>
      <c r="D44" s="204"/>
      <c r="E44" s="32"/>
      <c r="F44" s="17"/>
      <c r="G44" s="17"/>
      <c r="H44" s="10"/>
      <c r="I44" s="17"/>
      <c r="J44" s="11"/>
      <c r="K44" s="17"/>
      <c r="L44" s="17"/>
      <c r="M44" s="11"/>
    </row>
    <row r="45" spans="1:15" ht="15" thickBot="1" x14ac:dyDescent="0.4">
      <c r="A45" s="47" t="s">
        <v>53</v>
      </c>
      <c r="C45" s="100"/>
      <c r="D45" s="204"/>
      <c r="E45" s="17"/>
      <c r="F45" s="17"/>
      <c r="G45" s="17"/>
      <c r="H45" s="10"/>
      <c r="I45" s="17"/>
      <c r="J45" s="11"/>
      <c r="K45" s="17"/>
      <c r="L45" s="17"/>
      <c r="M45" s="11"/>
    </row>
    <row r="46" spans="1:15" x14ac:dyDescent="0.35">
      <c r="A46" s="47" t="s">
        <v>24</v>
      </c>
      <c r="B46" s="117">
        <v>92678.580720000013</v>
      </c>
      <c r="C46" s="209">
        <f t="shared" ref="C46:C50" si="22">+B46+C39+B54</f>
        <v>359026.86000000016</v>
      </c>
      <c r="D46" s="213">
        <f t="shared" ref="D46:D50" si="23">+C46+D39+C54</f>
        <v>358251.58000000013</v>
      </c>
      <c r="E46" s="42">
        <f t="shared" ref="E46:E50" si="24">+D46+E39+D54</f>
        <v>436800.00000000012</v>
      </c>
      <c r="F46" s="42">
        <f t="shared" ref="F46:F50" si="25">+E46+F39+E54</f>
        <v>635567.7300000001</v>
      </c>
      <c r="G46" s="109">
        <f t="shared" ref="G46:G50" si="26">+F46+G39+F54</f>
        <v>842795.12</v>
      </c>
      <c r="H46" s="41">
        <f t="shared" ref="H46:H50" si="27">+G46+H39+G54</f>
        <v>1007145.9099999999</v>
      </c>
      <c r="I46" s="42">
        <f t="shared" ref="I46:I50" si="28">+H46+I39+H54</f>
        <v>1037056.62</v>
      </c>
      <c r="J46" s="62">
        <f t="shared" ref="J46:J50" si="29">+I46+J39+I54</f>
        <v>1009874.62</v>
      </c>
      <c r="K46" s="124">
        <f t="shared" ref="K46:K50" si="30">+J46+K39+J54</f>
        <v>1060395.9506399999</v>
      </c>
      <c r="L46" s="42">
        <f t="shared" ref="L46:L50" si="31">+K46+L39+K54</f>
        <v>1015241.3957</v>
      </c>
      <c r="M46" s="62">
        <f t="shared" ref="M46:M50" si="32">+L46+M39+L54</f>
        <v>525943.12112000003</v>
      </c>
    </row>
    <row r="47" spans="1:15" x14ac:dyDescent="0.35">
      <c r="A47" s="47" t="s">
        <v>108</v>
      </c>
      <c r="B47" s="254">
        <v>-187541.60919999998</v>
      </c>
      <c r="C47" s="209">
        <f t="shared" si="22"/>
        <v>-137270.01999999999</v>
      </c>
      <c r="D47" s="213">
        <f t="shared" si="23"/>
        <v>-137006.16</v>
      </c>
      <c r="E47" s="42">
        <f t="shared" si="24"/>
        <v>-142758.64000000001</v>
      </c>
      <c r="F47" s="42">
        <f t="shared" si="25"/>
        <v>-147982.31000000003</v>
      </c>
      <c r="G47" s="109">
        <f t="shared" si="26"/>
        <v>-160187.99000000005</v>
      </c>
      <c r="H47" s="41">
        <f t="shared" si="27"/>
        <v>-169111.74000000005</v>
      </c>
      <c r="I47" s="42">
        <f t="shared" si="28"/>
        <v>-170945.06000000006</v>
      </c>
      <c r="J47" s="62">
        <f t="shared" si="29"/>
        <v>-174596.81000000006</v>
      </c>
      <c r="K47" s="124">
        <f t="shared" si="30"/>
        <v>-174193.02500000005</v>
      </c>
      <c r="L47" s="42">
        <f t="shared" si="31"/>
        <v>-176688.39791000006</v>
      </c>
      <c r="M47" s="62">
        <f t="shared" si="32"/>
        <v>-207619.25667000006</v>
      </c>
    </row>
    <row r="48" spans="1:15" x14ac:dyDescent="0.35">
      <c r="A48" s="47" t="s">
        <v>109</v>
      </c>
      <c r="B48" s="254">
        <v>-55535.986719999986</v>
      </c>
      <c r="C48" s="209">
        <f t="shared" si="22"/>
        <v>-3999.3699999999953</v>
      </c>
      <c r="D48" s="213">
        <f t="shared" si="23"/>
        <v>-4005.3599999999951</v>
      </c>
      <c r="E48" s="42">
        <f t="shared" si="24"/>
        <v>3377.2400000000034</v>
      </c>
      <c r="F48" s="42">
        <f t="shared" si="25"/>
        <v>20844.530000000006</v>
      </c>
      <c r="G48" s="109">
        <f t="shared" si="26"/>
        <v>29440.37000000001</v>
      </c>
      <c r="H48" s="41">
        <f t="shared" si="27"/>
        <v>32029.290000000019</v>
      </c>
      <c r="I48" s="42">
        <f t="shared" si="28"/>
        <v>9844.9400000000151</v>
      </c>
      <c r="J48" s="62">
        <f t="shared" si="29"/>
        <v>-18494.849999999984</v>
      </c>
      <c r="K48" s="124">
        <f t="shared" si="30"/>
        <v>-35863.678749999992</v>
      </c>
      <c r="L48" s="42">
        <f t="shared" si="31"/>
        <v>-64015.750199999988</v>
      </c>
      <c r="M48" s="62">
        <f t="shared" si="32"/>
        <v>-156414.42724999998</v>
      </c>
    </row>
    <row r="49" spans="1:13" x14ac:dyDescent="0.35">
      <c r="A49" s="47" t="s">
        <v>110</v>
      </c>
      <c r="B49" s="254">
        <v>-137043.58315999998</v>
      </c>
      <c r="C49" s="209">
        <f t="shared" si="22"/>
        <v>-113850.87</v>
      </c>
      <c r="D49" s="213">
        <f t="shared" si="23"/>
        <v>-113666.59999999999</v>
      </c>
      <c r="E49" s="42">
        <f t="shared" si="24"/>
        <v>-105958.23</v>
      </c>
      <c r="F49" s="42">
        <f t="shared" si="25"/>
        <v>-75425.069999999992</v>
      </c>
      <c r="G49" s="109">
        <f t="shared" si="26"/>
        <v>-46931.87</v>
      </c>
      <c r="H49" s="41">
        <f t="shared" si="27"/>
        <v>-22581.620000000003</v>
      </c>
      <c r="I49" s="42">
        <f t="shared" si="28"/>
        <v>-26137.199999999993</v>
      </c>
      <c r="J49" s="62">
        <f t="shared" si="29"/>
        <v>-39641.860000000008</v>
      </c>
      <c r="K49" s="124">
        <f t="shared" si="30"/>
        <v>-46737.16307000001</v>
      </c>
      <c r="L49" s="42">
        <f t="shared" si="31"/>
        <v>-64871.271940000013</v>
      </c>
      <c r="M49" s="62">
        <f t="shared" si="32"/>
        <v>-146572.13008999999</v>
      </c>
    </row>
    <row r="50" spans="1:13" ht="15" thickBot="1" x14ac:dyDescent="0.4">
      <c r="A50" s="47" t="s">
        <v>111</v>
      </c>
      <c r="B50" s="118">
        <v>-37329.498599999992</v>
      </c>
      <c r="C50" s="209">
        <f t="shared" si="22"/>
        <v>-33332.759999999995</v>
      </c>
      <c r="D50" s="213">
        <f t="shared" si="23"/>
        <v>-33271.259999999995</v>
      </c>
      <c r="E50" s="42">
        <f t="shared" si="24"/>
        <v>-34196.879999999997</v>
      </c>
      <c r="F50" s="42">
        <f t="shared" si="25"/>
        <v>-35954.75</v>
      </c>
      <c r="G50" s="109">
        <f t="shared" si="26"/>
        <v>-37632.109999999993</v>
      </c>
      <c r="H50" s="41">
        <f t="shared" si="27"/>
        <v>-39297.859999999993</v>
      </c>
      <c r="I50" s="42">
        <f t="shared" si="28"/>
        <v>-42358.529999999992</v>
      </c>
      <c r="J50" s="62">
        <f t="shared" si="29"/>
        <v>-44672.94999999999</v>
      </c>
      <c r="K50" s="124">
        <f t="shared" si="30"/>
        <v>-46646.656679999985</v>
      </c>
      <c r="L50" s="42">
        <f t="shared" si="31"/>
        <v>-49071.60091999999</v>
      </c>
      <c r="M50" s="62">
        <f t="shared" si="32"/>
        <v>-54427.965759999992</v>
      </c>
    </row>
    <row r="51" spans="1:13" x14ac:dyDescent="0.35">
      <c r="C51" s="100"/>
      <c r="D51" s="204"/>
      <c r="E51" s="17"/>
      <c r="F51" s="17"/>
      <c r="G51" s="17"/>
      <c r="H51" s="10"/>
      <c r="I51" s="17"/>
      <c r="J51" s="11"/>
      <c r="K51" s="17"/>
      <c r="L51" s="17"/>
      <c r="M51" s="11"/>
    </row>
    <row r="52" spans="1:13" x14ac:dyDescent="0.35">
      <c r="A52" s="40" t="s">
        <v>125</v>
      </c>
      <c r="B52" s="40"/>
      <c r="C52" s="105"/>
      <c r="D52" s="214"/>
      <c r="E52" s="84">
        <f>+'PCR Cycle 2'!E50</f>
        <v>9.1374999999999996E-4</v>
      </c>
      <c r="F52" s="84">
        <f>+'PCR Cycle 2'!F50</f>
        <v>9.0538999999999995E-4</v>
      </c>
      <c r="G52" s="84">
        <f>+'PCR Cycle 2'!G50</f>
        <v>9.1118000000000004E-4</v>
      </c>
      <c r="H52" s="85">
        <f>+'PCR Cycle 2'!H50</f>
        <v>9.0817999999999997E-4</v>
      </c>
      <c r="I52" s="84">
        <f>+'PCR Cycle 2'!I50</f>
        <v>9.0315999999999997E-4</v>
      </c>
      <c r="J52" s="93">
        <f>+'PCR Cycle 2'!J50</f>
        <v>9.0388000000000003E-4</v>
      </c>
      <c r="K52" s="84">
        <f>+'PCR Cycle 2'!K50</f>
        <v>9.0388000000000003E-4</v>
      </c>
      <c r="L52" s="84">
        <f>+'PCR Cycle 2'!L50</f>
        <v>9.0388000000000003E-4</v>
      </c>
      <c r="M52" s="86"/>
    </row>
    <row r="53" spans="1:13" x14ac:dyDescent="0.35">
      <c r="A53" s="40" t="s">
        <v>37</v>
      </c>
      <c r="B53" s="40"/>
      <c r="C53" s="107"/>
      <c r="D53" s="215"/>
      <c r="E53" s="84"/>
      <c r="F53" s="84"/>
      <c r="G53" s="84"/>
      <c r="H53" s="85"/>
      <c r="I53" s="84"/>
      <c r="J53" s="86"/>
      <c r="K53" s="84"/>
      <c r="L53" s="84"/>
      <c r="M53" s="86"/>
    </row>
    <row r="54" spans="1:13" x14ac:dyDescent="0.35">
      <c r="A54" s="47" t="s">
        <v>24</v>
      </c>
      <c r="C54" s="209">
        <v>-775.28</v>
      </c>
      <c r="D54" s="213"/>
      <c r="E54" s="257">
        <f t="shared" ref="E54:M58" si="33">ROUND((D46+D54+E39/2)*E$52,2)</f>
        <v>363.24</v>
      </c>
      <c r="F54" s="42">
        <f t="shared" ref="F54:F58" si="34">ROUND((E46+E54+F39/2)*F$52,2)</f>
        <v>485.62</v>
      </c>
      <c r="G54" s="109">
        <f t="shared" ref="G54:G58" si="35">ROUND((F46+F54+G39/2)*G$52,2)</f>
        <v>673.75</v>
      </c>
      <c r="H54" s="41">
        <f t="shared" ref="H54:H58" si="36">ROUND((G46+G54+H39/2)*H$52,2)</f>
        <v>840.35</v>
      </c>
      <c r="I54" s="124">
        <f t="shared" ref="I54:I58" si="37">ROUND((H46+H54+I39/2)*I$52,2)</f>
        <v>923.5</v>
      </c>
      <c r="J54" s="62">
        <f t="shared" ref="J54:J58" si="38">ROUND((I46+I54+J39/2)*J$52,2)</f>
        <v>925.51</v>
      </c>
      <c r="K54" s="166">
        <f t="shared" ref="K54:K58" si="39">ROUND((J46+J54+K39/2)*K$52,2)</f>
        <v>936.06</v>
      </c>
      <c r="L54" s="109">
        <f t="shared" ref="L54:L58" si="40">ROUND((K46+K54+L39/2)*L$52,2)</f>
        <v>938.49</v>
      </c>
      <c r="M54" s="62">
        <f t="shared" si="33"/>
        <v>0</v>
      </c>
    </row>
    <row r="55" spans="1:13" x14ac:dyDescent="0.35">
      <c r="A55" s="47" t="s">
        <v>108</v>
      </c>
      <c r="C55" s="209">
        <v>263.86</v>
      </c>
      <c r="D55" s="213"/>
      <c r="E55" s="257">
        <f t="shared" si="33"/>
        <v>-127.82</v>
      </c>
      <c r="F55" s="42">
        <f t="shared" si="34"/>
        <v>-131.66999999999999</v>
      </c>
      <c r="G55" s="109">
        <f t="shared" si="35"/>
        <v>-140.46</v>
      </c>
      <c r="H55" s="41">
        <f t="shared" si="36"/>
        <v>-149.6</v>
      </c>
      <c r="I55" s="124">
        <f t="shared" si="37"/>
        <v>-153.63</v>
      </c>
      <c r="J55" s="62">
        <f t="shared" si="38"/>
        <v>-156.22999999999999</v>
      </c>
      <c r="K55" s="166">
        <f t="shared" si="39"/>
        <v>-157.69999999999999</v>
      </c>
      <c r="L55" s="109">
        <f t="shared" si="40"/>
        <v>-158.65</v>
      </c>
      <c r="M55" s="62"/>
    </row>
    <row r="56" spans="1:13" x14ac:dyDescent="0.35">
      <c r="A56" s="47" t="s">
        <v>109</v>
      </c>
      <c r="C56" s="209">
        <v>-5.9899999999999993</v>
      </c>
      <c r="D56" s="213"/>
      <c r="E56" s="257">
        <f t="shared" si="33"/>
        <v>-0.28999999999999998</v>
      </c>
      <c r="F56" s="42">
        <f t="shared" si="34"/>
        <v>10.96</v>
      </c>
      <c r="G56" s="109">
        <f t="shared" si="35"/>
        <v>22.91</v>
      </c>
      <c r="H56" s="41">
        <f t="shared" si="36"/>
        <v>27.92</v>
      </c>
      <c r="I56" s="124">
        <f t="shared" si="37"/>
        <v>18.920000000000002</v>
      </c>
      <c r="J56" s="62">
        <f t="shared" si="38"/>
        <v>-3.9</v>
      </c>
      <c r="K56" s="166">
        <f t="shared" si="39"/>
        <v>-24.57</v>
      </c>
      <c r="L56" s="109">
        <f t="shared" si="40"/>
        <v>-45.15</v>
      </c>
      <c r="M56" s="62"/>
    </row>
    <row r="57" spans="1:13" x14ac:dyDescent="0.35">
      <c r="A57" s="47" t="s">
        <v>110</v>
      </c>
      <c r="C57" s="209">
        <v>184.26999999999998</v>
      </c>
      <c r="D57" s="213"/>
      <c r="E57" s="257">
        <f t="shared" si="33"/>
        <v>-100.34</v>
      </c>
      <c r="F57" s="42">
        <f t="shared" si="34"/>
        <v>-82.16</v>
      </c>
      <c r="G57" s="109">
        <f t="shared" si="35"/>
        <v>-55.78</v>
      </c>
      <c r="H57" s="41">
        <f t="shared" si="36"/>
        <v>-31.59</v>
      </c>
      <c r="I57" s="124">
        <f t="shared" si="37"/>
        <v>-22.01</v>
      </c>
      <c r="J57" s="62">
        <f t="shared" si="38"/>
        <v>-29.74</v>
      </c>
      <c r="K57" s="166">
        <f t="shared" si="39"/>
        <v>-39.049999999999997</v>
      </c>
      <c r="L57" s="109">
        <f t="shared" si="40"/>
        <v>-50.46</v>
      </c>
      <c r="M57" s="62"/>
    </row>
    <row r="58" spans="1:13" ht="15" thickBot="1" x14ac:dyDescent="0.4">
      <c r="A58" s="47" t="s">
        <v>111</v>
      </c>
      <c r="C58" s="209">
        <v>61.5</v>
      </c>
      <c r="D58" s="213"/>
      <c r="E58" s="257">
        <f t="shared" si="33"/>
        <v>-30.82</v>
      </c>
      <c r="F58" s="42">
        <f t="shared" si="34"/>
        <v>-31.77</v>
      </c>
      <c r="G58" s="109">
        <f t="shared" si="35"/>
        <v>-33.54</v>
      </c>
      <c r="H58" s="41">
        <f t="shared" si="36"/>
        <v>-34.950000000000003</v>
      </c>
      <c r="I58" s="124">
        <f t="shared" si="37"/>
        <v>-36.89</v>
      </c>
      <c r="J58" s="62">
        <f t="shared" si="38"/>
        <v>-39.35</v>
      </c>
      <c r="K58" s="166">
        <f t="shared" si="39"/>
        <v>-41.29</v>
      </c>
      <c r="L58" s="109">
        <f t="shared" si="40"/>
        <v>-43.28</v>
      </c>
      <c r="M58" s="62">
        <f t="shared" ref="M58" si="41">ROUND((L50+L58+M43/2)*M$52,2)</f>
        <v>0</v>
      </c>
    </row>
    <row r="59" spans="1:13" ht="15.5" thickTop="1" thickBot="1" x14ac:dyDescent="0.4">
      <c r="A59" s="55" t="s">
        <v>22</v>
      </c>
      <c r="B59" s="55"/>
      <c r="C59" s="210">
        <v>0</v>
      </c>
      <c r="D59" s="216"/>
      <c r="E59" s="43">
        <f>SUM(E54:E58)+SUM(E46:E50)-E62</f>
        <v>0</v>
      </c>
      <c r="F59" s="43">
        <f t="shared" ref="F59:M59" si="42">SUM(F54:F58)+SUM(F46:F50)-F62</f>
        <v>0</v>
      </c>
      <c r="G59" s="51">
        <f t="shared" si="42"/>
        <v>0</v>
      </c>
      <c r="H59" s="52">
        <f t="shared" si="42"/>
        <v>0</v>
      </c>
      <c r="I59" s="43">
        <f t="shared" si="42"/>
        <v>0</v>
      </c>
      <c r="J59" s="63">
        <f t="shared" si="42"/>
        <v>0</v>
      </c>
      <c r="K59" s="167">
        <f t="shared" si="42"/>
        <v>0</v>
      </c>
      <c r="L59" s="51">
        <f t="shared" si="42"/>
        <v>0</v>
      </c>
      <c r="M59" s="63">
        <f t="shared" si="42"/>
        <v>0</v>
      </c>
    </row>
    <row r="60" spans="1:13" ht="15.5" thickTop="1" thickBot="1" x14ac:dyDescent="0.4">
      <c r="A60" s="55" t="s">
        <v>23</v>
      </c>
      <c r="B60" s="55"/>
      <c r="C60" s="210">
        <v>0</v>
      </c>
      <c r="D60" s="216"/>
      <c r="E60" s="43">
        <f>SUM(E54:E58)-E36</f>
        <v>0</v>
      </c>
      <c r="F60" s="43">
        <f t="shared" ref="F60:J60" si="43">SUM(F54:F58)-F36</f>
        <v>0</v>
      </c>
      <c r="G60" s="51">
        <f t="shared" ref="G60:I60" si="44">SUM(G54:G58)-G36</f>
        <v>0</v>
      </c>
      <c r="H60" s="52">
        <f t="shared" si="44"/>
        <v>0</v>
      </c>
      <c r="I60" s="43">
        <f t="shared" si="44"/>
        <v>0</v>
      </c>
      <c r="J60" s="63">
        <f t="shared" si="43"/>
        <v>0</v>
      </c>
      <c r="K60" s="168">
        <f t="shared" ref="K60:M60" si="45">SUM(K54:K58)-K36</f>
        <v>0</v>
      </c>
      <c r="L60" s="43">
        <f t="shared" si="45"/>
        <v>0</v>
      </c>
      <c r="M60" s="43">
        <f t="shared" si="45"/>
        <v>0</v>
      </c>
    </row>
    <row r="61" spans="1:13" ht="15.5" thickTop="1" thickBot="1" x14ac:dyDescent="0.4">
      <c r="C61" s="100"/>
      <c r="D61" s="204"/>
      <c r="E61" s="17"/>
      <c r="F61" s="17"/>
      <c r="G61" s="17"/>
      <c r="H61" s="10"/>
      <c r="I61" s="17"/>
      <c r="J61" s="11"/>
      <c r="K61" s="17"/>
      <c r="L61" s="17"/>
      <c r="M61" s="11"/>
    </row>
    <row r="62" spans="1:13" ht="15" thickBot="1" x14ac:dyDescent="0.4">
      <c r="A62" s="47" t="s">
        <v>36</v>
      </c>
      <c r="B62" s="120">
        <f>SUM(B46:B50)</f>
        <v>-324772.09695999994</v>
      </c>
      <c r="C62" s="209">
        <f>(C13-SUM(C16:C20))+SUM(C54:C58)+B62</f>
        <v>70302.200000000012</v>
      </c>
      <c r="D62" s="213">
        <f>(D13-SUM(D16:D20))+SUM(D54:D58)+C62</f>
        <v>70302.200000000012</v>
      </c>
      <c r="E62" s="42">
        <f>(E13-SUM(E16:E20))+SUM(E54:E58)+D62</f>
        <v>157367.46</v>
      </c>
      <c r="F62" s="42">
        <f t="shared" ref="F62:M62" si="46">(F13-SUM(F16:F20))+SUM(F54:F58)+E62</f>
        <v>397301.10999999993</v>
      </c>
      <c r="G62" s="109">
        <f t="shared" si="46"/>
        <v>627950.39999999991</v>
      </c>
      <c r="H62" s="41">
        <f t="shared" si="46"/>
        <v>808836.10999999987</v>
      </c>
      <c r="I62" s="42">
        <f t="shared" si="46"/>
        <v>808190.66</v>
      </c>
      <c r="J62" s="62">
        <f t="shared" si="46"/>
        <v>733164.44000000006</v>
      </c>
      <c r="K62" s="166">
        <f t="shared" si="46"/>
        <v>757628.87714000011</v>
      </c>
      <c r="L62" s="109">
        <f t="shared" si="46"/>
        <v>661235.32473000011</v>
      </c>
      <c r="M62" s="62">
        <f t="shared" si="46"/>
        <v>-39090.658649999998</v>
      </c>
    </row>
    <row r="63" spans="1:13" x14ac:dyDescent="0.35">
      <c r="A63" s="47" t="s">
        <v>12</v>
      </c>
      <c r="C63" s="121"/>
      <c r="D63" s="217"/>
      <c r="E63" s="17"/>
      <c r="F63" s="17"/>
      <c r="G63" s="17"/>
      <c r="H63" s="10"/>
      <c r="I63" s="17"/>
      <c r="J63" s="11"/>
      <c r="K63" s="17"/>
      <c r="L63" s="17"/>
      <c r="M63" s="11"/>
    </row>
    <row r="64" spans="1:13" ht="15" thickBot="1" x14ac:dyDescent="0.4">
      <c r="A64" s="38"/>
      <c r="B64" s="38"/>
      <c r="C64" s="149"/>
      <c r="D64" s="218"/>
      <c r="E64" s="45"/>
      <c r="F64" s="45"/>
      <c r="G64" s="45"/>
      <c r="H64" s="44"/>
      <c r="I64" s="45"/>
      <c r="J64" s="46"/>
      <c r="K64" s="45"/>
      <c r="L64" s="45"/>
      <c r="M64" s="46"/>
    </row>
    <row r="66" spans="1:13" x14ac:dyDescent="0.35">
      <c r="A66" s="70" t="s">
        <v>11</v>
      </c>
      <c r="B66" s="70"/>
      <c r="C66" s="70"/>
      <c r="D66" s="70"/>
    </row>
    <row r="67" spans="1:13" ht="34.5" customHeight="1" x14ac:dyDescent="0.35">
      <c r="A67" s="302" t="s">
        <v>201</v>
      </c>
      <c r="B67" s="302"/>
      <c r="C67" s="302"/>
      <c r="D67" s="302"/>
      <c r="E67" s="302"/>
      <c r="F67" s="302"/>
      <c r="G67" s="302"/>
      <c r="H67" s="302"/>
      <c r="I67" s="302"/>
      <c r="J67" s="302"/>
      <c r="K67" s="242"/>
      <c r="L67" s="243"/>
      <c r="M67" s="243"/>
    </row>
    <row r="68" spans="1:13" ht="42.75" customHeight="1" x14ac:dyDescent="0.35">
      <c r="A68" s="302" t="s">
        <v>170</v>
      </c>
      <c r="B68" s="302"/>
      <c r="C68" s="302"/>
      <c r="D68" s="302"/>
      <c r="E68" s="302"/>
      <c r="F68" s="302"/>
      <c r="G68" s="302"/>
      <c r="H68" s="302"/>
      <c r="I68" s="302"/>
      <c r="J68" s="302"/>
      <c r="K68" s="302"/>
      <c r="L68" s="243"/>
      <c r="M68" s="243"/>
    </row>
    <row r="69" spans="1:13" ht="33.75" customHeight="1" x14ac:dyDescent="0.35">
      <c r="A69" s="302" t="s">
        <v>202</v>
      </c>
      <c r="B69" s="302"/>
      <c r="C69" s="302"/>
      <c r="D69" s="302"/>
      <c r="E69" s="302"/>
      <c r="F69" s="302"/>
      <c r="G69" s="302"/>
      <c r="H69" s="302"/>
      <c r="I69" s="302"/>
      <c r="J69" s="302"/>
      <c r="K69" s="242"/>
      <c r="L69" s="243"/>
      <c r="M69" s="243"/>
    </row>
    <row r="70" spans="1:13" x14ac:dyDescent="0.35">
      <c r="A70" s="3" t="s">
        <v>67</v>
      </c>
      <c r="B70" s="3"/>
      <c r="C70" s="3"/>
      <c r="D70" s="3"/>
    </row>
    <row r="71" spans="1:13" x14ac:dyDescent="0.35">
      <c r="A71" s="64" t="s">
        <v>179</v>
      </c>
      <c r="B71" s="3"/>
      <c r="C71" s="3"/>
      <c r="D71" s="3"/>
    </row>
    <row r="72" spans="1:13" x14ac:dyDescent="0.35">
      <c r="A72" s="3" t="s">
        <v>70</v>
      </c>
      <c r="B72" s="3"/>
      <c r="C72" s="3"/>
      <c r="D72" s="3"/>
    </row>
    <row r="73" spans="1:13" x14ac:dyDescent="0.35">
      <c r="A73" s="3"/>
      <c r="B73" s="3"/>
      <c r="C73" s="3"/>
      <c r="D73" s="3"/>
    </row>
    <row r="74" spans="1:13" ht="33" customHeight="1" x14ac:dyDescent="0.35">
      <c r="A74" s="298"/>
      <c r="B74" s="298"/>
      <c r="C74" s="298"/>
      <c r="D74" s="298"/>
      <c r="E74" s="298"/>
      <c r="F74" s="298"/>
      <c r="G74" s="298"/>
    </row>
  </sheetData>
  <mergeCells count="7">
    <mergeCell ref="A74:G74"/>
    <mergeCell ref="A69:J69"/>
    <mergeCell ref="E11:G11"/>
    <mergeCell ref="H11:J11"/>
    <mergeCell ref="K11:M11"/>
    <mergeCell ref="A67:J67"/>
    <mergeCell ref="A68:K68"/>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CF1C83FCB0BA42B7DA1950495FBECB" ma:contentTypeVersion="" ma:contentTypeDescription="Create a new document." ma:contentTypeScope="" ma:versionID="75d4f0a820f4001080bf88af81ac7904">
  <xsd:schema xmlns:xsd="http://www.w3.org/2001/XMLSchema" xmlns:xs="http://www.w3.org/2001/XMLSchema" xmlns:p="http://schemas.microsoft.com/office/2006/metadata/properties" xmlns:ns2="c85253b9-0a55-49a1-98ad-b5b6252d7079" xmlns:ns3="f450f658-75db-4c0c-ab7c-769d36713cbc" xmlns:ns4="b95115da-3ec3-4f45-8f03-fcf4d770a292" targetNamespace="http://schemas.microsoft.com/office/2006/metadata/properties" ma:root="true" ma:fieldsID="eeb9bdca1b7f9fa9ccfc1b8fbb2936e7" ns2:_="" ns3:_="" ns4:_="">
    <xsd:import namespace="c85253b9-0a55-49a1-98ad-b5b6252d7079"/>
    <xsd:import namespace="f450f658-75db-4c0c-ab7c-769d36713cbc"/>
    <xsd:import namespace="b95115da-3ec3-4f45-8f03-fcf4d770a292"/>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f450f658-75db-4c0c-ab7c-769d36713cbc"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95115da-3ec3-4f45-8f03-fcf4d770a2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Document_x0020_Status xmlns="c85253b9-0a55-49a1-98ad-b5b6252d7079">Draft</Document_x0020_Status>
    <Comments xmlns="c85253b9-0a55-49a1-98ad-b5b6252d7079" xsi:nil="true"/>
    <Document_x0020_Type xmlns="c85253b9-0a55-49a1-98ad-b5b6252d7079">Question</Document_x0020_Type>
    <Sequence_x0020_Number xmlns="f450f658-75db-4c0c-ab7c-769d36713cb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9404E6-8FA5-4DF8-986C-EB426D543A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f450f658-75db-4c0c-ab7c-769d36713cbc"/>
    <ds:schemaRef ds:uri="b95115da-3ec3-4f45-8f03-fcf4d770a2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E680F6-EEBC-41A4-AEB5-0B773B5EACA2}">
  <ds:schemaRef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 ds:uri="http://purl.org/dc/dcmitype/"/>
    <ds:schemaRef ds:uri="f450f658-75db-4c0c-ab7c-769d36713cbc"/>
    <ds:schemaRef ds:uri="b95115da-3ec3-4f45-8f03-fcf4d770a292"/>
    <ds:schemaRef ds:uri="c85253b9-0a55-49a1-98ad-b5b6252d7079"/>
    <ds:schemaRef ds:uri="http://schemas.microsoft.com/office/2006/metadata/properties"/>
  </ds:schemaRefs>
</ds:datastoreItem>
</file>

<file path=customXml/itemProps3.xml><?xml version="1.0" encoding="utf-8"?>
<ds:datastoreItem xmlns:ds="http://schemas.openxmlformats.org/officeDocument/2006/customXml" ds:itemID="{4FE36353-2D23-4413-BFF3-128FB6002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tariff tables</vt:lpstr>
      <vt:lpstr>DSIM Cycle Tables</vt:lpstr>
      <vt:lpstr>PPC Cycle 3</vt:lpstr>
      <vt:lpstr>PCR Cycle 2</vt:lpstr>
      <vt:lpstr>PCR Cycle 3</vt:lpstr>
      <vt:lpstr>PTD Cycle 2</vt:lpstr>
      <vt:lpstr>PTD Cycle 3</vt:lpstr>
      <vt:lpstr>TDR Cycle 2</vt:lpstr>
      <vt:lpstr>TDR Cycle 3</vt:lpstr>
      <vt:lpstr>EO Cycle 2</vt:lpstr>
      <vt:lpstr>EO Cycle 3</vt:lpstr>
      <vt:lpstr>EOR Cycle 2</vt:lpstr>
      <vt:lpstr>OA Cycle 2</vt:lpstr>
      <vt:lpstr>OAR Cycle 2</vt:lpstr>
      <vt:lpstr>'PCR Cycle 2'!Print_Area</vt:lpstr>
      <vt:lpstr>'PCR Cycle 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2019-05-23T21:26:27Z</cp:lastPrinted>
  <dcterms:created xsi:type="dcterms:W3CDTF">2013-08-12T19:20:10Z</dcterms:created>
  <dcterms:modified xsi:type="dcterms:W3CDTF">2021-11-30T21:44:59Z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0x010100CBCF1C83FCB0BA42B7DA1950495FBECB</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2021-11-30T21:44:42Z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9b446094-1bf3-4729-9e80-8bca71ab4d10</vt:lpwstr>
  </property>
  <property fmtid="{D5CDD505-2E9C-101B-9397-08002B2CF9AE}" pid="11" name="MSIP_Label_d275ac46-98b9-4d64-949f-e82ee8dc823c_ContentBits">
    <vt:lpwstr>3</vt:lpwstr>
  </property>
</Properties>
</file>