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Cycle 3 semi-annual filing 2020-06\MO West DSIM Rider workpapers\"/>
    </mc:Choice>
  </mc:AlternateContent>
  <xr:revisionPtr revIDLastSave="0" documentId="13_ncr:1_{4769C623-7E39-4697-9DD4-D83CB16B1FF3}" xr6:coauthVersionLast="36" xr6:coauthVersionMax="36" xr10:uidLastSave="{00000000-0000-0000-0000-000000000000}"/>
  <bookViews>
    <workbookView xWindow="120" yWindow="230" windowWidth="15240" windowHeight="5360" xr2:uid="{00000000-000D-0000-FFFF-FFFF00000000}"/>
  </bookViews>
  <sheets>
    <sheet name="tariff tables" sheetId="5" r:id="rId1"/>
    <sheet name="DSIM Cycle Tables" sheetId="20" r:id="rId2"/>
    <sheet name="PPC Cycle 2" sheetId="4"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R Cycle 1" sheetId="9" r:id="rId12"/>
    <sheet name="EOR Cycle 2" sheetId="23" r:id="rId13"/>
    <sheet name="OA Cycle 2" sheetId="10" r:id="rId14"/>
    <sheet name="OAR Cycle 2" sheetId="1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4">'PCR Cycle 2'!$A$1:$N$64</definedName>
    <definedName name="_xlnm.Print_Area" localSheetId="5">'PCR Cycle 3'!$A$1:$N$64</definedName>
    <definedName name="solver_adj" localSheetId="4" hidden="1">'PCR Cycle 2'!$E$47</definedName>
    <definedName name="solver_adj" localSheetId="5" hidden="1">'PCR Cycle 3'!$E$45</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2'!$E$52</definedName>
    <definedName name="solver_opt" localSheetId="5" hidden="1">'PCR Cycle 3'!$E$52</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8" i="4" l="1"/>
  <c r="I19" i="9" l="1"/>
  <c r="I18" i="9"/>
  <c r="I17" i="22" l="1"/>
  <c r="I16" i="22"/>
  <c r="I15" i="22"/>
  <c r="I14" i="22"/>
  <c r="I18" i="15" l="1"/>
  <c r="H18" i="15"/>
  <c r="G18" i="15"/>
  <c r="F18" i="15"/>
  <c r="E18" i="15"/>
  <c r="D18" i="15"/>
  <c r="I17" i="15"/>
  <c r="H17" i="15"/>
  <c r="G17" i="15"/>
  <c r="F17" i="15"/>
  <c r="E17" i="15"/>
  <c r="D17" i="15"/>
  <c r="I16" i="15"/>
  <c r="H16" i="15"/>
  <c r="G16" i="15"/>
  <c r="F16" i="15"/>
  <c r="E16" i="15"/>
  <c r="D16" i="15"/>
  <c r="I15" i="15"/>
  <c r="H15" i="15"/>
  <c r="G15" i="15"/>
  <c r="F15" i="15"/>
  <c r="E15" i="15"/>
  <c r="D15" i="15"/>
  <c r="L31" i="16" l="1"/>
  <c r="L30" i="16"/>
  <c r="K31" i="16"/>
  <c r="K30" i="16"/>
  <c r="C10" i="12"/>
  <c r="C6" i="12"/>
  <c r="D39" i="16" l="1"/>
  <c r="C39" i="16"/>
  <c r="I21" i="23" l="1"/>
  <c r="I20" i="23"/>
  <c r="I19" i="23"/>
  <c r="I18" i="23"/>
  <c r="H21" i="23"/>
  <c r="H20" i="23"/>
  <c r="H19" i="23"/>
  <c r="H18" i="23"/>
  <c r="G21" i="23"/>
  <c r="G20" i="23"/>
  <c r="G19" i="23"/>
  <c r="G18" i="23"/>
  <c r="E14" i="8"/>
  <c r="D14" i="8"/>
  <c r="C14" i="8"/>
  <c r="B14" i="8"/>
  <c r="E13" i="8"/>
  <c r="D13" i="8"/>
  <c r="C13" i="8"/>
  <c r="B13" i="8"/>
  <c r="B15" i="8" s="1"/>
  <c r="E12" i="8"/>
  <c r="E15" i="8" s="1"/>
  <c r="D12" i="8"/>
  <c r="C12" i="8"/>
  <c r="B12" i="8"/>
  <c r="E9" i="8"/>
  <c r="D9" i="8"/>
  <c r="C9" i="8"/>
  <c r="B9" i="8"/>
  <c r="E8" i="8"/>
  <c r="D8" i="8"/>
  <c r="C8" i="8"/>
  <c r="B8" i="8"/>
  <c r="J18" i="24"/>
  <c r="J17" i="24"/>
  <c r="J16" i="24"/>
  <c r="J15" i="24"/>
  <c r="I18" i="24"/>
  <c r="I17" i="24"/>
  <c r="I16" i="24"/>
  <c r="I15" i="24"/>
  <c r="H18" i="24"/>
  <c r="H17" i="24"/>
  <c r="H16" i="24"/>
  <c r="H15" i="24"/>
  <c r="G24" i="24"/>
  <c r="G23" i="24"/>
  <c r="G22" i="24"/>
  <c r="G21" i="24"/>
  <c r="D15" i="8" l="1"/>
  <c r="E10" i="8"/>
  <c r="F13" i="8"/>
  <c r="G13" i="8" s="1"/>
  <c r="F9" i="8"/>
  <c r="G9" i="8" s="1"/>
  <c r="B10" i="8"/>
  <c r="C10" i="8"/>
  <c r="F12" i="8"/>
  <c r="D10" i="8"/>
  <c r="C15" i="8"/>
  <c r="F14" i="8"/>
  <c r="G14" i="8" s="1"/>
  <c r="F8" i="8"/>
  <c r="F15" i="8" l="1"/>
  <c r="G12" i="8"/>
  <c r="G15" i="8" s="1"/>
  <c r="F10" i="8"/>
  <c r="G8" i="8"/>
  <c r="G10" i="8" s="1"/>
  <c r="H21" i="24" l="1"/>
  <c r="H23" i="24" l="1"/>
  <c r="H24" i="24" l="1"/>
  <c r="H22" i="24" l="1"/>
  <c r="G30" i="24" l="1"/>
  <c r="G29" i="24"/>
  <c r="G28" i="24"/>
  <c r="G27" i="24"/>
  <c r="I24" i="24" l="1"/>
  <c r="I21" i="24"/>
  <c r="I23" i="24"/>
  <c r="J21" i="24" l="1"/>
  <c r="I30" i="24"/>
  <c r="J23" i="24"/>
  <c r="J24" i="24"/>
  <c r="H30" i="24"/>
  <c r="H27" i="24" l="1"/>
  <c r="H28" i="24"/>
  <c r="I29" i="24"/>
  <c r="H29" i="24"/>
  <c r="I27" i="24"/>
  <c r="I22" i="24"/>
  <c r="J29" i="24"/>
  <c r="J27" i="24"/>
  <c r="J22" i="24" l="1"/>
  <c r="J30" i="24" l="1"/>
  <c r="I28" i="24"/>
  <c r="J28" i="24" l="1"/>
  <c r="F21" i="16" l="1"/>
  <c r="F18" i="16"/>
  <c r="E21" i="16"/>
  <c r="E18" i="16"/>
  <c r="D10" i="4" l="1"/>
  <c r="E13" i="10"/>
  <c r="L8" i="16"/>
  <c r="J8" i="9"/>
  <c r="J8" i="23"/>
  <c r="K8" i="15"/>
  <c r="E14" i="10"/>
  <c r="D11" i="4"/>
  <c r="L9" i="16"/>
  <c r="J9" i="23"/>
  <c r="K9" i="15"/>
  <c r="J9" i="9"/>
  <c r="L10" i="16"/>
  <c r="J10" i="23"/>
  <c r="K10" i="15"/>
  <c r="D12" i="4"/>
  <c r="E15" i="10"/>
  <c r="J10" i="9"/>
  <c r="E24" i="16" l="1"/>
  <c r="E26" i="16"/>
  <c r="E25" i="16"/>
  <c r="E27" i="16"/>
  <c r="E32" i="16"/>
  <c r="E31" i="16"/>
  <c r="E30" i="16"/>
  <c r="E33" i="16"/>
  <c r="F24" i="16" l="1"/>
  <c r="F27" i="16"/>
  <c r="F25" i="16"/>
  <c r="F26" i="16"/>
  <c r="F31" i="16"/>
  <c r="F32" i="16"/>
  <c r="F30" i="16"/>
  <c r="F33" i="16"/>
  <c r="G25" i="16" l="1"/>
  <c r="G24" i="16"/>
  <c r="G26" i="16"/>
  <c r="G27" i="16"/>
  <c r="G32" i="16"/>
  <c r="G31" i="16"/>
  <c r="G30" i="16"/>
  <c r="G33" i="16"/>
  <c r="H25" i="16" l="1"/>
  <c r="H24" i="16"/>
  <c r="H27" i="16"/>
  <c r="H26" i="16"/>
  <c r="H32" i="16"/>
  <c r="H31" i="16"/>
  <c r="H30" i="16"/>
  <c r="H33" i="16" l="1"/>
  <c r="I25" i="16"/>
  <c r="I27" i="16"/>
  <c r="I26" i="16"/>
  <c r="I24" i="16"/>
  <c r="I33" i="16"/>
  <c r="I31" i="16"/>
  <c r="I32" i="16"/>
  <c r="I30" i="16"/>
  <c r="J25" i="16" l="1"/>
  <c r="J26" i="16"/>
  <c r="J24" i="16"/>
  <c r="J27" i="16"/>
  <c r="J33" i="16"/>
  <c r="J31" i="16"/>
  <c r="J32" i="16"/>
  <c r="L33" i="16" l="1"/>
  <c r="L25" i="16"/>
  <c r="K25" i="16"/>
  <c r="K26" i="16"/>
  <c r="L27" i="16"/>
  <c r="L24" i="16"/>
  <c r="K27" i="16"/>
  <c r="K24" i="16"/>
  <c r="K33" i="16"/>
  <c r="K32" i="16"/>
  <c r="J30" i="16"/>
  <c r="G5" i="16" l="1"/>
  <c r="L32" i="16"/>
  <c r="L26" i="16" l="1"/>
  <c r="B12" i="12" l="1"/>
  <c r="B6" i="12"/>
  <c r="B11" i="12"/>
  <c r="B10" i="12"/>
  <c r="C11" i="12"/>
  <c r="C12" i="12"/>
  <c r="H8" i="4" l="1"/>
  <c r="G8" i="4"/>
  <c r="F8" i="4"/>
  <c r="J21" i="16" l="1"/>
  <c r="J20" i="16"/>
  <c r="J19" i="16"/>
  <c r="J18" i="16"/>
  <c r="I21" i="16"/>
  <c r="I20" i="16"/>
  <c r="I19" i="16"/>
  <c r="I18" i="16"/>
  <c r="H21" i="16"/>
  <c r="H20" i="16"/>
  <c r="H19" i="16"/>
  <c r="H18" i="16"/>
  <c r="G21" i="16"/>
  <c r="G18" i="16"/>
  <c r="H17" i="22"/>
  <c r="H16" i="22"/>
  <c r="H15" i="22"/>
  <c r="H14" i="22"/>
  <c r="G17" i="22"/>
  <c r="G16" i="22"/>
  <c r="G15" i="22"/>
  <c r="G14" i="22"/>
  <c r="F17" i="22"/>
  <c r="F16" i="22"/>
  <c r="F15" i="22"/>
  <c r="F14" i="22"/>
  <c r="I29" i="22" l="1"/>
  <c r="I28" i="22"/>
  <c r="I27" i="22"/>
  <c r="I26" i="22"/>
  <c r="I23" i="22"/>
  <c r="I22" i="22"/>
  <c r="I21" i="22"/>
  <c r="I20" i="22"/>
  <c r="H29" i="22"/>
  <c r="H28" i="22"/>
  <c r="H27" i="22"/>
  <c r="H26" i="22"/>
  <c r="H23" i="22"/>
  <c r="H22" i="22"/>
  <c r="H21" i="22"/>
  <c r="H20" i="22"/>
  <c r="G29" i="22"/>
  <c r="G28" i="22"/>
  <c r="G27" i="22"/>
  <c r="G26" i="22"/>
  <c r="G23" i="22"/>
  <c r="G22" i="22"/>
  <c r="G21" i="22"/>
  <c r="G20" i="22"/>
  <c r="I35" i="15"/>
  <c r="I34" i="15"/>
  <c r="I33" i="15"/>
  <c r="I32" i="15"/>
  <c r="H35" i="15"/>
  <c r="H34" i="15"/>
  <c r="H33" i="15"/>
  <c r="H32" i="15"/>
  <c r="G35" i="15"/>
  <c r="G34" i="15"/>
  <c r="G33" i="15"/>
  <c r="G32" i="15"/>
  <c r="I47" i="15"/>
  <c r="H47" i="15"/>
  <c r="G47" i="15"/>
  <c r="F47" i="15"/>
  <c r="E47" i="15"/>
  <c r="D47" i="15"/>
  <c r="K18" i="15" l="1"/>
  <c r="J18" i="15"/>
  <c r="K17" i="15"/>
  <c r="J17" i="15"/>
  <c r="K16" i="15"/>
  <c r="J16" i="15"/>
  <c r="K15" i="15"/>
  <c r="J15" i="15"/>
  <c r="E35" i="15" l="1"/>
  <c r="E32" i="15"/>
  <c r="D35" i="15"/>
  <c r="D32" i="15"/>
  <c r="E29" i="15"/>
  <c r="E26" i="15"/>
  <c r="D29" i="15"/>
  <c r="D26" i="15"/>
  <c r="B12" i="4" l="1"/>
  <c r="B11" i="4"/>
  <c r="B10" i="4"/>
  <c r="B5" i="4"/>
  <c r="L29" i="15"/>
  <c r="K29" i="15"/>
  <c r="J29" i="15"/>
  <c r="L28" i="15"/>
  <c r="K28" i="15"/>
  <c r="J28" i="15"/>
  <c r="L27" i="15"/>
  <c r="K27" i="15"/>
  <c r="J27" i="15"/>
  <c r="L26" i="15"/>
  <c r="K26" i="15"/>
  <c r="J26" i="15"/>
  <c r="E19" i="9" l="1"/>
  <c r="E18" i="9"/>
  <c r="D19" i="9"/>
  <c r="D18" i="9"/>
  <c r="I6" i="24" l="1"/>
  <c r="I5" i="24"/>
  <c r="C38" i="24" l="1"/>
  <c r="C44" i="24" s="1"/>
  <c r="C37" i="24"/>
  <c r="C43" i="24" s="1"/>
  <c r="C36" i="24"/>
  <c r="C42" i="24" s="1"/>
  <c r="C35" i="24"/>
  <c r="G38" i="24"/>
  <c r="F38" i="24"/>
  <c r="E38" i="24"/>
  <c r="D38" i="24"/>
  <c r="G37" i="24"/>
  <c r="F37" i="24"/>
  <c r="E37" i="24"/>
  <c r="D37" i="24"/>
  <c r="G36" i="24"/>
  <c r="F36" i="24"/>
  <c r="E36" i="24"/>
  <c r="D36" i="24"/>
  <c r="G35" i="24"/>
  <c r="F35" i="24"/>
  <c r="E35" i="24"/>
  <c r="D43" i="24" l="1"/>
  <c r="D44" i="24"/>
  <c r="D42" i="24"/>
  <c r="D49" i="24"/>
  <c r="D50" i="24"/>
  <c r="D51" i="24"/>
  <c r="E44" i="24" s="1"/>
  <c r="E42" i="24" l="1"/>
  <c r="E43" i="24"/>
  <c r="G12" i="24"/>
  <c r="F12" i="24"/>
  <c r="E12" i="24"/>
  <c r="D12" i="24"/>
  <c r="H37" i="24" l="1"/>
  <c r="H38" i="24"/>
  <c r="H35" i="24"/>
  <c r="I37" i="24" l="1"/>
  <c r="I38" i="24"/>
  <c r="H12" i="24" l="1"/>
  <c r="H36" i="24"/>
  <c r="J38" i="24"/>
  <c r="I35" i="24"/>
  <c r="J37" i="24"/>
  <c r="I36" i="24" l="1"/>
  <c r="I12" i="24"/>
  <c r="J35" i="24"/>
  <c r="J12" i="24" l="1"/>
  <c r="F15" i="16"/>
  <c r="J36" i="24" l="1"/>
  <c r="H15" i="16"/>
  <c r="G15" i="16"/>
  <c r="I15" i="16" l="1"/>
  <c r="J15" i="16" l="1"/>
  <c r="K15" i="16" l="1"/>
  <c r="L15" i="16" l="1"/>
  <c r="N26" i="16" l="1"/>
  <c r="N25" i="16"/>
  <c r="J39" i="16" l="1"/>
  <c r="I39" i="16"/>
  <c r="H39" i="16"/>
  <c r="L34" i="15" l="1"/>
  <c r="K22" i="22"/>
  <c r="K28" i="22" s="1"/>
  <c r="L33" i="15"/>
  <c r="K33" i="15"/>
  <c r="K20" i="22"/>
  <c r="J21" i="22"/>
  <c r="J27" i="22" s="1"/>
  <c r="L21" i="22" l="1"/>
  <c r="L27" i="22" s="1"/>
  <c r="J33" i="15"/>
  <c r="K21" i="22"/>
  <c r="K27" i="22" s="1"/>
  <c r="J20" i="23"/>
  <c r="K17" i="24"/>
  <c r="K20" i="16"/>
  <c r="J21" i="23"/>
  <c r="K18" i="24"/>
  <c r="K21" i="16"/>
  <c r="K21" i="23"/>
  <c r="L18" i="24"/>
  <c r="L21" i="16"/>
  <c r="K34" i="15"/>
  <c r="J22" i="22"/>
  <c r="J28" i="22" s="1"/>
  <c r="L18" i="13"/>
  <c r="L18" i="9"/>
  <c r="L18" i="23"/>
  <c r="M15" i="24"/>
  <c r="M35" i="24" s="1"/>
  <c r="M18" i="16"/>
  <c r="L20" i="23"/>
  <c r="M17" i="24"/>
  <c r="M37" i="24" s="1"/>
  <c r="M20" i="16"/>
  <c r="J34" i="15"/>
  <c r="J18" i="13"/>
  <c r="J18" i="9"/>
  <c r="J18" i="23"/>
  <c r="K15" i="24"/>
  <c r="K18" i="16"/>
  <c r="J20" i="22"/>
  <c r="L22" i="22"/>
  <c r="L28" i="22" s="1"/>
  <c r="J23" i="22"/>
  <c r="K18" i="13"/>
  <c r="K18" i="9"/>
  <c r="K18" i="23"/>
  <c r="L15" i="24"/>
  <c r="L18" i="16"/>
  <c r="L21" i="23"/>
  <c r="M18" i="24"/>
  <c r="M38" i="24" s="1"/>
  <c r="M21" i="16"/>
  <c r="K19" i="13"/>
  <c r="K19" i="9"/>
  <c r="K19" i="23"/>
  <c r="L16" i="24"/>
  <c r="L19" i="16"/>
  <c r="L19" i="13"/>
  <c r="L19" i="9"/>
  <c r="L19" i="23"/>
  <c r="M16" i="24"/>
  <c r="M36" i="24" s="1"/>
  <c r="M19" i="16"/>
  <c r="J19" i="13"/>
  <c r="J19" i="9"/>
  <c r="J19" i="23"/>
  <c r="K16" i="24"/>
  <c r="K19" i="16"/>
  <c r="L20" i="22"/>
  <c r="K23" i="22"/>
  <c r="K20" i="23"/>
  <c r="L17" i="24"/>
  <c r="L20" i="16"/>
  <c r="L23" i="22"/>
  <c r="E5" i="16" l="1"/>
  <c r="D5" i="23"/>
  <c r="M39" i="16"/>
  <c r="E5" i="24"/>
  <c r="L39" i="16"/>
  <c r="K39" i="16"/>
  <c r="E6" i="24"/>
  <c r="H6" i="22" l="1"/>
  <c r="E6" i="22"/>
  <c r="D6" i="22"/>
  <c r="H5" i="22"/>
  <c r="E5" i="22"/>
  <c r="D5" i="22"/>
  <c r="L36" i="22" l="1"/>
  <c r="H36" i="22"/>
  <c r="G36" i="22"/>
  <c r="F36" i="22"/>
  <c r="E36" i="22"/>
  <c r="D36" i="22"/>
  <c r="C36" i="22"/>
  <c r="C42" i="22" s="1"/>
  <c r="L35" i="22"/>
  <c r="H35" i="22"/>
  <c r="G35" i="22"/>
  <c r="F35" i="22"/>
  <c r="E35" i="22"/>
  <c r="D35" i="22"/>
  <c r="C35" i="22"/>
  <c r="C41" i="22" s="1"/>
  <c r="D41" i="22" l="1"/>
  <c r="D42" i="22"/>
  <c r="L34" i="23" l="1"/>
  <c r="G34" i="23"/>
  <c r="F34" i="23"/>
  <c r="E34" i="23"/>
  <c r="D34" i="23"/>
  <c r="C34" i="23"/>
  <c r="C40" i="23" s="1"/>
  <c r="D40" i="23" s="1"/>
  <c r="L33" i="23"/>
  <c r="G33" i="23"/>
  <c r="F33" i="23"/>
  <c r="E33" i="23"/>
  <c r="D33" i="23"/>
  <c r="C33" i="23"/>
  <c r="C39" i="23" s="1"/>
  <c r="D39" i="23" s="1"/>
  <c r="C13" i="13"/>
  <c r="B13" i="13"/>
  <c r="C13" i="23"/>
  <c r="B13" i="23"/>
  <c r="C13" i="9"/>
  <c r="B13" i="9"/>
  <c r="C10" i="24"/>
  <c r="B10" i="24"/>
  <c r="C13" i="16"/>
  <c r="B13" i="16"/>
  <c r="C10" i="22"/>
  <c r="B10" i="22"/>
  <c r="J47" i="15" l="1"/>
  <c r="K47" i="15" s="1"/>
  <c r="G39" i="16" l="1"/>
  <c r="F39" i="16"/>
  <c r="E39" i="16"/>
  <c r="E15" i="16" l="1"/>
  <c r="N27" i="16" l="1"/>
  <c r="F5" i="16" s="1"/>
  <c r="B55" i="24" l="1"/>
  <c r="C55" i="24" s="1"/>
  <c r="D35" i="24"/>
  <c r="C41" i="24"/>
  <c r="E11" i="24"/>
  <c r="F11" i="24" s="1"/>
  <c r="G11" i="24" s="1"/>
  <c r="H11" i="24" s="1"/>
  <c r="I11" i="24" s="1"/>
  <c r="J11" i="24" s="1"/>
  <c r="K11" i="24" s="1"/>
  <c r="L11" i="24" s="1"/>
  <c r="M11" i="24" s="1"/>
  <c r="I7" i="24"/>
  <c r="I4" i="24"/>
  <c r="A1" i="24"/>
  <c r="D48" i="24" l="1"/>
  <c r="D55" i="24" s="1"/>
  <c r="D41" i="24"/>
  <c r="I8" i="24"/>
  <c r="E7" i="24"/>
  <c r="E4" i="24"/>
  <c r="E41" i="24" l="1"/>
  <c r="E8" i="24"/>
  <c r="D14" i="13" l="1"/>
  <c r="D14" i="23"/>
  <c r="E14" i="23" s="1"/>
  <c r="F14" i="23" s="1"/>
  <c r="G14" i="23" s="1"/>
  <c r="H14" i="23" s="1"/>
  <c r="I14" i="23" s="1"/>
  <c r="J14" i="23" s="1"/>
  <c r="K14" i="23" s="1"/>
  <c r="L14" i="23" s="1"/>
  <c r="D14" i="9"/>
  <c r="E14" i="16"/>
  <c r="D11" i="22"/>
  <c r="E14" i="15"/>
  <c r="F14" i="15" s="1"/>
  <c r="G14" i="15" s="1"/>
  <c r="H14" i="15" s="1"/>
  <c r="I14" i="15" s="1"/>
  <c r="J14" i="15" s="1"/>
  <c r="K14" i="15" s="1"/>
  <c r="L14" i="15" s="1"/>
  <c r="L11" i="22" s="1"/>
  <c r="B52" i="23"/>
  <c r="C52" i="23" s="1"/>
  <c r="C35" i="23"/>
  <c r="C41" i="23" s="1"/>
  <c r="C32" i="23"/>
  <c r="C38" i="23" s="1"/>
  <c r="L35" i="23"/>
  <c r="G35" i="23"/>
  <c r="E35" i="23"/>
  <c r="D35" i="23"/>
  <c r="L32" i="23"/>
  <c r="G32" i="23"/>
  <c r="F32" i="23"/>
  <c r="D32" i="23"/>
  <c r="G15" i="23"/>
  <c r="F15" i="23"/>
  <c r="E15" i="23"/>
  <c r="D15" i="23"/>
  <c r="G5" i="23"/>
  <c r="G4" i="23"/>
  <c r="G6" i="23" s="1"/>
  <c r="A1" i="23"/>
  <c r="C38" i="16"/>
  <c r="B54" i="22"/>
  <c r="C54" i="22" s="1"/>
  <c r="L52" i="22"/>
  <c r="L29" i="22"/>
  <c r="K29" i="22"/>
  <c r="J29" i="22"/>
  <c r="L26" i="22"/>
  <c r="K26" i="22"/>
  <c r="J26" i="22"/>
  <c r="C37" i="22"/>
  <c r="C43" i="22" s="1"/>
  <c r="G37" i="22"/>
  <c r="F37" i="22"/>
  <c r="F34" i="22"/>
  <c r="E34" i="22"/>
  <c r="H7" i="22"/>
  <c r="H4" i="22"/>
  <c r="A1" i="22"/>
  <c r="H8" i="22" l="1"/>
  <c r="L34" i="22"/>
  <c r="G34" i="22"/>
  <c r="H34" i="22"/>
  <c r="E37" i="22"/>
  <c r="H37" i="22"/>
  <c r="J11" i="23"/>
  <c r="D38" i="23"/>
  <c r="E4" i="22"/>
  <c r="L37" i="22"/>
  <c r="E7" i="22"/>
  <c r="D4" i="23"/>
  <c r="E11" i="22"/>
  <c r="G11" i="22"/>
  <c r="F11" i="22"/>
  <c r="H11" i="22"/>
  <c r="I11" i="22"/>
  <c r="J11" i="22"/>
  <c r="K11" i="22"/>
  <c r="D41" i="23"/>
  <c r="E32" i="23"/>
  <c r="F35" i="23"/>
  <c r="D37" i="22"/>
  <c r="D43" i="22" s="1"/>
  <c r="D7" i="22"/>
  <c r="D4" i="22"/>
  <c r="C34" i="22"/>
  <c r="C40" i="22" s="1"/>
  <c r="D34" i="22"/>
  <c r="D6" i="23" l="1"/>
  <c r="E8" i="22"/>
  <c r="D8" i="22"/>
  <c r="D40" i="22"/>
  <c r="A1" i="18" l="1"/>
  <c r="F7" i="4" l="1"/>
  <c r="G7" i="4"/>
  <c r="H7" i="4"/>
  <c r="I7" i="4"/>
  <c r="F9" i="4"/>
  <c r="G9" i="4"/>
  <c r="H10" i="4"/>
  <c r="I10" i="4"/>
  <c r="G6" i="5"/>
  <c r="G7" i="5"/>
  <c r="A2" i="19"/>
  <c r="A1" i="19"/>
  <c r="F10" i="4" l="1"/>
  <c r="Z23" i="5"/>
  <c r="AA23" i="5"/>
  <c r="AA15" i="5"/>
  <c r="Z15" i="5"/>
  <c r="AA22" i="5"/>
  <c r="AA14" i="5"/>
  <c r="Z22" i="5"/>
  <c r="Z14" i="5"/>
  <c r="H9" i="4"/>
  <c r="I9" i="4"/>
  <c r="B13" i="4"/>
  <c r="B6" i="4" s="1"/>
  <c r="B7" i="4" s="1"/>
  <c r="D13" i="4"/>
  <c r="G10" i="4"/>
  <c r="C6" i="4" s="1"/>
  <c r="G5" i="5"/>
  <c r="E16" i="20" l="1"/>
  <c r="E15" i="20"/>
  <c r="D16" i="20"/>
  <c r="AA13" i="5"/>
  <c r="Z13" i="5"/>
  <c r="Z21" i="5"/>
  <c r="AA21" i="5"/>
  <c r="D15" i="20"/>
  <c r="J11" i="13"/>
  <c r="E16" i="10" l="1"/>
  <c r="D14" i="20"/>
  <c r="E14" i="20"/>
  <c r="K11" i="15"/>
  <c r="J11" i="9"/>
  <c r="L11" i="16"/>
  <c r="K27" i="23" l="1"/>
  <c r="K35" i="23" s="1"/>
  <c r="J27" i="23"/>
  <c r="I27" i="23"/>
  <c r="I35" i="23" s="1"/>
  <c r="H27" i="23"/>
  <c r="U15" i="5"/>
  <c r="H26" i="23"/>
  <c r="H34" i="23" s="1"/>
  <c r="K26" i="23"/>
  <c r="K34" i="23" s="1"/>
  <c r="I26" i="23"/>
  <c r="I34" i="23" s="1"/>
  <c r="J26" i="23"/>
  <c r="J34" i="23" s="1"/>
  <c r="E15" i="5"/>
  <c r="E14" i="5"/>
  <c r="U14" i="5"/>
  <c r="H35" i="23" l="1"/>
  <c r="J35" i="23"/>
  <c r="U13" i="5" l="1"/>
  <c r="K25" i="23"/>
  <c r="K33" i="23" s="1"/>
  <c r="H25" i="23"/>
  <c r="I25" i="23"/>
  <c r="I33" i="23" s="1"/>
  <c r="J25" i="23"/>
  <c r="J33" i="23" s="1"/>
  <c r="E13" i="5"/>
  <c r="H33" i="23" l="1"/>
  <c r="E5" i="23"/>
  <c r="F5" i="23" s="1"/>
  <c r="B13" i="12"/>
  <c r="B7" i="12" s="1"/>
  <c r="T15" i="5"/>
  <c r="T14" i="5"/>
  <c r="T13" i="5"/>
  <c r="C13" i="12" l="1"/>
  <c r="C7" i="12" s="1"/>
  <c r="D5" i="10" l="1"/>
  <c r="D26" i="10"/>
  <c r="D27" i="10" l="1"/>
  <c r="D28" i="10" s="1"/>
  <c r="D29" i="10" l="1"/>
  <c r="D30" i="10" s="1"/>
  <c r="D31" i="10" l="1"/>
  <c r="D32" i="10" l="1"/>
  <c r="D33" i="10" s="1"/>
  <c r="D6" i="10" s="1"/>
  <c r="D8" i="10" s="1"/>
  <c r="D38" i="16" l="1"/>
  <c r="D15" i="16"/>
  <c r="F15" i="9" l="1"/>
  <c r="E15" i="9"/>
  <c r="D15" i="9"/>
  <c r="B42" i="9" l="1"/>
  <c r="B52" i="16"/>
  <c r="B54" i="15"/>
  <c r="A2" i="8" l="1"/>
  <c r="A1" i="8"/>
  <c r="C10" i="10" l="1"/>
  <c r="C42" i="13" l="1"/>
  <c r="F29" i="13"/>
  <c r="E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A1" i="13"/>
  <c r="G6" i="13" l="1"/>
  <c r="D33" i="13"/>
  <c r="D32" i="13"/>
  <c r="I29" i="13"/>
  <c r="E5" i="13"/>
  <c r="E4" i="13"/>
  <c r="G29" i="13"/>
  <c r="H15" i="13"/>
  <c r="E6" i="13" l="1"/>
  <c r="C42" i="9" l="1"/>
  <c r="D29" i="9"/>
  <c r="C29" i="9"/>
  <c r="C33" i="9" s="1"/>
  <c r="C28" i="9"/>
  <c r="C32" i="9" s="1"/>
  <c r="I29" i="9"/>
  <c r="E29" i="9"/>
  <c r="I28" i="9"/>
  <c r="E28" i="9"/>
  <c r="D28" i="9"/>
  <c r="K15" i="9"/>
  <c r="J15" i="9"/>
  <c r="I15" i="9"/>
  <c r="H15" i="9"/>
  <c r="G15" i="9"/>
  <c r="E14" i="9"/>
  <c r="F14" i="9" s="1"/>
  <c r="G14" i="9" s="1"/>
  <c r="H14" i="9" s="1"/>
  <c r="I14" i="9" s="1"/>
  <c r="J14" i="9" s="1"/>
  <c r="K14" i="9" s="1"/>
  <c r="L14" i="9" s="1"/>
  <c r="G5" i="9"/>
  <c r="E5" i="9"/>
  <c r="G4" i="9"/>
  <c r="E4" i="9"/>
  <c r="A1" i="9"/>
  <c r="A1" i="10"/>
  <c r="A2" i="10"/>
  <c r="E6" i="9" l="1"/>
  <c r="G6" i="9"/>
  <c r="D33" i="9"/>
  <c r="D32" i="9"/>
  <c r="L29" i="13" l="1"/>
  <c r="L29" i="9"/>
  <c r="L28" i="13"/>
  <c r="L28" i="9"/>
  <c r="K28" i="13"/>
  <c r="K28" i="9"/>
  <c r="K29" i="13"/>
  <c r="K29" i="9"/>
  <c r="J28" i="13" l="1"/>
  <c r="D4" i="13"/>
  <c r="J28" i="9"/>
  <c r="J29" i="9"/>
  <c r="J29" i="13"/>
  <c r="D5" i="13"/>
  <c r="F5" i="13" s="1"/>
  <c r="D6" i="13" l="1"/>
  <c r="F4" i="13"/>
  <c r="F6" i="13" l="1"/>
  <c r="C23" i="15" l="1"/>
  <c r="C41" i="15" s="1"/>
  <c r="C22" i="15"/>
  <c r="H46" i="24" l="1"/>
  <c r="G35" i="13"/>
  <c r="G43" i="23"/>
  <c r="G35" i="9"/>
  <c r="H45" i="16"/>
  <c r="G45" i="22"/>
  <c r="E46" i="24"/>
  <c r="D35" i="13"/>
  <c r="D35" i="9"/>
  <c r="E45" i="16"/>
  <c r="D43" i="23"/>
  <c r="D45" i="22"/>
  <c r="F46" i="24"/>
  <c r="E35" i="13"/>
  <c r="E43" i="23"/>
  <c r="E35" i="9"/>
  <c r="F45" i="16"/>
  <c r="E45" i="22"/>
  <c r="G46" i="24"/>
  <c r="F35" i="13"/>
  <c r="F43" i="23"/>
  <c r="F35" i="9"/>
  <c r="G45" i="16"/>
  <c r="F45" i="22"/>
  <c r="I46" i="24"/>
  <c r="H35" i="13"/>
  <c r="H43" i="23"/>
  <c r="H35" i="9"/>
  <c r="I45" i="16"/>
  <c r="H45" i="22"/>
  <c r="E51" i="24" l="1"/>
  <c r="F51" i="24" s="1"/>
  <c r="E49" i="24"/>
  <c r="E50" i="24"/>
  <c r="D49" i="22"/>
  <c r="D48" i="22"/>
  <c r="D46" i="23"/>
  <c r="D47" i="23"/>
  <c r="D38" i="13"/>
  <c r="D37" i="13"/>
  <c r="J46" i="24"/>
  <c r="I43" i="23"/>
  <c r="J45" i="16"/>
  <c r="I35" i="13"/>
  <c r="I45" i="22"/>
  <c r="I35" i="9"/>
  <c r="F44" i="24"/>
  <c r="E48" i="24"/>
  <c r="D48" i="23"/>
  <c r="D45" i="23"/>
  <c r="D47" i="22"/>
  <c r="D50" i="22"/>
  <c r="D38" i="9"/>
  <c r="D37" i="9"/>
  <c r="C52" i="16"/>
  <c r="D52" i="16" s="1"/>
  <c r="G51" i="24" l="1"/>
  <c r="F50" i="24"/>
  <c r="F43" i="24"/>
  <c r="F41" i="24"/>
  <c r="F48" i="24"/>
  <c r="G41" i="24" s="1"/>
  <c r="F49" i="24"/>
  <c r="F42" i="24"/>
  <c r="D54" i="22"/>
  <c r="D51" i="22" s="1"/>
  <c r="E42" i="22"/>
  <c r="E49" i="22"/>
  <c r="E41" i="22"/>
  <c r="E48" i="22"/>
  <c r="E47" i="23"/>
  <c r="E40" i="23"/>
  <c r="E46" i="23"/>
  <c r="E39" i="23"/>
  <c r="D40" i="9"/>
  <c r="D42" i="9"/>
  <c r="D39" i="9" s="1"/>
  <c r="E37" i="9"/>
  <c r="E32" i="9"/>
  <c r="D52" i="23"/>
  <c r="D49" i="23" s="1"/>
  <c r="D50" i="23"/>
  <c r="E45" i="23"/>
  <c r="E38" i="23"/>
  <c r="E41" i="23"/>
  <c r="E48" i="23"/>
  <c r="E47" i="22"/>
  <c r="D52" i="22"/>
  <c r="E40" i="22"/>
  <c r="E55" i="24"/>
  <c r="E52" i="24" s="1"/>
  <c r="E53" i="24"/>
  <c r="E37" i="13"/>
  <c r="E32" i="13"/>
  <c r="D40" i="13"/>
  <c r="D42" i="13"/>
  <c r="D39" i="13" s="1"/>
  <c r="E38" i="9"/>
  <c r="E33" i="9"/>
  <c r="E50" i="22"/>
  <c r="E43" i="22"/>
  <c r="G44" i="24"/>
  <c r="E33" i="13"/>
  <c r="E38" i="13"/>
  <c r="L35" i="15"/>
  <c r="K35" i="15"/>
  <c r="J35" i="15"/>
  <c r="L32" i="15"/>
  <c r="K32" i="15"/>
  <c r="J32" i="15"/>
  <c r="H51" i="24" l="1"/>
  <c r="E54" i="22"/>
  <c r="F42" i="22"/>
  <c r="G42" i="24"/>
  <c r="G49" i="24"/>
  <c r="G48" i="24"/>
  <c r="H48" i="24" s="1"/>
  <c r="G43" i="24"/>
  <c r="G50" i="24"/>
  <c r="F41" i="22"/>
  <c r="F48" i="22"/>
  <c r="F49" i="22"/>
  <c r="F40" i="23"/>
  <c r="F47" i="23"/>
  <c r="F39" i="23"/>
  <c r="F46" i="23"/>
  <c r="E52" i="23"/>
  <c r="E49" i="23" s="1"/>
  <c r="F47" i="22"/>
  <c r="F40" i="22"/>
  <c r="F53" i="24"/>
  <c r="F55" i="24"/>
  <c r="F52" i="24" s="1"/>
  <c r="E52" i="22"/>
  <c r="E51" i="22"/>
  <c r="F33" i="13"/>
  <c r="F38" i="13"/>
  <c r="F41" i="23"/>
  <c r="F48" i="23"/>
  <c r="E42" i="9"/>
  <c r="E39" i="9" s="1"/>
  <c r="E40" i="9"/>
  <c r="H44" i="24"/>
  <c r="F32" i="13"/>
  <c r="F37" i="13"/>
  <c r="F45" i="23"/>
  <c r="F38" i="23"/>
  <c r="F43" i="22"/>
  <c r="F50" i="22"/>
  <c r="E40" i="13"/>
  <c r="E42" i="13"/>
  <c r="E39" i="13" s="1"/>
  <c r="E50" i="23"/>
  <c r="I51" i="24" l="1"/>
  <c r="G49" i="22"/>
  <c r="H41" i="24"/>
  <c r="I48" i="24" s="1"/>
  <c r="H43" i="24"/>
  <c r="H50" i="24"/>
  <c r="H42" i="24"/>
  <c r="H49" i="24"/>
  <c r="F54" i="22"/>
  <c r="F51" i="22" s="1"/>
  <c r="G42" i="22"/>
  <c r="G41" i="22"/>
  <c r="G48" i="22"/>
  <c r="G50" i="22"/>
  <c r="G39" i="23"/>
  <c r="G46" i="23"/>
  <c r="G40" i="23"/>
  <c r="G47" i="23"/>
  <c r="G43" i="22"/>
  <c r="G53" i="24"/>
  <c r="G55" i="24"/>
  <c r="G52" i="24" s="1"/>
  <c r="F50" i="23"/>
  <c r="F52" i="23"/>
  <c r="F49" i="23" s="1"/>
  <c r="G40" i="22"/>
  <c r="G47" i="22"/>
  <c r="G33" i="13"/>
  <c r="G38" i="13"/>
  <c r="F52" i="22"/>
  <c r="G45" i="23"/>
  <c r="G38" i="23"/>
  <c r="G32" i="13"/>
  <c r="G37" i="13"/>
  <c r="F42" i="13"/>
  <c r="F39" i="13" s="1"/>
  <c r="F40" i="13"/>
  <c r="I44" i="24"/>
  <c r="G48" i="23"/>
  <c r="G41" i="23"/>
  <c r="I41" i="24" l="1"/>
  <c r="J48" i="24" s="1"/>
  <c r="J51" i="24"/>
  <c r="I42" i="24"/>
  <c r="I49" i="24"/>
  <c r="I43" i="24"/>
  <c r="I50" i="24"/>
  <c r="G54" i="22"/>
  <c r="G51" i="22" s="1"/>
  <c r="H48" i="22"/>
  <c r="H41" i="22"/>
  <c r="H42" i="22"/>
  <c r="H49" i="22"/>
  <c r="H40" i="23"/>
  <c r="H47" i="23"/>
  <c r="H39" i="23"/>
  <c r="H46" i="23"/>
  <c r="H33" i="13"/>
  <c r="H38" i="13"/>
  <c r="G50" i="23"/>
  <c r="G52" i="23"/>
  <c r="G49" i="23" s="1"/>
  <c r="H40" i="22"/>
  <c r="H47" i="22"/>
  <c r="H55" i="24"/>
  <c r="H52" i="24" s="1"/>
  <c r="H53" i="24"/>
  <c r="J44" i="24"/>
  <c r="G40" i="13"/>
  <c r="G42" i="13"/>
  <c r="G39" i="13" s="1"/>
  <c r="H41" i="23"/>
  <c r="H48" i="23"/>
  <c r="H37" i="13"/>
  <c r="H32" i="13"/>
  <c r="J41" i="24"/>
  <c r="G52" i="22"/>
  <c r="H50" i="22"/>
  <c r="H43" i="22"/>
  <c r="C43" i="16"/>
  <c r="D43" i="16" s="1"/>
  <c r="C42" i="16"/>
  <c r="D42" i="16" s="1"/>
  <c r="M38" i="16"/>
  <c r="F14" i="16"/>
  <c r="G14" i="16" s="1"/>
  <c r="H14" i="16" s="1"/>
  <c r="I14" i="16" s="1"/>
  <c r="J14" i="16" s="1"/>
  <c r="K14" i="16" s="1"/>
  <c r="L14" i="16" s="1"/>
  <c r="M14" i="16" s="1"/>
  <c r="I5" i="16"/>
  <c r="I4" i="16"/>
  <c r="A1" i="16"/>
  <c r="C54" i="15"/>
  <c r="L52" i="15"/>
  <c r="C45" i="15"/>
  <c r="C40" i="15"/>
  <c r="C44" i="15" s="1"/>
  <c r="L23" i="15"/>
  <c r="L41" i="15" s="1"/>
  <c r="L22" i="15"/>
  <c r="H5" i="15"/>
  <c r="H4" i="15"/>
  <c r="A1" i="15"/>
  <c r="J43" i="24" l="1"/>
  <c r="J50" i="24"/>
  <c r="J42" i="24"/>
  <c r="J49" i="24"/>
  <c r="H54" i="22"/>
  <c r="H51" i="22" s="1"/>
  <c r="I39" i="23"/>
  <c r="I46" i="23"/>
  <c r="I40" i="23"/>
  <c r="I47" i="23"/>
  <c r="I41" i="23"/>
  <c r="I48" i="23"/>
  <c r="H52" i="22"/>
  <c r="K46" i="24"/>
  <c r="J43" i="23"/>
  <c r="J35" i="9"/>
  <c r="K45" i="16"/>
  <c r="J35" i="13"/>
  <c r="J45" i="22"/>
  <c r="I53" i="24"/>
  <c r="I55" i="24"/>
  <c r="I52" i="24" s="1"/>
  <c r="I32" i="13"/>
  <c r="I37" i="13"/>
  <c r="H40" i="13"/>
  <c r="H42" i="13"/>
  <c r="H39" i="13" s="1"/>
  <c r="I33" i="13"/>
  <c r="I38" i="13"/>
  <c r="H6" i="15"/>
  <c r="I6" i="16"/>
  <c r="L40" i="15"/>
  <c r="E4" i="16"/>
  <c r="J40" i="23" l="1"/>
  <c r="J47" i="23"/>
  <c r="J39" i="23"/>
  <c r="J46" i="23"/>
  <c r="J38" i="13"/>
  <c r="J33" i="13"/>
  <c r="J41" i="23"/>
  <c r="J48" i="23"/>
  <c r="I42" i="13"/>
  <c r="I39" i="13" s="1"/>
  <c r="I40" i="13"/>
  <c r="J32" i="13"/>
  <c r="J37" i="13"/>
  <c r="J53" i="24"/>
  <c r="J55" i="24"/>
  <c r="J52" i="24" s="1"/>
  <c r="E6" i="16"/>
  <c r="K33" i="13" l="1"/>
  <c r="K39" i="23"/>
  <c r="K40" i="23"/>
  <c r="J42" i="13"/>
  <c r="J39" i="13" s="1"/>
  <c r="K32" i="13"/>
  <c r="J40" i="13"/>
  <c r="K41" i="23"/>
  <c r="L46" i="24" l="1"/>
  <c r="K43" i="23"/>
  <c r="K35" i="13"/>
  <c r="K37" i="13" s="1"/>
  <c r="K35" i="9"/>
  <c r="K45" i="22"/>
  <c r="L45" i="16"/>
  <c r="K46" i="23" l="1"/>
  <c r="K47" i="23"/>
  <c r="K38" i="13"/>
  <c r="L33" i="13" s="1"/>
  <c r="K48" i="23"/>
  <c r="H4" i="13"/>
  <c r="L32" i="13"/>
  <c r="L37" i="13"/>
  <c r="H5" i="23" l="1"/>
  <c r="K40" i="13"/>
  <c r="H5" i="13"/>
  <c r="I5" i="13" s="1"/>
  <c r="I9" i="13" s="1"/>
  <c r="K42" i="13"/>
  <c r="K39" i="13" s="1"/>
  <c r="L38" i="13"/>
  <c r="L40" i="13" s="1"/>
  <c r="L40" i="23"/>
  <c r="L47" i="23"/>
  <c r="L46" i="23"/>
  <c r="L39" i="23"/>
  <c r="I5" i="23"/>
  <c r="L48" i="23"/>
  <c r="L41" i="23"/>
  <c r="I4" i="13"/>
  <c r="J5" i="23" l="1"/>
  <c r="L42" i="13"/>
  <c r="L39" i="13" s="1"/>
  <c r="J5" i="13"/>
  <c r="I8" i="13"/>
  <c r="V21" i="5" s="1"/>
  <c r="I10" i="13"/>
  <c r="F23" i="5" s="1"/>
  <c r="H6" i="13"/>
  <c r="I8" i="23"/>
  <c r="I10" i="23"/>
  <c r="U23" i="5" s="1"/>
  <c r="I9" i="23"/>
  <c r="F22" i="5"/>
  <c r="V22" i="5"/>
  <c r="I6" i="13"/>
  <c r="F20" i="5"/>
  <c r="J4" i="13"/>
  <c r="V23" i="5" l="1"/>
  <c r="F21" i="5"/>
  <c r="I11" i="13"/>
  <c r="U22" i="5"/>
  <c r="U21" i="5"/>
  <c r="I11" i="23"/>
  <c r="A1" i="5" l="1"/>
  <c r="A1" i="12"/>
  <c r="A2" i="12" l="1"/>
  <c r="G4" i="5" l="1"/>
  <c r="Z12" i="5" l="1"/>
  <c r="AA20" i="5"/>
  <c r="AA12" i="5"/>
  <c r="E13" i="20" s="1"/>
  <c r="Z20" i="5"/>
  <c r="V20" i="5"/>
  <c r="D13" i="20" l="1"/>
  <c r="D9" i="10" l="1"/>
  <c r="V12" i="5"/>
  <c r="E5" i="20" s="1"/>
  <c r="E21" i="20" s="1"/>
  <c r="D15" i="10" l="1"/>
  <c r="D13" i="10"/>
  <c r="D14" i="10"/>
  <c r="F12" i="5"/>
  <c r="D10" i="10"/>
  <c r="D11" i="10" s="1"/>
  <c r="V14" i="5" l="1"/>
  <c r="E7" i="20" s="1"/>
  <c r="E23" i="20" s="1"/>
  <c r="F14" i="5"/>
  <c r="F13" i="5"/>
  <c r="D16" i="10"/>
  <c r="V13" i="5"/>
  <c r="E6" i="20" s="1"/>
  <c r="E22" i="20" s="1"/>
  <c r="F15" i="5"/>
  <c r="V15" i="5"/>
  <c r="E8" i="20" s="1"/>
  <c r="E24" i="20" s="1"/>
  <c r="F4" i="5"/>
  <c r="M4" i="5"/>
  <c r="M7" i="5" l="1"/>
  <c r="E29" i="20" s="1"/>
  <c r="F7" i="5"/>
  <c r="F5" i="5"/>
  <c r="M5" i="5"/>
  <c r="F6" i="5"/>
  <c r="M6" i="5"/>
  <c r="E28" i="20" s="1"/>
  <c r="E26" i="20"/>
  <c r="K23" i="15"/>
  <c r="K41" i="15" s="1"/>
  <c r="E27" i="20" l="1"/>
  <c r="J22" i="15"/>
  <c r="J40" i="15" l="1"/>
  <c r="K22" i="15" l="1"/>
  <c r="K40" i="15" l="1"/>
  <c r="C5" i="4" l="1"/>
  <c r="C7" i="4" l="1"/>
  <c r="C8" i="4" s="1"/>
  <c r="C12" i="4"/>
  <c r="C11" i="4"/>
  <c r="C10" i="4"/>
  <c r="S12" i="5"/>
  <c r="S14" i="5" l="1"/>
  <c r="S13" i="5"/>
  <c r="S15" i="5"/>
  <c r="C13" i="4"/>
  <c r="J23" i="15" l="1"/>
  <c r="J41" i="15" s="1"/>
  <c r="K38" i="16" l="1"/>
  <c r="L38" i="16" l="1"/>
  <c r="T12" i="5" l="1"/>
  <c r="B8" i="12" l="1"/>
  <c r="C8" i="12" l="1"/>
  <c r="E38" i="16" l="1"/>
  <c r="F38" i="16" l="1"/>
  <c r="E47" i="16"/>
  <c r="E42" i="16"/>
  <c r="F47" i="16" l="1"/>
  <c r="F42" i="16"/>
  <c r="G38" i="16"/>
  <c r="E48" i="16"/>
  <c r="E52" i="16" s="1"/>
  <c r="E43" i="16"/>
  <c r="E49" i="16" l="1"/>
  <c r="E50" i="16"/>
  <c r="H38" i="16"/>
  <c r="G42" i="16"/>
  <c r="G47" i="16"/>
  <c r="F48" i="16"/>
  <c r="F52" i="16" s="1"/>
  <c r="F43" i="16"/>
  <c r="N24" i="16"/>
  <c r="F4" i="16" s="1"/>
  <c r="F49" i="16" l="1"/>
  <c r="H47" i="16"/>
  <c r="H42" i="16"/>
  <c r="F6" i="16"/>
  <c r="I38" i="16"/>
  <c r="F50" i="16"/>
  <c r="G48" i="16"/>
  <c r="G50" i="16" s="1"/>
  <c r="G43" i="16"/>
  <c r="G52" i="16" l="1"/>
  <c r="G49" i="16" s="1"/>
  <c r="H43" i="16"/>
  <c r="H48" i="16"/>
  <c r="H50" i="16" s="1"/>
  <c r="J38" i="16"/>
  <c r="I47" i="16"/>
  <c r="I42" i="16"/>
  <c r="G4" i="16"/>
  <c r="H4" i="16" l="1"/>
  <c r="I48" i="16"/>
  <c r="I50" i="16" s="1"/>
  <c r="I43" i="16"/>
  <c r="H52" i="16"/>
  <c r="H49" i="16" s="1"/>
  <c r="H5" i="16"/>
  <c r="J42" i="16"/>
  <c r="J47" i="16"/>
  <c r="G6" i="16" l="1"/>
  <c r="J43" i="16"/>
  <c r="J48" i="16"/>
  <c r="J50" i="16" s="1"/>
  <c r="I52" i="16"/>
  <c r="I49" i="16" s="1"/>
  <c r="K47" i="16"/>
  <c r="K42" i="16"/>
  <c r="H6" i="16"/>
  <c r="J52" i="16" l="1"/>
  <c r="J49" i="16" s="1"/>
  <c r="L42" i="16"/>
  <c r="L47" i="16"/>
  <c r="J4" i="16" s="1"/>
  <c r="K43" i="16"/>
  <c r="K48" i="16"/>
  <c r="K52" i="16" l="1"/>
  <c r="L48" i="16"/>
  <c r="J5" i="16" s="1"/>
  <c r="L43" i="16"/>
  <c r="K4" i="16"/>
  <c r="K50" i="16"/>
  <c r="M47" i="16"/>
  <c r="M42" i="16"/>
  <c r="K5" i="16" l="1"/>
  <c r="L4" i="16"/>
  <c r="T20" i="5"/>
  <c r="J6" i="16"/>
  <c r="M43" i="16"/>
  <c r="M48" i="16"/>
  <c r="K49" i="16"/>
  <c r="L52" i="16"/>
  <c r="L50" i="16"/>
  <c r="C5" i="20" l="1"/>
  <c r="L5" i="16"/>
  <c r="K6" i="16"/>
  <c r="K8" i="16"/>
  <c r="K9" i="16"/>
  <c r="T22" i="5" s="1"/>
  <c r="K10" i="16"/>
  <c r="L49" i="16"/>
  <c r="M52" i="16"/>
  <c r="M49" i="16" s="1"/>
  <c r="M50" i="16"/>
  <c r="T23" i="5" l="1"/>
  <c r="T21" i="5"/>
  <c r="K11" i="16"/>
  <c r="C7" i="20" l="1"/>
  <c r="C6" i="20"/>
  <c r="C8" i="20"/>
  <c r="U12" i="5" l="1"/>
  <c r="K24" i="23"/>
  <c r="I24" i="23"/>
  <c r="H24" i="23"/>
  <c r="J24" i="23"/>
  <c r="J15" i="23" l="1"/>
  <c r="J32" i="23"/>
  <c r="I15" i="23"/>
  <c r="I32" i="23"/>
  <c r="K15" i="23"/>
  <c r="K32" i="23"/>
  <c r="H32" i="23"/>
  <c r="E4" i="23"/>
  <c r="H15" i="23"/>
  <c r="E12" i="5"/>
  <c r="H38" i="23" l="1"/>
  <c r="H45" i="23"/>
  <c r="H50" i="23" s="1"/>
  <c r="E6" i="23"/>
  <c r="F4" i="23"/>
  <c r="I45" i="23" l="1"/>
  <c r="I38" i="23"/>
  <c r="F6" i="23"/>
  <c r="H52" i="23"/>
  <c r="H49" i="23" s="1"/>
  <c r="J38" i="23" l="1"/>
  <c r="J45" i="23"/>
  <c r="I50" i="23"/>
  <c r="I52" i="23"/>
  <c r="I49" i="23" s="1"/>
  <c r="J50" i="23" l="1"/>
  <c r="J52" i="23"/>
  <c r="J49" i="23" s="1"/>
  <c r="K38" i="23"/>
  <c r="K45" i="23"/>
  <c r="H4" i="23" s="1"/>
  <c r="H6" i="23" l="1"/>
  <c r="I4" i="23"/>
  <c r="U20" i="5" s="1"/>
  <c r="K50" i="23"/>
  <c r="K52" i="23"/>
  <c r="K49" i="23" s="1"/>
  <c r="L38" i="23"/>
  <c r="J4" i="23" s="1"/>
  <c r="L45" i="23"/>
  <c r="I6" i="23" l="1"/>
  <c r="L52" i="23"/>
  <c r="L49" i="23" s="1"/>
  <c r="L50" i="23"/>
  <c r="D8" i="20" l="1"/>
  <c r="D7" i="20"/>
  <c r="D24" i="20" l="1"/>
  <c r="D5" i="20"/>
  <c r="D23" i="20"/>
  <c r="D21" i="20" l="1"/>
  <c r="D6" i="20" l="1"/>
  <c r="D22" i="20" l="1"/>
  <c r="I29" i="15" l="1"/>
  <c r="I26" i="15"/>
  <c r="H29" i="15" l="1"/>
  <c r="H26" i="15"/>
  <c r="H18" i="9" l="1"/>
  <c r="H28" i="9" l="1"/>
  <c r="H19" i="9"/>
  <c r="H29" i="9" s="1"/>
  <c r="G29" i="15"/>
  <c r="G26" i="15"/>
  <c r="G19" i="9" l="1"/>
  <c r="G29" i="9" s="1"/>
  <c r="G18" i="9" l="1"/>
  <c r="G28" i="9" l="1"/>
  <c r="F29" i="15"/>
  <c r="E5" i="15" s="1"/>
  <c r="F26" i="15" l="1"/>
  <c r="E4" i="15" s="1"/>
  <c r="E6" i="15" s="1"/>
  <c r="F19" i="9" l="1"/>
  <c r="F29" i="9" l="1"/>
  <c r="D5" i="9"/>
  <c r="F5" i="9" s="1"/>
  <c r="F18" i="9" l="1"/>
  <c r="F38" i="9"/>
  <c r="F33" i="9"/>
  <c r="G33" i="9" l="1"/>
  <c r="G38" i="9"/>
  <c r="F28" i="9"/>
  <c r="D4" i="9"/>
  <c r="F4" i="9" l="1"/>
  <c r="D6" i="9"/>
  <c r="F37" i="9"/>
  <c r="F32" i="9"/>
  <c r="H33" i="9"/>
  <c r="H38" i="9"/>
  <c r="G32" i="9" l="1"/>
  <c r="G37" i="9"/>
  <c r="I33" i="9"/>
  <c r="I38" i="9"/>
  <c r="F40" i="9"/>
  <c r="F42" i="9"/>
  <c r="F39" i="9" s="1"/>
  <c r="F6" i="9"/>
  <c r="J33" i="9" l="1"/>
  <c r="J38" i="9"/>
  <c r="G40" i="9"/>
  <c r="G42" i="9"/>
  <c r="G39" i="9" s="1"/>
  <c r="H32" i="9"/>
  <c r="H37" i="9"/>
  <c r="H42" i="9" l="1"/>
  <c r="H39" i="9" s="1"/>
  <c r="H40" i="9"/>
  <c r="I37" i="9"/>
  <c r="I32" i="9"/>
  <c r="K33" i="9"/>
  <c r="K38" i="9"/>
  <c r="L33" i="9" l="1"/>
  <c r="J32" i="9"/>
  <c r="J37" i="9"/>
  <c r="I42" i="9"/>
  <c r="I39" i="9" s="1"/>
  <c r="I40" i="9"/>
  <c r="L38" i="9"/>
  <c r="H5" i="9"/>
  <c r="I5" i="9" s="1"/>
  <c r="J40" i="9" l="1"/>
  <c r="J42" i="9"/>
  <c r="J39" i="9" s="1"/>
  <c r="I10" i="9"/>
  <c r="E23" i="5" s="1"/>
  <c r="I8" i="9"/>
  <c r="I9" i="9"/>
  <c r="E22" i="5" s="1"/>
  <c r="J5" i="9"/>
  <c r="K32" i="9"/>
  <c r="K37" i="9"/>
  <c r="E6" i="5" l="1"/>
  <c r="L6" i="5"/>
  <c r="I11" i="9"/>
  <c r="E21" i="5"/>
  <c r="L7" i="5"/>
  <c r="E7" i="5"/>
  <c r="L37" i="9"/>
  <c r="K40" i="9"/>
  <c r="K42" i="9"/>
  <c r="K39" i="9" s="1"/>
  <c r="H4" i="9"/>
  <c r="L32" i="9"/>
  <c r="L42" i="9" l="1"/>
  <c r="H6" i="9"/>
  <c r="I4" i="9"/>
  <c r="Q27" i="5"/>
  <c r="D28" i="20"/>
  <c r="L5" i="5"/>
  <c r="E5" i="5"/>
  <c r="Q28" i="5"/>
  <c r="D29" i="20"/>
  <c r="L40" i="9"/>
  <c r="L39" i="9"/>
  <c r="Q26" i="5" l="1"/>
  <c r="D27" i="20"/>
  <c r="J4" i="9"/>
  <c r="I6" i="9"/>
  <c r="E20" i="5"/>
  <c r="L4" i="5" l="1"/>
  <c r="E4" i="5"/>
  <c r="F35" i="15"/>
  <c r="D5" i="15" s="1"/>
  <c r="Q25" i="5" l="1"/>
  <c r="D26" i="20"/>
  <c r="F32" i="15" l="1"/>
  <c r="D4" i="15" l="1"/>
  <c r="D6" i="15" l="1"/>
  <c r="I37" i="22" l="1"/>
  <c r="I36" i="22" l="1"/>
  <c r="I43" i="22"/>
  <c r="I50" i="22"/>
  <c r="I34" i="22"/>
  <c r="I47" i="22" l="1"/>
  <c r="I40" i="22"/>
  <c r="I42" i="22"/>
  <c r="I49" i="22"/>
  <c r="I35" i="22" l="1"/>
  <c r="I48" i="22" l="1"/>
  <c r="I41" i="22"/>
  <c r="I52" i="22" l="1"/>
  <c r="I54" i="22"/>
  <c r="I51" i="22" s="1"/>
  <c r="F23" i="15" l="1"/>
  <c r="F41" i="15" s="1"/>
  <c r="D23" i="15"/>
  <c r="D41" i="15" s="1"/>
  <c r="G23" i="15"/>
  <c r="G41" i="15" s="1"/>
  <c r="D22" i="15"/>
  <c r="E23" i="15"/>
  <c r="E41" i="15" s="1"/>
  <c r="I22" i="15"/>
  <c r="I40" i="15" s="1"/>
  <c r="H22" i="15"/>
  <c r="H40" i="15" s="1"/>
  <c r="G22" i="15"/>
  <c r="G40" i="15" s="1"/>
  <c r="I23" i="15"/>
  <c r="I41" i="15" s="1"/>
  <c r="F22" i="15"/>
  <c r="F40" i="15" s="1"/>
  <c r="H23" i="15"/>
  <c r="H41" i="15" s="1"/>
  <c r="E22" i="15"/>
  <c r="E40" i="15" s="1"/>
  <c r="D45" i="15" l="1"/>
  <c r="D50" i="15"/>
  <c r="F5" i="15"/>
  <c r="G5" i="15" s="1"/>
  <c r="D40" i="15"/>
  <c r="F4" i="15"/>
  <c r="F6" i="15" l="1"/>
  <c r="G4" i="15"/>
  <c r="D49" i="15"/>
  <c r="D44" i="15"/>
  <c r="E50" i="15"/>
  <c r="E45" i="15"/>
  <c r="F45" i="15" l="1"/>
  <c r="F50" i="15"/>
  <c r="E44" i="15"/>
  <c r="E49" i="15"/>
  <c r="G6" i="15"/>
  <c r="D52" i="15"/>
  <c r="D54" i="15"/>
  <c r="D51" i="15" s="1"/>
  <c r="E52" i="15" l="1"/>
  <c r="E54" i="15"/>
  <c r="E51" i="15" s="1"/>
  <c r="F49" i="15"/>
  <c r="F44" i="15"/>
  <c r="G45" i="15"/>
  <c r="G50" i="15"/>
  <c r="H45" i="15" l="1"/>
  <c r="H50" i="15"/>
  <c r="F52" i="15"/>
  <c r="F54" i="15"/>
  <c r="F51" i="15" s="1"/>
  <c r="G44" i="15"/>
  <c r="G49" i="15"/>
  <c r="H44" i="15" l="1"/>
  <c r="H49" i="15"/>
  <c r="G52" i="15"/>
  <c r="G54" i="15"/>
  <c r="G51" i="15" s="1"/>
  <c r="I50" i="15"/>
  <c r="I45" i="15"/>
  <c r="J45" i="15" l="1"/>
  <c r="J50" i="15"/>
  <c r="H52" i="15"/>
  <c r="H54" i="15"/>
  <c r="H51" i="15" s="1"/>
  <c r="I44" i="15"/>
  <c r="I49" i="15"/>
  <c r="J44" i="15" l="1"/>
  <c r="J49" i="15"/>
  <c r="I52" i="15"/>
  <c r="I54" i="15"/>
  <c r="I51" i="15" s="1"/>
  <c r="K50" i="15"/>
  <c r="I5" i="15" s="1"/>
  <c r="J5" i="15" s="1"/>
  <c r="K45" i="15"/>
  <c r="J9" i="15" l="1"/>
  <c r="S22" i="5" s="1"/>
  <c r="J10" i="15"/>
  <c r="S23" i="5" s="1"/>
  <c r="J8" i="15"/>
  <c r="S21" i="5" s="1"/>
  <c r="L45" i="15"/>
  <c r="K5" i="15" s="1"/>
  <c r="J52" i="15"/>
  <c r="J54" i="15"/>
  <c r="J51" i="15" s="1"/>
  <c r="K49" i="15"/>
  <c r="K44" i="15"/>
  <c r="J11" i="15" l="1"/>
  <c r="K52" i="15"/>
  <c r="K54" i="15"/>
  <c r="L54" i="15" s="1"/>
  <c r="I4" i="15"/>
  <c r="L44" i="15"/>
  <c r="B7" i="20" l="1"/>
  <c r="L51" i="15"/>
  <c r="B8" i="20"/>
  <c r="I6" i="15"/>
  <c r="J4" i="15"/>
  <c r="S20" i="5" s="1"/>
  <c r="K51" i="15"/>
  <c r="B6" i="20"/>
  <c r="F6" i="20" l="1"/>
  <c r="F7" i="20"/>
  <c r="J6" i="15"/>
  <c r="K4" i="15"/>
  <c r="F8" i="20"/>
  <c r="B5" i="20" l="1"/>
  <c r="F5" i="20" l="1"/>
  <c r="J14" i="22" l="1"/>
  <c r="K14" i="22"/>
  <c r="K34" i="22" l="1"/>
  <c r="J34" i="22"/>
  <c r="F4" i="22"/>
  <c r="J17" i="22"/>
  <c r="K17" i="22"/>
  <c r="K37" i="22" s="1"/>
  <c r="J16" i="22"/>
  <c r="K16" i="22"/>
  <c r="K36" i="22" s="1"/>
  <c r="B5" i="18" l="1"/>
  <c r="B8" i="18"/>
  <c r="X15" i="5" s="1"/>
  <c r="G4" i="22"/>
  <c r="J37" i="22"/>
  <c r="F7" i="22"/>
  <c r="G7" i="22" s="1"/>
  <c r="J36" i="22"/>
  <c r="F6" i="22"/>
  <c r="G6" i="22" s="1"/>
  <c r="J40" i="22"/>
  <c r="J47" i="22"/>
  <c r="B7" i="18"/>
  <c r="X12" i="5" l="1"/>
  <c r="C12" i="5"/>
  <c r="C15" i="5"/>
  <c r="X14" i="5"/>
  <c r="C14" i="5"/>
  <c r="J50" i="22"/>
  <c r="J43" i="22"/>
  <c r="K40" i="22"/>
  <c r="K47" i="22"/>
  <c r="J49" i="22"/>
  <c r="J42" i="22"/>
  <c r="K15" i="22"/>
  <c r="J15" i="22"/>
  <c r="B6" i="18" l="1"/>
  <c r="K43" i="22"/>
  <c r="K50" i="22"/>
  <c r="I4" i="22"/>
  <c r="K35" i="22"/>
  <c r="L40" i="22"/>
  <c r="J35" i="22"/>
  <c r="F5" i="22"/>
  <c r="K49" i="22"/>
  <c r="K42" i="22"/>
  <c r="I7" i="22" l="1"/>
  <c r="J7" i="22" s="1"/>
  <c r="X23" i="5" s="1"/>
  <c r="L42" i="22"/>
  <c r="G5" i="22"/>
  <c r="F8" i="22"/>
  <c r="J4" i="22"/>
  <c r="L43" i="22"/>
  <c r="I6" i="22"/>
  <c r="J6" i="22" s="1"/>
  <c r="J41" i="22"/>
  <c r="J48" i="22"/>
  <c r="X13" i="5"/>
  <c r="C13" i="5"/>
  <c r="B9" i="18"/>
  <c r="K7" i="22" l="1"/>
  <c r="C23" i="5"/>
  <c r="K4" i="22"/>
  <c r="X20" i="5"/>
  <c r="C20" i="5"/>
  <c r="G8" i="22"/>
  <c r="J52" i="22"/>
  <c r="J54" i="22"/>
  <c r="J51" i="22" s="1"/>
  <c r="K41" i="22"/>
  <c r="K48" i="22"/>
  <c r="K6" i="22"/>
  <c r="X22" i="5"/>
  <c r="C22" i="5"/>
  <c r="J6" i="5" s="1"/>
  <c r="B16" i="20"/>
  <c r="B24" i="20" s="1"/>
  <c r="C7" i="5" l="1"/>
  <c r="J7" i="5"/>
  <c r="O28" i="5" s="1"/>
  <c r="I5" i="22"/>
  <c r="K52" i="22"/>
  <c r="K54" i="22"/>
  <c r="L54" i="22" s="1"/>
  <c r="L41" i="22"/>
  <c r="B13" i="20"/>
  <c r="B21" i="20" s="1"/>
  <c r="O27" i="5"/>
  <c r="C6" i="5"/>
  <c r="C4" i="5"/>
  <c r="J4" i="5"/>
  <c r="O25" i="5" s="1"/>
  <c r="B15" i="20"/>
  <c r="B23" i="20" s="1"/>
  <c r="B29" i="20" l="1"/>
  <c r="B26" i="20"/>
  <c r="B28" i="20"/>
  <c r="L51" i="22"/>
  <c r="K51" i="22"/>
  <c r="I8" i="22"/>
  <c r="J5" i="22"/>
  <c r="K5" i="22" l="1"/>
  <c r="X21" i="5"/>
  <c r="C21" i="5"/>
  <c r="J8" i="22"/>
  <c r="C5" i="5" l="1"/>
  <c r="J5" i="5"/>
  <c r="O26" i="5" s="1"/>
  <c r="B14" i="20"/>
  <c r="B22" i="20" s="1"/>
  <c r="B27" i="20" l="1"/>
  <c r="K23" i="24" l="1"/>
  <c r="K21" i="24"/>
  <c r="K24" i="24"/>
  <c r="L23" i="24" l="1"/>
  <c r="N23" i="24" s="1"/>
  <c r="F6" i="24" s="1"/>
  <c r="L21" i="24"/>
  <c r="L24" i="24"/>
  <c r="N24" i="24" s="1"/>
  <c r="F7" i="24" s="1"/>
  <c r="K30" i="24"/>
  <c r="K22" i="24"/>
  <c r="K29" i="24"/>
  <c r="K37" i="24" l="1"/>
  <c r="N21" i="24"/>
  <c r="F4" i="24" s="1"/>
  <c r="K38" i="24"/>
  <c r="K27" i="24"/>
  <c r="L27" i="24"/>
  <c r="L30" i="24"/>
  <c r="L38" i="24" s="1"/>
  <c r="L29" i="24"/>
  <c r="L37" i="24" s="1"/>
  <c r="L22" i="24"/>
  <c r="N22" i="24" s="1"/>
  <c r="F5" i="24" s="1"/>
  <c r="G7" i="24" l="1"/>
  <c r="H7" i="24" s="1"/>
  <c r="F8" i="24"/>
  <c r="L35" i="24"/>
  <c r="G4" i="24"/>
  <c r="K35" i="24"/>
  <c r="K44" i="24"/>
  <c r="K51" i="24"/>
  <c r="G6" i="24"/>
  <c r="H6" i="24" s="1"/>
  <c r="K50" i="24"/>
  <c r="K43" i="24"/>
  <c r="K28" i="24"/>
  <c r="K36" i="24" l="1"/>
  <c r="L44" i="24"/>
  <c r="L51" i="24"/>
  <c r="J7" i="24" s="1"/>
  <c r="K7" i="24" s="1"/>
  <c r="K12" i="24"/>
  <c r="L43" i="24"/>
  <c r="L50" i="24"/>
  <c r="J6" i="24" s="1"/>
  <c r="K6" i="24" s="1"/>
  <c r="K48" i="24"/>
  <c r="K41" i="24"/>
  <c r="H4" i="24"/>
  <c r="L28" i="24"/>
  <c r="G5" i="24" s="1"/>
  <c r="H5" i="24" l="1"/>
  <c r="H8" i="24" s="1"/>
  <c r="G8" i="24"/>
  <c r="D22" i="5"/>
  <c r="Y22" i="5"/>
  <c r="M43" i="24"/>
  <c r="L6" i="24" s="1"/>
  <c r="K42" i="24"/>
  <c r="K49" i="24"/>
  <c r="K55" i="24" s="1"/>
  <c r="M44" i="24"/>
  <c r="L7" i="24" s="1"/>
  <c r="M51" i="24"/>
  <c r="L36" i="24"/>
  <c r="L12" i="24"/>
  <c r="L41" i="24"/>
  <c r="L48" i="24"/>
  <c r="J4" i="24" s="1"/>
  <c r="K4" i="24" s="1"/>
  <c r="D23" i="5"/>
  <c r="Y23" i="5"/>
  <c r="K53" i="24" l="1"/>
  <c r="K52" i="24"/>
  <c r="L42" i="24"/>
  <c r="L49" i="24"/>
  <c r="J5" i="24" s="1"/>
  <c r="J8" i="24" s="1"/>
  <c r="Y20" i="5"/>
  <c r="D20" i="5"/>
  <c r="M48" i="24"/>
  <c r="M53" i="24" s="1"/>
  <c r="M41" i="24"/>
  <c r="L4" i="24" s="1"/>
  <c r="L55" i="24" l="1"/>
  <c r="L52" i="24" s="1"/>
  <c r="K5" i="24"/>
  <c r="K8" i="24" s="1"/>
  <c r="L53" i="24"/>
  <c r="M42" i="24"/>
  <c r="M55" i="24" l="1"/>
  <c r="M52" i="24" s="1"/>
  <c r="D21" i="5"/>
  <c r="Y21" i="5"/>
  <c r="L5" i="24"/>
  <c r="B8" i="19" l="1"/>
  <c r="B6" i="19"/>
  <c r="B9" i="19"/>
  <c r="C9" i="19" l="1"/>
  <c r="B7" i="19"/>
  <c r="B10" i="19" s="1"/>
  <c r="C6" i="19"/>
  <c r="C8" i="19" l="1"/>
  <c r="Y14" i="5" s="1"/>
  <c r="Y12" i="5"/>
  <c r="D12" i="5"/>
  <c r="Y15" i="5"/>
  <c r="D15" i="5"/>
  <c r="D14" i="5" l="1"/>
  <c r="K6" i="5" s="1"/>
  <c r="P27" i="5" s="1"/>
  <c r="K7" i="5"/>
  <c r="P28" i="5" s="1"/>
  <c r="D7" i="5"/>
  <c r="H7" i="5" s="1"/>
  <c r="C16" i="20"/>
  <c r="AB15" i="5"/>
  <c r="K4" i="5"/>
  <c r="P25" i="5" s="1"/>
  <c r="D4" i="5"/>
  <c r="H4" i="5" s="1"/>
  <c r="C13" i="20"/>
  <c r="AB12" i="5"/>
  <c r="C15" i="20"/>
  <c r="AB14" i="5"/>
  <c r="C7" i="19"/>
  <c r="D6" i="5" l="1"/>
  <c r="H6" i="5" s="1"/>
  <c r="D13" i="5"/>
  <c r="Y13" i="5"/>
  <c r="C10" i="19"/>
  <c r="F15" i="20"/>
  <c r="C23" i="20"/>
  <c r="C24" i="20"/>
  <c r="F16" i="20"/>
  <c r="F13" i="20"/>
  <c r="C21" i="20"/>
  <c r="C26" i="20" l="1"/>
  <c r="F21" i="20"/>
  <c r="G21" i="20" s="1"/>
  <c r="C28" i="20"/>
  <c r="F23" i="20"/>
  <c r="G23" i="20" s="1"/>
  <c r="C14" i="20"/>
  <c r="AB13" i="5"/>
  <c r="C29" i="20"/>
  <c r="F24" i="20"/>
  <c r="G24" i="20" s="1"/>
  <c r="D5" i="5"/>
  <c r="H5" i="5" s="1"/>
  <c r="K5" i="5"/>
  <c r="P26" i="5" s="1"/>
  <c r="F14" i="20" l="1"/>
  <c r="C22" i="20"/>
  <c r="C27" i="20" l="1"/>
  <c r="F22" i="20"/>
  <c r="G22" i="20" s="1"/>
</calcChain>
</file>

<file path=xl/sharedStrings.xml><?xml version="1.0" encoding="utf-8"?>
<sst xmlns="http://schemas.openxmlformats.org/spreadsheetml/2006/main" count="610" uniqueCount="209">
  <si>
    <t>Low Income</t>
  </si>
  <si>
    <t>Common/General</t>
  </si>
  <si>
    <t>Allocated Program Costs</t>
  </si>
  <si>
    <t>Over/(Under)</t>
  </si>
  <si>
    <t>PCR</t>
  </si>
  <si>
    <t>Allocations</t>
  </si>
  <si>
    <t>Total</t>
  </si>
  <si>
    <t>PPC</t>
  </si>
  <si>
    <t>Service Class</t>
  </si>
  <si>
    <t>FORECASTED</t>
  </si>
  <si>
    <t>TDR</t>
  </si>
  <si>
    <t>Interest</t>
  </si>
  <si>
    <t>CHECK</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</si>
  <si>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</si>
  <si>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</si>
  <si>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</si>
  <si>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</si>
  <si>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</si>
  <si>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</si>
  <si>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</si>
  <si>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</si>
  <si>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</si>
  <si>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</si>
  <si>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</si>
  <si>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</si>
  <si>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</si>
  <si>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</si>
  <si>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</si>
  <si>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</si>
  <si>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</si>
  <si>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</si>
  <si>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</si>
  <si>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</si>
  <si>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</si>
  <si>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</si>
  <si>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</si>
  <si>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</si>
  <si>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</si>
  <si>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</si>
  <si>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</si>
  <si>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</si>
  <si>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</si>
  <si>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</si>
  <si>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</si>
  <si>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</si>
  <si>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</si>
  <si>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</si>
  <si>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</si>
  <si>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</si>
  <si>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</si>
  <si>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</si>
  <si>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</si>
  <si>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</si>
  <si>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</si>
  <si>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</si>
  <si>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</si>
  <si>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</si>
  <si>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</si>
  <si>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</si>
  <si>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</si>
  <si>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</si>
  <si>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</si>
  <si>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Income-Eligible</t>
  </si>
  <si>
    <t>Cycle 2 Program Costs Reconciliation (PCR) Calculation</t>
  </si>
  <si>
    <t>Cycle 2 Throughput Disincentive TD Reconciliation (TDR) Calculation</t>
  </si>
  <si>
    <t>2. Actual Revenues - TD Only</t>
  </si>
  <si>
    <t>1. Actual/Forecasted TD</t>
  </si>
  <si>
    <t>Cycle 2 Projected Program Costs (PPC) Calculation</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</si>
  <si>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</si>
  <si>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</si>
  <si>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</si>
  <si>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</si>
  <si>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</si>
  <si>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</si>
  <si>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</si>
  <si>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</si>
  <si>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</si>
  <si>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</si>
  <si>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</si>
  <si>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</si>
  <si>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</si>
  <si>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</si>
  <si>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</si>
  <si>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</si>
  <si>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</si>
  <si>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</si>
  <si>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</si>
  <si>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</si>
  <si>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</si>
  <si>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</si>
  <si>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Cycle 1 Earnings Opportunity Reconciliation (EOR) Calculation</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</si>
  <si>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</si>
  <si>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</si>
  <si>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</si>
  <si>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</si>
  <si>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</si>
  <si>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</si>
  <si>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</si>
  <si>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3. Actual/Forecasted EO Amortization - Source:  None</t>
  </si>
  <si>
    <t>Res/Non-Res Allocation</t>
  </si>
  <si>
    <t>2. Carrying Costs on OA - Source: Calculated</t>
  </si>
  <si>
    <t>3. Monthly Short-Term Interest Rate</t>
  </si>
  <si>
    <t>OA-cycle 2</t>
  </si>
  <si>
    <t>OAR-cycle 2</t>
  </si>
  <si>
    <t>1.  Actual monthly EO - Source: None
    Forecasted monthly EO - Source: None</t>
  </si>
  <si>
    <t>6. Actual EO rate component of the tariff rate</t>
  </si>
  <si>
    <t>Cycle 2 Ordered Adjustments Reconciliation (OAR) Calculation</t>
  </si>
  <si>
    <t>Cycle 2 Ordered Adjustment (OA) Calculation</t>
  </si>
  <si>
    <t>1. Ordered Adjustment - None</t>
  </si>
  <si>
    <t>1. Ordered Adjustment - Source: None</t>
  </si>
  <si>
    <t>3. Monthly Short-Term Borrowing Rate - Source: None</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</si>
  <si>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</si>
  <si>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</si>
  <si>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</si>
  <si>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</si>
  <si>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</si>
  <si>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</si>
  <si>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</si>
  <si>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</si>
  <si>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5. Total Earnings Opportunity plus Carrying Costs - Source: Sum of Lines 1. through 4.</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</si>
  <si>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</si>
  <si>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</si>
  <si>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</si>
  <si>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</si>
  <si>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</si>
  <si>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</si>
  <si>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</si>
  <si>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</si>
  <si>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3. Cycle 2 kWh Participation</t>
  </si>
  <si>
    <t>1. PPC</t>
  </si>
  <si>
    <t>PPC-cycle 3</t>
  </si>
  <si>
    <t>PTD-cycle 3</t>
  </si>
  <si>
    <t>EO-cycle 3</t>
  </si>
  <si>
    <t>OA-cycle 3</t>
  </si>
  <si>
    <t>PCR-cycle 3</t>
  </si>
  <si>
    <t>TDR-cycle 3</t>
  </si>
  <si>
    <t>EOR-cycle 3</t>
  </si>
  <si>
    <t>OAR-cycle 3</t>
  </si>
  <si>
    <t>7. Cycle 2 kWh Participation</t>
  </si>
  <si>
    <t>6. Short-Term Interest Rate</t>
  </si>
  <si>
    <t>8. Cycle 2 kWh Participation</t>
  </si>
  <si>
    <t>6. Amortization Over 24 Month Recovery Period - Source: Line 5 divided by 2 (12 month recovery periods)</t>
  </si>
  <si>
    <t>6. Actual OA rate component of the tariff rate</t>
  </si>
  <si>
    <t>Cycle 2</t>
  </si>
  <si>
    <t>Cycle 3</t>
  </si>
  <si>
    <t>Total DSIM</t>
  </si>
  <si>
    <t>NOA ($/kWh)</t>
  </si>
  <si>
    <t>NEO ($/kWh)</t>
  </si>
  <si>
    <t>NTD ($/kWh)</t>
  </si>
  <si>
    <t>NPC ($/kWh)</t>
  </si>
  <si>
    <t>Rate Schedule</t>
  </si>
  <si>
    <t>Projections for Cycle 2 July 2020 - June 2021 DSIM</t>
  </si>
  <si>
    <t>Projections for Cycle 3 July 2020 - June 2021 DSIM</t>
  </si>
  <si>
    <t>Cumulative Over/Under Carryover From 12/02/2020 Filing</t>
  </si>
  <si>
    <t>Reverse November-19 - January 2020  Forecast From 12/02/2020 Filing</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</si>
  <si>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</si>
  <si>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</si>
  <si>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</si>
  <si>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</si>
  <si>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</si>
  <si>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</si>
  <si>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</si>
  <si>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1.  Actual monthly EO - Source: EO Cycle 2 tab column G divided by 12
    Forecasted monthly EO - Source: EO Cycle 2 tab column G divided by 12</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</si>
  <si>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</si>
  <si>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</si>
  <si>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</si>
  <si>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</si>
  <si>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</si>
  <si>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</si>
  <si>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</si>
  <si>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</si>
  <si>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</si>
  <si>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</si>
  <si>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</si>
  <si>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</si>
  <si>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LGS</t>
  </si>
  <si>
    <t>LPS</t>
  </si>
  <si>
    <t>Evergy Missouri West, Inc. - DSIM Rider Update Filed 06/01/2020</t>
  </si>
  <si>
    <t>2. Actual monthly billed revenues by Residential/Non-Residential (EO revenues only) - Missouri West MEEIA 2019 Revenue Analysis.xlsx, Missouri West MEEIA 2020 Revenue Analysis.xlsx
Forecasted monthly billed revenues by Residential/Non-Residential (EO revenues only) - Source: calculated = Forecasted billed kWh sales X tariff rate</t>
  </si>
  <si>
    <t>5. Monthly Short-Term Borrowing Rate - Source: Missouri West Short-Term Borrowing Rate November 2019 - April 2020.xlsx</t>
  </si>
  <si>
    <t>7. Cycle 2 kWh Participation - Source: Missouri West Cycle 2 TD Calc 042020 05102020.xlsx</t>
  </si>
  <si>
    <t>1. Total Earnings Opportunity - Source: Missouri West EO Calculation PY1-PY3 v2.xlsx</t>
  </si>
  <si>
    <t>2. EO TD Ex Post Gross Adjustment -  Source: TD Model Missouri West 102019 11202019 v2.xlsx</t>
  </si>
  <si>
    <t>3. EO TD NTG Adjustment -  Source: TD Model Missouri West 102019 11202019 v2.xlsx</t>
  </si>
  <si>
    <t>4. Carrying Costs @ AFUDC Rate -  Source: TD Model Missouri West 102019 11202019 v2.xlsx</t>
  </si>
  <si>
    <t>1. Forecasted program costs by allocation bucket (Residential, Non-Residential, Income-Eligible, Common/General) - Source: MEEIA Cycle 3 Forecast MO West 05222020.xlsx</t>
  </si>
  <si>
    <t>1. Forecasted Residential/Non-Residential kWh savings  - Source: MEEIA Cycle 3 Forecast MO West 05222020.xlsx</t>
  </si>
  <si>
    <t>2. Forecasted Throughput Disincentive - Source: MEEIA Cycle 3 Forecast MO West 05222020.xlsx</t>
  </si>
  <si>
    <t>1. Forecasted kWh by Residential/Non-Residential (Reduced for Opt-Out) - Source: Billed kWh Budget Missouri West 2020-2021.xlsx</t>
  </si>
  <si>
    <t>2. Forecasted program costs by allocation bucket (Residential, Non-Residential, Income-Eligible, Common/General) - Source: Evergy Missouri West Cycle 2 EMV Estimate.xlsx</t>
  </si>
  <si>
    <t>3. Cycle 2 kWh Participation - Source: Missouri West Cycle 2 TD Calc 042020 05102020.xlsx</t>
  </si>
  <si>
    <t>2. Actual monthly kWh billed sales by Residential/Non-Residential (reduced for opt-out) - Source: Missouri West MEEIA 2019 Revenue Analysis.xlsx, Missouri West MEEIA 2020 Revenue Analysis.xlsx
    Forecasted monthly kWh billed sales by Residential/Non-Residential (reduced for opt-out) - Source: Billed kWh Budget Missouri West 2020-2021.xlsx</t>
  </si>
  <si>
    <t>3. Actual monthly billed revenues by Residential/Non-Residential (program cost revenues only) - Missouri West MEEIA 2019 Revenue Analysis.xlsx, Missouri West MEEIA 2020 Revenue Analysis.xlsx
    Forecasted monthly billed revenues by Residential/Non-Residential (program cost revenues only) - Source: calculated = Forecasted billed kWh sales X tariff rate</t>
  </si>
  <si>
    <t>1. Forecasted Residential/Non-Residential kWh savings  - Source: Missouri West Cycle 2 Monthly TD Calc 042020 05102020.xlsx</t>
  </si>
  <si>
    <t>2. Forecasted Throughput Disincentive - Source: Missouri West Cycle 2 Monthly TD Calc 042020 05102020.xlsx</t>
  </si>
  <si>
    <t>1. &amp; 4. Actual monthly TD - Source: Missouri West Cycle 2 TD Calc 042020 05102020.xlsx
    Forecasted monthly TD - Source: Missouri West Cycle 2 TD Calc 042020 05102020.xlsx</t>
  </si>
  <si>
    <t>2. Actual monthly billed revenues by Residential/Non-Residential (TD revenues only) - Missouri West MEEIA 2019 Revenue Analysis.xlsx, Missouri West MEEIA 2020 Revenue Analysis.xlsx
Forecasted monthly billed revenues by Residential/Non-Residential (TD revenues only) - Source: calculated = Forecasted billed kWh sales X tariff rate</t>
  </si>
  <si>
    <t>3. Actual kWh Sales Impact - Source:  Missouri West Cycle 2 TD Calc 042020 05102020.xlsx
    Forecasted kWh Sales Impact - Source: Missouri West Cycle 2 TD Calc 042020 05102020.xlsx</t>
  </si>
  <si>
    <t>6. Monthly Short-Term Borrowing Rate - Source: Missouri West Short-Term Borrowing Rate November 2019 - April 2020.xlsx</t>
  </si>
  <si>
    <t>8. Cycle 2 kWh Participation - Source: Missouri West Cycle 2 TD Calc 042020 05102020.xlsx</t>
  </si>
  <si>
    <t>1. &amp; 4. Actual monthly TD - Source: Missouri West Cycle 3 TD Calc 042020 05102020.xlsx
    Forecasted monthly TD - Source: MEEIA Cycle 3 Forecast MO West 05222020.xlsx</t>
  </si>
  <si>
    <t>3. Actual kWh Sales Impact - Source:  Missouri West Cycle 3 TD Calc 042020 05102020.xlsx
    Forecasted kWh Sales Impact - Source: MEEIA Cycle 3 Forecast MO West 05222020.xlsx</t>
  </si>
  <si>
    <t>1. &amp; 3. Actual monthly Ordered Adjustments - Source: None</t>
  </si>
  <si>
    <t>2. Actual monthly billed revenues by Residential/Non-Residential (program cost revenues only) - None
Forecasted monthly billed revenues by Residential/Non-Residential (program cost revenues only) - Source: calculated = Forecasted billed kWh sales X tariff rate</t>
  </si>
  <si>
    <t>5. Monthly Short-Term Borrowing Rate - Source: None</t>
  </si>
  <si>
    <t>7. Cycle 2 kWh Participation - Source: None</t>
  </si>
  <si>
    <t>1. Actual monthly program costs by allocation bucket Residential, Non-Residential, Income-Eligible, Common/General) - Source: SI Projects Missouri West 112019-042020.xlsx
    Forecasted monthly program costs by allocation bucket - Source: Evergy Missouri West Cycle 2 EMV Estimate.xlsx</t>
  </si>
  <si>
    <t>1. Actual monthly program costs by allocation bucket Residential, Non-Residential, Income-Eligible, Common/General) - Source: 01 2020 MO West Spend Allocations Worksheet.xlsx, 02 2020 MO West Spend Allocations Worksheet.xlsx, 03 2020 MO West Spend Allocations Worksheet.xlsx, 04 2020 MO West Spend Allocations Worksheet.xlsx
    Forecasted monthly program costs by allocation bucket - Source: MEEIA Cycle 3 Forecast MO West 05222020.xlsx</t>
  </si>
  <si>
    <t>3. Actual/Forecasted EO Amortization - Source:  EO Cycle 2 tab column G divided by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</si>
</sst>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8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style="medium">
        <color indexed="64"/>
      </left>
      <right style="thin">
        <color rgb="FF7F7F7F"/>
      </right>
      <top/>
      <bottom style="medium">
        <color indexed="64"/>
      </bottom>
      <diagonal/>
    </border>
    <border>
      <left style="thin">
        <color rgb="FF7F7F7F"/>
      </left>
      <right style="thin">
        <color rgb="FF7F7F7F"/>
      </right>
      <top style="medium">
        <color indexed="64"/>
      </top>
      <bottom style="thin">
        <color rgb="FF7F7F7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rgb="FF7F7F7F"/>
      </left>
      <right style="medium">
        <color indexed="64"/>
      </right>
      <top style="medium">
        <color indexed="64"/>
      </top>
      <bottom style="thin">
        <color rgb="FF7F7F7F"/>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7" applyNumberFormat="0" applyFill="0" applyAlignment="0" applyProtection="0"/>
    <xf numFmtId="0" fontId="16" fillId="0" borderId="0" applyNumberFormat="0" applyFill="0" applyBorder="0" applyAlignment="0" applyProtection="0"/>
    <xf numFmtId="0" fontId="17" fillId="0" borderId="29" applyNumberFormat="0" applyFill="0" applyAlignment="0" applyProtection="0"/>
    <xf numFmtId="0" fontId="18" fillId="0" borderId="30" applyNumberFormat="0" applyFill="0" applyAlignment="0" applyProtection="0"/>
    <xf numFmtId="0" fontId="19" fillId="0" borderId="3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2"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06">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43" fontId="6" fillId="6" borderId="2" xfId="1" applyFont="1" applyFill="1" applyBorder="1"/>
    <xf numFmtId="0" fontId="8" fillId="0" borderId="0" xfId="0" applyFont="1" applyAlignment="1">
      <alignment horizontal="right"/>
    </xf>
    <xf numFmtId="10" fontId="0" fillId="0" borderId="0" xfId="0" applyNumberFormat="1"/>
    <xf numFmtId="165" fontId="14" fillId="7" borderId="1" xfId="13" applyNumberFormat="1"/>
    <xf numFmtId="0" fontId="8" fillId="0" borderId="9" xfId="0" applyFont="1" applyBorder="1" applyAlignment="1">
      <alignment horizontal="right"/>
    </xf>
    <xf numFmtId="0" fontId="8" fillId="0" borderId="11" xfId="0" applyFont="1" applyBorder="1" applyAlignment="1">
      <alignment horizontal="right"/>
    </xf>
    <xf numFmtId="10" fontId="14" fillId="7" borderId="1" xfId="13" applyNumberFormat="1" applyBorder="1" applyAlignment="1">
      <alignment horizontal="center"/>
    </xf>
    <xf numFmtId="10" fontId="14" fillId="7" borderId="14" xfId="13" applyNumberFormat="1" applyBorder="1" applyAlignment="1">
      <alignment horizontal="center"/>
    </xf>
    <xf numFmtId="165" fontId="14" fillId="7" borderId="16" xfId="13" applyNumberFormat="1" applyBorder="1" applyAlignment="1">
      <alignment horizontal="center"/>
    </xf>
    <xf numFmtId="165" fontId="14" fillId="7" borderId="21" xfId="13" applyNumberFormat="1" applyBorder="1" applyAlignment="1">
      <alignment horizontal="center"/>
    </xf>
    <xf numFmtId="0" fontId="7" fillId="0" borderId="9" xfId="8" applyBorder="1" applyAlignment="1">
      <alignment horizontal="right"/>
    </xf>
    <xf numFmtId="0" fontId="8" fillId="0" borderId="25" xfId="0" applyFont="1" applyBorder="1" applyAlignment="1">
      <alignment horizontal="right"/>
    </xf>
    <xf numFmtId="0" fontId="7" fillId="0" borderId="0" xfId="8" applyAlignment="1">
      <alignment horizontal="right"/>
    </xf>
    <xf numFmtId="167" fontId="5" fillId="5" borderId="1" xfId="6" applyNumberFormat="1"/>
    <xf numFmtId="167" fontId="14" fillId="7" borderId="1" xfId="13" applyNumberFormat="1"/>
    <xf numFmtId="165" fontId="13" fillId="7" borderId="17" xfId="12" applyNumberFormat="1"/>
    <xf numFmtId="165" fontId="5" fillId="5" borderId="16" xfId="6" applyNumberFormat="1" applyBorder="1" applyAlignment="1">
      <alignment horizontal="center"/>
    </xf>
    <xf numFmtId="165" fontId="5" fillId="5" borderId="21" xfId="6" applyNumberFormat="1" applyBorder="1" applyAlignment="1">
      <alignment horizontal="center"/>
    </xf>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8" xfId="0" applyBorder="1"/>
    <xf numFmtId="0" fontId="0" fillId="0" borderId="6" xfId="0" applyBorder="1"/>
    <xf numFmtId="0" fontId="0" fillId="0" borderId="0" xfId="0"/>
    <xf numFmtId="0" fontId="0" fillId="0" borderId="0" xfId="0"/>
    <xf numFmtId="165" fontId="0" fillId="0" borderId="0" xfId="0" applyNumberFormat="1"/>
    <xf numFmtId="0" fontId="8" fillId="0" borderId="0" xfId="0" applyFont="1" applyAlignment="1">
      <alignment horizontal="center"/>
    </xf>
    <xf numFmtId="165" fontId="14" fillId="7" borderId="33" xfId="13" applyNumberFormat="1" applyBorder="1"/>
    <xf numFmtId="44" fontId="6" fillId="6" borderId="34" xfId="7" applyNumberFormat="1" applyBorder="1"/>
    <xf numFmtId="44" fontId="6" fillId="6" borderId="35"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6" xfId="0" applyNumberFormat="1" applyBorder="1"/>
    <xf numFmtId="44" fontId="0" fillId="0" borderId="37"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0" fontId="8" fillId="0" borderId="0" xfId="0" applyFont="1" applyBorder="1" applyAlignment="1">
      <alignment horizontal="center" wrapText="1"/>
    </xf>
    <xf numFmtId="0" fontId="8" fillId="0" borderId="10" xfId="0" applyFont="1" applyBorder="1" applyAlignment="1">
      <alignment horizontal="center" wrapText="1"/>
    </xf>
    <xf numFmtId="41" fontId="5" fillId="5" borderId="13" xfId="6" applyNumberFormat="1" applyBorder="1"/>
    <xf numFmtId="41" fontId="5" fillId="5" borderId="1" xfId="6" applyNumberFormat="1" applyBorder="1"/>
    <xf numFmtId="165" fontId="4" fillId="4" borderId="39" xfId="11" applyNumberFormat="1" applyFont="1" applyFill="1" applyBorder="1"/>
    <xf numFmtId="3" fontId="4" fillId="4" borderId="39" xfId="5" applyNumberFormat="1" applyBorder="1"/>
    <xf numFmtId="165" fontId="4" fillId="4" borderId="38" xfId="5" applyNumberFormat="1" applyBorder="1"/>
    <xf numFmtId="165" fontId="4" fillId="4" borderId="39" xfId="5" applyNumberFormat="1" applyBorder="1"/>
    <xf numFmtId="41" fontId="4" fillId="4" borderId="39" xfId="5" applyNumberFormat="1" applyBorder="1"/>
    <xf numFmtId="165" fontId="4" fillId="4" borderId="40" xfId="5" applyNumberFormat="1" applyBorder="1"/>
    <xf numFmtId="165" fontId="4" fillId="4" borderId="40"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8" fillId="0" borderId="7" xfId="0" applyFont="1" applyBorder="1" applyAlignment="1">
      <alignment horizontal="right"/>
    </xf>
    <xf numFmtId="165" fontId="14" fillId="7" borderId="26" xfId="13" applyNumberFormat="1" applyBorder="1" applyAlignment="1">
      <alignment horizontal="center"/>
    </xf>
    <xf numFmtId="165" fontId="14" fillId="7" borderId="41" xfId="13" applyNumberFormat="1" applyBorder="1" applyAlignment="1">
      <alignment horizontal="center"/>
    </xf>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42" xfId="0" applyNumberFormat="1" applyBorder="1"/>
    <xf numFmtId="44" fontId="6" fillId="6" borderId="43"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5"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4" xfId="11" applyNumberFormat="1" applyFont="1" applyFill="1" applyBorder="1"/>
    <xf numFmtId="165" fontId="14" fillId="7" borderId="45" xfId="13" applyNumberFormat="1" applyBorder="1"/>
    <xf numFmtId="167" fontId="6" fillId="0" borderId="35" xfId="1" applyNumberFormat="1" applyFont="1" applyFill="1" applyBorder="1"/>
    <xf numFmtId="165" fontId="14" fillId="7" borderId="46" xfId="13" applyNumberFormat="1" applyBorder="1"/>
    <xf numFmtId="165" fontId="14" fillId="7" borderId="47" xfId="13" applyNumberFormat="1" applyBorder="1"/>
    <xf numFmtId="0" fontId="0" fillId="0" borderId="3" xfId="0" applyBorder="1" applyAlignment="1">
      <alignment horizontal="center" wrapText="1"/>
    </xf>
    <xf numFmtId="165" fontId="14" fillId="7" borderId="19" xfId="13" applyNumberFormat="1" applyBorder="1"/>
    <xf numFmtId="0" fontId="0" fillId="0" borderId="48" xfId="0" applyBorder="1"/>
    <xf numFmtId="165" fontId="5" fillId="5" borderId="23" xfId="6" applyNumberFormat="1" applyBorder="1"/>
    <xf numFmtId="165" fontId="5" fillId="5" borderId="49" xfId="11" applyNumberFormat="1" applyFont="1" applyFill="1" applyBorder="1"/>
    <xf numFmtId="165" fontId="14" fillId="7" borderId="23" xfId="13" applyNumberFormat="1" applyBorder="1"/>
    <xf numFmtId="44" fontId="6" fillId="6" borderId="50"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4" xfId="6" applyNumberFormat="1" applyFill="1" applyBorder="1"/>
    <xf numFmtId="41" fontId="14" fillId="7" borderId="1" xfId="13" applyNumberFormat="1"/>
    <xf numFmtId="41" fontId="6" fillId="6" borderId="2" xfId="7" applyNumberFormat="1"/>
    <xf numFmtId="165" fontId="4" fillId="4" borderId="51" xfId="11" applyNumberFormat="1" applyFont="1" applyFill="1" applyBorder="1"/>
    <xf numFmtId="3" fontId="4" fillId="4" borderId="51" xfId="5" applyNumberFormat="1" applyBorder="1"/>
    <xf numFmtId="165" fontId="4" fillId="4" borderId="53" xfId="5" applyNumberFormat="1" applyBorder="1"/>
    <xf numFmtId="165" fontId="4" fillId="4" borderId="51" xfId="5" applyNumberFormat="1" applyBorder="1"/>
    <xf numFmtId="41" fontId="4" fillId="4" borderId="51" xfId="5" applyNumberFormat="1" applyBorder="1"/>
    <xf numFmtId="165" fontId="4" fillId="4" borderId="53" xfId="11" applyNumberFormat="1" applyFont="1" applyFill="1" applyBorder="1"/>
    <xf numFmtId="0" fontId="8" fillId="0" borderId="0" xfId="0" applyFont="1" applyAlignment="1">
      <alignment horizontal="left" vertical="center" wrapText="1"/>
    </xf>
    <xf numFmtId="44" fontId="6" fillId="6" borderId="54"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72" fontId="30" fillId="0" borderId="4" xfId="0" applyNumberFormat="1" applyFont="1" applyBorder="1" applyAlignment="1">
      <alignment horizontal="center"/>
    </xf>
    <xf numFmtId="165" fontId="4" fillId="4" borderId="55" xfId="5" applyNumberFormat="1" applyBorder="1"/>
    <xf numFmtId="41" fontId="4" fillId="4" borderId="56" xfId="5" applyNumberFormat="1" applyBorder="1"/>
    <xf numFmtId="165" fontId="4" fillId="4" borderId="56" xfId="5" applyNumberFormat="1" applyBorder="1"/>
    <xf numFmtId="165" fontId="4" fillId="4" borderId="57" xfId="11" applyNumberFormat="1" applyFont="1" applyFill="1" applyBorder="1"/>
    <xf numFmtId="165" fontId="14" fillId="7" borderId="52" xfId="13" applyNumberFormat="1" applyBorder="1"/>
    <xf numFmtId="44" fontId="6" fillId="6" borderId="58" xfId="7" applyNumberFormat="1" applyBorder="1"/>
    <xf numFmtId="44" fontId="6" fillId="6" borderId="59" xfId="7" applyNumberFormat="1" applyBorder="1"/>
    <xf numFmtId="165" fontId="5" fillId="5" borderId="14" xfId="6" applyNumberFormat="1" applyBorder="1"/>
    <xf numFmtId="0" fontId="7" fillId="0" borderId="10" xfId="8" applyBorder="1"/>
    <xf numFmtId="165" fontId="5" fillId="5" borderId="33"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60"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6" xfId="11" applyNumberFormat="1" applyFont="1" applyFill="1" applyBorder="1"/>
    <xf numFmtId="3" fontId="4" fillId="4" borderId="56" xfId="5" applyNumberFormat="1" applyBorder="1"/>
    <xf numFmtId="165" fontId="4" fillId="4" borderId="57"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3"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61" xfId="6" applyNumberFormat="1" applyBorder="1"/>
    <xf numFmtId="42" fontId="5" fillId="5" borderId="13" xfId="6" applyNumberFormat="1" applyBorder="1"/>
    <xf numFmtId="42" fontId="5" fillId="37" borderId="22" xfId="6" applyNumberFormat="1" applyFill="1" applyBorder="1"/>
    <xf numFmtId="41" fontId="5" fillId="5" borderId="62" xfId="6" applyNumberFormat="1" applyBorder="1"/>
    <xf numFmtId="172" fontId="36" fillId="0" borderId="6" xfId="0" applyNumberFormat="1" applyFont="1" applyBorder="1" applyAlignment="1">
      <alignment horizontal="right"/>
    </xf>
    <xf numFmtId="10" fontId="8" fillId="0" borderId="0" xfId="0" applyNumberFormat="1" applyFont="1" applyAlignment="1">
      <alignment horizontal="center" wrapText="1"/>
    </xf>
    <xf numFmtId="44" fontId="33" fillId="0" borderId="0" xfId="1" applyNumberFormat="1" applyFont="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70" fontId="10" fillId="0" borderId="5" xfId="0" applyNumberFormat="1" applyFont="1" applyFill="1" applyBorder="1" applyAlignment="1">
      <alignment vertical="center"/>
    </xf>
    <xf numFmtId="165" fontId="5" fillId="0" borderId="61" xfId="6" applyNumberFormat="1" applyFill="1" applyBorder="1"/>
    <xf numFmtId="41" fontId="5" fillId="0" borderId="61" xfId="6" applyNumberFormat="1" applyFill="1" applyBorder="1"/>
    <xf numFmtId="165" fontId="5" fillId="0" borderId="63" xfId="11" applyNumberFormat="1" applyFont="1" applyFill="1" applyBorder="1"/>
    <xf numFmtId="165" fontId="5" fillId="0" borderId="64" xfId="6" applyNumberFormat="1" applyFill="1" applyBorder="1"/>
    <xf numFmtId="0" fontId="0" fillId="0" borderId="65" xfId="0" applyFill="1" applyBorder="1"/>
    <xf numFmtId="44" fontId="0" fillId="0" borderId="65" xfId="0" applyNumberFormat="1" applyFill="1" applyBorder="1"/>
    <xf numFmtId="41" fontId="5" fillId="0" borderId="64" xfId="6" applyNumberFormat="1" applyFill="1" applyBorder="1"/>
    <xf numFmtId="165" fontId="5" fillId="0" borderId="65" xfId="6" applyNumberFormat="1" applyFill="1" applyBorder="1"/>
    <xf numFmtId="165" fontId="5" fillId="0" borderId="66" xfId="11" applyNumberFormat="1" applyFont="1" applyFill="1" applyBorder="1"/>
    <xf numFmtId="165" fontId="14" fillId="0" borderId="61" xfId="13" applyNumberFormat="1" applyFill="1" applyBorder="1"/>
    <xf numFmtId="44" fontId="6" fillId="0" borderId="68" xfId="7" applyNumberFormat="1" applyFill="1" applyBorder="1"/>
    <xf numFmtId="165" fontId="5" fillId="0" borderId="69" xfId="11" applyNumberFormat="1" applyFont="1" applyFill="1" applyBorder="1"/>
    <xf numFmtId="10" fontId="5" fillId="0" borderId="65" xfId="2" applyNumberFormat="1" applyFont="1" applyFill="1" applyBorder="1"/>
    <xf numFmtId="165" fontId="14" fillId="0" borderId="64" xfId="13" applyNumberFormat="1" applyFill="1" applyBorder="1"/>
    <xf numFmtId="171" fontId="0" fillId="0" borderId="65" xfId="0" applyNumberFormat="1" applyFill="1" applyBorder="1"/>
    <xf numFmtId="171" fontId="0" fillId="0" borderId="65" xfId="2" applyNumberFormat="1" applyFont="1" applyFill="1" applyBorder="1"/>
    <xf numFmtId="44" fontId="6" fillId="0" borderId="70" xfId="7" applyNumberFormat="1" applyFill="1" applyBorder="1"/>
    <xf numFmtId="0" fontId="0" fillId="0" borderId="65" xfId="0" applyBorder="1"/>
    <xf numFmtId="165" fontId="5" fillId="0" borderId="71" xfId="6" applyNumberFormat="1" applyFill="1" applyBorder="1"/>
    <xf numFmtId="0" fontId="0" fillId="39" borderId="67" xfId="0" applyFill="1" applyBorder="1" applyAlignment="1">
      <alignment horizontal="center" wrapText="1"/>
    </xf>
    <xf numFmtId="164" fontId="0" fillId="0" borderId="72"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4" xfId="12" applyNumberFormat="1" applyBorder="1"/>
    <xf numFmtId="42" fontId="14" fillId="7" borderId="73" xfId="13" applyNumberFormat="1" applyBorder="1"/>
    <xf numFmtId="172" fontId="11" fillId="0" borderId="6" xfId="0" quotePrefix="1" applyNumberFormat="1" applyFont="1" applyFill="1" applyBorder="1" applyAlignment="1">
      <alignment horizontal="right"/>
    </xf>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3" xfId="12" applyNumberFormat="1" applyBorder="1"/>
    <xf numFmtId="165" fontId="14" fillId="7" borderId="73" xfId="13" applyNumberFormat="1" applyBorder="1"/>
    <xf numFmtId="0" fontId="8" fillId="0" borderId="73"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5" xfId="13" applyNumberFormat="1" applyBorder="1"/>
    <xf numFmtId="165" fontId="14" fillId="7" borderId="76" xfId="13" applyNumberFormat="1" applyBorder="1"/>
    <xf numFmtId="165" fontId="13" fillId="7" borderId="77" xfId="12" applyNumberFormat="1" applyBorder="1"/>
    <xf numFmtId="165" fontId="13" fillId="7" borderId="78" xfId="12" applyNumberFormat="1" applyBorder="1"/>
    <xf numFmtId="165" fontId="13" fillId="7" borderId="79" xfId="12" applyNumberFormat="1" applyBorder="1"/>
    <xf numFmtId="42" fontId="14" fillId="7" borderId="80" xfId="13" applyNumberFormat="1" applyBorder="1"/>
    <xf numFmtId="42" fontId="14" fillId="7" borderId="81" xfId="13" applyNumberFormat="1" applyBorder="1"/>
    <xf numFmtId="42" fontId="14" fillId="7" borderId="0" xfId="13" applyNumberFormat="1" applyBorder="1"/>
    <xf numFmtId="42" fontId="5" fillId="5" borderId="14" xfId="6" applyNumberFormat="1" applyBorder="1"/>
    <xf numFmtId="0" fontId="8" fillId="0" borderId="0" xfId="0" applyFont="1" applyFill="1" applyAlignment="1">
      <alignment horizontal="left" vertical="center" wrapText="1"/>
    </xf>
    <xf numFmtId="172" fontId="40" fillId="0" borderId="6" xfId="0" applyNumberFormat="1" applyFont="1" applyFill="1" applyBorder="1" applyAlignment="1">
      <alignment horizontal="right"/>
    </xf>
    <xf numFmtId="172" fontId="40" fillId="0" borderId="6" xfId="0" applyNumberFormat="1" applyFont="1" applyBorder="1" applyAlignment="1">
      <alignment horizontal="right"/>
    </xf>
    <xf numFmtId="170" fontId="40" fillId="0" borderId="5" xfId="0" applyNumberFormat="1" applyFont="1" applyFill="1" applyBorder="1" applyAlignment="1">
      <alignment vertical="center"/>
    </xf>
    <xf numFmtId="170" fontId="36" fillId="0" borderId="5" xfId="0" applyNumberFormat="1" applyFont="1" applyFill="1" applyBorder="1" applyAlignment="1">
      <alignment vertical="center"/>
    </xf>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0" fontId="9" fillId="0" borderId="0" xfId="0" applyFont="1" applyAlignment="1">
      <alignment horizontal="center" wrapText="1"/>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horizontal="left"/>
    </xf>
    <xf numFmtId="0" fontId="8" fillId="0" borderId="0" xfId="0" applyFont="1" applyFill="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lled%20kWh%20Budget%20Missouri%20West%20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2%202020%20MO%20West%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3%202020%20MO%20West%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4%202020%20MO%20West%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issouri%20West%20Cycle%203%20Monthly%20TD%20Calc%20042020%20051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issouri%20West%20EO%20Calculation%20PY1-PY3%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D%20Model%20Missouri%20West%20102019%2011202019%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vergy%20Missouri%20West%20Cycle%202%20EMV%20Estim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souri%20West%20Cycle%202%20Monthly%20TD%20Calc%20042020%20051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EIA%20Cycle%203%20Forecast%20MO%20West%200522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20Projects%20MO%20West%20112019-04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souri%20West%20MEEIA%202019%20Revenue%20Analy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souri%20West%20MEEIA%202020%20Revenue%20Analysi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souri%20West%20Short-Term%20Borrowing%20Rate%20November%202019%20-%20April%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202020%20MO%20West%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G24">
            <v>203890143</v>
          </cell>
          <cell r="H24">
            <v>263527924</v>
          </cell>
          <cell r="I24">
            <v>365958775</v>
          </cell>
        </row>
        <row r="25">
          <cell r="G25">
            <v>74829664</v>
          </cell>
          <cell r="H25">
            <v>80840360</v>
          </cell>
          <cell r="I25">
            <v>89606004</v>
          </cell>
        </row>
        <row r="26">
          <cell r="G26">
            <v>113436640</v>
          </cell>
          <cell r="H26">
            <v>122548443</v>
          </cell>
          <cell r="I26">
            <v>135836559</v>
          </cell>
        </row>
        <row r="27">
          <cell r="G27">
            <v>66084167</v>
          </cell>
          <cell r="H27">
            <v>71392381</v>
          </cell>
          <cell r="I27">
            <v>79133567</v>
          </cell>
        </row>
        <row r="33">
          <cell r="F33">
            <v>1834242819</v>
          </cell>
          <cell r="G33">
            <v>1710214749</v>
          </cell>
        </row>
        <row r="34">
          <cell r="F34">
            <v>482627755</v>
          </cell>
          <cell r="G34">
            <v>467781468</v>
          </cell>
        </row>
        <row r="35">
          <cell r="F35">
            <v>731630588</v>
          </cell>
          <cell r="G35">
            <v>709124633</v>
          </cell>
        </row>
        <row r="36">
          <cell r="F36">
            <v>426222060</v>
          </cell>
          <cell r="G36">
            <v>413110888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 Projects 022020"/>
      <sheetName val="Input"/>
      <sheetName val="Program Descriptions"/>
    </sheetNames>
    <sheetDataSet>
      <sheetData sheetId="0">
        <row r="25">
          <cell r="N25">
            <v>79011.88</v>
          </cell>
          <cell r="P25">
            <v>111315.06</v>
          </cell>
          <cell r="Q25">
            <v>85631.709999999992</v>
          </cell>
          <cell r="R25">
            <v>461157.69</v>
          </cell>
        </row>
      </sheetData>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 Projects 032020"/>
      <sheetName val="Input"/>
      <sheetName val="Program Descriptions"/>
    </sheetNames>
    <sheetDataSet>
      <sheetData sheetId="0">
        <row r="25">
          <cell r="N25">
            <v>129866.96</v>
          </cell>
          <cell r="P25">
            <v>145682.39000000001</v>
          </cell>
          <cell r="Q25">
            <v>73360.399999999965</v>
          </cell>
          <cell r="R25">
            <v>638805.23</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 Projects 042020 05222020"/>
      <sheetName val="SI Projects 032020"/>
      <sheetName val="Input"/>
      <sheetName val="Program Descriptions"/>
    </sheetNames>
    <sheetDataSet>
      <sheetData sheetId="0">
        <row r="26">
          <cell r="N26">
            <v>171389.87</v>
          </cell>
          <cell r="P26">
            <v>182422.97</v>
          </cell>
          <cell r="Q26">
            <v>93098.449999999983</v>
          </cell>
          <cell r="R26">
            <v>304216.59999999998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E460">
            <v>1558453</v>
          </cell>
          <cell r="F460">
            <v>1916576.8501900076</v>
          </cell>
          <cell r="G460">
            <v>1843260.9697984592</v>
          </cell>
          <cell r="H460">
            <v>1897929.5120868958</v>
          </cell>
        </row>
        <row r="461">
          <cell r="E461">
            <v>0</v>
          </cell>
          <cell r="F461">
            <v>0</v>
          </cell>
          <cell r="G461">
            <v>11853.249358719666</v>
          </cell>
          <cell r="H461">
            <v>70643.223133370979</v>
          </cell>
        </row>
        <row r="463">
          <cell r="E463">
            <v>0</v>
          </cell>
          <cell r="F463">
            <v>0</v>
          </cell>
          <cell r="G463">
            <v>9170.7370143831613</v>
          </cell>
          <cell r="H463">
            <v>67027.201468393367</v>
          </cell>
        </row>
        <row r="464">
          <cell r="E464">
            <v>0</v>
          </cell>
          <cell r="F464">
            <v>0</v>
          </cell>
          <cell r="G464">
            <v>0</v>
          </cell>
          <cell r="H464">
            <v>20036.235151015822</v>
          </cell>
        </row>
        <row r="562">
          <cell r="E562">
            <v>71486.240000000005</v>
          </cell>
          <cell r="F562">
            <v>93236.58</v>
          </cell>
          <cell r="G562">
            <v>93446.16</v>
          </cell>
          <cell r="H562">
            <v>95495.890000000014</v>
          </cell>
        </row>
        <row r="563">
          <cell r="E563">
            <v>0</v>
          </cell>
          <cell r="F563">
            <v>0</v>
          </cell>
          <cell r="G563">
            <v>466.62</v>
          </cell>
          <cell r="H563">
            <v>3084.8900000000003</v>
          </cell>
        </row>
        <row r="565">
          <cell r="E565">
            <v>0</v>
          </cell>
          <cell r="F565">
            <v>0</v>
          </cell>
          <cell r="G565">
            <v>256.06</v>
          </cell>
          <cell r="H565">
            <v>1863.45</v>
          </cell>
        </row>
        <row r="566">
          <cell r="E566">
            <v>0</v>
          </cell>
          <cell r="F566">
            <v>0</v>
          </cell>
          <cell r="G566">
            <v>0</v>
          </cell>
          <cell r="H566">
            <v>225.38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5181939.6500000004</v>
          </cell>
          <cell r="T18">
            <v>5060008.6900000004</v>
          </cell>
          <cell r="W18">
            <v>1943830.0499999998</v>
          </cell>
          <cell r="Y18">
            <v>2196160.9099999997</v>
          </cell>
          <cell r="Z18">
            <v>920017.71000000008</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EO TD Carrying Costs"/>
      <sheetName val="EM&amp;V Inputs"/>
      <sheetName val="kW Actuals (Gross)"/>
    </sheetNames>
    <sheetDataSet>
      <sheetData sheetId="0" refreshError="1"/>
      <sheetData sheetId="1" refreshError="1"/>
      <sheetData sheetId="2">
        <row r="363">
          <cell r="DD363">
            <v>-722286.32999999984</v>
          </cell>
        </row>
        <row r="364">
          <cell r="DD364">
            <v>62654.269999999968</v>
          </cell>
        </row>
        <row r="365">
          <cell r="DD365">
            <v>0</v>
          </cell>
        </row>
        <row r="366">
          <cell r="DD366">
            <v>122990.04999999997</v>
          </cell>
        </row>
        <row r="367">
          <cell r="DD367">
            <v>8441.0300000000061</v>
          </cell>
        </row>
      </sheetData>
      <sheetData sheetId="3">
        <row r="370">
          <cell r="DD370">
            <v>574414.55000000005</v>
          </cell>
        </row>
        <row r="371">
          <cell r="DD371">
            <v>289519.26</v>
          </cell>
        </row>
        <row r="372">
          <cell r="DD372">
            <v>0</v>
          </cell>
        </row>
        <row r="373">
          <cell r="DD373">
            <v>233118.96</v>
          </cell>
        </row>
        <row r="374">
          <cell r="DD374">
            <v>39682.919999999984</v>
          </cell>
        </row>
      </sheetData>
      <sheetData sheetId="4">
        <row r="48">
          <cell r="AN48">
            <v>2229.4899999999998</v>
          </cell>
        </row>
        <row r="49">
          <cell r="AN49">
            <v>9487.8299999999981</v>
          </cell>
        </row>
        <row r="50">
          <cell r="AN50">
            <v>0</v>
          </cell>
        </row>
        <row r="51">
          <cell r="AN51">
            <v>9593.3099999999977</v>
          </cell>
        </row>
        <row r="52">
          <cell r="AN52">
            <v>1337.2200000000003</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mp;V Forecast"/>
    </sheetNames>
    <sheetDataSet>
      <sheetData sheetId="0">
        <row r="37">
          <cell r="K37">
            <v>13959.61</v>
          </cell>
          <cell r="L37">
            <v>13959.61</v>
          </cell>
          <cell r="M37">
            <v>13959.61</v>
          </cell>
          <cell r="N37">
            <v>13959.61</v>
          </cell>
          <cell r="O37">
            <v>13959.61</v>
          </cell>
          <cell r="P37">
            <v>13959.599999999999</v>
          </cell>
        </row>
        <row r="38">
          <cell r="K38">
            <v>15646.260000000002</v>
          </cell>
          <cell r="L38">
            <v>15646.260000000002</v>
          </cell>
          <cell r="M38">
            <v>15646.260000000002</v>
          </cell>
          <cell r="N38">
            <v>15646.260000000002</v>
          </cell>
          <cell r="O38">
            <v>15646.260000000002</v>
          </cell>
          <cell r="P38">
            <v>15646.260000000002</v>
          </cell>
        </row>
        <row r="39">
          <cell r="K39">
            <v>2977.2</v>
          </cell>
          <cell r="L39">
            <v>2977.2</v>
          </cell>
          <cell r="M39">
            <v>2977.2</v>
          </cell>
          <cell r="N39">
            <v>2977.2</v>
          </cell>
          <cell r="O39">
            <v>2977.2</v>
          </cell>
          <cell r="P39">
            <v>2977.2</v>
          </cell>
        </row>
        <row r="40">
          <cell r="K40">
            <v>0</v>
          </cell>
          <cell r="L40">
            <v>0</v>
          </cell>
          <cell r="M40">
            <v>0</v>
          </cell>
          <cell r="N40">
            <v>0</v>
          </cell>
          <cell r="O40">
            <v>0</v>
          </cell>
          <cell r="P40">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44">
          <cell r="CY44">
            <v>0.39209287804949344</v>
          </cell>
          <cell r="DA44">
            <v>0.45435908608374953</v>
          </cell>
          <cell r="DB44">
            <v>0.15354803586675725</v>
          </cell>
        </row>
        <row r="285">
          <cell r="AT285">
            <v>3740352.9486547601</v>
          </cell>
          <cell r="AU285">
            <v>4884389.7404394522</v>
          </cell>
          <cell r="AV285">
            <v>4044830.6614175304</v>
          </cell>
          <cell r="AW285">
            <v>3641571.1325322459</v>
          </cell>
          <cell r="AX285">
            <v>3647119.4277483225</v>
          </cell>
          <cell r="AY285">
            <v>3503793.3956076419</v>
          </cell>
          <cell r="AZ285">
            <v>3838707.3119637067</v>
          </cell>
          <cell r="BA285">
            <v>4045753.912788312</v>
          </cell>
          <cell r="BB285">
            <v>4728226.9214900434</v>
          </cell>
          <cell r="BC285">
            <v>4457974.5260109138</v>
          </cell>
          <cell r="BD285">
            <v>3637150.5003901278</v>
          </cell>
          <cell r="BE285">
            <v>3561720.2417192855</v>
          </cell>
          <cell r="BF285">
            <v>3405715.7414556658</v>
          </cell>
          <cell r="BG285">
            <v>4034518.8328253431</v>
          </cell>
          <cell r="BH285">
            <v>4044830.6614175304</v>
          </cell>
          <cell r="BI285">
            <v>3641571.1325322459</v>
          </cell>
          <cell r="BJ285">
            <v>3647119.4277483225</v>
          </cell>
          <cell r="BK285">
            <v>3503793.3956076419</v>
          </cell>
          <cell r="BL285">
            <v>3838707.3119637067</v>
          </cell>
          <cell r="BM285">
            <v>4045753.912788312</v>
          </cell>
        </row>
        <row r="286">
          <cell r="AT286">
            <v>1187447.6878568572</v>
          </cell>
          <cell r="AU286">
            <v>1496127.0406286861</v>
          </cell>
          <cell r="AV286">
            <v>1873468.082475797</v>
          </cell>
          <cell r="AW286">
            <v>1698368.6225122809</v>
          </cell>
          <cell r="AX286">
            <v>1918946.0571799164</v>
          </cell>
          <cell r="AY286">
            <v>1815753.348866856</v>
          </cell>
          <cell r="AZ286">
            <v>1929862.7740866141</v>
          </cell>
          <cell r="BA286">
            <v>1927873.9189463556</v>
          </cell>
          <cell r="BB286">
            <v>1997647.6114853616</v>
          </cell>
          <cell r="BC286">
            <v>2027066.2414548299</v>
          </cell>
          <cell r="BD286">
            <v>1834054.3366449273</v>
          </cell>
          <cell r="BE286">
            <v>1888743.4323475384</v>
          </cell>
          <cell r="BF286">
            <v>1783272.6144496959</v>
          </cell>
          <cell r="BG286">
            <v>1777961.0361499267</v>
          </cell>
          <cell r="BH286">
            <v>1873468.082475797</v>
          </cell>
          <cell r="BI286">
            <v>1698368.6225122809</v>
          </cell>
          <cell r="BJ286">
            <v>1918946.0571799164</v>
          </cell>
          <cell r="BK286">
            <v>1815753.348866856</v>
          </cell>
          <cell r="BL286">
            <v>1929862.7740866141</v>
          </cell>
          <cell r="BM286">
            <v>1927873.9189463556</v>
          </cell>
        </row>
        <row r="288">
          <cell r="AT288">
            <v>1786562.8130445483</v>
          </cell>
          <cell r="AU288">
            <v>2258115.8216459965</v>
          </cell>
          <cell r="AV288">
            <v>2841181.1069288682</v>
          </cell>
          <cell r="AW288">
            <v>2578220.7914223112</v>
          </cell>
          <cell r="AX288">
            <v>2887637.1506296871</v>
          </cell>
          <cell r="AY288">
            <v>2733410.6486690468</v>
          </cell>
          <cell r="AZ288">
            <v>2890409.8209900213</v>
          </cell>
          <cell r="BA288">
            <v>2832087.0570221478</v>
          </cell>
          <cell r="BB288">
            <v>2914197.0369588025</v>
          </cell>
          <cell r="BC288">
            <v>2970935.0270213811</v>
          </cell>
          <cell r="BD288">
            <v>2715680.539241707</v>
          </cell>
          <cell r="BE288">
            <v>2862809.8842250369</v>
          </cell>
          <cell r="BF288">
            <v>2703012.0649789949</v>
          </cell>
          <cell r="BG288">
            <v>2698632.3480119267</v>
          </cell>
          <cell r="BH288">
            <v>2841181.1069288682</v>
          </cell>
          <cell r="BI288">
            <v>2578220.7914223112</v>
          </cell>
          <cell r="BJ288">
            <v>2887637.1506296871</v>
          </cell>
          <cell r="BK288">
            <v>2733410.6486690468</v>
          </cell>
          <cell r="BL288">
            <v>2890409.8209900213</v>
          </cell>
          <cell r="BM288">
            <v>2832087.0570221478</v>
          </cell>
        </row>
        <row r="289">
          <cell r="AT289">
            <v>887715.58723482699</v>
          </cell>
          <cell r="AU289">
            <v>924370.99027055013</v>
          </cell>
          <cell r="AV289">
            <v>1014350.0561711908</v>
          </cell>
          <cell r="AW289">
            <v>921159.5160290671</v>
          </cell>
          <cell r="AX289">
            <v>1031447.2065557569</v>
          </cell>
          <cell r="AY289">
            <v>975001.98970008059</v>
          </cell>
          <cell r="AZ289">
            <v>1031776.4605094917</v>
          </cell>
          <cell r="BA289">
            <v>1010590.2203276039</v>
          </cell>
          <cell r="BB289">
            <v>1039178.5305886413</v>
          </cell>
          <cell r="BC289">
            <v>1060465.2308712879</v>
          </cell>
          <cell r="BD289">
            <v>967808.71359927149</v>
          </cell>
          <cell r="BE289">
            <v>1022288.2013225708</v>
          </cell>
          <cell r="BF289">
            <v>964706.0990347442</v>
          </cell>
          <cell r="BG289">
            <v>962745.40439030575</v>
          </cell>
          <cell r="BH289">
            <v>1014350.0561711908</v>
          </cell>
          <cell r="BI289">
            <v>921159.5160290671</v>
          </cell>
          <cell r="BJ289">
            <v>1031447.2065557569</v>
          </cell>
          <cell r="BK289">
            <v>975001.98970008059</v>
          </cell>
          <cell r="BL289">
            <v>1031776.4605094917</v>
          </cell>
          <cell r="BM289">
            <v>1010590.2203276039</v>
          </cell>
        </row>
        <row r="326">
          <cell r="AT326">
            <v>166886.73000000001</v>
          </cell>
          <cell r="AU326">
            <v>201888.79</v>
          </cell>
          <cell r="AV326">
            <v>148508.95000000001</v>
          </cell>
          <cell r="AW326">
            <v>142294.95000000001</v>
          </cell>
          <cell r="AX326">
            <v>149745.65</v>
          </cell>
          <cell r="AY326">
            <v>144221.44</v>
          </cell>
          <cell r="AZ326">
            <v>172528.95</v>
          </cell>
          <cell r="BA326">
            <v>302612.56</v>
          </cell>
          <cell r="BB326">
            <v>360467.8</v>
          </cell>
          <cell r="BC326">
            <v>338929.39</v>
          </cell>
          <cell r="BD326">
            <v>271074.44</v>
          </cell>
          <cell r="BE326">
            <v>153317.57999999999</v>
          </cell>
          <cell r="BF326">
            <v>149696.35999999999</v>
          </cell>
          <cell r="BG326">
            <v>164387.18</v>
          </cell>
          <cell r="BH326">
            <v>148508.95000000001</v>
          </cell>
          <cell r="BI326">
            <v>142294.95000000001</v>
          </cell>
          <cell r="BJ326">
            <v>149745.65</v>
          </cell>
          <cell r="BK326">
            <v>144221.44</v>
          </cell>
          <cell r="BL326">
            <v>172528.95</v>
          </cell>
          <cell r="BM326">
            <v>302612.56</v>
          </cell>
        </row>
        <row r="327">
          <cell r="AT327">
            <v>49787.69</v>
          </cell>
          <cell r="AU327">
            <v>56907.66</v>
          </cell>
          <cell r="AV327">
            <v>69815.75</v>
          </cell>
          <cell r="AW327">
            <v>63745.35</v>
          </cell>
          <cell r="AX327">
            <v>72373.05</v>
          </cell>
          <cell r="AY327">
            <v>74630.98</v>
          </cell>
          <cell r="AZ327">
            <v>80341.75</v>
          </cell>
          <cell r="BA327">
            <v>126296.86</v>
          </cell>
          <cell r="BB327">
            <v>128643.41</v>
          </cell>
          <cell r="BC327">
            <v>130888.34</v>
          </cell>
          <cell r="BD327">
            <v>119321.89</v>
          </cell>
          <cell r="BE327">
            <v>77840.95</v>
          </cell>
          <cell r="BF327">
            <v>74091.149999999994</v>
          </cell>
          <cell r="BG327">
            <v>67343.210000000006</v>
          </cell>
          <cell r="BH327">
            <v>69815.75</v>
          </cell>
          <cell r="BI327">
            <v>63745.35</v>
          </cell>
          <cell r="BJ327">
            <v>72373.05</v>
          </cell>
          <cell r="BK327">
            <v>74630.98</v>
          </cell>
          <cell r="BL327">
            <v>80341.75</v>
          </cell>
          <cell r="BM327">
            <v>126296.86</v>
          </cell>
        </row>
        <row r="329">
          <cell r="AT329">
            <v>50747.22</v>
          </cell>
          <cell r="AU329">
            <v>61155.96</v>
          </cell>
          <cell r="AV329">
            <v>72562.78</v>
          </cell>
          <cell r="AW329">
            <v>69601.08</v>
          </cell>
          <cell r="AX329">
            <v>78390.83</v>
          </cell>
          <cell r="AY329">
            <v>73632.95</v>
          </cell>
          <cell r="AZ329">
            <v>81992.95</v>
          </cell>
          <cell r="BA329">
            <v>95655.97</v>
          </cell>
          <cell r="BB329">
            <v>95158.56</v>
          </cell>
          <cell r="BC329">
            <v>97995.36</v>
          </cell>
          <cell r="BD329">
            <v>91010.55</v>
          </cell>
          <cell r="BE329">
            <v>77920.800000000003</v>
          </cell>
          <cell r="BF329">
            <v>75716.31</v>
          </cell>
          <cell r="BG329">
            <v>72630.33</v>
          </cell>
          <cell r="BH329">
            <v>72562.78</v>
          </cell>
          <cell r="BI329">
            <v>69601.08</v>
          </cell>
          <cell r="BJ329">
            <v>78390.83</v>
          </cell>
          <cell r="BK329">
            <v>73632.95</v>
          </cell>
          <cell r="BL329">
            <v>81992.95</v>
          </cell>
          <cell r="BM329">
            <v>95655.97</v>
          </cell>
        </row>
        <row r="330">
          <cell r="AT330">
            <v>11477.83</v>
          </cell>
          <cell r="AU330">
            <v>12956.36</v>
          </cell>
          <cell r="AV330">
            <v>13800.08</v>
          </cell>
          <cell r="AW330">
            <v>12513.73</v>
          </cell>
          <cell r="AX330">
            <v>13965.76</v>
          </cell>
          <cell r="AY330">
            <v>12679.46</v>
          </cell>
          <cell r="AZ330">
            <v>14070.41</v>
          </cell>
          <cell r="BA330">
            <v>17501.97</v>
          </cell>
          <cell r="BB330">
            <v>17971.36</v>
          </cell>
          <cell r="BC330">
            <v>18227.55</v>
          </cell>
          <cell r="BD330">
            <v>17181.66</v>
          </cell>
          <cell r="BE330">
            <v>13264.22</v>
          </cell>
          <cell r="BF330">
            <v>12740.14</v>
          </cell>
          <cell r="BG330">
            <v>13601.93</v>
          </cell>
          <cell r="BH330">
            <v>13800.08</v>
          </cell>
          <cell r="BI330">
            <v>12513.73</v>
          </cell>
          <cell r="BJ330">
            <v>13965.76</v>
          </cell>
          <cell r="BK330">
            <v>12679.46</v>
          </cell>
          <cell r="BL330">
            <v>14070.41</v>
          </cell>
          <cell r="BM330">
            <v>17501.97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Program Costs"/>
      <sheetName val="Monthly TD Calc"/>
      <sheetName val="Monthly kWh-kW"/>
      <sheetName val="Implementer Contract Rates"/>
    </sheetNames>
    <sheetDataSet>
      <sheetData sheetId="0" refreshError="1"/>
      <sheetData sheetId="1" refreshError="1"/>
      <sheetData sheetId="2">
        <row r="277">
          <cell r="L277">
            <v>1426562.2199999997</v>
          </cell>
          <cell r="M277">
            <v>753524.21</v>
          </cell>
          <cell r="N277">
            <v>750721.63</v>
          </cell>
          <cell r="O277">
            <v>754233.84000000008</v>
          </cell>
          <cell r="P277">
            <v>626514.84</v>
          </cell>
          <cell r="Q277">
            <v>1213200.8199999998</v>
          </cell>
          <cell r="R277">
            <v>587656.85</v>
          </cell>
          <cell r="S277">
            <v>616258.76</v>
          </cell>
          <cell r="T277">
            <v>587035.77000000014</v>
          </cell>
          <cell r="U277">
            <v>581181.3600000001</v>
          </cell>
          <cell r="V277">
            <v>646036.20000000007</v>
          </cell>
          <cell r="W277">
            <v>877288.49</v>
          </cell>
          <cell r="X277">
            <v>625862.97000000009</v>
          </cell>
          <cell r="Y277">
            <v>730996.53</v>
          </cell>
        </row>
        <row r="278">
          <cell r="L278">
            <v>159126.72000000003</v>
          </cell>
          <cell r="M278">
            <v>157928.48000000001</v>
          </cell>
          <cell r="N278">
            <v>156547.49000000002</v>
          </cell>
          <cell r="O278">
            <v>177150.12000000002</v>
          </cell>
          <cell r="P278">
            <v>144277.91000000003</v>
          </cell>
          <cell r="Q278">
            <v>169663.93</v>
          </cell>
          <cell r="R278">
            <v>153730.74</v>
          </cell>
          <cell r="S278">
            <v>160936.51</v>
          </cell>
          <cell r="T278">
            <v>92831.69</v>
          </cell>
          <cell r="U278">
            <v>102841.37000000001</v>
          </cell>
          <cell r="V278">
            <v>169955.08</v>
          </cell>
          <cell r="W278">
            <v>187800.23</v>
          </cell>
          <cell r="X278">
            <v>147303.19999999998</v>
          </cell>
          <cell r="Y278">
            <v>185036.63</v>
          </cell>
        </row>
        <row r="280">
          <cell r="L280">
            <v>232151.23</v>
          </cell>
          <cell r="M280">
            <v>230340</v>
          </cell>
          <cell r="N280">
            <v>228252.51</v>
          </cell>
          <cell r="O280">
            <v>259395.12000000002</v>
          </cell>
          <cell r="P280">
            <v>209706.02</v>
          </cell>
          <cell r="Q280">
            <v>235042.78</v>
          </cell>
          <cell r="R280">
            <v>228855.31999999998</v>
          </cell>
          <cell r="S280">
            <v>239747.44999999998</v>
          </cell>
          <cell r="T280">
            <v>133090.41</v>
          </cell>
          <cell r="U280">
            <v>148220.87</v>
          </cell>
          <cell r="V280">
            <v>253273.25000000003</v>
          </cell>
          <cell r="W280">
            <v>280505.14</v>
          </cell>
          <cell r="X280">
            <v>219033.03000000003</v>
          </cell>
          <cell r="Y280">
            <v>276327.72000000003</v>
          </cell>
        </row>
        <row r="281">
          <cell r="L281">
            <v>176087.36000000002</v>
          </cell>
          <cell r="M281">
            <v>174694.02</v>
          </cell>
          <cell r="N281">
            <v>173088.18</v>
          </cell>
          <cell r="O281">
            <v>197045.36000000002</v>
          </cell>
          <cell r="P281">
            <v>158820.84</v>
          </cell>
          <cell r="Q281">
            <v>176625.78999999998</v>
          </cell>
          <cell r="R281">
            <v>171895.88</v>
          </cell>
          <cell r="S281">
            <v>180274.91</v>
          </cell>
          <cell r="T281">
            <v>97760.84</v>
          </cell>
          <cell r="U281">
            <v>109400.31</v>
          </cell>
          <cell r="V281">
            <v>188986.29</v>
          </cell>
          <cell r="W281">
            <v>209847.37</v>
          </cell>
          <cell r="X281">
            <v>162646.19999999998</v>
          </cell>
          <cell r="Y281">
            <v>206633.77000000002</v>
          </cell>
        </row>
      </sheetData>
      <sheetData sheetId="3">
        <row r="461">
          <cell r="I461">
            <v>2124453.3504581368</v>
          </cell>
          <cell r="J461">
            <v>2246212.322990499</v>
          </cell>
          <cell r="K461">
            <v>2728970.0994926221</v>
          </cell>
          <cell r="L461">
            <v>2944390.0970309591</v>
          </cell>
          <cell r="M461">
            <v>2748918.0242056074</v>
          </cell>
          <cell r="N461">
            <v>3017652.6523965229</v>
          </cell>
          <cell r="O461">
            <v>3183014.0643229857</v>
          </cell>
          <cell r="P461">
            <v>3710795.7220812398</v>
          </cell>
          <cell r="Q461">
            <v>3925798.1212372812</v>
          </cell>
          <cell r="R461">
            <v>3838760.7782493522</v>
          </cell>
          <cell r="S461">
            <v>3928728.7104051085</v>
          </cell>
          <cell r="T461">
            <v>3909435.5706078252</v>
          </cell>
          <cell r="U461">
            <v>4126783.1820003209</v>
          </cell>
          <cell r="V461">
            <v>4170679.4511486185</v>
          </cell>
        </row>
        <row r="462">
          <cell r="I462">
            <v>142393.96557777177</v>
          </cell>
          <cell r="J462">
            <v>174902.22503311787</v>
          </cell>
          <cell r="K462">
            <v>227522.65075907353</v>
          </cell>
          <cell r="L462">
            <v>284951.10696106427</v>
          </cell>
          <cell r="M462">
            <v>319314.41624199919</v>
          </cell>
          <cell r="N462">
            <v>410788.24389689963</v>
          </cell>
          <cell r="O462">
            <v>459563.03656403674</v>
          </cell>
          <cell r="P462">
            <v>531990.48371879326</v>
          </cell>
          <cell r="Q462">
            <v>606939.89968382288</v>
          </cell>
          <cell r="R462">
            <v>570941.59885216213</v>
          </cell>
          <cell r="S462">
            <v>675409.24618880579</v>
          </cell>
          <cell r="T462">
            <v>698463.44627734891</v>
          </cell>
          <cell r="U462">
            <v>790490.48122232326</v>
          </cell>
          <cell r="V462">
            <v>815330.24515218963</v>
          </cell>
        </row>
        <row r="464">
          <cell r="I464">
            <v>149450.35186320843</v>
          </cell>
          <cell r="J464">
            <v>201263.0364028544</v>
          </cell>
          <cell r="K464">
            <v>273370.81370256288</v>
          </cell>
          <cell r="L464">
            <v>357635.9470588119</v>
          </cell>
          <cell r="M464">
            <v>420932.02126624819</v>
          </cell>
          <cell r="N464">
            <v>556831.73682239314</v>
          </cell>
          <cell r="O464">
            <v>637601.16006294487</v>
          </cell>
          <cell r="P464">
            <v>750535.97350616695</v>
          </cell>
          <cell r="Q464">
            <v>863271.55881924625</v>
          </cell>
          <cell r="R464">
            <v>814063.43038169236</v>
          </cell>
          <cell r="S464">
            <v>968161.77728078514</v>
          </cell>
          <cell r="T464">
            <v>1008101.5997847118</v>
          </cell>
          <cell r="U464">
            <v>1147932.8578220424</v>
          </cell>
          <cell r="V464">
            <v>1190211.11529644</v>
          </cell>
        </row>
        <row r="465">
          <cell r="I465">
            <v>62624.414149889926</v>
          </cell>
          <cell r="J465">
            <v>104893.0257242596</v>
          </cell>
          <cell r="K465">
            <v>159044.3889877171</v>
          </cell>
          <cell r="L465">
            <v>222850.13618504157</v>
          </cell>
          <cell r="M465">
            <v>275273.87960423116</v>
          </cell>
          <cell r="N465">
            <v>375632.34937305422</v>
          </cell>
          <cell r="O465">
            <v>439471.89384235931</v>
          </cell>
          <cell r="P465">
            <v>524864.46705880633</v>
          </cell>
          <cell r="Q465">
            <v>607984.18861215003</v>
          </cell>
          <cell r="R465">
            <v>575465.94019013038</v>
          </cell>
          <cell r="S465">
            <v>688051.37708744395</v>
          </cell>
          <cell r="T465">
            <v>720699.53186222573</v>
          </cell>
          <cell r="U465">
            <v>824314.95502369374</v>
          </cell>
          <cell r="V465">
            <v>858548.11119844811</v>
          </cell>
        </row>
        <row r="563">
          <cell r="I563">
            <v>115115.13</v>
          </cell>
          <cell r="J563">
            <v>199360.93</v>
          </cell>
          <cell r="K563">
            <v>243074.36000000002</v>
          </cell>
          <cell r="L563">
            <v>260583.75</v>
          </cell>
          <cell r="M563">
            <v>239038.73</v>
          </cell>
          <cell r="N563">
            <v>150941.16999999998</v>
          </cell>
          <cell r="O563">
            <v>161933.64000000001</v>
          </cell>
          <cell r="P563">
            <v>172385.94999999998</v>
          </cell>
          <cell r="Q563">
            <v>163655.67000000001</v>
          </cell>
          <cell r="R563">
            <v>170569.7</v>
          </cell>
          <cell r="S563">
            <v>183351.89</v>
          </cell>
          <cell r="T563">
            <v>183102.34999999998</v>
          </cell>
          <cell r="U563">
            <v>209269.02000000002</v>
          </cell>
          <cell r="V563">
            <v>348434.47</v>
          </cell>
        </row>
        <row r="564">
          <cell r="I564">
            <v>6306.27</v>
          </cell>
          <cell r="J564">
            <v>12216.31</v>
          </cell>
          <cell r="K564">
            <v>15641.99</v>
          </cell>
          <cell r="L564">
            <v>19681.75</v>
          </cell>
          <cell r="M564">
            <v>22185.109999999997</v>
          </cell>
          <cell r="N564">
            <v>18062.29</v>
          </cell>
          <cell r="O564">
            <v>20340.810000000001</v>
          </cell>
          <cell r="P564">
            <v>21340.720000000001</v>
          </cell>
          <cell r="Q564">
            <v>24036.329999999998</v>
          </cell>
          <cell r="R564">
            <v>22762.43</v>
          </cell>
          <cell r="S564">
            <v>27155.730000000003</v>
          </cell>
          <cell r="T564">
            <v>30598.79</v>
          </cell>
          <cell r="U564">
            <v>35092.53</v>
          </cell>
          <cell r="V564">
            <v>57215.12</v>
          </cell>
        </row>
        <row r="566">
          <cell r="I566">
            <v>4391.8499999999995</v>
          </cell>
          <cell r="J566">
            <v>7017.5700000000006</v>
          </cell>
          <cell r="K566">
            <v>9261.6099999999988</v>
          </cell>
          <cell r="L566">
            <v>12378.56</v>
          </cell>
          <cell r="M566">
            <v>14912.39</v>
          </cell>
          <cell r="N566">
            <v>16057.849999999999</v>
          </cell>
          <cell r="O566">
            <v>18892.04</v>
          </cell>
          <cell r="P566">
            <v>21205.48</v>
          </cell>
          <cell r="Q566">
            <v>23251.280000000002</v>
          </cell>
          <cell r="R566">
            <v>23190.660000000003</v>
          </cell>
          <cell r="S566">
            <v>27893.309999999998</v>
          </cell>
          <cell r="T566">
            <v>28781.46</v>
          </cell>
          <cell r="U566">
            <v>34537.279999999999</v>
          </cell>
          <cell r="V566">
            <v>43022.97</v>
          </cell>
        </row>
        <row r="567">
          <cell r="I567">
            <v>742.33</v>
          </cell>
          <cell r="J567">
            <v>1538.27</v>
          </cell>
          <cell r="K567">
            <v>2353.1799999999998</v>
          </cell>
          <cell r="L567">
            <v>3381.3</v>
          </cell>
          <cell r="M567">
            <v>4399.0999999999995</v>
          </cell>
          <cell r="N567">
            <v>4511.67</v>
          </cell>
          <cell r="O567">
            <v>5308.77</v>
          </cell>
          <cell r="P567">
            <v>6671.1899999999987</v>
          </cell>
          <cell r="Q567">
            <v>7647.3200000000006</v>
          </cell>
          <cell r="R567">
            <v>7176.81</v>
          </cell>
          <cell r="S567">
            <v>8729.7400000000016</v>
          </cell>
          <cell r="T567">
            <v>8658.07</v>
          </cell>
          <cell r="U567">
            <v>10379.959999999999</v>
          </cell>
          <cell r="V567">
            <v>13737.210000000001</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cle 2"/>
      <sheetName val="Cycle 3"/>
      <sheetName val="SI Projects DSIM Rider 112019-0"/>
    </sheetNames>
    <sheetDataSet>
      <sheetData sheetId="0">
        <row r="25">
          <cell r="C25">
            <v>1239471.6000000001</v>
          </cell>
          <cell r="D25">
            <v>664345.21</v>
          </cell>
          <cell r="E25">
            <v>726298.25999999978</v>
          </cell>
          <cell r="F25">
            <v>34862.70000000015</v>
          </cell>
          <cell r="G25">
            <v>22450.379999999979</v>
          </cell>
          <cell r="H25">
            <v>0</v>
          </cell>
        </row>
        <row r="26">
          <cell r="C26">
            <v>534169.6399999999</v>
          </cell>
          <cell r="D26">
            <v>707871.1399999999</v>
          </cell>
          <cell r="E26">
            <v>2169153.8200000003</v>
          </cell>
          <cell r="F26">
            <v>-16852.539999999972</v>
          </cell>
          <cell r="G26">
            <v>13001.980000000016</v>
          </cell>
          <cell r="H26">
            <v>-7812.0000000000036</v>
          </cell>
        </row>
        <row r="27">
          <cell r="C27">
            <v>104264.72000000002</v>
          </cell>
          <cell r="D27">
            <v>167014.48000000004</v>
          </cell>
          <cell r="E27">
            <v>113644.11</v>
          </cell>
          <cell r="F27">
            <v>2863.38</v>
          </cell>
          <cell r="G27">
            <v>6664.0800000000045</v>
          </cell>
          <cell r="H27">
            <v>0</v>
          </cell>
        </row>
        <row r="28">
          <cell r="C28">
            <v>44498.789999999994</v>
          </cell>
          <cell r="D28">
            <v>173173.36</v>
          </cell>
          <cell r="E28">
            <v>-8472.67</v>
          </cell>
          <cell r="F28">
            <v>-382.16999999999825</v>
          </cell>
          <cell r="G28">
            <v>0</v>
          </cell>
          <cell r="H28">
            <v>46909.369999999995</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Analysis"/>
      <sheetName val="January 2019 Combined"/>
      <sheetName val="February 2019 Combined"/>
      <sheetName val="March 2019 Combined"/>
      <sheetName val="April 2019 Combined"/>
      <sheetName val="May 2019 Combined"/>
      <sheetName val="June 2019 Combined"/>
      <sheetName val="July 2019 Combined"/>
      <sheetName val="August 2019 Combined"/>
      <sheetName val="September 2019 Combined"/>
      <sheetName val="October 2019 Combined"/>
      <sheetName val="November 2019 Combined"/>
      <sheetName val="December 2019 Combined"/>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3">
          <cell r="F23">
            <v>-2345.42</v>
          </cell>
        </row>
        <row r="24">
          <cell r="F24">
            <v>2857.96</v>
          </cell>
        </row>
        <row r="28">
          <cell r="F28">
            <v>564270.38</v>
          </cell>
        </row>
        <row r="29">
          <cell r="F29">
            <v>809943.72</v>
          </cell>
        </row>
        <row r="33">
          <cell r="F33">
            <v>190390.18000000002</v>
          </cell>
        </row>
        <row r="34">
          <cell r="F34">
            <v>171149.69</v>
          </cell>
        </row>
        <row r="38">
          <cell r="F38">
            <v>124612.94</v>
          </cell>
        </row>
        <row r="39">
          <cell r="F39">
            <v>128121.85</v>
          </cell>
        </row>
        <row r="55">
          <cell r="F55">
            <v>235127637.14769998</v>
          </cell>
        </row>
        <row r="56">
          <cell r="F56">
            <v>253390442.47080007</v>
          </cell>
        </row>
      </sheetData>
      <sheetData sheetId="12">
        <row r="23">
          <cell r="F23">
            <v>-3093.1400000000003</v>
          </cell>
        </row>
        <row r="24">
          <cell r="F24">
            <v>2758.4</v>
          </cell>
        </row>
        <row r="28">
          <cell r="F28">
            <v>740959.95000000007</v>
          </cell>
        </row>
        <row r="29">
          <cell r="F29">
            <v>872269.88</v>
          </cell>
        </row>
        <row r="33">
          <cell r="F33">
            <v>250121.02999999997</v>
          </cell>
        </row>
        <row r="34">
          <cell r="F34">
            <v>186470.38999999998</v>
          </cell>
        </row>
        <row r="38">
          <cell r="F38">
            <v>163627.66000000003</v>
          </cell>
        </row>
        <row r="39">
          <cell r="F39">
            <v>137168.5</v>
          </cell>
        </row>
        <row r="55">
          <cell r="F55">
            <v>308714858.91809994</v>
          </cell>
        </row>
        <row r="56">
          <cell r="F56">
            <v>274317874.33490002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row r="28">
          <cell r="F28">
            <v>-3252.84</v>
          </cell>
        </row>
        <row r="29">
          <cell r="F29">
            <v>2940.49</v>
          </cell>
        </row>
        <row r="33">
          <cell r="F33">
            <v>785849.03999999992</v>
          </cell>
        </row>
        <row r="34">
          <cell r="F34">
            <v>811677.38</v>
          </cell>
        </row>
        <row r="38">
          <cell r="F38">
            <v>265076.46999999997</v>
          </cell>
        </row>
        <row r="39">
          <cell r="F39">
            <v>172993.41</v>
          </cell>
        </row>
        <row r="43">
          <cell r="F43">
            <v>173573.37000000002</v>
          </cell>
        </row>
        <row r="44">
          <cell r="F44">
            <v>127809.33000000002</v>
          </cell>
        </row>
        <row r="60">
          <cell r="F60">
            <v>327471670.47650015</v>
          </cell>
        </row>
        <row r="61">
          <cell r="F61">
            <v>253146099.79809996</v>
          </cell>
        </row>
      </sheetData>
      <sheetData sheetId="1">
        <row r="31">
          <cell r="F31">
            <v>-3311.46</v>
          </cell>
        </row>
        <row r="32">
          <cell r="F32">
            <v>2882.56</v>
          </cell>
        </row>
        <row r="36">
          <cell r="F36">
            <v>794485.29</v>
          </cell>
        </row>
        <row r="37">
          <cell r="F37">
            <v>224294.71977746423</v>
          </cell>
        </row>
        <row r="38">
          <cell r="F38">
            <v>273482.98872378934</v>
          </cell>
        </row>
        <row r="39">
          <cell r="F39">
            <v>345689.31149874645</v>
          </cell>
        </row>
        <row r="44">
          <cell r="F44">
            <v>268123.99</v>
          </cell>
        </row>
        <row r="45">
          <cell r="F45">
            <v>47882.418392609907</v>
          </cell>
        </row>
        <row r="46">
          <cell r="F46">
            <v>58383.362793269422</v>
          </cell>
        </row>
        <row r="47">
          <cell r="F47">
            <v>73798.018814120689</v>
          </cell>
        </row>
        <row r="52">
          <cell r="F52">
            <v>175441.72000000003</v>
          </cell>
        </row>
        <row r="53">
          <cell r="F53">
            <v>35293.235835893604</v>
          </cell>
        </row>
        <row r="54">
          <cell r="F54">
            <v>43033.022378077192</v>
          </cell>
        </row>
        <row r="55">
          <cell r="F55">
            <v>54394.811786029197</v>
          </cell>
        </row>
        <row r="60">
          <cell r="F60">
            <v>1.59</v>
          </cell>
        </row>
        <row r="61">
          <cell r="F61">
            <v>0</v>
          </cell>
        </row>
        <row r="62">
          <cell r="F62">
            <v>0</v>
          </cell>
        </row>
        <row r="63">
          <cell r="F63">
            <v>0</v>
          </cell>
        </row>
        <row r="68">
          <cell r="F68">
            <v>5.78</v>
          </cell>
        </row>
        <row r="69">
          <cell r="F69">
            <v>0</v>
          </cell>
        </row>
        <row r="70">
          <cell r="F70">
            <v>0</v>
          </cell>
        </row>
        <row r="71">
          <cell r="F71">
            <v>0</v>
          </cell>
        </row>
        <row r="75">
          <cell r="F75">
            <v>0</v>
          </cell>
        </row>
        <row r="76">
          <cell r="F76">
            <v>0</v>
          </cell>
        </row>
        <row r="77">
          <cell r="F77">
            <v>0</v>
          </cell>
        </row>
        <row r="78">
          <cell r="F78">
            <v>0</v>
          </cell>
        </row>
        <row r="82">
          <cell r="F82">
            <v>1.37</v>
          </cell>
        </row>
        <row r="83">
          <cell r="F83">
            <v>0</v>
          </cell>
        </row>
        <row r="84">
          <cell r="F84">
            <v>0</v>
          </cell>
        </row>
        <row r="85">
          <cell r="F85">
            <v>0</v>
          </cell>
        </row>
        <row r="102">
          <cell r="F102">
            <v>331040361.1376999</v>
          </cell>
        </row>
        <row r="103">
          <cell r="F103">
            <v>265668616.2504999</v>
          </cell>
        </row>
        <row r="108">
          <cell r="F108">
            <v>2241</v>
          </cell>
        </row>
        <row r="109">
          <cell r="F109">
            <v>0</v>
          </cell>
        </row>
        <row r="110">
          <cell r="F110">
            <v>0</v>
          </cell>
        </row>
        <row r="111">
          <cell r="F111">
            <v>0</v>
          </cell>
        </row>
      </sheetData>
      <sheetData sheetId="2">
        <row r="31">
          <cell r="F31">
            <v>12423.369999999642</v>
          </cell>
        </row>
        <row r="32">
          <cell r="F32">
            <v>6457.3400000000547</v>
          </cell>
        </row>
        <row r="36">
          <cell r="F36">
            <v>16386.22</v>
          </cell>
        </row>
        <row r="37">
          <cell r="F37">
            <v>9752.2790403014733</v>
          </cell>
        </row>
        <row r="38">
          <cell r="F38">
            <v>6015.7662832540691</v>
          </cell>
        </row>
        <row r="39">
          <cell r="F39">
            <v>5803.9946764444576</v>
          </cell>
        </row>
        <row r="44">
          <cell r="F44">
            <v>63071.86</v>
          </cell>
        </row>
        <row r="45">
          <cell r="F45">
            <v>40182.476218211421</v>
          </cell>
        </row>
        <row r="46">
          <cell r="F46">
            <v>29730.013667658168</v>
          </cell>
        </row>
        <row r="47">
          <cell r="F47">
            <v>10244.810114130412</v>
          </cell>
        </row>
        <row r="52">
          <cell r="F52">
            <v>233190.31</v>
          </cell>
        </row>
        <row r="53">
          <cell r="F53">
            <v>92262.438165767278</v>
          </cell>
        </row>
        <row r="54">
          <cell r="F54">
            <v>53365.37139665374</v>
          </cell>
        </row>
        <row r="55">
          <cell r="F55">
            <v>12530.560437578979</v>
          </cell>
        </row>
        <row r="60">
          <cell r="F60">
            <v>182373.19000000035</v>
          </cell>
        </row>
        <row r="61">
          <cell r="F61">
            <v>102889.35131002523</v>
          </cell>
        </row>
        <row r="62">
          <cell r="F62">
            <v>74658.357094256833</v>
          </cell>
        </row>
        <row r="63">
          <cell r="F63">
            <v>26743.241595717882</v>
          </cell>
        </row>
        <row r="68">
          <cell r="F68">
            <v>707848.99</v>
          </cell>
        </row>
        <row r="69">
          <cell r="F69">
            <v>140625.78</v>
          </cell>
        </row>
        <row r="70">
          <cell r="F70">
            <v>145272.19</v>
          </cell>
        </row>
        <row r="71">
          <cell r="F71">
            <v>97805.759999999995</v>
          </cell>
        </row>
        <row r="75">
          <cell r="F75">
            <v>0</v>
          </cell>
        </row>
        <row r="76">
          <cell r="F76">
            <v>0</v>
          </cell>
        </row>
        <row r="77">
          <cell r="F77">
            <v>0</v>
          </cell>
        </row>
        <row r="78">
          <cell r="F78">
            <v>0</v>
          </cell>
        </row>
        <row r="82">
          <cell r="F82">
            <v>167359.63</v>
          </cell>
        </row>
        <row r="83">
          <cell r="F83">
            <v>10613.28</v>
          </cell>
        </row>
        <row r="84">
          <cell r="F84">
            <v>6125.94</v>
          </cell>
        </row>
        <row r="85">
          <cell r="F85">
            <v>1880.88</v>
          </cell>
        </row>
        <row r="102">
          <cell r="F102">
            <v>274322466.85069996</v>
          </cell>
        </row>
        <row r="103">
          <cell r="F103">
            <v>240432419.70310003</v>
          </cell>
        </row>
        <row r="108">
          <cell r="F108">
            <v>274360072.26540005</v>
          </cell>
        </row>
        <row r="109">
          <cell r="F109">
            <v>88443885.891300008</v>
          </cell>
        </row>
        <row r="110">
          <cell r="F110">
            <v>87513369.273300007</v>
          </cell>
        </row>
        <row r="111">
          <cell r="F111">
            <v>62696002.377599992</v>
          </cell>
        </row>
      </sheetData>
      <sheetData sheetId="3">
        <row r="36">
          <cell r="F36">
            <v>14094.16</v>
          </cell>
        </row>
        <row r="37">
          <cell r="F37">
            <v>7527.9464679218681</v>
          </cell>
        </row>
        <row r="38">
          <cell r="F38">
            <v>7681.813595447491</v>
          </cell>
        </row>
        <row r="39">
          <cell r="F39">
            <v>2218.579936630641</v>
          </cell>
        </row>
        <row r="44">
          <cell r="F44">
            <v>53816.729999999996</v>
          </cell>
        </row>
        <row r="45">
          <cell r="F45">
            <v>32433.187434675219</v>
          </cell>
        </row>
        <row r="46">
          <cell r="F46">
            <v>26585.843331592761</v>
          </cell>
        </row>
        <row r="47">
          <cell r="F47">
            <v>9584.5392337320191</v>
          </cell>
        </row>
        <row r="52">
          <cell r="F52">
            <v>198877.3</v>
          </cell>
        </row>
        <row r="53">
          <cell r="F53">
            <v>74598.553201124567</v>
          </cell>
        </row>
        <row r="54">
          <cell r="F54">
            <v>47152.306217455109</v>
          </cell>
        </row>
        <row r="55">
          <cell r="F55">
            <v>12133.900581420319</v>
          </cell>
        </row>
        <row r="60">
          <cell r="F60">
            <v>166104.19</v>
          </cell>
        </row>
        <row r="61">
          <cell r="F61">
            <v>85956.983173008572</v>
          </cell>
        </row>
        <row r="62">
          <cell r="F62">
            <v>67438.059662726388</v>
          </cell>
        </row>
        <row r="63">
          <cell r="F63">
            <v>27944.877164265039</v>
          </cell>
        </row>
        <row r="68">
          <cell r="F68">
            <v>603585.69999999995</v>
          </cell>
        </row>
        <row r="69">
          <cell r="F69">
            <v>113884.86</v>
          </cell>
        </row>
        <row r="70">
          <cell r="F70">
            <v>127203.61</v>
          </cell>
        </row>
        <row r="71">
          <cell r="F71">
            <v>99070.22</v>
          </cell>
        </row>
        <row r="75">
          <cell r="F75">
            <v>0</v>
          </cell>
        </row>
        <row r="76">
          <cell r="F76">
            <v>0</v>
          </cell>
        </row>
        <row r="77">
          <cell r="F77">
            <v>0</v>
          </cell>
        </row>
        <row r="78">
          <cell r="F78">
            <v>0</v>
          </cell>
        </row>
        <row r="82">
          <cell r="F82">
            <v>142708.25</v>
          </cell>
        </row>
        <row r="83">
          <cell r="F83">
            <v>8595.07</v>
          </cell>
        </row>
        <row r="84">
          <cell r="F84">
            <v>5364.01</v>
          </cell>
        </row>
        <row r="85">
          <cell r="F85">
            <v>1905.2</v>
          </cell>
        </row>
        <row r="102">
          <cell r="F102">
            <v>233969825.78619999</v>
          </cell>
        </row>
        <row r="103">
          <cell r="F103">
            <v>213936239.76970005</v>
          </cell>
        </row>
        <row r="108">
          <cell r="F108">
            <v>233947944.9971</v>
          </cell>
        </row>
        <row r="109">
          <cell r="F109">
            <v>71625695.963699982</v>
          </cell>
        </row>
        <row r="110">
          <cell r="F110">
            <v>76628680.172199994</v>
          </cell>
        </row>
        <row r="111">
          <cell r="F111">
            <v>63506550.417199999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19"/>
      <sheetName val="Dec 2019"/>
      <sheetName val="Jan 2020"/>
      <sheetName val="Feb 2020"/>
      <sheetName val="Mar 2020"/>
      <sheetName val="Apr 2020"/>
    </sheetNames>
    <sheetDataSet>
      <sheetData sheetId="0">
        <row r="51">
          <cell r="F51">
            <v>2.4882900000000002E-3</v>
          </cell>
        </row>
      </sheetData>
      <sheetData sheetId="1">
        <row r="51">
          <cell r="F51">
            <v>2.5028199999999998E-3</v>
          </cell>
        </row>
      </sheetData>
      <sheetData sheetId="2">
        <row r="51">
          <cell r="F51">
            <v>2.43764E-3</v>
          </cell>
        </row>
      </sheetData>
      <sheetData sheetId="3">
        <row r="51">
          <cell r="F51">
            <v>2.4056699999999999E-3</v>
          </cell>
        </row>
      </sheetData>
      <sheetData sheetId="4">
        <row r="51">
          <cell r="F51">
            <v>1.8183299999999999E-3</v>
          </cell>
        </row>
      </sheetData>
      <sheetData sheetId="5">
        <row r="50">
          <cell r="F50">
            <v>1.62864E-3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 Projects 012020"/>
      <sheetName val="Input"/>
      <sheetName val="Program Descriptions"/>
    </sheetNames>
    <sheetDataSet>
      <sheetData sheetId="0">
        <row r="26">
          <cell r="N26">
            <v>43677.990000000005</v>
          </cell>
          <cell r="P26">
            <v>59524.360000000008</v>
          </cell>
          <cell r="Q26">
            <v>45790.500000000102</v>
          </cell>
          <cell r="R26">
            <v>389335.31000000006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
  <sheetViews>
    <sheetView tabSelected="1" workbookViewId="0">
      <pane xSplit="2" ySplit="3" topLeftCell="C4" activePane="bottomRight" state="frozen"/>
      <selection activeCell="J8" sqref="J8"/>
      <selection pane="topRight" activeCell="J8" sqref="J8"/>
      <selection pane="bottomLeft" activeCell="J8" sqref="J8"/>
      <selection pane="bottomRight" activeCell="G13" sqref="G13"/>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1.269531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5" max="15" width="37.1796875" customWidth="1" outlineLevel="1"/>
    <col min="16" max="16" width="19.26953125" customWidth="1" outlineLevel="1"/>
    <col min="17" max="17" width="16" style="59" customWidth="1" outlineLevel="1"/>
    <col min="18" max="18" width="9.1796875" customWidth="1" outlineLevel="1"/>
    <col min="19" max="20" width="16" customWidth="1" outlineLevel="1"/>
    <col min="21" max="21" width="16" style="59" customWidth="1" outlineLevel="1"/>
    <col min="22" max="22" width="16" customWidth="1" outlineLevel="1"/>
    <col min="23" max="23" width="9.1796875" customWidth="1" outlineLevel="1"/>
    <col min="24" max="27" width="16" bestFit="1" customWidth="1" outlineLevel="1"/>
    <col min="28" max="28" width="12" bestFit="1" customWidth="1"/>
  </cols>
  <sheetData>
    <row r="1" spans="1:28" x14ac:dyDescent="0.35">
      <c r="A1" s="3" t="str">
        <f>+'PPC Cycle 2'!A1</f>
        <v>Evergy Missouri West, Inc. - DSIM Rider Update Filed 06/01/2020</v>
      </c>
    </row>
    <row r="2" spans="1:28" ht="15" thickBot="1" x14ac:dyDescent="0.4">
      <c r="H2" s="59"/>
      <c r="I2" s="59"/>
      <c r="J2" s="61"/>
      <c r="K2" s="61"/>
    </row>
    <row r="3" spans="1:28" ht="27.5" thickBot="1" x14ac:dyDescent="0.4">
      <c r="B3" s="105" t="s">
        <v>8</v>
      </c>
      <c r="C3" s="148" t="s">
        <v>21</v>
      </c>
      <c r="D3" s="148" t="s">
        <v>22</v>
      </c>
      <c r="E3" s="148" t="s">
        <v>59</v>
      </c>
      <c r="F3" s="148" t="s">
        <v>23</v>
      </c>
      <c r="G3" s="148" t="s">
        <v>40</v>
      </c>
      <c r="H3" s="107" t="s">
        <v>30</v>
      </c>
      <c r="I3" s="51"/>
      <c r="J3" s="106" t="s">
        <v>15</v>
      </c>
      <c r="K3" s="107" t="s">
        <v>58</v>
      </c>
      <c r="L3" s="107" t="s">
        <v>76</v>
      </c>
      <c r="M3" s="107" t="s">
        <v>77</v>
      </c>
    </row>
    <row r="4" spans="1:28" ht="15" thickBot="1" x14ac:dyDescent="0.4">
      <c r="B4" s="108" t="s">
        <v>26</v>
      </c>
      <c r="C4" s="146">
        <f t="shared" ref="C4:F7" si="0">C12+C20</f>
        <v>9169387.9623199999</v>
      </c>
      <c r="D4" s="147">
        <f t="shared" si="0"/>
        <v>5364720.2806799999</v>
      </c>
      <c r="E4" s="147">
        <f t="shared" si="0"/>
        <v>2417870.47218</v>
      </c>
      <c r="F4" s="147">
        <f t="shared" si="0"/>
        <v>0</v>
      </c>
      <c r="G4" s="150">
        <f>'PPC Cycle 2'!B5</f>
        <v>3544457568</v>
      </c>
      <c r="H4" s="151">
        <f>ROUND(SUM(C4:F4)/G4,5)</f>
        <v>4.7800000000000004E-3</v>
      </c>
      <c r="I4" s="152"/>
      <c r="J4" s="216">
        <f>ROUND((C12+C20)/G4,5)</f>
        <v>2.5899999999999999E-3</v>
      </c>
      <c r="K4" s="153">
        <f>ROUND((D12+D20)/G4,5)</f>
        <v>1.5100000000000001E-3</v>
      </c>
      <c r="L4" s="153">
        <f>ROUND((E12+E20)/G4,5)</f>
        <v>6.8000000000000005E-4</v>
      </c>
      <c r="M4" s="153">
        <f>ROUND((F12+F20)/G4,5)</f>
        <v>0</v>
      </c>
    </row>
    <row r="5" spans="1:28" ht="15" thickBot="1" x14ac:dyDescent="0.4">
      <c r="B5" s="108" t="s">
        <v>121</v>
      </c>
      <c r="C5" s="146">
        <f t="shared" si="0"/>
        <v>1549002.5</v>
      </c>
      <c r="D5" s="147">
        <f t="shared" si="0"/>
        <v>1349497.1166400001</v>
      </c>
      <c r="E5" s="147">
        <f t="shared" si="0"/>
        <v>1102117</v>
      </c>
      <c r="F5" s="147">
        <f t="shared" si="0"/>
        <v>0</v>
      </c>
      <c r="G5" s="150">
        <f>+'PPC Cycle 2'!B10</f>
        <v>950409223</v>
      </c>
      <c r="H5" s="151">
        <f>ROUND(SUM(C5:F5)/G5,5)</f>
        <v>4.2100000000000002E-3</v>
      </c>
      <c r="I5" s="152"/>
      <c r="J5" s="217">
        <f>ROUND((C13+C21)/G5,5)</f>
        <v>1.6299999999999999E-3</v>
      </c>
      <c r="K5" s="153">
        <f>ROUND((D13+D21)/G5,5)</f>
        <v>1.42E-3</v>
      </c>
      <c r="L5" s="153">
        <f>ROUND((E13+E21)/G5,5)</f>
        <v>1.16E-3</v>
      </c>
      <c r="M5" s="153">
        <f>ROUND((F13+F21)/G5,5)</f>
        <v>0</v>
      </c>
    </row>
    <row r="6" spans="1:28" s="59" customFormat="1" ht="15" thickBot="1" x14ac:dyDescent="0.4">
      <c r="B6" s="108" t="s">
        <v>122</v>
      </c>
      <c r="C6" s="146">
        <f t="shared" si="0"/>
        <v>2325056.98</v>
      </c>
      <c r="D6" s="147">
        <f t="shared" si="0"/>
        <v>1204611.10506</v>
      </c>
      <c r="E6" s="147">
        <f t="shared" si="0"/>
        <v>1222262.83</v>
      </c>
      <c r="F6" s="147">
        <f t="shared" si="0"/>
        <v>0</v>
      </c>
      <c r="G6" s="150">
        <f>+'PPC Cycle 2'!B11</f>
        <v>1440755221</v>
      </c>
      <c r="H6" s="151">
        <f>ROUND(SUM(C6:F6)/G6,5)</f>
        <v>3.3E-3</v>
      </c>
      <c r="I6" s="152"/>
      <c r="J6" s="283">
        <f>ROUND((C14+C22)/G6,5)</f>
        <v>1.6100000000000001E-3</v>
      </c>
      <c r="K6" s="153">
        <f>ROUND((D14+D22)/G6,5)</f>
        <v>8.4000000000000003E-4</v>
      </c>
      <c r="L6" s="153">
        <f>ROUND((E14+E22)/G6,5)</f>
        <v>8.4999999999999995E-4</v>
      </c>
      <c r="M6" s="153">
        <f>ROUND((F14+F22)/G6,5)</f>
        <v>0</v>
      </c>
    </row>
    <row r="7" spans="1:28" s="59" customFormat="1" ht="15" thickBot="1" x14ac:dyDescent="0.4">
      <c r="B7" s="108" t="s">
        <v>123</v>
      </c>
      <c r="C7" s="146">
        <f t="shared" si="0"/>
        <v>1992668.73</v>
      </c>
      <c r="D7" s="147">
        <f t="shared" si="0"/>
        <v>243549.95655</v>
      </c>
      <c r="E7" s="147">
        <f t="shared" si="0"/>
        <v>464912.66</v>
      </c>
      <c r="F7" s="147">
        <f t="shared" si="0"/>
        <v>0</v>
      </c>
      <c r="G7" s="150">
        <f>+'PPC Cycle 2'!B12</f>
        <v>839332948</v>
      </c>
      <c r="H7" s="151">
        <f>ROUND(SUM(C7:F7)/G7,5)</f>
        <v>3.2200000000000002E-3</v>
      </c>
      <c r="I7" s="152"/>
      <c r="J7" s="282">
        <f>ROUND((C15+C23)/G7,5)+0.00001</f>
        <v>2.3800000000000002E-3</v>
      </c>
      <c r="K7" s="153">
        <f>ROUND((D15+D23)/G7,5)</f>
        <v>2.9E-4</v>
      </c>
      <c r="L7" s="153">
        <f>ROUND((E15+E23)/G7,5)</f>
        <v>5.5000000000000003E-4</v>
      </c>
      <c r="M7" s="153">
        <f>ROUND((F15+F23)/G7,5)</f>
        <v>0</v>
      </c>
    </row>
    <row r="8" spans="1:28" x14ac:dyDescent="0.35">
      <c r="C8" s="145"/>
      <c r="D8" s="145"/>
      <c r="E8" s="145"/>
      <c r="F8" s="145"/>
      <c r="G8" s="144"/>
    </row>
    <row r="9" spans="1:28" x14ac:dyDescent="0.35">
      <c r="C9" s="145"/>
      <c r="D9" s="145"/>
      <c r="E9" s="145"/>
      <c r="F9" s="145"/>
      <c r="G9" s="144"/>
    </row>
    <row r="10" spans="1:28" ht="15" thickBot="1" x14ac:dyDescent="0.4">
      <c r="C10" s="145"/>
      <c r="D10" s="145"/>
      <c r="E10" s="145"/>
      <c r="F10" s="145"/>
      <c r="G10" s="144"/>
    </row>
    <row r="11" spans="1:28" ht="15" thickBot="1" x14ac:dyDescent="0.4">
      <c r="B11" s="105" t="s">
        <v>8</v>
      </c>
      <c r="C11" s="149" t="s">
        <v>7</v>
      </c>
      <c r="D11" s="149" t="s">
        <v>18</v>
      </c>
      <c r="E11" s="149" t="s">
        <v>60</v>
      </c>
      <c r="F11" s="149" t="s">
        <v>19</v>
      </c>
      <c r="G11" s="144"/>
      <c r="J11" s="17"/>
      <c r="K11" s="17"/>
      <c r="O11" s="149" t="s">
        <v>78</v>
      </c>
      <c r="P11" s="149" t="s">
        <v>79</v>
      </c>
      <c r="Q11" s="149" t="s">
        <v>86</v>
      </c>
      <c r="R11" s="59"/>
      <c r="S11" s="149" t="s">
        <v>80</v>
      </c>
      <c r="T11" s="149" t="s">
        <v>81</v>
      </c>
      <c r="U11" s="149" t="s">
        <v>116</v>
      </c>
      <c r="V11" s="149" t="s">
        <v>102</v>
      </c>
      <c r="X11" s="149" t="s">
        <v>130</v>
      </c>
      <c r="Y11" s="149" t="s">
        <v>131</v>
      </c>
      <c r="Z11" s="149" t="s">
        <v>132</v>
      </c>
      <c r="AA11" s="149" t="s">
        <v>133</v>
      </c>
    </row>
    <row r="12" spans="1:28" ht="15" thickBot="1" x14ac:dyDescent="0.4">
      <c r="B12" s="108" t="s">
        <v>26</v>
      </c>
      <c r="C12" s="147">
        <f>'PPC Cycle 2'!C5+'PPC Cycle 3'!B5</f>
        <v>8658780.8900000006</v>
      </c>
      <c r="D12" s="147">
        <f>'PTD Cycle 2'!C6+'PTD Cycle 3'!C6</f>
        <v>4984125.95</v>
      </c>
      <c r="E12" s="147">
        <f>+'EO Cycle 2'!G8</f>
        <v>2518148.6800000002</v>
      </c>
      <c r="F12" s="146">
        <f>+'OA Cycle 2'!D8</f>
        <v>0</v>
      </c>
      <c r="G12" s="144"/>
      <c r="J12" s="174"/>
      <c r="K12" s="17"/>
      <c r="O12" s="203">
        <v>0</v>
      </c>
      <c r="P12" s="203">
        <v>0</v>
      </c>
      <c r="Q12" s="249">
        <v>0</v>
      </c>
      <c r="R12" s="177"/>
      <c r="S12" s="176">
        <f>ROUND(+'PPC Cycle 2'!C5/'tariff tables'!$G4,5)</f>
        <v>2.0000000000000002E-5</v>
      </c>
      <c r="T12" s="176">
        <f>ROUND(+'PTD Cycle 2'!C6/'tariff tables'!G4,5)</f>
        <v>6.9999999999999999E-4</v>
      </c>
      <c r="U12" s="176">
        <f>ROUND('EO Cycle 2'!G8/'tariff tables'!G4,5)</f>
        <v>7.1000000000000002E-4</v>
      </c>
      <c r="V12" s="176">
        <f>ROUND('OA Cycle 2'!D8/'tariff tables'!G4,5)</f>
        <v>0</v>
      </c>
      <c r="X12" s="176">
        <f>ROUND('PPC Cycle 3'!B5/'tariff tables'!$G4,5)</f>
        <v>2.4299999999999999E-3</v>
      </c>
      <c r="Y12" s="176">
        <f>ROUND('PTD Cycle 3'!C6/'tariff tables'!G4,5)</f>
        <v>6.9999999999999999E-4</v>
      </c>
      <c r="Z12" s="176">
        <f>ROUND(0/'tariff tables'!G4,5)</f>
        <v>0</v>
      </c>
      <c r="AA12" s="176">
        <f>ROUND(0/'tariff tables'!G4,5)</f>
        <v>0</v>
      </c>
      <c r="AB12" s="177">
        <f>SUM(O12:AA12,O20:AA20)</f>
        <v>4.7800000000000004E-3</v>
      </c>
    </row>
    <row r="13" spans="1:28" ht="15" thickBot="1" x14ac:dyDescent="0.4">
      <c r="B13" s="108" t="s">
        <v>121</v>
      </c>
      <c r="C13" s="147">
        <f>'PPC Cycle 2'!C10+'PPC Cycle 3'!B6</f>
        <v>1874948.73</v>
      </c>
      <c r="D13" s="147">
        <f>'PTD Cycle 2'!C10+'PTD Cycle 3'!C7</f>
        <v>1399446.29</v>
      </c>
      <c r="E13" s="147">
        <f>+'EO Cycle 2'!G12</f>
        <v>1152745.71</v>
      </c>
      <c r="F13" s="146">
        <f>+'OA Cycle 2'!D13</f>
        <v>0</v>
      </c>
      <c r="G13" s="144"/>
      <c r="J13" s="174"/>
      <c r="K13" s="17"/>
      <c r="O13" s="203">
        <v>0</v>
      </c>
      <c r="P13" s="203">
        <v>0</v>
      </c>
      <c r="Q13" s="249">
        <v>0</v>
      </c>
      <c r="R13" s="177"/>
      <c r="S13" s="176">
        <f>ROUND(+'PPC Cycle 2'!C10/'tariff tables'!$G5,5)</f>
        <v>3.0000000000000001E-5</v>
      </c>
      <c r="T13" s="203">
        <f>ROUND(+'PTD Cycle 2'!C10/'tariff tables'!G5,5)</f>
        <v>1.14E-3</v>
      </c>
      <c r="U13" s="249">
        <f>ROUND('EO Cycle 2'!G12/'tariff tables'!G5,5)</f>
        <v>1.2099999999999999E-3</v>
      </c>
      <c r="V13" s="203">
        <f>ROUND('OA Cycle 2'!D13/'tariff tables'!G5,5)</f>
        <v>0</v>
      </c>
      <c r="X13" s="176">
        <f>ROUND('PPC Cycle 3'!B6/'tariff tables'!$G5,5)</f>
        <v>1.9400000000000001E-3</v>
      </c>
      <c r="Y13" s="176">
        <f>ROUND('PTD Cycle 3'!C7/'tariff tables'!G5,5)</f>
        <v>3.3E-4</v>
      </c>
      <c r="Z13" s="176">
        <f>ROUND(0/'tariff tables'!G5,5)</f>
        <v>0</v>
      </c>
      <c r="AA13" s="176">
        <f>ROUND(0/'tariff tables'!G5,5)</f>
        <v>0</v>
      </c>
      <c r="AB13" s="177">
        <f>SUM(O13:AA13,O21:AA21)</f>
        <v>4.2100000000000002E-3</v>
      </c>
    </row>
    <row r="14" spans="1:28" s="59" customFormat="1" ht="15" thickBot="1" x14ac:dyDescent="0.4">
      <c r="B14" s="108" t="s">
        <v>122</v>
      </c>
      <c r="C14" s="147">
        <f>'PPC Cycle 2'!C11+'PPC Cycle 3'!B7</f>
        <v>2742591.14</v>
      </c>
      <c r="D14" s="147">
        <f>'PTD Cycle 2'!C11+'PTD Cycle 3'!C8</f>
        <v>1255653.3599999999</v>
      </c>
      <c r="E14" s="147">
        <f>+'EO Cycle 2'!G13</f>
        <v>1280931.6200000001</v>
      </c>
      <c r="F14" s="146">
        <f>+'OA Cycle 2'!D14</f>
        <v>0</v>
      </c>
      <c r="G14" s="144"/>
      <c r="J14" s="174"/>
      <c r="K14" s="17"/>
      <c r="O14" s="203">
        <v>0</v>
      </c>
      <c r="P14" s="203">
        <v>0</v>
      </c>
      <c r="Q14" s="264">
        <v>0</v>
      </c>
      <c r="R14" s="265"/>
      <c r="S14" s="210">
        <f>ROUND(+'PPC Cycle 2'!C11/'tariff tables'!$G6,5)</f>
        <v>2.0000000000000002E-5</v>
      </c>
      <c r="T14" s="266">
        <f>ROUND(+'PTD Cycle 2'!C11/'tariff tables'!G6,5)</f>
        <v>6.8000000000000005E-4</v>
      </c>
      <c r="U14" s="264">
        <f>ROUND('EO Cycle 2'!G13/'tariff tables'!G6,5)</f>
        <v>8.8999999999999995E-4</v>
      </c>
      <c r="V14" s="203">
        <f>ROUND('OA Cycle 2'!D14/'tariff tables'!G6,5)</f>
        <v>0</v>
      </c>
      <c r="X14" s="176">
        <f>ROUND('PPC Cycle 3'!B7/'tariff tables'!$G6,5)</f>
        <v>1.8799999999999999E-3</v>
      </c>
      <c r="Y14" s="176">
        <f>ROUND('PTD Cycle 3'!C8/'tariff tables'!G6,5)</f>
        <v>1.9000000000000001E-4</v>
      </c>
      <c r="Z14" s="176">
        <f>ROUND(0/'tariff tables'!G6,5)</f>
        <v>0</v>
      </c>
      <c r="AA14" s="176">
        <f>ROUND(0/'tariff tables'!G6,5)</f>
        <v>0</v>
      </c>
      <c r="AB14" s="177">
        <f>SUM(O14:AA14,O22:AA22)</f>
        <v>3.3E-3</v>
      </c>
    </row>
    <row r="15" spans="1:28" s="59" customFormat="1" ht="15" thickBot="1" x14ac:dyDescent="0.4">
      <c r="B15" s="108" t="s">
        <v>123</v>
      </c>
      <c r="C15" s="147">
        <f>'PPC Cycle 2'!C12+'PPC Cycle 3'!B8</f>
        <v>2043549.84</v>
      </c>
      <c r="D15" s="147">
        <f>'PTD Cycle 2'!C12+'PTD Cycle 3'!C9</f>
        <v>260472.59</v>
      </c>
      <c r="E15" s="147">
        <f>+'EO Cycle 2'!G14</f>
        <v>484739.44</v>
      </c>
      <c r="F15" s="146">
        <f>+'OA Cycle 2'!D15</f>
        <v>0</v>
      </c>
      <c r="G15" s="144"/>
      <c r="J15" s="174"/>
      <c r="K15" s="17"/>
      <c r="O15" s="203">
        <v>0</v>
      </c>
      <c r="P15" s="203">
        <v>0</v>
      </c>
      <c r="Q15" s="264">
        <v>0</v>
      </c>
      <c r="R15" s="265"/>
      <c r="S15" s="210">
        <f>ROUND(+'PPC Cycle 2'!C12/'tariff tables'!$G7,5)</f>
        <v>1.0000000000000001E-5</v>
      </c>
      <c r="T15" s="266">
        <f>ROUND(+'PTD Cycle 2'!C12/'tariff tables'!G7,5)</f>
        <v>2.1000000000000001E-4</v>
      </c>
      <c r="U15" s="264">
        <f>ROUND('EO Cycle 2'!G14/'tariff tables'!G7,5)</f>
        <v>5.8E-4</v>
      </c>
      <c r="V15" s="203">
        <f>ROUND('OA Cycle 2'!D15/'tariff tables'!G7,5)</f>
        <v>0</v>
      </c>
      <c r="X15" s="176">
        <f>ROUND('PPC Cycle 3'!B8/'tariff tables'!$G7,5)</f>
        <v>2.4199999999999998E-3</v>
      </c>
      <c r="Y15" s="176">
        <f>ROUND('PTD Cycle 3'!C9/'tariff tables'!G7,5)</f>
        <v>1E-4</v>
      </c>
      <c r="Z15" s="176">
        <f>ROUND(0/'tariff tables'!G7,5)</f>
        <v>0</v>
      </c>
      <c r="AA15" s="176">
        <f>ROUND(0/'tariff tables'!G7,5)</f>
        <v>0</v>
      </c>
      <c r="AB15" s="177">
        <f>SUM(O15:AA15,O23:AA23)</f>
        <v>3.2199999999999993E-3</v>
      </c>
    </row>
    <row r="16" spans="1:28" x14ac:dyDescent="0.35">
      <c r="C16" s="145"/>
      <c r="D16" s="145"/>
      <c r="E16" s="145"/>
      <c r="F16" s="145"/>
      <c r="G16" s="144"/>
      <c r="J16" s="17"/>
      <c r="K16" s="17"/>
      <c r="O16" s="204"/>
      <c r="P16" s="204"/>
      <c r="Q16" s="267"/>
      <c r="R16" s="265"/>
      <c r="S16" s="265"/>
      <c r="T16" s="265"/>
      <c r="U16" s="265"/>
      <c r="V16" s="177"/>
      <c r="X16" s="177"/>
      <c r="Y16" s="177"/>
      <c r="Z16" s="177"/>
      <c r="AA16" s="177"/>
    </row>
    <row r="17" spans="2:27" x14ac:dyDescent="0.35">
      <c r="C17" s="145"/>
      <c r="D17" s="145"/>
      <c r="E17" s="145"/>
      <c r="F17" s="145"/>
      <c r="G17" s="144"/>
      <c r="J17" s="17"/>
      <c r="K17" s="17"/>
      <c r="O17" s="204"/>
      <c r="P17" s="204"/>
      <c r="Q17" s="267"/>
      <c r="R17" s="265"/>
      <c r="S17" s="265"/>
      <c r="T17" s="265"/>
      <c r="U17" s="265"/>
      <c r="V17" s="177"/>
      <c r="X17" s="177"/>
      <c r="Y17" s="177"/>
      <c r="Z17" s="177"/>
      <c r="AA17" s="177"/>
    </row>
    <row r="18" spans="2:27" ht="15" thickBot="1" x14ac:dyDescent="0.4">
      <c r="C18" s="145"/>
      <c r="D18" s="145"/>
      <c r="E18" s="145"/>
      <c r="F18" s="145"/>
      <c r="G18" s="144"/>
      <c r="J18" s="17"/>
      <c r="K18" s="17"/>
      <c r="O18" s="204"/>
      <c r="P18" s="204"/>
      <c r="Q18" s="267"/>
      <c r="R18" s="265"/>
      <c r="S18" s="265"/>
      <c r="T18" s="265"/>
      <c r="U18" s="265"/>
      <c r="V18" s="177"/>
      <c r="X18" s="177"/>
      <c r="Y18" s="177"/>
      <c r="Z18" s="177"/>
      <c r="AA18" s="177"/>
    </row>
    <row r="19" spans="2:27" ht="15" thickBot="1" x14ac:dyDescent="0.4">
      <c r="B19" s="105" t="s">
        <v>8</v>
      </c>
      <c r="C19" s="149" t="s">
        <v>4</v>
      </c>
      <c r="D19" s="149" t="s">
        <v>10</v>
      </c>
      <c r="E19" s="149" t="s">
        <v>61</v>
      </c>
      <c r="F19" s="149" t="s">
        <v>20</v>
      </c>
      <c r="G19" s="144"/>
      <c r="O19" s="205" t="s">
        <v>82</v>
      </c>
      <c r="P19" s="205" t="s">
        <v>83</v>
      </c>
      <c r="Q19" s="268" t="s">
        <v>87</v>
      </c>
      <c r="R19" s="265"/>
      <c r="S19" s="269" t="s">
        <v>84</v>
      </c>
      <c r="T19" s="269" t="s">
        <v>85</v>
      </c>
      <c r="U19" s="268" t="s">
        <v>120</v>
      </c>
      <c r="V19" s="178" t="s">
        <v>103</v>
      </c>
      <c r="X19" s="178" t="s">
        <v>134</v>
      </c>
      <c r="Y19" s="178" t="s">
        <v>135</v>
      </c>
      <c r="Z19" s="205" t="s">
        <v>136</v>
      </c>
      <c r="AA19" s="178" t="s">
        <v>137</v>
      </c>
    </row>
    <row r="20" spans="2:27" ht="15" thickBot="1" x14ac:dyDescent="0.4">
      <c r="B20" s="108" t="s">
        <v>26</v>
      </c>
      <c r="C20" s="147">
        <f>+'PCR Cycle 3'!J4+'PCR Cycle 2'!J4</f>
        <v>510607.07231999969</v>
      </c>
      <c r="D20" s="147">
        <f>'TDR Cycle 3'!K4+'TDR Cycle 2'!K4</f>
        <v>380594.33067999978</v>
      </c>
      <c r="E20" s="147">
        <f>+'EOR Cycle 1'!I4+'EOR Cycle 2'!I4</f>
        <v>-100278.20782000003</v>
      </c>
      <c r="F20" s="146">
        <f>+'OAR Cycle 2'!I4</f>
        <v>0</v>
      </c>
      <c r="G20" s="144"/>
      <c r="O20" s="203">
        <v>0</v>
      </c>
      <c r="P20" s="203">
        <v>0</v>
      </c>
      <c r="Q20" s="266">
        <v>0</v>
      </c>
      <c r="R20" s="265"/>
      <c r="S20" s="281">
        <f>ROUND(+'PCR Cycle 2'!J4/'tariff tables'!G4,5)-0.00001</f>
        <v>-1.0000000000000001E-5</v>
      </c>
      <c r="T20" s="210">
        <f>ROUND(+'TDR Cycle 2'!K4/'tariff tables'!G4,5)</f>
        <v>1.4999999999999999E-4</v>
      </c>
      <c r="U20" s="210">
        <f>ROUND('EOR Cycle 2'!I4/'tariff tables'!G4,5)</f>
        <v>-3.0000000000000001E-5</v>
      </c>
      <c r="V20" s="210">
        <f>ROUND('OAR Cycle 2'!I4/'tariff tables'!G4,5)</f>
        <v>0</v>
      </c>
      <c r="X20" s="176">
        <f>ROUND('PCR Cycle 3'!J4/'tariff tables'!G4,5)</f>
        <v>1.4999999999999999E-4</v>
      </c>
      <c r="Y20" s="210">
        <f>ROUND('TDR Cycle 3'!K4/'tariff tables'!G4,5)</f>
        <v>-4.0000000000000003E-5</v>
      </c>
      <c r="Z20" s="210">
        <f>ROUND(0/'tariff tables'!G4,5)</f>
        <v>0</v>
      </c>
      <c r="AA20" s="210">
        <f>ROUND(0/'tariff tables'!G4,5)</f>
        <v>0</v>
      </c>
    </row>
    <row r="21" spans="2:27" ht="15" thickBot="1" x14ac:dyDescent="0.4">
      <c r="B21" s="108" t="s">
        <v>121</v>
      </c>
      <c r="C21" s="147">
        <f>'PCR Cycle 3'!J5+'PCR Cycle 2'!J8</f>
        <v>-325946.23</v>
      </c>
      <c r="D21" s="147">
        <f>'TDR Cycle 3'!K5+'TDR Cycle 2'!K8</f>
        <v>-49949.173360000001</v>
      </c>
      <c r="E21" s="147">
        <f>+'EOR Cycle 1'!I8+'EOR Cycle 2'!I8</f>
        <v>-50628.710000000006</v>
      </c>
      <c r="F21" s="146">
        <f>+'OAR Cycle 2'!I8</f>
        <v>0</v>
      </c>
      <c r="G21" s="144"/>
      <c r="O21" s="203">
        <v>0</v>
      </c>
      <c r="P21" s="203">
        <v>0</v>
      </c>
      <c r="Q21" s="266">
        <v>0</v>
      </c>
      <c r="R21" s="265"/>
      <c r="S21" s="280">
        <f>ROUND(+'PCR Cycle 2'!J8/'tariff tables'!G5,5)+0.00001</f>
        <v>-4.3999999999999996E-4</v>
      </c>
      <c r="T21" s="266">
        <f>ROUND(+'TDR Cycle 2'!K8/'tariff tables'!G5,5)</f>
        <v>-2.0000000000000002E-5</v>
      </c>
      <c r="U21" s="210">
        <f>ROUND('EOR Cycle 2'!I8/'tariff tables'!G5,5)</f>
        <v>-5.0000000000000002E-5</v>
      </c>
      <c r="V21" s="210">
        <f>ROUND('OAR Cycle 2'!I8/'tariff tables'!G5,5)</f>
        <v>0</v>
      </c>
      <c r="X21" s="176">
        <f>ROUND('PCR Cycle 3'!J5/'tariff tables'!G5,5)</f>
        <v>1E-4</v>
      </c>
      <c r="Y21" s="210">
        <f>ROUND('TDR Cycle 3'!K5/'tariff tables'!G5,5)</f>
        <v>-3.0000000000000001E-5</v>
      </c>
      <c r="Z21" s="210">
        <f>ROUND(0/'tariff tables'!G5,5)</f>
        <v>0</v>
      </c>
      <c r="AA21" s="210">
        <f>ROUND(0/'tariff tables'!G5,5)</f>
        <v>0</v>
      </c>
    </row>
    <row r="22" spans="2:27" s="59" customFormat="1" ht="15" thickBot="1" x14ac:dyDescent="0.4">
      <c r="B22" s="108" t="s">
        <v>122</v>
      </c>
      <c r="C22" s="147">
        <f>'PCR Cycle 3'!J6+'PCR Cycle 2'!J9</f>
        <v>-417534.16</v>
      </c>
      <c r="D22" s="147">
        <f>'TDR Cycle 3'!K6+'TDR Cycle 2'!K9</f>
        <v>-51042.254939999999</v>
      </c>
      <c r="E22" s="147">
        <f>+'EOR Cycle 1'!I9+'EOR Cycle 2'!I9</f>
        <v>-58668.79</v>
      </c>
      <c r="F22" s="146">
        <f>+'OAR Cycle 2'!I9</f>
        <v>0</v>
      </c>
      <c r="G22" s="144"/>
      <c r="O22" s="203">
        <v>0</v>
      </c>
      <c r="P22" s="203">
        <v>0</v>
      </c>
      <c r="Q22" s="266">
        <v>0</v>
      </c>
      <c r="R22" s="265"/>
      <c r="S22" s="266">
        <f>ROUND(+'PCR Cycle 2'!J9/'tariff tables'!G6,5)</f>
        <v>-3.4000000000000002E-4</v>
      </c>
      <c r="T22" s="280">
        <f>ROUND(+'TDR Cycle 2'!K9/'tariff tables'!G6,5)+0.00001</f>
        <v>-1.0000000000000001E-5</v>
      </c>
      <c r="U22" s="210">
        <f>ROUND('EOR Cycle 2'!I9/'tariff tables'!G6,5)</f>
        <v>-4.0000000000000003E-5</v>
      </c>
      <c r="V22" s="210">
        <f>ROUND('OAR Cycle 2'!I9/'tariff tables'!G6,5)</f>
        <v>0</v>
      </c>
      <c r="X22" s="176">
        <f>ROUND('PCR Cycle 3'!J6/'tariff tables'!G6,5)</f>
        <v>5.0000000000000002E-5</v>
      </c>
      <c r="Y22" s="210">
        <f>ROUND('TDR Cycle 3'!K6/'tariff tables'!G6,5)</f>
        <v>-2.0000000000000002E-5</v>
      </c>
      <c r="Z22" s="210">
        <f>ROUND(0/'tariff tables'!G6,5)</f>
        <v>0</v>
      </c>
      <c r="AA22" s="210">
        <f>ROUND(0/'tariff tables'!G6,5)</f>
        <v>0</v>
      </c>
    </row>
    <row r="23" spans="2:27" s="59" customFormat="1" ht="15" thickBot="1" x14ac:dyDescent="0.4">
      <c r="B23" s="108" t="s">
        <v>123</v>
      </c>
      <c r="C23" s="147">
        <f>'PCR Cycle 3'!J7+'PCR Cycle 2'!J10</f>
        <v>-50881.110000000059</v>
      </c>
      <c r="D23" s="147">
        <f>'TDR Cycle 3'!K7+'TDR Cycle 2'!K10</f>
        <v>-16922.633450000001</v>
      </c>
      <c r="E23" s="147">
        <f>+'EOR Cycle 1'!I10+'EOR Cycle 2'!I10</f>
        <v>-19826.780000000002</v>
      </c>
      <c r="F23" s="146">
        <f>+'OAR Cycle 2'!I10</f>
        <v>0</v>
      </c>
      <c r="G23" s="144"/>
      <c r="O23" s="203">
        <v>0</v>
      </c>
      <c r="P23" s="203">
        <v>0</v>
      </c>
      <c r="Q23" s="266">
        <v>0</v>
      </c>
      <c r="R23" s="265"/>
      <c r="S23" s="280">
        <f>ROUND(+'PCR Cycle 2'!J10/'tariff tables'!G7,5)+0.00001</f>
        <v>-1.9000000000000001E-4</v>
      </c>
      <c r="T23" s="266">
        <f>ROUND(+'TDR Cycle 2'!K10/'tariff tables'!G7,5)</f>
        <v>-1.0000000000000001E-5</v>
      </c>
      <c r="U23" s="281">
        <f>ROUND('EOR Cycle 2'!I10/'tariff tables'!G7,5)-0.00001</f>
        <v>-3.0000000000000004E-5</v>
      </c>
      <c r="V23" s="210">
        <f>ROUND('OAR Cycle 2'!I10/'tariff tables'!G7,5)</f>
        <v>0</v>
      </c>
      <c r="X23" s="176">
        <f>ROUND('PCR Cycle 3'!J7/'tariff tables'!G7,5)</f>
        <v>1.3999999999999999E-4</v>
      </c>
      <c r="Y23" s="210">
        <f>ROUND('TDR Cycle 3'!K7/'tariff tables'!G7,5)</f>
        <v>-1.0000000000000001E-5</v>
      </c>
      <c r="Z23" s="210">
        <f>ROUND(0/'tariff tables'!G7,5)</f>
        <v>0</v>
      </c>
      <c r="AA23" s="210">
        <f>ROUND(0/'tariff tables'!G7,5)</f>
        <v>0</v>
      </c>
    </row>
    <row r="24" spans="2:27" x14ac:dyDescent="0.35">
      <c r="O24" s="59"/>
      <c r="P24" s="59"/>
      <c r="R24" s="59"/>
      <c r="S24" s="59"/>
      <c r="T24" s="59"/>
    </row>
    <row r="25" spans="2:27" x14ac:dyDescent="0.35">
      <c r="B25" s="111" t="s">
        <v>41</v>
      </c>
      <c r="N25" t="s">
        <v>173</v>
      </c>
      <c r="O25" s="175">
        <f t="shared" ref="O25:Q28" si="1">+J4-O12-O20-S12-S20-X12-X20</f>
        <v>0</v>
      </c>
      <c r="P25" s="175">
        <f t="shared" si="1"/>
        <v>1.1519648082658485E-19</v>
      </c>
      <c r="Q25" s="175">
        <f t="shared" si="1"/>
        <v>3.0493186101154812E-20</v>
      </c>
      <c r="R25" s="59"/>
      <c r="S25" s="59"/>
      <c r="T25" s="59"/>
    </row>
    <row r="26" spans="2:27" x14ac:dyDescent="0.35">
      <c r="B26" s="112" t="s">
        <v>42</v>
      </c>
      <c r="N26" t="s">
        <v>174</v>
      </c>
      <c r="O26" s="175">
        <f t="shared" si="1"/>
        <v>-3.9302328752599536E-19</v>
      </c>
      <c r="P26" s="175">
        <f t="shared" si="1"/>
        <v>8.4703294725430034E-20</v>
      </c>
      <c r="Q26" s="175">
        <f t="shared" si="1"/>
        <v>8.8091426514447235E-20</v>
      </c>
      <c r="R26" s="59"/>
      <c r="S26" s="59"/>
      <c r="T26" s="59"/>
    </row>
    <row r="27" spans="2:27" x14ac:dyDescent="0.35">
      <c r="B27" s="112" t="s">
        <v>45</v>
      </c>
      <c r="N27" t="s">
        <v>175</v>
      </c>
      <c r="O27" s="175">
        <f t="shared" si="1"/>
        <v>1.2874900798265365E-19</v>
      </c>
      <c r="P27" s="175">
        <f t="shared" si="1"/>
        <v>0</v>
      </c>
      <c r="Q27" s="175">
        <f t="shared" si="1"/>
        <v>6.7762635780344027E-21</v>
      </c>
      <c r="R27" s="59"/>
      <c r="S27" s="59"/>
      <c r="T27" s="59"/>
    </row>
    <row r="28" spans="2:27" x14ac:dyDescent="0.35">
      <c r="B28" s="112" t="s">
        <v>164</v>
      </c>
      <c r="N28" t="s">
        <v>176</v>
      </c>
      <c r="O28" s="175">
        <f t="shared" si="1"/>
        <v>3.7947076036992655E-19</v>
      </c>
      <c r="P28" s="175">
        <f t="shared" si="1"/>
        <v>0</v>
      </c>
      <c r="Q28" s="175">
        <f t="shared" si="1"/>
        <v>3.3881317890172014E-20</v>
      </c>
      <c r="R28" s="59"/>
      <c r="S28" s="59"/>
      <c r="T28" s="59"/>
    </row>
    <row r="29" spans="2:27" x14ac:dyDescent="0.35">
      <c r="B29" s="112" t="s">
        <v>43</v>
      </c>
      <c r="R29" s="59"/>
      <c r="S29" s="59"/>
      <c r="T29" s="59"/>
    </row>
    <row r="30" spans="2:27" x14ac:dyDescent="0.35">
      <c r="B30" s="112" t="s">
        <v>169</v>
      </c>
      <c r="O30" s="175"/>
      <c r="P30" s="175"/>
      <c r="Q30" s="175"/>
      <c r="R30" s="59"/>
      <c r="S30" s="59"/>
      <c r="T30" s="59"/>
    </row>
    <row r="31" spans="2:27" x14ac:dyDescent="0.35">
      <c r="B31" s="112" t="s">
        <v>163</v>
      </c>
      <c r="N31" s="169"/>
      <c r="O31" s="169"/>
      <c r="P31" s="169"/>
      <c r="Q31" s="284"/>
      <c r="R31" s="169"/>
      <c r="S31" s="59"/>
      <c r="T31" s="59"/>
    </row>
    <row r="32" spans="2:27" x14ac:dyDescent="0.35">
      <c r="B32" s="112" t="s">
        <v>50</v>
      </c>
      <c r="N32" s="169"/>
      <c r="O32" s="285"/>
      <c r="P32" s="169"/>
      <c r="Q32" s="284"/>
      <c r="R32" s="169"/>
      <c r="S32" s="59"/>
      <c r="T32" s="59"/>
    </row>
    <row r="33" spans="2:20" x14ac:dyDescent="0.35">
      <c r="B33" s="112" t="s">
        <v>168</v>
      </c>
      <c r="N33" s="169"/>
      <c r="O33" s="286"/>
      <c r="P33" s="287"/>
      <c r="Q33" s="284"/>
      <c r="R33" s="284"/>
      <c r="S33" s="59"/>
      <c r="T33" s="59"/>
    </row>
    <row r="34" spans="2:20" x14ac:dyDescent="0.35">
      <c r="B34" s="112" t="s">
        <v>165</v>
      </c>
      <c r="N34" s="169"/>
      <c r="O34" s="286"/>
      <c r="P34" s="287"/>
      <c r="Q34" s="284"/>
      <c r="R34" s="284"/>
      <c r="S34" s="59"/>
      <c r="T34" s="59"/>
    </row>
    <row r="35" spans="2:20" x14ac:dyDescent="0.35">
      <c r="B35" s="112" t="s">
        <v>166</v>
      </c>
      <c r="N35" s="169"/>
      <c r="O35" s="286"/>
      <c r="P35" s="287"/>
      <c r="Q35" s="284"/>
      <c r="R35" s="284"/>
      <c r="S35" s="59"/>
      <c r="T35" s="59"/>
    </row>
    <row r="36" spans="2:20" x14ac:dyDescent="0.35">
      <c r="B36" s="112" t="s">
        <v>170</v>
      </c>
      <c r="N36" s="169"/>
      <c r="O36" s="286"/>
      <c r="P36" s="287"/>
      <c r="Q36" s="284"/>
      <c r="R36" s="284"/>
      <c r="S36" s="59"/>
      <c r="T36" s="59"/>
    </row>
    <row r="37" spans="2:20" x14ac:dyDescent="0.35">
      <c r="B37" s="112" t="s">
        <v>44</v>
      </c>
      <c r="N37" s="169"/>
      <c r="O37" s="286"/>
      <c r="P37" s="287"/>
      <c r="Q37" s="284"/>
      <c r="R37" s="284"/>
      <c r="S37" s="59"/>
      <c r="T37" s="59"/>
    </row>
    <row r="38" spans="2:20" x14ac:dyDescent="0.35">
      <c r="B38" s="112" t="s">
        <v>167</v>
      </c>
      <c r="N38" s="169"/>
      <c r="O38" s="286"/>
      <c r="P38" s="287"/>
      <c r="Q38" s="284"/>
      <c r="R38" s="284"/>
      <c r="S38" s="59"/>
      <c r="T38" s="59"/>
    </row>
    <row r="39" spans="2:20" x14ac:dyDescent="0.35">
      <c r="B39" s="112" t="s">
        <v>171</v>
      </c>
      <c r="N39" s="169"/>
      <c r="O39" s="288"/>
      <c r="P39" s="287"/>
      <c r="Q39" s="284"/>
      <c r="R39" s="284"/>
      <c r="S39" s="59"/>
      <c r="T39" s="59"/>
    </row>
    <row r="40" spans="2:20" x14ac:dyDescent="0.35">
      <c r="B40" s="112" t="s">
        <v>172</v>
      </c>
      <c r="N40" s="169"/>
      <c r="O40" s="169"/>
      <c r="P40" s="289"/>
      <c r="Q40" s="284"/>
      <c r="R40" s="284"/>
      <c r="S40" s="59"/>
      <c r="T40" s="59"/>
    </row>
    <row r="41" spans="2:20" x14ac:dyDescent="0.35">
      <c r="N41" s="169"/>
      <c r="O41" s="285"/>
      <c r="P41" s="169"/>
      <c r="Q41" s="284"/>
      <c r="R41" s="284"/>
      <c r="S41" s="59"/>
      <c r="T41" s="59"/>
    </row>
    <row r="42" spans="2:20" x14ac:dyDescent="0.35">
      <c r="N42" s="169"/>
      <c r="O42" s="286"/>
      <c r="P42" s="287"/>
      <c r="Q42" s="284"/>
      <c r="R42" s="284"/>
      <c r="S42" s="59"/>
      <c r="T42" s="59"/>
    </row>
    <row r="43" spans="2:20" x14ac:dyDescent="0.35">
      <c r="N43" s="169"/>
      <c r="O43" s="286"/>
      <c r="P43" s="287"/>
      <c r="Q43" s="284"/>
      <c r="R43" s="284"/>
      <c r="S43" s="59"/>
      <c r="T43" s="59"/>
    </row>
    <row r="44" spans="2:20" x14ac:dyDescent="0.35">
      <c r="N44" s="169"/>
      <c r="O44" s="286"/>
      <c r="P44" s="287"/>
      <c r="Q44" s="284"/>
      <c r="R44" s="284"/>
      <c r="S44" s="59"/>
      <c r="T44" s="59"/>
    </row>
    <row r="45" spans="2:20" x14ac:dyDescent="0.35">
      <c r="N45" s="169"/>
      <c r="O45" s="286"/>
      <c r="P45" s="287"/>
      <c r="Q45" s="284"/>
      <c r="R45" s="284"/>
      <c r="S45" s="59"/>
      <c r="T45" s="59"/>
    </row>
    <row r="46" spans="2:20" x14ac:dyDescent="0.35">
      <c r="N46" s="169"/>
      <c r="O46" s="286"/>
      <c r="P46" s="287"/>
      <c r="Q46" s="284"/>
      <c r="R46" s="284"/>
      <c r="S46" s="59"/>
      <c r="T46" s="59"/>
    </row>
    <row r="47" spans="2:20" x14ac:dyDescent="0.35">
      <c r="N47" s="169"/>
      <c r="O47" s="286"/>
      <c r="P47" s="287"/>
      <c r="Q47" s="284"/>
      <c r="R47" s="284"/>
      <c r="S47" s="59"/>
      <c r="T47" s="59"/>
    </row>
    <row r="48" spans="2:20" x14ac:dyDescent="0.35">
      <c r="N48" s="169"/>
      <c r="O48" s="288"/>
      <c r="P48" s="287"/>
      <c r="Q48" s="284"/>
      <c r="R48" s="284"/>
    </row>
    <row r="49" spans="14:18" x14ac:dyDescent="0.35">
      <c r="N49" s="169"/>
      <c r="O49" s="169"/>
      <c r="P49" s="289"/>
      <c r="Q49" s="284"/>
      <c r="R49" s="284"/>
    </row>
    <row r="50" spans="14:18" x14ac:dyDescent="0.35">
      <c r="N50" s="169"/>
      <c r="O50" s="169"/>
      <c r="P50" s="169"/>
      <c r="Q50" s="284"/>
      <c r="R50" s="284"/>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66"/>
  <sheetViews>
    <sheetView zoomScaleNormal="100" workbookViewId="0">
      <pane xSplit="1" ySplit="2" topLeftCell="B3" activePane="bottomRight" state="frozen"/>
      <selection activeCell="J8" sqref="J8"/>
      <selection pane="topRight" activeCell="J8" sqref="J8"/>
      <selection pane="bottomLeft" activeCell="J8" sqref="J8"/>
      <selection pane="bottomRight" activeCell="B3" sqref="B3"/>
    </sheetView>
  </sheetViews>
  <sheetFormatPr defaultColWidth="9.1796875" defaultRowHeight="14.5" x14ac:dyDescent="0.35"/>
  <cols>
    <col min="1" max="1" width="61.7265625" style="59" customWidth="1"/>
    <col min="2" max="2" width="12.1796875" style="59" customWidth="1"/>
    <col min="3" max="4" width="12.453125" style="59" customWidth="1"/>
    <col min="5" max="5" width="15.453125" style="59" customWidth="1"/>
    <col min="6" max="6" width="15.81640625" style="59" customWidth="1"/>
    <col min="7" max="7" width="12.26953125" style="59" customWidth="1"/>
    <col min="8" max="9" width="13.26953125" style="59" customWidth="1"/>
    <col min="10" max="10" width="12.26953125" style="59" bestFit="1" customWidth="1"/>
    <col min="11" max="11" width="11.54296875" style="59" bestFit="1" customWidth="1"/>
    <col min="12" max="12" width="12.81640625" style="59" customWidth="1"/>
    <col min="13" max="13" width="10.7265625" style="59" bestFit="1" customWidth="1"/>
    <col min="14" max="14" width="15" style="59" bestFit="1" customWidth="1"/>
    <col min="15" max="15" width="16" style="59" bestFit="1"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35" x14ac:dyDescent="0.35">
      <c r="A1" s="3" t="str">
        <f>+'PPC Cycle 2'!A1</f>
        <v>Evergy Missouri West, Inc. - DSIM Rider Update Filed 06/01/2020</v>
      </c>
      <c r="B1" s="3"/>
      <c r="C1" s="3"/>
      <c r="D1" s="3"/>
    </row>
    <row r="2" spans="1:35" x14ac:dyDescent="0.35">
      <c r="E2" s="3" t="s">
        <v>160</v>
      </c>
    </row>
    <row r="3" spans="1:35" ht="29" x14ac:dyDescent="0.35">
      <c r="E3" s="61" t="s">
        <v>48</v>
      </c>
      <c r="F3" s="83" t="s">
        <v>75</v>
      </c>
      <c r="G3" s="83" t="s">
        <v>56</v>
      </c>
      <c r="H3" s="61" t="s">
        <v>3</v>
      </c>
      <c r="I3" s="83" t="s">
        <v>57</v>
      </c>
      <c r="J3" s="61" t="s">
        <v>11</v>
      </c>
      <c r="K3" s="61" t="s">
        <v>10</v>
      </c>
      <c r="S3" s="61"/>
    </row>
    <row r="4" spans="1:35" x14ac:dyDescent="0.35">
      <c r="A4" s="21" t="s">
        <v>26</v>
      </c>
      <c r="B4" s="21"/>
      <c r="C4" s="21"/>
      <c r="D4" s="21"/>
      <c r="E4" s="23">
        <f>SUM(C15:M15)</f>
        <v>818429.12361999985</v>
      </c>
      <c r="F4" s="156">
        <f>N21</f>
        <v>11586886.005523998</v>
      </c>
      <c r="G4" s="23">
        <f>SUM(C27:L27)</f>
        <v>668140.92999999993</v>
      </c>
      <c r="H4" s="23">
        <f>G4-E4</f>
        <v>-150288.19361999992</v>
      </c>
      <c r="I4" s="23">
        <f>+B41</f>
        <v>0</v>
      </c>
      <c r="J4" s="23">
        <f>SUM(C48:L48)</f>
        <v>868.1400000000001</v>
      </c>
      <c r="K4" s="35">
        <f>SUM(H4:J4)</f>
        <v>-149420.0536199999</v>
      </c>
      <c r="L4" s="60">
        <f>+K4-M41</f>
        <v>0</v>
      </c>
    </row>
    <row r="5" spans="1:35" x14ac:dyDescent="0.35">
      <c r="A5" s="21" t="s">
        <v>121</v>
      </c>
      <c r="B5" s="21"/>
      <c r="C5" s="21"/>
      <c r="D5" s="21"/>
      <c r="E5" s="23">
        <f>SUM(C16:M16)</f>
        <v>48641.473360000004</v>
      </c>
      <c r="F5" s="156">
        <f>N22</f>
        <v>399792.6631029803</v>
      </c>
      <c r="G5" s="23">
        <f>SUM(C28:L28)</f>
        <v>22074.09</v>
      </c>
      <c r="H5" s="23">
        <f t="shared" ref="H5:H6" si="0">G5-E5</f>
        <v>-26567.383360000003</v>
      </c>
      <c r="I5" s="23">
        <f>+B42</f>
        <v>0</v>
      </c>
      <c r="J5" s="23">
        <f>SUM(C49:L49)</f>
        <v>-85.88</v>
      </c>
      <c r="K5" s="35">
        <f t="shared" ref="K5:K6" si="1">SUM(H5:J5)</f>
        <v>-26653.263360000004</v>
      </c>
      <c r="L5" s="60">
        <f t="shared" ref="L5:L6" si="2">+K5-M42</f>
        <v>0</v>
      </c>
    </row>
    <row r="6" spans="1:35" x14ac:dyDescent="0.35">
      <c r="A6" s="21" t="s">
        <v>122</v>
      </c>
      <c r="B6" s="21"/>
      <c r="C6" s="21"/>
      <c r="D6" s="21"/>
      <c r="E6" s="23">
        <f>SUM(C17:M17)</f>
        <v>37517.464939999998</v>
      </c>
      <c r="F6" s="156">
        <f>N23</f>
        <v>426911.32674883935</v>
      </c>
      <c r="G6" s="23">
        <f>SUM(C29:L29)</f>
        <v>13528.93</v>
      </c>
      <c r="H6" s="23">
        <f t="shared" si="0"/>
        <v>-23988.534939999998</v>
      </c>
      <c r="I6" s="23">
        <f>+B43</f>
        <v>0</v>
      </c>
      <c r="J6" s="23">
        <f>SUM(C50:L50)</f>
        <v>-58.31</v>
      </c>
      <c r="K6" s="35">
        <f t="shared" si="1"/>
        <v>-24046.844939999999</v>
      </c>
      <c r="L6" s="60">
        <f t="shared" si="2"/>
        <v>0</v>
      </c>
    </row>
    <row r="7" spans="1:35" ht="15" thickBot="1" x14ac:dyDescent="0.4">
      <c r="A7" s="21" t="s">
        <v>123</v>
      </c>
      <c r="B7" s="21"/>
      <c r="C7" s="21"/>
      <c r="D7" s="21"/>
      <c r="E7" s="23">
        <f>SUM(C18:M18)</f>
        <v>10284.383450000001</v>
      </c>
      <c r="F7" s="156">
        <f>N24</f>
        <v>187553.67502516534</v>
      </c>
      <c r="G7" s="23">
        <f>SUM(C30:L30)</f>
        <v>2505.98</v>
      </c>
      <c r="H7" s="23">
        <f>G7-E7</f>
        <v>-7778.4034500000016</v>
      </c>
      <c r="I7" s="23">
        <f>+B44</f>
        <v>0</v>
      </c>
      <c r="J7" s="23">
        <f>SUM(C51:L51)</f>
        <v>-21.29</v>
      </c>
      <c r="K7" s="35">
        <f>SUM(H7:J7)</f>
        <v>-7799.6934500000016</v>
      </c>
      <c r="L7" s="60">
        <f>+K7-M44</f>
        <v>0</v>
      </c>
    </row>
    <row r="8" spans="1:35" ht="15.5" thickTop="1" thickBot="1" x14ac:dyDescent="0.4">
      <c r="E8" s="39">
        <f t="shared" ref="E8:K8" si="3">SUM(E4:E7)</f>
        <v>914872.44536999986</v>
      </c>
      <c r="F8" s="157">
        <f t="shared" si="3"/>
        <v>12601143.670400983</v>
      </c>
      <c r="G8" s="39">
        <f t="shared" si="3"/>
        <v>706249.92999999993</v>
      </c>
      <c r="H8" s="39">
        <f t="shared" si="3"/>
        <v>-208622.51536999995</v>
      </c>
      <c r="I8" s="39">
        <f t="shared" si="3"/>
        <v>0</v>
      </c>
      <c r="J8" s="39">
        <f t="shared" si="3"/>
        <v>702.66000000000008</v>
      </c>
      <c r="K8" s="39">
        <f t="shared" si="3"/>
        <v>-207919.85536999992</v>
      </c>
      <c r="T8" s="5"/>
    </row>
    <row r="9" spans="1:35" ht="15.5" thickTop="1" thickBot="1" x14ac:dyDescent="0.4">
      <c r="V9" s="4"/>
      <c r="W9" s="5"/>
    </row>
    <row r="10" spans="1:35" ht="116.5" thickBot="1" x14ac:dyDescent="0.4">
      <c r="B10" s="136" t="str">
        <f>+'PCR Cycle 2'!B13</f>
        <v>Cumulative Over/Under Carryover From 12/02/2020 Filing</v>
      </c>
      <c r="C10" s="171" t="str">
        <f>+'PCR Cycle 2'!C13</f>
        <v>Reverse November-19 - January 2020  Forecast From 12/02/2020 Filing</v>
      </c>
      <c r="D10" s="237"/>
      <c r="E10" s="300" t="s">
        <v>35</v>
      </c>
      <c r="F10" s="300"/>
      <c r="G10" s="301"/>
      <c r="H10" s="302" t="s">
        <v>35</v>
      </c>
      <c r="I10" s="303"/>
      <c r="J10" s="304"/>
      <c r="K10" s="296" t="s">
        <v>9</v>
      </c>
      <c r="L10" s="297"/>
      <c r="M10" s="298"/>
    </row>
    <row r="11" spans="1:35" x14ac:dyDescent="0.35">
      <c r="A11" s="59" t="s">
        <v>66</v>
      </c>
      <c r="C11" s="123"/>
      <c r="D11" s="238"/>
      <c r="E11" s="19">
        <f>+'PCR Cycle 2'!D14</f>
        <v>43799</v>
      </c>
      <c r="F11" s="19">
        <f t="shared" ref="F11:M11" si="4">EOMONTH(E11,1)</f>
        <v>43830</v>
      </c>
      <c r="G11" s="19">
        <f t="shared" si="4"/>
        <v>43861</v>
      </c>
      <c r="H11" s="14">
        <f t="shared" si="4"/>
        <v>43890</v>
      </c>
      <c r="I11" s="19">
        <f t="shared" si="4"/>
        <v>43921</v>
      </c>
      <c r="J11" s="15">
        <f t="shared" si="4"/>
        <v>43951</v>
      </c>
      <c r="K11" s="19">
        <f t="shared" si="4"/>
        <v>43982</v>
      </c>
      <c r="L11" s="19">
        <f t="shared" si="4"/>
        <v>44012</v>
      </c>
      <c r="M11" s="15">
        <f t="shared" si="4"/>
        <v>44043</v>
      </c>
      <c r="Z11" s="1"/>
      <c r="AA11" s="1"/>
      <c r="AB11" s="1"/>
      <c r="AC11" s="1"/>
      <c r="AD11" s="1"/>
      <c r="AE11" s="1"/>
      <c r="AF11" s="1"/>
      <c r="AG11" s="1"/>
      <c r="AH11" s="1"/>
      <c r="AI11" s="1"/>
    </row>
    <row r="12" spans="1:35" x14ac:dyDescent="0.35">
      <c r="A12" s="59" t="s">
        <v>6</v>
      </c>
      <c r="C12" s="218">
        <v>0</v>
      </c>
      <c r="D12" s="221">
        <f t="shared" ref="D12:L12" si="5">SUM(D27:D30)</f>
        <v>0</v>
      </c>
      <c r="E12" s="127">
        <f t="shared" si="5"/>
        <v>0</v>
      </c>
      <c r="F12" s="127">
        <f t="shared" si="5"/>
        <v>0</v>
      </c>
      <c r="G12" s="128">
        <f t="shared" si="5"/>
        <v>71486.240000000005</v>
      </c>
      <c r="H12" s="16">
        <f t="shared" si="5"/>
        <v>93236.58</v>
      </c>
      <c r="I12" s="68">
        <f t="shared" si="5"/>
        <v>94168.84</v>
      </c>
      <c r="J12" s="186">
        <f t="shared" si="5"/>
        <v>100669.61</v>
      </c>
      <c r="K12" s="179">
        <f t="shared" si="5"/>
        <v>126555.58000000002</v>
      </c>
      <c r="L12" s="93">
        <f t="shared" si="5"/>
        <v>220133.08</v>
      </c>
      <c r="M12" s="94"/>
    </row>
    <row r="13" spans="1:35" x14ac:dyDescent="0.35">
      <c r="C13" s="117"/>
      <c r="D13" s="222"/>
      <c r="E13" s="17"/>
      <c r="F13" s="17"/>
      <c r="G13" s="17"/>
      <c r="H13" s="10"/>
      <c r="I13" s="17"/>
      <c r="J13" s="11"/>
      <c r="K13" s="43"/>
      <c r="L13" s="43"/>
      <c r="M13" s="41"/>
    </row>
    <row r="14" spans="1:35" x14ac:dyDescent="0.35">
      <c r="A14" s="59" t="s">
        <v>65</v>
      </c>
      <c r="C14" s="117"/>
      <c r="D14" s="222"/>
      <c r="E14" s="18"/>
      <c r="F14" s="18"/>
      <c r="G14" s="18"/>
      <c r="H14" s="109"/>
      <c r="I14" s="18"/>
      <c r="J14" s="187"/>
      <c r="K14" s="43"/>
      <c r="L14" s="43"/>
      <c r="M14" s="41"/>
      <c r="N14" s="3" t="s">
        <v>72</v>
      </c>
      <c r="O14" s="51"/>
    </row>
    <row r="15" spans="1:35" x14ac:dyDescent="0.35">
      <c r="A15" s="59" t="s">
        <v>26</v>
      </c>
      <c r="C15" s="218">
        <v>0</v>
      </c>
      <c r="D15" s="221">
        <v>0</v>
      </c>
      <c r="E15" s="154">
        <v>0</v>
      </c>
      <c r="F15" s="154">
        <v>0</v>
      </c>
      <c r="G15" s="154">
        <v>0</v>
      </c>
      <c r="H15" s="16">
        <f>ROUND('[7]February 2020'!F82,2)</f>
        <v>1.37</v>
      </c>
      <c r="I15" s="139">
        <f>ROUND('[7]March 2020'!F82,2)</f>
        <v>167359.63</v>
      </c>
      <c r="J15" s="191">
        <f>ROUND('[7]April 2020'!F82,2)</f>
        <v>142708.25</v>
      </c>
      <c r="K15" s="141">
        <f>'PCR Cycle 2'!J26*'TDR Cycle 3'!$N15</f>
        <v>124372.98723</v>
      </c>
      <c r="L15" s="53">
        <f>'PCR Cycle 2'!K26*'TDR Cycle 3'!$N15</f>
        <v>160752.03363999998</v>
      </c>
      <c r="M15" s="74">
        <f>'PCR Cycle 2'!L26*'TDR Cycle 3'!$N15</f>
        <v>223234.85274999999</v>
      </c>
      <c r="N15" s="85">
        <v>6.0999999999999997E-4</v>
      </c>
      <c r="O15" s="4"/>
    </row>
    <row r="16" spans="1:35" x14ac:dyDescent="0.35">
      <c r="A16" s="59" t="s">
        <v>121</v>
      </c>
      <c r="C16" s="218"/>
      <c r="D16" s="221"/>
      <c r="E16" s="154">
        <v>0</v>
      </c>
      <c r="F16" s="154">
        <v>0</v>
      </c>
      <c r="G16" s="154">
        <v>0</v>
      </c>
      <c r="H16" s="16">
        <f>ROUND('[7]February 2020'!F83,2)</f>
        <v>0</v>
      </c>
      <c r="I16" s="139">
        <f>ROUND('[7]March 2020'!F83,2)</f>
        <v>10613.28</v>
      </c>
      <c r="J16" s="191">
        <f>ROUND('[7]April 2020'!F83,2)</f>
        <v>8595.07</v>
      </c>
      <c r="K16" s="141">
        <f>'PCR Cycle 2'!J27*'TDR Cycle 3'!$N16</f>
        <v>8979.5596800000003</v>
      </c>
      <c r="L16" s="53">
        <f>'PCR Cycle 2'!K27*'TDR Cycle 3'!$N16</f>
        <v>9700.8431999999993</v>
      </c>
      <c r="M16" s="74">
        <f>'PCR Cycle 2'!L27*'TDR Cycle 3'!$N16</f>
        <v>10752.72048</v>
      </c>
      <c r="N16" s="85">
        <v>1.2E-4</v>
      </c>
      <c r="O16" s="4"/>
    </row>
    <row r="17" spans="1:15" x14ac:dyDescent="0.35">
      <c r="A17" s="59" t="s">
        <v>122</v>
      </c>
      <c r="C17" s="218"/>
      <c r="D17" s="221"/>
      <c r="E17" s="154">
        <v>0</v>
      </c>
      <c r="F17" s="154">
        <v>0</v>
      </c>
      <c r="G17" s="154">
        <v>0</v>
      </c>
      <c r="H17" s="16">
        <f>ROUND('[7]February 2020'!F84,2)</f>
        <v>0</v>
      </c>
      <c r="I17" s="139">
        <f>ROUND('[7]March 2020'!F84,2)</f>
        <v>6125.94</v>
      </c>
      <c r="J17" s="191">
        <f>ROUND('[7]April 2020'!F84,2)</f>
        <v>5364.01</v>
      </c>
      <c r="K17" s="141">
        <f>'PCR Cycle 2'!J28*'TDR Cycle 3'!$N17</f>
        <v>7940.5647999999992</v>
      </c>
      <c r="L17" s="53">
        <f>'PCR Cycle 2'!K28*'TDR Cycle 3'!$N17</f>
        <v>8578.3910099999994</v>
      </c>
      <c r="M17" s="74">
        <f>'PCR Cycle 2'!L28*'TDR Cycle 3'!$N17</f>
        <v>9508.5591299999996</v>
      </c>
      <c r="N17" s="85">
        <v>6.9999999999999994E-5</v>
      </c>
      <c r="O17" s="4"/>
    </row>
    <row r="18" spans="1:15" x14ac:dyDescent="0.35">
      <c r="A18" s="59" t="s">
        <v>123</v>
      </c>
      <c r="C18" s="218">
        <v>0</v>
      </c>
      <c r="D18" s="221">
        <v>0</v>
      </c>
      <c r="E18" s="154">
        <v>0</v>
      </c>
      <c r="F18" s="154">
        <v>0</v>
      </c>
      <c r="G18" s="154">
        <v>0</v>
      </c>
      <c r="H18" s="16">
        <f>ROUND('[7]February 2020'!F85,2)</f>
        <v>0</v>
      </c>
      <c r="I18" s="139">
        <f>ROUND('[7]March 2020'!F85,2)</f>
        <v>1880.88</v>
      </c>
      <c r="J18" s="191">
        <f>ROUND('[7]April 2020'!F85,2)</f>
        <v>1905.2</v>
      </c>
      <c r="K18" s="141">
        <f>'PCR Cycle 2'!J29*'TDR Cycle 3'!$N18</f>
        <v>1982.5250100000001</v>
      </c>
      <c r="L18" s="53">
        <f>'PCR Cycle 2'!K29*'TDR Cycle 3'!$N18</f>
        <v>2141.7714300000002</v>
      </c>
      <c r="M18" s="74">
        <f>'PCR Cycle 2'!L29*'TDR Cycle 3'!$N18</f>
        <v>2374.0070100000003</v>
      </c>
      <c r="N18" s="85">
        <v>3.0000000000000001E-5</v>
      </c>
      <c r="O18" s="4"/>
    </row>
    <row r="19" spans="1:15" x14ac:dyDescent="0.35">
      <c r="C19" s="80"/>
      <c r="D19" s="223"/>
      <c r="E19" s="81"/>
      <c r="F19" s="81"/>
      <c r="G19" s="81"/>
      <c r="H19" s="80"/>
      <c r="I19" s="81"/>
      <c r="J19" s="189"/>
      <c r="K19" s="69"/>
      <c r="L19" s="69"/>
      <c r="M19" s="13"/>
      <c r="O19" s="4"/>
    </row>
    <row r="20" spans="1:15" x14ac:dyDescent="0.35">
      <c r="A20" s="51" t="s">
        <v>70</v>
      </c>
      <c r="B20" s="51"/>
      <c r="C20" s="80"/>
      <c r="D20" s="223"/>
      <c r="E20" s="69"/>
      <c r="F20" s="69"/>
      <c r="G20" s="69"/>
      <c r="H20" s="12"/>
      <c r="I20" s="69"/>
      <c r="J20" s="190"/>
      <c r="K20" s="69"/>
      <c r="L20" s="69"/>
      <c r="M20" s="13"/>
      <c r="N20" s="7"/>
    </row>
    <row r="21" spans="1:15" x14ac:dyDescent="0.35">
      <c r="A21" s="59" t="s">
        <v>26</v>
      </c>
      <c r="C21" s="219">
        <v>0</v>
      </c>
      <c r="D21" s="224"/>
      <c r="E21" s="129">
        <v>0</v>
      </c>
      <c r="F21" s="129">
        <v>0</v>
      </c>
      <c r="G21" s="143">
        <f>+'[13]Monthly TD Calc'!E460</f>
        <v>1558453</v>
      </c>
      <c r="H21" s="89">
        <f>+'[13]Monthly TD Calc'!F460</f>
        <v>1916576.8501900076</v>
      </c>
      <c r="I21" s="90">
        <f>+'[13]Monthly TD Calc'!G460</f>
        <v>1843260.9697984592</v>
      </c>
      <c r="J21" s="191">
        <f>+'[13]Monthly TD Calc'!H460</f>
        <v>1897929.5120868958</v>
      </c>
      <c r="K21" s="180">
        <f>+'[4]Monthly TD Calc'!I461</f>
        <v>2124453.3504581368</v>
      </c>
      <c r="L21" s="162">
        <f>+'[4]Monthly TD Calc'!J461</f>
        <v>2246212.322990499</v>
      </c>
      <c r="M21" s="95"/>
      <c r="N21" s="72">
        <f>SUM(C21:L21)</f>
        <v>11586886.005523998</v>
      </c>
    </row>
    <row r="22" spans="1:15" x14ac:dyDescent="0.35">
      <c r="A22" s="59" t="s">
        <v>121</v>
      </c>
      <c r="C22" s="219"/>
      <c r="D22" s="224"/>
      <c r="E22" s="129">
        <v>0</v>
      </c>
      <c r="F22" s="129">
        <v>0</v>
      </c>
      <c r="G22" s="143">
        <f>+'[13]Monthly TD Calc'!E461</f>
        <v>0</v>
      </c>
      <c r="H22" s="89">
        <f>+'[13]Monthly TD Calc'!F461</f>
        <v>0</v>
      </c>
      <c r="I22" s="90">
        <f>+'[13]Monthly TD Calc'!G461</f>
        <v>11853.249358719666</v>
      </c>
      <c r="J22" s="191">
        <f>+'[13]Monthly TD Calc'!H461</f>
        <v>70643.223133370979</v>
      </c>
      <c r="K22" s="180">
        <f>+'[4]Monthly TD Calc'!I462</f>
        <v>142393.96557777177</v>
      </c>
      <c r="L22" s="162">
        <f>+'[4]Monthly TD Calc'!J462</f>
        <v>174902.22503311787</v>
      </c>
      <c r="M22" s="95"/>
      <c r="N22" s="72">
        <f t="shared" ref="N22:N24" si="6">SUM(C22:L22)</f>
        <v>399792.6631029803</v>
      </c>
    </row>
    <row r="23" spans="1:15" x14ac:dyDescent="0.35">
      <c r="A23" s="59" t="s">
        <v>122</v>
      </c>
      <c r="C23" s="219"/>
      <c r="D23" s="224"/>
      <c r="E23" s="129">
        <v>0</v>
      </c>
      <c r="F23" s="129">
        <v>0</v>
      </c>
      <c r="G23" s="143">
        <f>+'[13]Monthly TD Calc'!E463</f>
        <v>0</v>
      </c>
      <c r="H23" s="89">
        <f>+'[13]Monthly TD Calc'!F463</f>
        <v>0</v>
      </c>
      <c r="I23" s="90">
        <f>+'[13]Monthly TD Calc'!G463</f>
        <v>9170.7370143831613</v>
      </c>
      <c r="J23" s="191">
        <f>+'[13]Monthly TD Calc'!H463</f>
        <v>67027.201468393367</v>
      </c>
      <c r="K23" s="180">
        <f>+'[4]Monthly TD Calc'!I464</f>
        <v>149450.35186320843</v>
      </c>
      <c r="L23" s="162">
        <f>+'[4]Monthly TD Calc'!J464</f>
        <v>201263.0364028544</v>
      </c>
      <c r="M23" s="95"/>
      <c r="N23" s="72">
        <f t="shared" si="6"/>
        <v>426911.32674883935</v>
      </c>
    </row>
    <row r="24" spans="1:15" x14ac:dyDescent="0.35">
      <c r="A24" s="59" t="s">
        <v>123</v>
      </c>
      <c r="C24" s="219">
        <v>0</v>
      </c>
      <c r="D24" s="224"/>
      <c r="E24" s="129">
        <v>0</v>
      </c>
      <c r="F24" s="129">
        <v>0</v>
      </c>
      <c r="G24" s="143">
        <f>+'[13]Monthly TD Calc'!E464</f>
        <v>0</v>
      </c>
      <c r="H24" s="89">
        <f>+'[13]Monthly TD Calc'!F464</f>
        <v>0</v>
      </c>
      <c r="I24" s="90">
        <f>+'[13]Monthly TD Calc'!G464</f>
        <v>0</v>
      </c>
      <c r="J24" s="191">
        <f>+'[13]Monthly TD Calc'!H464</f>
        <v>20036.235151015822</v>
      </c>
      <c r="K24" s="180">
        <f>+'[4]Monthly TD Calc'!I465</f>
        <v>62624.414149889926</v>
      </c>
      <c r="L24" s="162">
        <f>+'[4]Monthly TD Calc'!J465</f>
        <v>104893.0257242596</v>
      </c>
      <c r="M24" s="95"/>
      <c r="N24" s="72">
        <f t="shared" si="6"/>
        <v>187553.67502516534</v>
      </c>
    </row>
    <row r="25" spans="1:15" x14ac:dyDescent="0.35">
      <c r="C25" s="80"/>
      <c r="D25" s="223"/>
      <c r="E25" s="81"/>
      <c r="F25" s="81"/>
      <c r="G25" s="81"/>
      <c r="H25" s="80"/>
      <c r="I25" s="81"/>
      <c r="J25" s="189"/>
      <c r="K25" s="69"/>
      <c r="L25" s="69"/>
      <c r="M25" s="13"/>
    </row>
    <row r="26" spans="1:15" x14ac:dyDescent="0.35">
      <c r="A26" s="59" t="s">
        <v>73</v>
      </c>
      <c r="C26" s="48"/>
      <c r="D26" s="225"/>
      <c r="E26" s="49"/>
      <c r="F26" s="49"/>
      <c r="G26" s="49"/>
      <c r="H26" s="48"/>
      <c r="I26" s="49"/>
      <c r="J26" s="192"/>
      <c r="K26" s="65"/>
      <c r="L26" s="65"/>
      <c r="M26" s="50"/>
    </row>
    <row r="27" spans="1:15" x14ac:dyDescent="0.35">
      <c r="A27" s="59" t="s">
        <v>26</v>
      </c>
      <c r="C27" s="218">
        <v>0</v>
      </c>
      <c r="D27" s="221"/>
      <c r="E27" s="127">
        <v>0</v>
      </c>
      <c r="F27" s="127">
        <v>0</v>
      </c>
      <c r="G27" s="128">
        <f>ROUND('[13]Monthly TD Calc'!E562,2)</f>
        <v>71486.240000000005</v>
      </c>
      <c r="H27" s="16">
        <f>ROUND('[13]Monthly TD Calc'!F562,2)</f>
        <v>93236.58</v>
      </c>
      <c r="I27" s="68">
        <f>ROUND('[13]Monthly TD Calc'!G562,2)</f>
        <v>93446.16</v>
      </c>
      <c r="J27" s="278">
        <f>ROUND('[13]Monthly TD Calc'!H562,2)</f>
        <v>95495.89</v>
      </c>
      <c r="K27" s="181">
        <f>ROUND(+'[4]Monthly TD Calc'!I563,2)</f>
        <v>115115.13</v>
      </c>
      <c r="L27" s="161">
        <f>ROUND(+'[4]Monthly TD Calc'!J563,2)</f>
        <v>199360.93</v>
      </c>
      <c r="M27" s="94"/>
    </row>
    <row r="28" spans="1:15" x14ac:dyDescent="0.35">
      <c r="A28" s="59" t="s">
        <v>121</v>
      </c>
      <c r="C28" s="218"/>
      <c r="D28" s="221"/>
      <c r="E28" s="127">
        <v>0</v>
      </c>
      <c r="F28" s="127">
        <v>0</v>
      </c>
      <c r="G28" s="128">
        <f>ROUND('[13]Monthly TD Calc'!E563,2)</f>
        <v>0</v>
      </c>
      <c r="H28" s="16">
        <f>ROUND('[13]Monthly TD Calc'!F563,2)</f>
        <v>0</v>
      </c>
      <c r="I28" s="68">
        <f>ROUND('[13]Monthly TD Calc'!G563,2)</f>
        <v>466.62</v>
      </c>
      <c r="J28" s="278">
        <f>ROUND('[13]Monthly TD Calc'!H563,2)</f>
        <v>3084.89</v>
      </c>
      <c r="K28" s="181">
        <f>ROUND(+'[4]Monthly TD Calc'!I564,2)</f>
        <v>6306.27</v>
      </c>
      <c r="L28" s="161">
        <f>ROUND(+'[4]Monthly TD Calc'!J564,2)</f>
        <v>12216.31</v>
      </c>
      <c r="M28" s="94"/>
    </row>
    <row r="29" spans="1:15" x14ac:dyDescent="0.35">
      <c r="A29" s="59" t="s">
        <v>122</v>
      </c>
      <c r="C29" s="218"/>
      <c r="D29" s="221"/>
      <c r="E29" s="127">
        <v>0</v>
      </c>
      <c r="F29" s="127">
        <v>0</v>
      </c>
      <c r="G29" s="128">
        <f>ROUND('[13]Monthly TD Calc'!E565,2)</f>
        <v>0</v>
      </c>
      <c r="H29" s="16">
        <f>ROUND('[13]Monthly TD Calc'!F565,2)</f>
        <v>0</v>
      </c>
      <c r="I29" s="68">
        <f>ROUND('[13]Monthly TD Calc'!G565,2)</f>
        <v>256.06</v>
      </c>
      <c r="J29" s="278">
        <f>ROUND('[13]Monthly TD Calc'!H565,2)</f>
        <v>1863.45</v>
      </c>
      <c r="K29" s="181">
        <f>ROUND(+'[4]Monthly TD Calc'!I566,2)</f>
        <v>4391.8500000000004</v>
      </c>
      <c r="L29" s="161">
        <f>ROUND(+'[4]Monthly TD Calc'!J566,2)</f>
        <v>7017.57</v>
      </c>
      <c r="M29" s="94"/>
    </row>
    <row r="30" spans="1:15" x14ac:dyDescent="0.35">
      <c r="A30" s="59" t="s">
        <v>123</v>
      </c>
      <c r="C30" s="218">
        <v>0</v>
      </c>
      <c r="D30" s="221"/>
      <c r="E30" s="127">
        <v>0</v>
      </c>
      <c r="F30" s="127">
        <v>0</v>
      </c>
      <c r="G30" s="128">
        <f>ROUND('[13]Monthly TD Calc'!E566,2)</f>
        <v>0</v>
      </c>
      <c r="H30" s="16">
        <f>ROUND('[13]Monthly TD Calc'!F566,2)</f>
        <v>0</v>
      </c>
      <c r="I30" s="68">
        <f>ROUND('[13]Monthly TD Calc'!G566,2)</f>
        <v>0</v>
      </c>
      <c r="J30" s="278">
        <f>ROUND('[13]Monthly TD Calc'!H566,2)</f>
        <v>225.38</v>
      </c>
      <c r="K30" s="181">
        <f>ROUND(+'[4]Monthly TD Calc'!I567,2)</f>
        <v>742.33</v>
      </c>
      <c r="L30" s="161">
        <f>ROUND(+'[4]Monthly TD Calc'!J567,2)</f>
        <v>1538.27</v>
      </c>
      <c r="M30" s="94"/>
      <c r="O30" s="60"/>
    </row>
    <row r="31" spans="1:15" x14ac:dyDescent="0.35">
      <c r="C31" s="117"/>
      <c r="D31" s="222"/>
      <c r="E31" s="18"/>
      <c r="F31" s="18"/>
      <c r="G31" s="18"/>
      <c r="H31" s="109"/>
      <c r="I31" s="18"/>
      <c r="J31" s="187"/>
      <c r="K31" s="69"/>
      <c r="L31" s="69"/>
      <c r="M31" s="13"/>
    </row>
    <row r="32" spans="1:15" ht="15" thickBot="1" x14ac:dyDescent="0.4">
      <c r="A32" s="3" t="s">
        <v>17</v>
      </c>
      <c r="B32" s="3"/>
      <c r="C32" s="220">
        <v>0</v>
      </c>
      <c r="D32" s="226"/>
      <c r="E32" s="154"/>
      <c r="F32" s="154"/>
      <c r="G32" s="155">
        <v>87.13</v>
      </c>
      <c r="H32" s="38">
        <v>284.33</v>
      </c>
      <c r="I32" s="140">
        <v>216.72</v>
      </c>
      <c r="J32" s="193">
        <v>72.550000000000011</v>
      </c>
      <c r="K32" s="182">
        <v>11.899999999999991</v>
      </c>
      <c r="L32" s="163">
        <v>30.03</v>
      </c>
      <c r="M32" s="97"/>
    </row>
    <row r="33" spans="1:13" x14ac:dyDescent="0.35">
      <c r="C33" s="77"/>
      <c r="D33" s="229"/>
      <c r="E33" s="79"/>
      <c r="F33" s="79"/>
      <c r="G33" s="45"/>
      <c r="H33" s="77"/>
      <c r="I33" s="45"/>
      <c r="J33" s="194"/>
      <c r="K33" s="46"/>
      <c r="L33" s="46"/>
      <c r="M33" s="73"/>
    </row>
    <row r="34" spans="1:13" x14ac:dyDescent="0.35">
      <c r="A34" s="59" t="s">
        <v>54</v>
      </c>
      <c r="C34" s="78"/>
      <c r="D34" s="230"/>
      <c r="E34" s="47"/>
      <c r="F34" s="47"/>
      <c r="G34" s="47"/>
      <c r="H34" s="78"/>
      <c r="I34" s="47"/>
      <c r="J34" s="195"/>
      <c r="K34" s="46"/>
      <c r="L34" s="46"/>
      <c r="M34" s="73"/>
    </row>
    <row r="35" spans="1:13" x14ac:dyDescent="0.35">
      <c r="A35" s="59" t="s">
        <v>26</v>
      </c>
      <c r="C35" s="227">
        <f t="shared" ref="C35:M35" si="7">C27-C15</f>
        <v>0</v>
      </c>
      <c r="D35" s="231">
        <f t="shared" si="7"/>
        <v>0</v>
      </c>
      <c r="E35" s="53">
        <f t="shared" si="7"/>
        <v>0</v>
      </c>
      <c r="F35" s="53">
        <f t="shared" si="7"/>
        <v>0</v>
      </c>
      <c r="G35" s="126">
        <f t="shared" si="7"/>
        <v>71486.240000000005</v>
      </c>
      <c r="H35" s="52">
        <f t="shared" si="7"/>
        <v>93235.21</v>
      </c>
      <c r="I35" s="53">
        <f t="shared" si="7"/>
        <v>-73913.47</v>
      </c>
      <c r="J35" s="74">
        <f t="shared" si="7"/>
        <v>-47212.36</v>
      </c>
      <c r="K35" s="141">
        <f t="shared" si="7"/>
        <v>-9257.8572299999942</v>
      </c>
      <c r="L35" s="53">
        <f t="shared" si="7"/>
        <v>38608.896360000013</v>
      </c>
      <c r="M35" s="74">
        <f t="shared" si="7"/>
        <v>-223234.85274999999</v>
      </c>
    </row>
    <row r="36" spans="1:13" x14ac:dyDescent="0.35">
      <c r="A36" s="59" t="s">
        <v>121</v>
      </c>
      <c r="C36" s="227">
        <f t="shared" ref="C36:M36" si="8">C28-C16</f>
        <v>0</v>
      </c>
      <c r="D36" s="231">
        <f t="shared" si="8"/>
        <v>0</v>
      </c>
      <c r="E36" s="53">
        <f t="shared" si="8"/>
        <v>0</v>
      </c>
      <c r="F36" s="53">
        <f t="shared" si="8"/>
        <v>0</v>
      </c>
      <c r="G36" s="126">
        <f t="shared" si="8"/>
        <v>0</v>
      </c>
      <c r="H36" s="52">
        <f t="shared" si="8"/>
        <v>0</v>
      </c>
      <c r="I36" s="53">
        <f t="shared" si="8"/>
        <v>-10146.66</v>
      </c>
      <c r="J36" s="74">
        <f t="shared" si="8"/>
        <v>-5510.18</v>
      </c>
      <c r="K36" s="141">
        <f t="shared" si="8"/>
        <v>-2673.2896799999999</v>
      </c>
      <c r="L36" s="53">
        <f t="shared" si="8"/>
        <v>2515.4668000000001</v>
      </c>
      <c r="M36" s="74">
        <f t="shared" si="8"/>
        <v>-10752.72048</v>
      </c>
    </row>
    <row r="37" spans="1:13" x14ac:dyDescent="0.35">
      <c r="A37" s="59" t="s">
        <v>122</v>
      </c>
      <c r="C37" s="227">
        <f t="shared" ref="C37:M37" si="9">C29-C17</f>
        <v>0</v>
      </c>
      <c r="D37" s="231">
        <f t="shared" si="9"/>
        <v>0</v>
      </c>
      <c r="E37" s="53">
        <f t="shared" si="9"/>
        <v>0</v>
      </c>
      <c r="F37" s="53">
        <f t="shared" si="9"/>
        <v>0</v>
      </c>
      <c r="G37" s="126">
        <f t="shared" si="9"/>
        <v>0</v>
      </c>
      <c r="H37" s="52">
        <f t="shared" si="9"/>
        <v>0</v>
      </c>
      <c r="I37" s="53">
        <f t="shared" si="9"/>
        <v>-5869.8799999999992</v>
      </c>
      <c r="J37" s="74">
        <f t="shared" si="9"/>
        <v>-3500.5600000000004</v>
      </c>
      <c r="K37" s="141">
        <f t="shared" si="9"/>
        <v>-3548.7147999999988</v>
      </c>
      <c r="L37" s="53">
        <f t="shared" si="9"/>
        <v>-1560.8210099999997</v>
      </c>
      <c r="M37" s="74">
        <f t="shared" si="9"/>
        <v>-9508.5591299999996</v>
      </c>
    </row>
    <row r="38" spans="1:13" x14ac:dyDescent="0.35">
      <c r="A38" s="59" t="s">
        <v>123</v>
      </c>
      <c r="C38" s="227">
        <f t="shared" ref="C38:M38" si="10">C30-C18</f>
        <v>0</v>
      </c>
      <c r="D38" s="231">
        <f t="shared" si="10"/>
        <v>0</v>
      </c>
      <c r="E38" s="53">
        <f t="shared" si="10"/>
        <v>0</v>
      </c>
      <c r="F38" s="53">
        <f t="shared" si="10"/>
        <v>0</v>
      </c>
      <c r="G38" s="126">
        <f t="shared" si="10"/>
        <v>0</v>
      </c>
      <c r="H38" s="52">
        <f t="shared" si="10"/>
        <v>0</v>
      </c>
      <c r="I38" s="53">
        <f t="shared" si="10"/>
        <v>-1880.88</v>
      </c>
      <c r="J38" s="74">
        <f t="shared" si="10"/>
        <v>-1679.8200000000002</v>
      </c>
      <c r="K38" s="141">
        <f t="shared" si="10"/>
        <v>-1240.1950099999999</v>
      </c>
      <c r="L38" s="53">
        <f t="shared" si="10"/>
        <v>-603.50143000000025</v>
      </c>
      <c r="M38" s="74">
        <f t="shared" si="10"/>
        <v>-2374.0070100000003</v>
      </c>
    </row>
    <row r="39" spans="1:13" x14ac:dyDescent="0.35">
      <c r="C39" s="117"/>
      <c r="D39" s="222"/>
      <c r="E39" s="17"/>
      <c r="F39" s="17"/>
      <c r="G39" s="17"/>
      <c r="H39" s="10"/>
      <c r="I39" s="17"/>
      <c r="J39" s="11"/>
      <c r="K39" s="17"/>
      <c r="L39" s="17"/>
      <c r="M39" s="11"/>
    </row>
    <row r="40" spans="1:13" ht="15" thickBot="1" x14ac:dyDescent="0.4">
      <c r="A40" s="59" t="s">
        <v>55</v>
      </c>
      <c r="C40" s="117"/>
      <c r="D40" s="222"/>
      <c r="E40" s="17"/>
      <c r="F40" s="17"/>
      <c r="G40" s="17"/>
      <c r="H40" s="10"/>
      <c r="I40" s="17"/>
      <c r="J40" s="11"/>
      <c r="K40" s="17"/>
      <c r="L40" s="17"/>
      <c r="M40" s="11"/>
    </row>
    <row r="41" spans="1:13" x14ac:dyDescent="0.35">
      <c r="A41" s="59" t="s">
        <v>26</v>
      </c>
      <c r="B41" s="134">
        <v>0</v>
      </c>
      <c r="C41" s="227">
        <f t="shared" ref="C41:M41" si="11">+B41+C35+B48</f>
        <v>0</v>
      </c>
      <c r="D41" s="231">
        <f t="shared" si="11"/>
        <v>0</v>
      </c>
      <c r="E41" s="53">
        <f t="shared" si="11"/>
        <v>0</v>
      </c>
      <c r="F41" s="53">
        <f t="shared" si="11"/>
        <v>0</v>
      </c>
      <c r="G41" s="126">
        <f t="shared" si="11"/>
        <v>71486.240000000005</v>
      </c>
      <c r="H41" s="52">
        <f t="shared" si="11"/>
        <v>164808.58000000002</v>
      </c>
      <c r="I41" s="53">
        <f t="shared" si="11"/>
        <v>91179.440000000017</v>
      </c>
      <c r="J41" s="74">
        <f t="shared" si="11"/>
        <v>44200.070000000014</v>
      </c>
      <c r="K41" s="141">
        <f t="shared" si="11"/>
        <v>35052.64277000002</v>
      </c>
      <c r="L41" s="53">
        <f t="shared" si="11"/>
        <v>73726.169130000038</v>
      </c>
      <c r="M41" s="74">
        <f t="shared" si="11"/>
        <v>-149420.05361999996</v>
      </c>
    </row>
    <row r="42" spans="1:13" x14ac:dyDescent="0.35">
      <c r="A42" s="59" t="s">
        <v>121</v>
      </c>
      <c r="B42" s="270">
        <v>0</v>
      </c>
      <c r="C42" s="227">
        <f t="shared" ref="C42:M42" si="12">+B42+C36+B49</f>
        <v>0</v>
      </c>
      <c r="D42" s="231">
        <f t="shared" si="12"/>
        <v>0</v>
      </c>
      <c r="E42" s="53">
        <f t="shared" si="12"/>
        <v>0</v>
      </c>
      <c r="F42" s="53">
        <f t="shared" si="12"/>
        <v>0</v>
      </c>
      <c r="G42" s="126">
        <f t="shared" si="12"/>
        <v>0</v>
      </c>
      <c r="H42" s="52">
        <f t="shared" si="12"/>
        <v>0</v>
      </c>
      <c r="I42" s="53">
        <f t="shared" si="12"/>
        <v>-10146.66</v>
      </c>
      <c r="J42" s="74">
        <f t="shared" si="12"/>
        <v>-15666.06</v>
      </c>
      <c r="K42" s="141">
        <f t="shared" si="12"/>
        <v>-18360.379679999998</v>
      </c>
      <c r="L42" s="53">
        <f t="shared" si="12"/>
        <v>-15872.642879999998</v>
      </c>
      <c r="M42" s="74">
        <f t="shared" si="12"/>
        <v>-26653.263359999997</v>
      </c>
    </row>
    <row r="43" spans="1:13" x14ac:dyDescent="0.35">
      <c r="A43" s="59" t="s">
        <v>122</v>
      </c>
      <c r="B43" s="270">
        <v>0</v>
      </c>
      <c r="C43" s="227">
        <f t="shared" ref="C43:M43" si="13">+B43+C37+B50</f>
        <v>0</v>
      </c>
      <c r="D43" s="231">
        <f t="shared" si="13"/>
        <v>0</v>
      </c>
      <c r="E43" s="53">
        <f t="shared" si="13"/>
        <v>0</v>
      </c>
      <c r="F43" s="53">
        <f t="shared" si="13"/>
        <v>0</v>
      </c>
      <c r="G43" s="126">
        <f t="shared" si="13"/>
        <v>0</v>
      </c>
      <c r="H43" s="52">
        <f t="shared" si="13"/>
        <v>0</v>
      </c>
      <c r="I43" s="53">
        <f t="shared" si="13"/>
        <v>-5869.8799999999992</v>
      </c>
      <c r="J43" s="74">
        <f t="shared" si="13"/>
        <v>-9375.7799999999988</v>
      </c>
      <c r="K43" s="141">
        <f t="shared" si="13"/>
        <v>-12936.914799999997</v>
      </c>
      <c r="L43" s="53">
        <f t="shared" si="13"/>
        <v>-14515.915809999997</v>
      </c>
      <c r="M43" s="74">
        <f t="shared" si="13"/>
        <v>-24046.844939999995</v>
      </c>
    </row>
    <row r="44" spans="1:13" ht="15" thickBot="1" x14ac:dyDescent="0.4">
      <c r="A44" s="59" t="s">
        <v>123</v>
      </c>
      <c r="B44" s="135">
        <v>0</v>
      </c>
      <c r="C44" s="227">
        <f t="shared" ref="C44:M44" si="14">+B44+C38+B51</f>
        <v>0</v>
      </c>
      <c r="D44" s="231">
        <f t="shared" si="14"/>
        <v>0</v>
      </c>
      <c r="E44" s="53">
        <f t="shared" si="14"/>
        <v>0</v>
      </c>
      <c r="F44" s="53">
        <f t="shared" si="14"/>
        <v>0</v>
      </c>
      <c r="G44" s="126">
        <f t="shared" si="14"/>
        <v>0</v>
      </c>
      <c r="H44" s="52">
        <f t="shared" si="14"/>
        <v>0</v>
      </c>
      <c r="I44" s="53">
        <f t="shared" si="14"/>
        <v>-1880.88</v>
      </c>
      <c r="J44" s="74">
        <f t="shared" si="14"/>
        <v>-3562.4100000000003</v>
      </c>
      <c r="K44" s="141">
        <f t="shared" si="14"/>
        <v>-4807.0350100000005</v>
      </c>
      <c r="L44" s="53">
        <f t="shared" si="14"/>
        <v>-5417.3564400000005</v>
      </c>
      <c r="M44" s="74">
        <f t="shared" si="14"/>
        <v>-7799.6934500000007</v>
      </c>
    </row>
    <row r="45" spans="1:13" x14ac:dyDescent="0.35">
      <c r="C45" s="117"/>
      <c r="D45" s="222"/>
      <c r="E45" s="17"/>
      <c r="F45" s="17"/>
      <c r="G45" s="17"/>
      <c r="H45" s="10"/>
      <c r="I45" s="17"/>
      <c r="J45" s="11"/>
      <c r="K45" s="17"/>
      <c r="L45" s="17"/>
      <c r="M45" s="11"/>
    </row>
    <row r="46" spans="1:13" x14ac:dyDescent="0.35">
      <c r="A46" s="51" t="s">
        <v>139</v>
      </c>
      <c r="B46" s="51"/>
      <c r="C46" s="122"/>
      <c r="D46" s="232"/>
      <c r="E46" s="98">
        <f>+'PCR Cycle 2'!D47</f>
        <v>2.4882900000000002E-3</v>
      </c>
      <c r="F46" s="98">
        <f>+'PCR Cycle 2'!E47</f>
        <v>2.5028199999999998E-3</v>
      </c>
      <c r="G46" s="98">
        <f>+'PCR Cycle 2'!F47</f>
        <v>2.43764E-3</v>
      </c>
      <c r="H46" s="99">
        <f>+'PCR Cycle 2'!G47</f>
        <v>2.4056699999999999E-3</v>
      </c>
      <c r="I46" s="98">
        <f>+'PCR Cycle 2'!H47</f>
        <v>1.8183299999999999E-3</v>
      </c>
      <c r="J46" s="110">
        <f>+'PCR Cycle 2'!I47</f>
        <v>1.62864E-3</v>
      </c>
      <c r="K46" s="98">
        <f>+'PCR Cycle 2'!J47</f>
        <v>1.62864E-3</v>
      </c>
      <c r="L46" s="98">
        <f>+'PCR Cycle 2'!K47</f>
        <v>1.62864E-3</v>
      </c>
      <c r="M46" s="100"/>
    </row>
    <row r="47" spans="1:13" x14ac:dyDescent="0.35">
      <c r="A47" s="51" t="s">
        <v>39</v>
      </c>
      <c r="B47" s="51"/>
      <c r="C47" s="124"/>
      <c r="D47" s="233"/>
      <c r="E47" s="98"/>
      <c r="F47" s="98"/>
      <c r="G47" s="98"/>
      <c r="H47" s="99"/>
      <c r="I47" s="98"/>
      <c r="J47" s="100"/>
      <c r="K47" s="98"/>
      <c r="L47" s="98"/>
      <c r="M47" s="100"/>
    </row>
    <row r="48" spans="1:13" x14ac:dyDescent="0.35">
      <c r="A48" s="59" t="s">
        <v>26</v>
      </c>
      <c r="C48" s="227">
        <v>0</v>
      </c>
      <c r="D48" s="231">
        <f t="shared" ref="D48:M48" si="15">ROUND((C41+C48+D35/2)*D$46,2)</f>
        <v>0</v>
      </c>
      <c r="E48" s="53">
        <f t="shared" si="15"/>
        <v>0</v>
      </c>
      <c r="F48" s="53">
        <f t="shared" si="15"/>
        <v>0</v>
      </c>
      <c r="G48" s="126">
        <f t="shared" si="15"/>
        <v>87.13</v>
      </c>
      <c r="H48" s="52">
        <f t="shared" si="15"/>
        <v>284.33</v>
      </c>
      <c r="I48" s="141">
        <f t="shared" si="15"/>
        <v>232.99</v>
      </c>
      <c r="J48" s="74">
        <f t="shared" si="15"/>
        <v>110.43</v>
      </c>
      <c r="K48" s="183">
        <f t="shared" si="15"/>
        <v>64.63</v>
      </c>
      <c r="L48" s="126">
        <f t="shared" si="15"/>
        <v>88.63</v>
      </c>
      <c r="M48" s="74">
        <f t="shared" si="15"/>
        <v>0</v>
      </c>
    </row>
    <row r="49" spans="1:13" x14ac:dyDescent="0.35">
      <c r="A49" s="59" t="s">
        <v>121</v>
      </c>
      <c r="C49" s="227">
        <v>0</v>
      </c>
      <c r="D49" s="231">
        <f t="shared" ref="D49:L49" si="16">ROUND((C42+C49+D36/2)*D$46,2)</f>
        <v>0</v>
      </c>
      <c r="E49" s="53">
        <f t="shared" si="16"/>
        <v>0</v>
      </c>
      <c r="F49" s="53">
        <f t="shared" si="16"/>
        <v>0</v>
      </c>
      <c r="G49" s="126">
        <f t="shared" si="16"/>
        <v>0</v>
      </c>
      <c r="H49" s="52">
        <f t="shared" si="16"/>
        <v>0</v>
      </c>
      <c r="I49" s="141">
        <f t="shared" si="16"/>
        <v>-9.2200000000000006</v>
      </c>
      <c r="J49" s="74">
        <f t="shared" si="16"/>
        <v>-21.03</v>
      </c>
      <c r="K49" s="183">
        <f t="shared" si="16"/>
        <v>-27.73</v>
      </c>
      <c r="L49" s="126">
        <f t="shared" si="16"/>
        <v>-27.9</v>
      </c>
      <c r="M49" s="74"/>
    </row>
    <row r="50" spans="1:13" x14ac:dyDescent="0.35">
      <c r="A50" s="59" t="s">
        <v>122</v>
      </c>
      <c r="C50" s="227">
        <v>0</v>
      </c>
      <c r="D50" s="231">
        <f t="shared" ref="D50:L50" si="17">ROUND((C43+C50+D37/2)*D$46,2)</f>
        <v>0</v>
      </c>
      <c r="E50" s="53">
        <f t="shared" si="17"/>
        <v>0</v>
      </c>
      <c r="F50" s="53">
        <f t="shared" si="17"/>
        <v>0</v>
      </c>
      <c r="G50" s="126">
        <f t="shared" si="17"/>
        <v>0</v>
      </c>
      <c r="H50" s="52">
        <f t="shared" si="17"/>
        <v>0</v>
      </c>
      <c r="I50" s="141">
        <f t="shared" si="17"/>
        <v>-5.34</v>
      </c>
      <c r="J50" s="74">
        <f t="shared" si="17"/>
        <v>-12.42</v>
      </c>
      <c r="K50" s="183">
        <f t="shared" si="17"/>
        <v>-18.18</v>
      </c>
      <c r="L50" s="126">
        <f t="shared" si="17"/>
        <v>-22.37</v>
      </c>
      <c r="M50" s="74"/>
    </row>
    <row r="51" spans="1:13" ht="15" thickBot="1" x14ac:dyDescent="0.4">
      <c r="A51" s="59" t="s">
        <v>123</v>
      </c>
      <c r="C51" s="227">
        <v>0</v>
      </c>
      <c r="D51" s="231">
        <f t="shared" ref="D51:L51" si="18">ROUND((C44+C51+D38/2)*D$46,2)</f>
        <v>0</v>
      </c>
      <c r="E51" s="53">
        <f t="shared" si="18"/>
        <v>0</v>
      </c>
      <c r="F51" s="53">
        <f t="shared" si="18"/>
        <v>0</v>
      </c>
      <c r="G51" s="126">
        <f t="shared" si="18"/>
        <v>0</v>
      </c>
      <c r="H51" s="52">
        <f t="shared" si="18"/>
        <v>0</v>
      </c>
      <c r="I51" s="141">
        <f t="shared" si="18"/>
        <v>-1.71</v>
      </c>
      <c r="J51" s="74">
        <f t="shared" si="18"/>
        <v>-4.43</v>
      </c>
      <c r="K51" s="183">
        <f t="shared" si="18"/>
        <v>-6.82</v>
      </c>
      <c r="L51" s="126">
        <f t="shared" si="18"/>
        <v>-8.33</v>
      </c>
      <c r="M51" s="74">
        <f>ROUND((L44+L51+M38/2)*M$46,2)</f>
        <v>0</v>
      </c>
    </row>
    <row r="52" spans="1:13" ht="15.5" thickTop="1" thickBot="1" x14ac:dyDescent="0.4">
      <c r="A52" s="67" t="s">
        <v>24</v>
      </c>
      <c r="B52" s="67"/>
      <c r="C52" s="228">
        <v>0</v>
      </c>
      <c r="D52" s="234"/>
      <c r="E52" s="54">
        <f t="shared" ref="E52:M52" si="19">SUM(E48:E51)+SUM(E41:E44)-E55</f>
        <v>0</v>
      </c>
      <c r="F52" s="54">
        <f t="shared" si="19"/>
        <v>0</v>
      </c>
      <c r="G52" s="63">
        <f t="shared" si="19"/>
        <v>0</v>
      </c>
      <c r="H52" s="64">
        <f t="shared" si="19"/>
        <v>0</v>
      </c>
      <c r="I52" s="54">
        <f t="shared" si="19"/>
        <v>0</v>
      </c>
      <c r="J52" s="75">
        <f t="shared" si="19"/>
        <v>2.1827872842550278E-11</v>
      </c>
      <c r="K52" s="184">
        <f t="shared" si="19"/>
        <v>2.1373125491663814E-11</v>
      </c>
      <c r="L52" s="63">
        <f t="shared" si="19"/>
        <v>0</v>
      </c>
      <c r="M52" s="75">
        <f t="shared" si="19"/>
        <v>0</v>
      </c>
    </row>
    <row r="53" spans="1:13" ht="15.5" thickTop="1" thickBot="1" x14ac:dyDescent="0.4">
      <c r="A53" s="67" t="s">
        <v>25</v>
      </c>
      <c r="B53" s="67"/>
      <c r="C53" s="228">
        <v>0</v>
      </c>
      <c r="D53" s="234"/>
      <c r="E53" s="54">
        <f t="shared" ref="E53:M53" si="20">SUM(E48:E51)-E32</f>
        <v>0</v>
      </c>
      <c r="F53" s="54">
        <f t="shared" si="20"/>
        <v>0</v>
      </c>
      <c r="G53" s="63">
        <f t="shared" si="20"/>
        <v>0</v>
      </c>
      <c r="H53" s="64">
        <f t="shared" si="20"/>
        <v>0</v>
      </c>
      <c r="I53" s="54">
        <f t="shared" si="20"/>
        <v>0</v>
      </c>
      <c r="J53" s="75">
        <f t="shared" si="20"/>
        <v>0</v>
      </c>
      <c r="K53" s="185">
        <f t="shared" si="20"/>
        <v>0</v>
      </c>
      <c r="L53" s="54">
        <f t="shared" si="20"/>
        <v>0</v>
      </c>
      <c r="M53" s="54">
        <f t="shared" si="20"/>
        <v>0</v>
      </c>
    </row>
    <row r="54" spans="1:13" ht="15.5" thickTop="1" thickBot="1" x14ac:dyDescent="0.4">
      <c r="C54" s="117"/>
      <c r="D54" s="222"/>
      <c r="E54" s="17"/>
      <c r="F54" s="17"/>
      <c r="G54" s="17"/>
      <c r="H54" s="10"/>
      <c r="I54" s="17"/>
      <c r="J54" s="11"/>
      <c r="K54" s="17"/>
      <c r="L54" s="17"/>
      <c r="M54" s="11"/>
    </row>
    <row r="55" spans="1:13" ht="15" thickBot="1" x14ac:dyDescent="0.4">
      <c r="A55" s="59" t="s">
        <v>38</v>
      </c>
      <c r="B55" s="137">
        <f>+B41+B44</f>
        <v>0</v>
      </c>
      <c r="C55" s="227">
        <f t="shared" ref="C55:M55" si="21">(C12-SUM(C15:C18))+SUM(C48:C51)+B55</f>
        <v>0</v>
      </c>
      <c r="D55" s="231">
        <f t="shared" si="21"/>
        <v>0</v>
      </c>
      <c r="E55" s="53">
        <f t="shared" si="21"/>
        <v>0</v>
      </c>
      <c r="F55" s="53">
        <f t="shared" si="21"/>
        <v>0</v>
      </c>
      <c r="G55" s="126">
        <f t="shared" si="21"/>
        <v>71573.37000000001</v>
      </c>
      <c r="H55" s="52">
        <f t="shared" si="21"/>
        <v>165092.91000000003</v>
      </c>
      <c r="I55" s="53">
        <f t="shared" si="21"/>
        <v>73498.74000000002</v>
      </c>
      <c r="J55" s="74">
        <f t="shared" si="21"/>
        <v>15668.369999999995</v>
      </c>
      <c r="K55" s="183">
        <f t="shared" si="21"/>
        <v>-1039.7867199999964</v>
      </c>
      <c r="L55" s="126">
        <f t="shared" si="21"/>
        <v>37950.284000000021</v>
      </c>
      <c r="M55" s="74">
        <f t="shared" si="21"/>
        <v>-207919.85536999998</v>
      </c>
    </row>
    <row r="56" spans="1:13" x14ac:dyDescent="0.35">
      <c r="A56" s="59" t="s">
        <v>14</v>
      </c>
      <c r="C56" s="138"/>
      <c r="D56" s="235"/>
      <c r="E56" s="17"/>
      <c r="F56" s="17"/>
      <c r="G56" s="17"/>
      <c r="H56" s="10"/>
      <c r="I56" s="17"/>
      <c r="J56" s="11"/>
      <c r="K56" s="17"/>
      <c r="L56" s="17"/>
      <c r="M56" s="11"/>
    </row>
    <row r="57" spans="1:13" ht="15" thickBot="1" x14ac:dyDescent="0.4">
      <c r="A57" s="49"/>
      <c r="B57" s="49"/>
      <c r="C57" s="166"/>
      <c r="D57" s="236"/>
      <c r="E57" s="56"/>
      <c r="F57" s="56"/>
      <c r="G57" s="56"/>
      <c r="H57" s="55"/>
      <c r="I57" s="56"/>
      <c r="J57" s="57"/>
      <c r="K57" s="56"/>
      <c r="L57" s="56"/>
      <c r="M57" s="57"/>
    </row>
    <row r="59" spans="1:13" x14ac:dyDescent="0.35">
      <c r="A59" s="82" t="s">
        <v>13</v>
      </c>
      <c r="B59" s="82"/>
      <c r="C59" s="82"/>
      <c r="D59" s="82"/>
    </row>
    <row r="60" spans="1:13" ht="34.5" customHeight="1" x14ac:dyDescent="0.35">
      <c r="A60" s="299" t="s">
        <v>200</v>
      </c>
      <c r="B60" s="299"/>
      <c r="C60" s="299"/>
      <c r="D60" s="299"/>
      <c r="E60" s="299"/>
      <c r="F60" s="299"/>
      <c r="G60" s="299"/>
      <c r="H60" s="299"/>
      <c r="I60" s="299"/>
      <c r="J60" s="299"/>
      <c r="K60" s="279"/>
      <c r="L60" s="259"/>
      <c r="M60" s="259"/>
    </row>
    <row r="61" spans="1:13" ht="42.75" customHeight="1" x14ac:dyDescent="0.35">
      <c r="A61" s="299" t="s">
        <v>196</v>
      </c>
      <c r="B61" s="299"/>
      <c r="C61" s="299"/>
      <c r="D61" s="299"/>
      <c r="E61" s="299"/>
      <c r="F61" s="299"/>
      <c r="G61" s="299"/>
      <c r="H61" s="299"/>
      <c r="I61" s="299"/>
      <c r="J61" s="299"/>
      <c r="K61" s="299"/>
      <c r="L61" s="259"/>
      <c r="M61" s="259"/>
    </row>
    <row r="62" spans="1:13" ht="33.75" customHeight="1" x14ac:dyDescent="0.35">
      <c r="A62" s="299" t="s">
        <v>201</v>
      </c>
      <c r="B62" s="299"/>
      <c r="C62" s="299"/>
      <c r="D62" s="299"/>
      <c r="E62" s="299"/>
      <c r="F62" s="299"/>
      <c r="G62" s="299"/>
      <c r="H62" s="299"/>
      <c r="I62" s="299"/>
      <c r="J62" s="299"/>
      <c r="K62" s="279"/>
      <c r="L62" s="259"/>
      <c r="M62" s="259"/>
    </row>
    <row r="63" spans="1:13" x14ac:dyDescent="0.35">
      <c r="A63" s="76" t="s">
        <v>71</v>
      </c>
      <c r="B63" s="76"/>
      <c r="C63" s="76"/>
      <c r="D63" s="76"/>
      <c r="E63" s="51"/>
      <c r="F63" s="51"/>
      <c r="G63" s="51"/>
      <c r="H63" s="51"/>
      <c r="I63" s="51"/>
      <c r="J63" s="51"/>
      <c r="K63" s="51"/>
    </row>
    <row r="64" spans="1:13" x14ac:dyDescent="0.35">
      <c r="A64" s="76" t="s">
        <v>198</v>
      </c>
      <c r="B64" s="76"/>
      <c r="C64" s="76"/>
      <c r="D64" s="76"/>
      <c r="E64" s="51"/>
      <c r="F64" s="51"/>
      <c r="G64" s="51"/>
      <c r="H64" s="51"/>
      <c r="I64" s="51"/>
      <c r="J64" s="51"/>
      <c r="K64" s="51"/>
    </row>
    <row r="65" spans="1:11" x14ac:dyDescent="0.35">
      <c r="A65" s="76" t="s">
        <v>74</v>
      </c>
      <c r="B65" s="76"/>
      <c r="C65" s="76"/>
      <c r="D65" s="76"/>
      <c r="E65" s="51"/>
      <c r="F65" s="51"/>
      <c r="G65" s="51"/>
      <c r="H65" s="51"/>
      <c r="I65" s="51"/>
      <c r="J65" s="51"/>
      <c r="K65" s="51"/>
    </row>
    <row r="66" spans="1:11" x14ac:dyDescent="0.35">
      <c r="A66" s="3"/>
      <c r="B66" s="3"/>
      <c r="C66" s="3"/>
      <c r="D66" s="3"/>
    </row>
  </sheetData>
  <mergeCells count="6">
    <mergeCell ref="A62:J62"/>
    <mergeCell ref="E10:G10"/>
    <mergeCell ref="H10:J10"/>
    <mergeCell ref="K10:M10"/>
    <mergeCell ref="A60:J60"/>
    <mergeCell ref="A61:K61"/>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6"/>
  <sheetViews>
    <sheetView workbookViewId="0"/>
  </sheetViews>
  <sheetFormatPr defaultRowHeight="14.5" x14ac:dyDescent="0.35"/>
  <cols>
    <col min="1" max="1" width="22.453125" customWidth="1"/>
    <col min="2" max="2" width="15.26953125" bestFit="1" customWidth="1"/>
    <col min="3" max="3" width="14.26953125" style="59" customWidth="1"/>
    <col min="4" max="4" width="13.26953125" bestFit="1" customWidth="1"/>
    <col min="6" max="6" width="12.54296875" bestFit="1" customWidth="1"/>
    <col min="7" max="7" width="13.1796875" customWidth="1"/>
  </cols>
  <sheetData>
    <row r="1" spans="1:7" x14ac:dyDescent="0.35">
      <c r="A1" s="76" t="str">
        <f>+'PPC Cycle 2'!A1</f>
        <v>Evergy Missouri West, Inc. - DSIM Rider Update Filed 06/01/2020</v>
      </c>
      <c r="B1" s="59"/>
      <c r="D1" s="59"/>
      <c r="E1" s="59"/>
    </row>
    <row r="2" spans="1:7" x14ac:dyDescent="0.35">
      <c r="A2" s="9" t="str">
        <f>+'PPC Cycle 2'!A2</f>
        <v>Projections for Cycle 2 July 2020 - June 2021 DSIM</v>
      </c>
      <c r="B2" s="59"/>
      <c r="D2" s="59"/>
      <c r="E2" s="59"/>
    </row>
    <row r="3" spans="1:7" ht="45.75" customHeight="1" x14ac:dyDescent="0.35">
      <c r="A3" s="59"/>
      <c r="B3" s="290" t="s">
        <v>111</v>
      </c>
      <c r="C3" s="290"/>
      <c r="D3" s="290"/>
      <c r="E3" s="59"/>
    </row>
    <row r="4" spans="1:7" ht="87" x14ac:dyDescent="0.35">
      <c r="A4" s="59"/>
      <c r="B4" s="83" t="s">
        <v>113</v>
      </c>
      <c r="C4" s="83" t="s">
        <v>114</v>
      </c>
      <c r="D4" s="83" t="s">
        <v>117</v>
      </c>
      <c r="E4" s="83" t="s">
        <v>115</v>
      </c>
      <c r="F4" s="83" t="s">
        <v>112</v>
      </c>
      <c r="G4" s="83" t="s">
        <v>118</v>
      </c>
    </row>
    <row r="5" spans="1:7" s="59" customFormat="1" x14ac:dyDescent="0.35">
      <c r="A5" s="21"/>
      <c r="B5" s="83"/>
      <c r="C5" s="83"/>
      <c r="D5" s="173"/>
    </row>
    <row r="6" spans="1:7" s="59" customFormat="1" x14ac:dyDescent="0.35">
      <c r="A6" s="21"/>
      <c r="B6" s="83"/>
      <c r="C6" s="83"/>
      <c r="D6" s="172"/>
    </row>
    <row r="7" spans="1:7" s="59" customFormat="1" x14ac:dyDescent="0.35">
      <c r="A7" s="21"/>
      <c r="B7" s="83"/>
      <c r="C7" s="83"/>
      <c r="D7" s="172"/>
    </row>
    <row r="8" spans="1:7" s="59" customFormat="1" x14ac:dyDescent="0.35">
      <c r="A8" s="21" t="s">
        <v>26</v>
      </c>
      <c r="B8" s="35">
        <f>+'[14]EO Matrix @Meter'!$S$18</f>
        <v>5181939.6500000004</v>
      </c>
      <c r="C8" s="35">
        <f>+'[15]TD EO Ex Post Gross Adj'!$DD$363</f>
        <v>-722286.32999999984</v>
      </c>
      <c r="D8" s="35">
        <f>+'[15]TD EO NTG Adj'!$DD$370</f>
        <v>574414.55000000005</v>
      </c>
      <c r="E8" s="272">
        <f>+'[15]EO TD Carrying Costs'!$AN$48</f>
        <v>2229.4899999999998</v>
      </c>
      <c r="F8" s="257">
        <f>SUM(B8:E8)</f>
        <v>5036297.3600000003</v>
      </c>
      <c r="G8" s="273">
        <f>ROUND(F8/4*2,2)</f>
        <v>2518148.6800000002</v>
      </c>
    </row>
    <row r="9" spans="1:7" s="59" customFormat="1" x14ac:dyDescent="0.35">
      <c r="A9" s="21" t="s">
        <v>27</v>
      </c>
      <c r="B9" s="247">
        <f>+'[14]EO Matrix @Meter'!$T$18</f>
        <v>5060008.6900000004</v>
      </c>
      <c r="C9" s="247">
        <f>SUM('[15]TD EO Ex Post Gross Adj'!$DD$364:$DD$367)</f>
        <v>194085.34999999995</v>
      </c>
      <c r="D9" s="247">
        <f>SUM('[15]TD EO NTG Adj'!$DD$371:$DD$374)</f>
        <v>562321.1399999999</v>
      </c>
      <c r="E9" s="274">
        <f>SUM('[15]EO TD Carrying Costs'!$AN$49:$AN$52)</f>
        <v>20418.359999999997</v>
      </c>
      <c r="F9" s="257">
        <f>SUM(B9:E9)</f>
        <v>5836833.54</v>
      </c>
      <c r="G9" s="273">
        <f>ROUND(F9/4*2,2)</f>
        <v>2918416.77</v>
      </c>
    </row>
    <row r="10" spans="1:7" s="59" customFormat="1" x14ac:dyDescent="0.35">
      <c r="A10" s="21" t="s">
        <v>6</v>
      </c>
      <c r="B10" s="248">
        <f t="shared" ref="B10:G10" si="0">SUM(B8:B9)</f>
        <v>10241948.34</v>
      </c>
      <c r="C10" s="248">
        <f t="shared" si="0"/>
        <v>-528200.97999999986</v>
      </c>
      <c r="D10" s="248">
        <f t="shared" si="0"/>
        <v>1136735.69</v>
      </c>
      <c r="E10" s="275">
        <f t="shared" si="0"/>
        <v>22647.85</v>
      </c>
      <c r="F10" s="248">
        <f t="shared" si="0"/>
        <v>10873130.9</v>
      </c>
      <c r="G10" s="276">
        <f t="shared" si="0"/>
        <v>5436565.4500000002</v>
      </c>
    </row>
    <row r="11" spans="1:7" s="59" customFormat="1" x14ac:dyDescent="0.35">
      <c r="B11" s="245"/>
      <c r="C11" s="245"/>
      <c r="D11" s="246"/>
    </row>
    <row r="12" spans="1:7" x14ac:dyDescent="0.35">
      <c r="A12" s="21" t="s">
        <v>121</v>
      </c>
      <c r="B12" s="35">
        <f>+'[14]EO Matrix @Meter'!$W$18</f>
        <v>1943830.0499999998</v>
      </c>
      <c r="C12" s="35">
        <f>+'[15]TD EO Ex Post Gross Adj'!$DD$364</f>
        <v>62654.269999999968</v>
      </c>
      <c r="D12" s="35">
        <f>+'[15]TD EO NTG Adj'!DD371</f>
        <v>289519.26</v>
      </c>
      <c r="E12" s="247">
        <f>+'[15]EO TD Carrying Costs'!AN49</f>
        <v>9487.8299999999981</v>
      </c>
      <c r="F12" s="248">
        <f t="shared" ref="F12:F14" si="1">SUM(B12:E12)</f>
        <v>2305491.41</v>
      </c>
      <c r="G12" s="248">
        <f t="shared" ref="G12:G14" si="2">ROUND(F12/4*2,2)</f>
        <v>1152745.71</v>
      </c>
    </row>
    <row r="13" spans="1:7" x14ac:dyDescent="0.35">
      <c r="A13" s="21" t="s">
        <v>122</v>
      </c>
      <c r="B13" s="35">
        <f>+'[14]EO Matrix @Meter'!$Y$18</f>
        <v>2196160.9099999997</v>
      </c>
      <c r="C13" s="35">
        <f>+'[15]TD EO Ex Post Gross Adj'!$DD$366</f>
        <v>122990.04999999997</v>
      </c>
      <c r="D13" s="35">
        <f>+'[15]TD EO NTG Adj'!DD373</f>
        <v>233118.96</v>
      </c>
      <c r="E13" s="35">
        <f>+'[15]EO TD Carrying Costs'!AN51</f>
        <v>9593.3099999999977</v>
      </c>
      <c r="F13" s="248">
        <f t="shared" si="1"/>
        <v>2561863.2299999995</v>
      </c>
      <c r="G13" s="248">
        <f t="shared" si="2"/>
        <v>1280931.6200000001</v>
      </c>
    </row>
    <row r="14" spans="1:7" x14ac:dyDescent="0.35">
      <c r="A14" s="21" t="s">
        <v>123</v>
      </c>
      <c r="B14" s="247">
        <f>+'[14]EO Matrix @Meter'!$Z$18</f>
        <v>920017.71000000008</v>
      </c>
      <c r="C14" s="247">
        <f>+'[15]TD EO Ex Post Gross Adj'!$DD$367</f>
        <v>8441.0300000000061</v>
      </c>
      <c r="D14" s="247">
        <f>+'[15]TD EO NTG Adj'!DD374</f>
        <v>39682.919999999984</v>
      </c>
      <c r="E14" s="247">
        <f>+'[15]EO TD Carrying Costs'!AN52</f>
        <v>1337.2200000000003</v>
      </c>
      <c r="F14" s="248">
        <f t="shared" si="1"/>
        <v>969478.88000000012</v>
      </c>
      <c r="G14" s="248">
        <f t="shared" si="2"/>
        <v>484739.44</v>
      </c>
    </row>
    <row r="15" spans="1:7" x14ac:dyDescent="0.35">
      <c r="A15" s="42" t="s">
        <v>125</v>
      </c>
      <c r="B15" s="248">
        <f>SUM(B12:B14)</f>
        <v>5060008.67</v>
      </c>
      <c r="C15" s="248">
        <f>SUM(C12:C14)</f>
        <v>194085.34999999995</v>
      </c>
      <c r="D15" s="248">
        <f t="shared" ref="D15:G15" si="3">SUM(D12:D14)</f>
        <v>562321.1399999999</v>
      </c>
      <c r="E15" s="248">
        <f t="shared" si="3"/>
        <v>20418.359999999997</v>
      </c>
      <c r="F15" s="248">
        <f t="shared" si="3"/>
        <v>5836833.5199999996</v>
      </c>
      <c r="G15" s="248">
        <f t="shared" si="3"/>
        <v>2918416.77</v>
      </c>
    </row>
    <row r="16" spans="1:7" x14ac:dyDescent="0.35">
      <c r="A16" s="42"/>
      <c r="B16" s="277"/>
      <c r="C16" s="277"/>
      <c r="D16" s="277"/>
      <c r="E16" s="277"/>
      <c r="F16" s="277"/>
      <c r="G16" s="277"/>
    </row>
    <row r="17" spans="1:7" x14ac:dyDescent="0.35">
      <c r="A17" s="66" t="s">
        <v>13</v>
      </c>
      <c r="B17" s="59"/>
      <c r="D17" s="59"/>
      <c r="E17" s="59"/>
      <c r="F17" s="59"/>
      <c r="G17" s="59"/>
    </row>
    <row r="18" spans="1:7" x14ac:dyDescent="0.35">
      <c r="A18" s="3" t="s">
        <v>181</v>
      </c>
      <c r="B18" s="59"/>
      <c r="D18" s="59"/>
      <c r="E18" s="59"/>
      <c r="F18" s="59"/>
      <c r="G18" s="59"/>
    </row>
    <row r="19" spans="1:7" x14ac:dyDescent="0.35">
      <c r="A19" s="3" t="s">
        <v>182</v>
      </c>
      <c r="B19" s="59"/>
      <c r="D19" s="59"/>
      <c r="E19" s="59"/>
      <c r="F19" s="59"/>
      <c r="G19" s="59"/>
    </row>
    <row r="20" spans="1:7" x14ac:dyDescent="0.35">
      <c r="A20" s="3" t="s">
        <v>183</v>
      </c>
      <c r="B20" s="59"/>
      <c r="D20" s="59"/>
      <c r="E20" s="59"/>
      <c r="F20" s="59"/>
      <c r="G20" s="59"/>
    </row>
    <row r="21" spans="1:7" x14ac:dyDescent="0.35">
      <c r="A21" s="3" t="s">
        <v>184</v>
      </c>
      <c r="B21" s="59"/>
      <c r="D21" s="59"/>
      <c r="E21" s="59"/>
      <c r="F21" s="59"/>
      <c r="G21" s="59"/>
    </row>
    <row r="22" spans="1:7" s="59" customFormat="1" x14ac:dyDescent="0.35">
      <c r="A22" s="3" t="s">
        <v>119</v>
      </c>
    </row>
    <row r="23" spans="1:7" s="59" customFormat="1" x14ac:dyDescent="0.35">
      <c r="A23" s="3" t="s">
        <v>141</v>
      </c>
    </row>
    <row r="24" spans="1:7" x14ac:dyDescent="0.35">
      <c r="A24" s="3" t="s">
        <v>184</v>
      </c>
      <c r="B24" s="59"/>
      <c r="D24" s="59"/>
      <c r="E24" s="59"/>
    </row>
    <row r="25" spans="1:7" s="59" customFormat="1" x14ac:dyDescent="0.35">
      <c r="A25" s="3" t="s">
        <v>119</v>
      </c>
    </row>
    <row r="26" spans="1:7" x14ac:dyDescent="0.35">
      <c r="A26" s="3" t="s">
        <v>141</v>
      </c>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53"/>
  <sheetViews>
    <sheetView workbookViewId="0"/>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54296875" style="59" customWidth="1"/>
    <col min="11" max="11" width="12.81640625" style="59" customWidth="1"/>
    <col min="12" max="12" width="16" style="59" customWidth="1"/>
    <col min="13" max="13" width="15" style="59" bestFit="1" customWidth="1"/>
    <col min="14" max="14" width="16" style="59" bestFit="1" customWidth="1"/>
    <col min="15" max="15" width="15.26953125" style="59" bestFit="1" customWidth="1"/>
    <col min="16" max="16" width="17.453125" style="59" bestFit="1" customWidth="1"/>
    <col min="17" max="17" width="16.26953125" style="59" bestFit="1" customWidth="1"/>
    <col min="18" max="18" width="15.26953125" style="59" bestFit="1" customWidth="1"/>
    <col min="19" max="19" width="12.453125" style="59" customWidth="1"/>
    <col min="20" max="21" width="14.26953125" style="59" bestFit="1" customWidth="1"/>
    <col min="22" max="16384" width="9.1796875" style="59"/>
  </cols>
  <sheetData>
    <row r="1" spans="1:34" x14ac:dyDescent="0.35">
      <c r="A1" s="3" t="str">
        <f>+'PPC Cycle 2'!A1</f>
        <v>Evergy Missouri West, Inc. - DSIM Rider Update Filed 06/01/2020</v>
      </c>
      <c r="B1" s="3"/>
      <c r="C1" s="3"/>
    </row>
    <row r="2" spans="1:34" x14ac:dyDescent="0.35">
      <c r="D2" s="3" t="s">
        <v>90</v>
      </c>
    </row>
    <row r="3" spans="1:34" ht="29" x14ac:dyDescent="0.35">
      <c r="D3" s="61" t="s">
        <v>48</v>
      </c>
      <c r="E3" s="83" t="s">
        <v>60</v>
      </c>
      <c r="F3" s="61" t="s">
        <v>3</v>
      </c>
      <c r="G3" s="83" t="s">
        <v>57</v>
      </c>
      <c r="H3" s="61" t="s">
        <v>11</v>
      </c>
      <c r="I3" s="61" t="s">
        <v>61</v>
      </c>
      <c r="R3" s="61"/>
    </row>
    <row r="4" spans="1:34" x14ac:dyDescent="0.35">
      <c r="A4" s="21" t="s">
        <v>26</v>
      </c>
      <c r="B4" s="21"/>
      <c r="C4" s="21"/>
      <c r="D4" s="23">
        <f>SUM(C18:L18)</f>
        <v>5159.4446200000002</v>
      </c>
      <c r="E4" s="23">
        <f>SUM(C22:K22)</f>
        <v>0</v>
      </c>
      <c r="F4" s="23">
        <f>E4-D4</f>
        <v>-5159.4446200000002</v>
      </c>
      <c r="G4" s="23">
        <f>+B32</f>
        <v>5158.4346199999218</v>
      </c>
      <c r="H4" s="23">
        <f>SUM(C37:K37)</f>
        <v>0.99000000000000021</v>
      </c>
      <c r="I4" s="35">
        <f>SUM(F4:H4)</f>
        <v>-2.000000007843461E-2</v>
      </c>
      <c r="J4" s="60">
        <f>+I4-L32</f>
        <v>2.1849189124623081E-13</v>
      </c>
      <c r="M4" s="60"/>
    </row>
    <row r="5" spans="1:34" ht="15" thickBot="1" x14ac:dyDescent="0.4">
      <c r="A5" s="21" t="s">
        <v>27</v>
      </c>
      <c r="B5" s="21"/>
      <c r="C5" s="21"/>
      <c r="D5" s="23">
        <f>SUM(C19:L19)</f>
        <v>16372.06573</v>
      </c>
      <c r="E5" s="23">
        <f>SUM(C23:K23)</f>
        <v>0</v>
      </c>
      <c r="F5" s="23">
        <f>E5-D5</f>
        <v>-16372.06573</v>
      </c>
      <c r="G5" s="23">
        <f>+B33</f>
        <v>16386.455730000031</v>
      </c>
      <c r="H5" s="23">
        <f>SUM(C38:K38)</f>
        <v>-14.339999999999989</v>
      </c>
      <c r="I5" s="35">
        <f>SUM(F5:H5)</f>
        <v>5.0000000030351544E-2</v>
      </c>
      <c r="J5" s="60">
        <f>+I5-L33</f>
        <v>-5.3006488087703474E-12</v>
      </c>
      <c r="M5" s="60"/>
    </row>
    <row r="6" spans="1:34" ht="15.5" thickTop="1" thickBot="1" x14ac:dyDescent="0.4">
      <c r="D6" s="39">
        <f t="shared" ref="D6" si="0">SUM(D4:D5)</f>
        <v>21531.51035</v>
      </c>
      <c r="E6" s="39">
        <f>SUM(E4:E5)</f>
        <v>0</v>
      </c>
      <c r="F6" s="39">
        <f>SUM(F4:F5)</f>
        <v>-21531.51035</v>
      </c>
      <c r="G6" s="39">
        <f>SUM(G4:G5)</f>
        <v>21544.890349999951</v>
      </c>
      <c r="H6" s="39">
        <f>SUM(H4:H5)</f>
        <v>-13.349999999999989</v>
      </c>
      <c r="I6" s="39">
        <f>SUM(I4:I5)</f>
        <v>2.9999999951916934E-2</v>
      </c>
      <c r="S6" s="5"/>
    </row>
    <row r="7" spans="1:34" ht="44" thickTop="1" x14ac:dyDescent="0.35">
      <c r="I7" s="253"/>
      <c r="J7" s="252" t="s">
        <v>138</v>
      </c>
    </row>
    <row r="8" spans="1:34" ht="17.25" customHeight="1" x14ac:dyDescent="0.35">
      <c r="A8" s="21" t="s">
        <v>121</v>
      </c>
      <c r="I8" s="35">
        <f>ROUND($I$5*J8,2)</f>
        <v>0.02</v>
      </c>
      <c r="J8" s="250">
        <f>+'[3]Monthly TD Calc'!$CY$44</f>
        <v>0.39209287804949344</v>
      </c>
    </row>
    <row r="9" spans="1:34" ht="17.25" customHeight="1" x14ac:dyDescent="0.35">
      <c r="A9" s="21" t="s">
        <v>122</v>
      </c>
      <c r="I9" s="35">
        <f t="shared" ref="I9:I10" si="1">ROUND($I$5*J9,2)</f>
        <v>0.02</v>
      </c>
      <c r="J9" s="250">
        <f>+'[3]Monthly TD Calc'!$DA$44</f>
        <v>0.45435908608374953</v>
      </c>
    </row>
    <row r="10" spans="1:34" ht="17.25" customHeight="1" thickBot="1" x14ac:dyDescent="0.4">
      <c r="A10" s="21" t="s">
        <v>123</v>
      </c>
      <c r="I10" s="35">
        <f t="shared" si="1"/>
        <v>0.01</v>
      </c>
      <c r="J10" s="250">
        <f>+'[3]Monthly TD Calc'!$DB$44</f>
        <v>0.15354803586675725</v>
      </c>
    </row>
    <row r="11" spans="1:34" ht="17.25" customHeight="1" thickTop="1" thickBot="1" x14ac:dyDescent="0.4">
      <c r="A11" s="21" t="s">
        <v>125</v>
      </c>
      <c r="I11" s="39">
        <f>SUM(I8:I10)</f>
        <v>0.05</v>
      </c>
      <c r="J11" s="251">
        <f>SUM(J8:J10)</f>
        <v>1.0000000000000002</v>
      </c>
    </row>
    <row r="12" spans="1:34" ht="15.5" thickTop="1" thickBot="1" x14ac:dyDescent="0.4">
      <c r="U12" s="4"/>
      <c r="V12" s="5"/>
    </row>
    <row r="13" spans="1:34" ht="116.5" thickBot="1" x14ac:dyDescent="0.4">
      <c r="B13" s="136" t="str">
        <f>+'PCR Cycle 2'!B13</f>
        <v>Cumulative Over/Under Carryover From 12/02/2020 Filing</v>
      </c>
      <c r="C13" s="171" t="str">
        <f>+'PCR Cycle 2'!C13</f>
        <v>Reverse November-19 - January 2020  Forecast From 12/02/2020 Filing</v>
      </c>
      <c r="D13" s="300" t="s">
        <v>35</v>
      </c>
      <c r="E13" s="300"/>
      <c r="F13" s="301"/>
      <c r="G13" s="302" t="s">
        <v>35</v>
      </c>
      <c r="H13" s="303"/>
      <c r="I13" s="304"/>
      <c r="J13" s="296" t="s">
        <v>9</v>
      </c>
      <c r="K13" s="297"/>
      <c r="L13" s="298"/>
    </row>
    <row r="14" spans="1:34" x14ac:dyDescent="0.35">
      <c r="A14" s="59" t="s">
        <v>91</v>
      </c>
      <c r="C14" s="123"/>
      <c r="D14" s="19">
        <f>+'PCR Cycle 2'!D14</f>
        <v>43799</v>
      </c>
      <c r="E14" s="19">
        <f t="shared" ref="E14:L14" si="2">EOMONTH(D14,1)</f>
        <v>43830</v>
      </c>
      <c r="F14" s="19">
        <f t="shared" si="2"/>
        <v>43861</v>
      </c>
      <c r="G14" s="14">
        <f t="shared" si="2"/>
        <v>43890</v>
      </c>
      <c r="H14" s="19">
        <f t="shared" si="2"/>
        <v>43921</v>
      </c>
      <c r="I14" s="15">
        <f t="shared" si="2"/>
        <v>43951</v>
      </c>
      <c r="J14" s="19">
        <f t="shared" si="2"/>
        <v>43982</v>
      </c>
      <c r="K14" s="19">
        <f t="shared" si="2"/>
        <v>44012</v>
      </c>
      <c r="L14" s="15">
        <f t="shared" si="2"/>
        <v>44043</v>
      </c>
      <c r="Y14" s="1"/>
      <c r="Z14" s="1"/>
      <c r="AA14" s="1"/>
      <c r="AB14" s="1"/>
      <c r="AC14" s="1"/>
      <c r="AD14" s="1"/>
      <c r="AE14" s="1"/>
      <c r="AF14" s="1"/>
      <c r="AG14" s="1"/>
      <c r="AH14" s="1"/>
    </row>
    <row r="15" spans="1:34" x14ac:dyDescent="0.35">
      <c r="A15" s="59" t="s">
        <v>6</v>
      </c>
      <c r="C15" s="115">
        <v>0</v>
      </c>
      <c r="D15" s="127">
        <f t="shared" ref="D15:H15" si="3">SUM(D22:D23)</f>
        <v>0</v>
      </c>
      <c r="E15" s="127">
        <f t="shared" si="3"/>
        <v>0</v>
      </c>
      <c r="F15" s="128">
        <f t="shared" si="3"/>
        <v>0</v>
      </c>
      <c r="G15" s="16">
        <f t="shared" si="3"/>
        <v>0</v>
      </c>
      <c r="H15" s="68">
        <f t="shared" si="3"/>
        <v>0</v>
      </c>
      <c r="I15" s="186">
        <f>+I22+I23</f>
        <v>0</v>
      </c>
      <c r="J15" s="179">
        <f t="shared" ref="J15:K15" si="4">+J22+J23</f>
        <v>0</v>
      </c>
      <c r="K15" s="93">
        <f t="shared" si="4"/>
        <v>0</v>
      </c>
      <c r="L15" s="94"/>
    </row>
    <row r="16" spans="1:34" x14ac:dyDescent="0.35">
      <c r="C16" s="117"/>
      <c r="D16" s="17"/>
      <c r="E16" s="17"/>
      <c r="F16" s="17"/>
      <c r="G16" s="10"/>
      <c r="H16" s="17"/>
      <c r="I16" s="11"/>
      <c r="J16" s="43"/>
      <c r="K16" s="43"/>
      <c r="L16" s="41"/>
    </row>
    <row r="17" spans="1:14" x14ac:dyDescent="0.35">
      <c r="A17" s="59" t="s">
        <v>92</v>
      </c>
      <c r="C17" s="117"/>
      <c r="D17" s="18"/>
      <c r="E17" s="18"/>
      <c r="F17" s="18"/>
      <c r="G17" s="109"/>
      <c r="H17" s="18"/>
      <c r="I17" s="187"/>
      <c r="J17" s="43"/>
      <c r="K17" s="43"/>
      <c r="L17" s="41"/>
      <c r="M17" s="3" t="s">
        <v>52</v>
      </c>
      <c r="N17" s="51"/>
    </row>
    <row r="18" spans="1:14" x14ac:dyDescent="0.35">
      <c r="A18" s="59" t="s">
        <v>26</v>
      </c>
      <c r="C18" s="115">
        <v>4738.93462</v>
      </c>
      <c r="D18" s="154">
        <f>ROUND('[6]November 2019 Combined'!F23,2)</f>
        <v>-2345.42</v>
      </c>
      <c r="E18" s="154">
        <f>ROUND('[6]December 2019 Combined'!F23,2)</f>
        <v>-3093.14</v>
      </c>
      <c r="F18" s="154">
        <f>ROUND('[7]January 2020'!F28,2)</f>
        <v>-3252.84</v>
      </c>
      <c r="G18" s="207">
        <f>ROUND('[7]February 2020'!F31,2)</f>
        <v>-3311.46</v>
      </c>
      <c r="H18" s="139">
        <f>ROUND('[7]March 2020'!F31,2)</f>
        <v>12423.37</v>
      </c>
      <c r="I18" s="188">
        <f>ROUND('[7]March 2020'!G31,2)</f>
        <v>0</v>
      </c>
      <c r="J18" s="141">
        <f>'PCR Cycle 2'!J26*$M18</f>
        <v>0</v>
      </c>
      <c r="K18" s="53">
        <f>'PCR Cycle 2'!K26*$M18</f>
        <v>0</v>
      </c>
      <c r="L18" s="74">
        <f>'PCR Cycle 2'!L26*$M18</f>
        <v>0</v>
      </c>
      <c r="M18" s="85">
        <v>0</v>
      </c>
      <c r="N18" s="4"/>
    </row>
    <row r="19" spans="1:14" x14ac:dyDescent="0.35">
      <c r="A19" s="59" t="s">
        <v>27</v>
      </c>
      <c r="C19" s="115">
        <v>-1524.6842700000002</v>
      </c>
      <c r="D19" s="154">
        <f>ROUND('[6]November 2019 Combined'!F24,2)</f>
        <v>2857.96</v>
      </c>
      <c r="E19" s="154">
        <f>ROUND('[6]December 2019 Combined'!F24,2)</f>
        <v>2758.4</v>
      </c>
      <c r="F19" s="154">
        <f>ROUND('[7]January 2020'!F29,2)</f>
        <v>2940.49</v>
      </c>
      <c r="G19" s="207">
        <f>ROUND('[7]February 2020'!F32,2)</f>
        <v>2882.56</v>
      </c>
      <c r="H19" s="139">
        <f>ROUND('[7]March 2020'!F32,2)</f>
        <v>6457.34</v>
      </c>
      <c r="I19" s="188">
        <f>ROUND('[7]March 2020'!G32,2)</f>
        <v>0</v>
      </c>
      <c r="J19" s="141">
        <f>SUM('PCR Cycle 2'!J27:J29)*$M19</f>
        <v>0</v>
      </c>
      <c r="K19" s="53">
        <f>SUM('PCR Cycle 2'!K27:K29)*$M19</f>
        <v>0</v>
      </c>
      <c r="L19" s="74">
        <f>SUM('PCR Cycle 2'!L27:L29)*$M19</f>
        <v>0</v>
      </c>
      <c r="M19" s="85">
        <v>0</v>
      </c>
      <c r="N19" s="4"/>
    </row>
    <row r="20" spans="1:14" x14ac:dyDescent="0.35">
      <c r="C20" s="80"/>
      <c r="D20" s="81"/>
      <c r="E20" s="81"/>
      <c r="F20" s="81"/>
      <c r="G20" s="80"/>
      <c r="H20" s="81"/>
      <c r="I20" s="189"/>
      <c r="J20" s="69"/>
      <c r="K20" s="69"/>
      <c r="L20" s="13"/>
      <c r="N20" s="4"/>
    </row>
    <row r="21" spans="1:14" x14ac:dyDescent="0.35">
      <c r="A21" s="59" t="s">
        <v>94</v>
      </c>
      <c r="C21" s="48"/>
      <c r="D21" s="49"/>
      <c r="E21" s="49"/>
      <c r="F21" s="49"/>
      <c r="G21" s="48"/>
      <c r="H21" s="49"/>
      <c r="I21" s="192"/>
      <c r="J21" s="65"/>
      <c r="K21" s="65"/>
      <c r="L21" s="50"/>
    </row>
    <row r="22" spans="1:14" x14ac:dyDescent="0.35">
      <c r="A22" s="59" t="s">
        <v>26</v>
      </c>
      <c r="C22" s="115">
        <v>0</v>
      </c>
      <c r="D22" s="127">
        <v>0</v>
      </c>
      <c r="E22" s="127">
        <v>0</v>
      </c>
      <c r="F22" s="128">
        <v>0</v>
      </c>
      <c r="G22" s="16">
        <v>0</v>
      </c>
      <c r="H22" s="68">
        <v>0</v>
      </c>
      <c r="I22" s="186">
        <v>0</v>
      </c>
      <c r="J22" s="181">
        <v>0</v>
      </c>
      <c r="K22" s="161">
        <v>0</v>
      </c>
      <c r="L22" s="94"/>
    </row>
    <row r="23" spans="1:14" x14ac:dyDescent="0.35">
      <c r="A23" s="59" t="s">
        <v>27</v>
      </c>
      <c r="C23" s="115">
        <v>0</v>
      </c>
      <c r="D23" s="127">
        <v>0</v>
      </c>
      <c r="E23" s="127">
        <v>0</v>
      </c>
      <c r="F23" s="128">
        <v>0</v>
      </c>
      <c r="G23" s="16">
        <v>0</v>
      </c>
      <c r="H23" s="68">
        <v>0</v>
      </c>
      <c r="I23" s="186">
        <v>0</v>
      </c>
      <c r="J23" s="181">
        <v>0</v>
      </c>
      <c r="K23" s="161">
        <v>0</v>
      </c>
      <c r="L23" s="94"/>
      <c r="N23" s="60"/>
    </row>
    <row r="24" spans="1:14" x14ac:dyDescent="0.35">
      <c r="C24" s="117"/>
      <c r="D24" s="18"/>
      <c r="E24" s="18"/>
      <c r="F24" s="18"/>
      <c r="G24" s="109"/>
      <c r="H24" s="18"/>
      <c r="I24" s="187"/>
      <c r="J24" s="69"/>
      <c r="K24" s="69"/>
      <c r="L24" s="13"/>
    </row>
    <row r="25" spans="1:14" ht="15" thickBot="1" x14ac:dyDescent="0.4">
      <c r="A25" s="3" t="s">
        <v>16</v>
      </c>
      <c r="B25" s="3"/>
      <c r="C25" s="121">
        <v>-92.39</v>
      </c>
      <c r="D25" s="154">
        <v>44.72</v>
      </c>
      <c r="E25" s="154">
        <v>44.870000000000005</v>
      </c>
      <c r="F25" s="155">
        <v>0</v>
      </c>
      <c r="G25" s="38">
        <v>0</v>
      </c>
      <c r="H25" s="140">
        <v>0</v>
      </c>
      <c r="I25" s="193">
        <v>0</v>
      </c>
      <c r="J25" s="182"/>
      <c r="K25" s="163"/>
      <c r="L25" s="97"/>
    </row>
    <row r="26" spans="1:14" x14ac:dyDescent="0.35">
      <c r="C26" s="77"/>
      <c r="D26" s="167"/>
      <c r="E26" s="167"/>
      <c r="F26" s="168"/>
      <c r="G26" s="77"/>
      <c r="H26" s="45"/>
      <c r="I26" s="194"/>
      <c r="J26" s="46"/>
      <c r="K26" s="46"/>
      <c r="L26" s="73"/>
    </row>
    <row r="27" spans="1:14" x14ac:dyDescent="0.35">
      <c r="A27" s="59" t="s">
        <v>54</v>
      </c>
      <c r="C27" s="78"/>
      <c r="D27" s="168"/>
      <c r="E27" s="168"/>
      <c r="F27" s="168"/>
      <c r="G27" s="78"/>
      <c r="H27" s="47"/>
      <c r="I27" s="195"/>
      <c r="J27" s="46"/>
      <c r="K27" s="46"/>
      <c r="L27" s="73"/>
    </row>
    <row r="28" spans="1:14" x14ac:dyDescent="0.35">
      <c r="A28" s="59" t="s">
        <v>26</v>
      </c>
      <c r="C28" s="118">
        <f t="shared" ref="C28:L28" si="5">C22-C18</f>
        <v>-4738.93462</v>
      </c>
      <c r="D28" s="53">
        <f t="shared" si="5"/>
        <v>2345.42</v>
      </c>
      <c r="E28" s="53">
        <f t="shared" si="5"/>
        <v>3093.14</v>
      </c>
      <c r="F28" s="126">
        <f t="shared" si="5"/>
        <v>3252.84</v>
      </c>
      <c r="G28" s="52">
        <f t="shared" si="5"/>
        <v>3311.46</v>
      </c>
      <c r="H28" s="53">
        <f t="shared" si="5"/>
        <v>-12423.37</v>
      </c>
      <c r="I28" s="74">
        <f t="shared" si="5"/>
        <v>0</v>
      </c>
      <c r="J28" s="141">
        <f t="shared" si="5"/>
        <v>0</v>
      </c>
      <c r="K28" s="53">
        <f t="shared" si="5"/>
        <v>0</v>
      </c>
      <c r="L28" s="74">
        <f t="shared" si="5"/>
        <v>0</v>
      </c>
    </row>
    <row r="29" spans="1:14" x14ac:dyDescent="0.35">
      <c r="A29" s="59" t="s">
        <v>27</v>
      </c>
      <c r="C29" s="118">
        <f t="shared" ref="C29:L29" si="6">C23-C19</f>
        <v>1524.6842700000002</v>
      </c>
      <c r="D29" s="53">
        <f t="shared" si="6"/>
        <v>-2857.96</v>
      </c>
      <c r="E29" s="53">
        <f t="shared" si="6"/>
        <v>-2758.4</v>
      </c>
      <c r="F29" s="126">
        <f t="shared" si="6"/>
        <v>-2940.49</v>
      </c>
      <c r="G29" s="52">
        <f t="shared" si="6"/>
        <v>-2882.56</v>
      </c>
      <c r="H29" s="53">
        <f t="shared" si="6"/>
        <v>-6457.34</v>
      </c>
      <c r="I29" s="74">
        <f t="shared" si="6"/>
        <v>0</v>
      </c>
      <c r="J29" s="141">
        <f t="shared" si="6"/>
        <v>0</v>
      </c>
      <c r="K29" s="53">
        <f t="shared" si="6"/>
        <v>0</v>
      </c>
      <c r="L29" s="74">
        <f t="shared" si="6"/>
        <v>0</v>
      </c>
    </row>
    <row r="30" spans="1:14" x14ac:dyDescent="0.35">
      <c r="C30" s="117"/>
      <c r="D30" s="17"/>
      <c r="E30" s="17"/>
      <c r="F30" s="17"/>
      <c r="G30" s="10"/>
      <c r="H30" s="17"/>
      <c r="I30" s="11"/>
      <c r="J30" s="17"/>
      <c r="K30" s="17"/>
      <c r="L30" s="11"/>
    </row>
    <row r="31" spans="1:14" ht="15" thickBot="1" x14ac:dyDescent="0.4">
      <c r="A31" s="59" t="s">
        <v>55</v>
      </c>
      <c r="C31" s="117"/>
      <c r="D31" s="17"/>
      <c r="E31" s="17"/>
      <c r="F31" s="17"/>
      <c r="G31" s="10"/>
      <c r="H31" s="17"/>
      <c r="I31" s="11"/>
      <c r="J31" s="17"/>
      <c r="K31" s="17"/>
      <c r="L31" s="11"/>
    </row>
    <row r="32" spans="1:14" x14ac:dyDescent="0.35">
      <c r="A32" s="59" t="s">
        <v>26</v>
      </c>
      <c r="B32" s="134">
        <v>5158.4346199999218</v>
      </c>
      <c r="C32" s="118">
        <f>B32+C28+B37</f>
        <v>419.49999999992178</v>
      </c>
      <c r="D32" s="53">
        <f t="shared" ref="D32:L33" si="7">C32+D28+C37</f>
        <v>2751.2099999999218</v>
      </c>
      <c r="E32" s="53">
        <f t="shared" si="7"/>
        <v>5848.2799999999224</v>
      </c>
      <c r="F32" s="126">
        <f t="shared" si="7"/>
        <v>9111.889999999923</v>
      </c>
      <c r="G32" s="52">
        <f t="shared" si="7"/>
        <v>12423.349999999922</v>
      </c>
      <c r="H32" s="53">
        <f t="shared" si="7"/>
        <v>-2.0000000078653102E-2</v>
      </c>
      <c r="I32" s="74">
        <f t="shared" si="7"/>
        <v>-2.0000000078653102E-2</v>
      </c>
      <c r="J32" s="141">
        <f t="shared" si="7"/>
        <v>-2.0000000078653102E-2</v>
      </c>
      <c r="K32" s="53">
        <f t="shared" si="7"/>
        <v>-2.0000000078653102E-2</v>
      </c>
      <c r="L32" s="74">
        <f t="shared" si="7"/>
        <v>-2.0000000078653102E-2</v>
      </c>
    </row>
    <row r="33" spans="1:12" ht="15" thickBot="1" x14ac:dyDescent="0.4">
      <c r="A33" s="59" t="s">
        <v>27</v>
      </c>
      <c r="B33" s="135">
        <v>16386.455730000031</v>
      </c>
      <c r="C33" s="118">
        <f>B33+C29+B38</f>
        <v>17911.140000000032</v>
      </c>
      <c r="D33" s="53">
        <f t="shared" si="7"/>
        <v>14963.950000000033</v>
      </c>
      <c r="E33" s="53">
        <f t="shared" si="7"/>
        <v>12246.340000000035</v>
      </c>
      <c r="F33" s="126">
        <f t="shared" si="7"/>
        <v>9339.9500000000353</v>
      </c>
      <c r="G33" s="52">
        <f t="shared" si="7"/>
        <v>6457.3900000000358</v>
      </c>
      <c r="H33" s="53">
        <f t="shared" si="7"/>
        <v>5.0000000035652192E-2</v>
      </c>
      <c r="I33" s="74">
        <f t="shared" si="7"/>
        <v>5.0000000035652192E-2</v>
      </c>
      <c r="J33" s="141">
        <f t="shared" si="7"/>
        <v>5.0000000035652192E-2</v>
      </c>
      <c r="K33" s="53">
        <f t="shared" si="7"/>
        <v>5.0000000035652192E-2</v>
      </c>
      <c r="L33" s="74">
        <f t="shared" si="7"/>
        <v>5.0000000035652192E-2</v>
      </c>
    </row>
    <row r="34" spans="1:12" x14ac:dyDescent="0.35">
      <c r="C34" s="117"/>
      <c r="D34" s="17"/>
      <c r="E34" s="17"/>
      <c r="F34" s="17"/>
      <c r="G34" s="10"/>
      <c r="H34" s="17"/>
      <c r="I34" s="11"/>
      <c r="J34" s="17"/>
      <c r="K34" s="17"/>
      <c r="L34" s="11"/>
    </row>
    <row r="35" spans="1:12" x14ac:dyDescent="0.35">
      <c r="A35" s="51" t="s">
        <v>93</v>
      </c>
      <c r="B35" s="51"/>
      <c r="C35" s="122"/>
      <c r="D35" s="98">
        <f>+'PCR Cycle 2'!D47</f>
        <v>2.4882900000000002E-3</v>
      </c>
      <c r="E35" s="98">
        <f>+'PCR Cycle 2'!E47</f>
        <v>2.5028199999999998E-3</v>
      </c>
      <c r="F35" s="98">
        <f>+'PCR Cycle 2'!F47</f>
        <v>2.43764E-3</v>
      </c>
      <c r="G35" s="99">
        <f>+'PCR Cycle 2'!G47</f>
        <v>2.4056699999999999E-3</v>
      </c>
      <c r="H35" s="98">
        <f>+'PCR Cycle 2'!H47</f>
        <v>1.8183299999999999E-3</v>
      </c>
      <c r="I35" s="110">
        <f>+'PCR Cycle 2'!I47</f>
        <v>1.62864E-3</v>
      </c>
      <c r="J35" s="98">
        <f>+'PCR Cycle 2'!J47</f>
        <v>1.62864E-3</v>
      </c>
      <c r="K35" s="98">
        <f>+'PCR Cycle 2'!K47</f>
        <v>1.62864E-3</v>
      </c>
      <c r="L35" s="100"/>
    </row>
    <row r="36" spans="1:12" x14ac:dyDescent="0.35">
      <c r="A36" s="51" t="s">
        <v>39</v>
      </c>
      <c r="B36" s="51"/>
      <c r="C36" s="124"/>
      <c r="D36" s="98"/>
      <c r="E36" s="98"/>
      <c r="F36" s="98"/>
      <c r="G36" s="99"/>
      <c r="H36" s="98"/>
      <c r="I36" s="100"/>
      <c r="J36" s="98"/>
      <c r="K36" s="98"/>
      <c r="L36" s="100"/>
    </row>
    <row r="37" spans="1:12" x14ac:dyDescent="0.35">
      <c r="A37" s="59" t="s">
        <v>26</v>
      </c>
      <c r="C37" s="118">
        <v>-13.709999999999999</v>
      </c>
      <c r="D37" s="53">
        <f t="shared" ref="D37:E38" si="8">ROUND((C32+C37+D28/2)*D$35,2)</f>
        <v>3.93</v>
      </c>
      <c r="E37" s="53">
        <f t="shared" si="8"/>
        <v>10.77</v>
      </c>
      <c r="F37" s="126">
        <f>ROUND((E32+E37+F28/2)*F$35,2)*0</f>
        <v>0</v>
      </c>
      <c r="G37" s="52">
        <f t="shared" ref="G37:L37" si="9">ROUND((F32+F37+G28/2)*G$35,2)*0</f>
        <v>0</v>
      </c>
      <c r="H37" s="141">
        <f t="shared" si="9"/>
        <v>0</v>
      </c>
      <c r="I37" s="62">
        <f t="shared" si="9"/>
        <v>0</v>
      </c>
      <c r="J37" s="183">
        <f t="shared" si="9"/>
        <v>0</v>
      </c>
      <c r="K37" s="126">
        <f t="shared" si="9"/>
        <v>0</v>
      </c>
      <c r="L37" s="74">
        <f t="shared" si="9"/>
        <v>0</v>
      </c>
    </row>
    <row r="38" spans="1:12" ht="15" thickBot="1" x14ac:dyDescent="0.4">
      <c r="A38" s="59" t="s">
        <v>27</v>
      </c>
      <c r="C38" s="118">
        <v>-89.22999999999999</v>
      </c>
      <c r="D38" s="53">
        <f t="shared" si="8"/>
        <v>40.79</v>
      </c>
      <c r="E38" s="53">
        <f t="shared" si="8"/>
        <v>34.1</v>
      </c>
      <c r="F38" s="126">
        <f>ROUND((E33+E38+F29/2)*F$35,2)*0</f>
        <v>0</v>
      </c>
      <c r="G38" s="52">
        <f t="shared" ref="G38:L38" si="10">ROUND((F33+F38+G29/2)*G$35,2)*0</f>
        <v>0</v>
      </c>
      <c r="H38" s="141">
        <f t="shared" si="10"/>
        <v>0</v>
      </c>
      <c r="I38" s="62">
        <f t="shared" si="10"/>
        <v>0</v>
      </c>
      <c r="J38" s="183">
        <f t="shared" si="10"/>
        <v>0</v>
      </c>
      <c r="K38" s="126">
        <f t="shared" si="10"/>
        <v>0</v>
      </c>
      <c r="L38" s="74">
        <f t="shared" si="10"/>
        <v>0</v>
      </c>
    </row>
    <row r="39" spans="1:12" ht="15.5" thickTop="1" thickBot="1" x14ac:dyDescent="0.4">
      <c r="A39" s="67" t="s">
        <v>24</v>
      </c>
      <c r="B39" s="67"/>
      <c r="C39" s="125">
        <v>0</v>
      </c>
      <c r="D39" s="54">
        <f t="shared" ref="D39:I39" si="11">SUM(D37:D38)+SUM(D32:D33)-D42</f>
        <v>0</v>
      </c>
      <c r="E39" s="54">
        <f t="shared" si="11"/>
        <v>0</v>
      </c>
      <c r="F39" s="63">
        <f t="shared" ref="F39:H39" si="12">SUM(F37:F38)+SUM(F32:F33)-F42</f>
        <v>0</v>
      </c>
      <c r="G39" s="165">
        <f t="shared" si="12"/>
        <v>0</v>
      </c>
      <c r="H39" s="63">
        <f t="shared" si="12"/>
        <v>1.8189894035458565E-12</v>
      </c>
      <c r="I39" s="75">
        <f t="shared" si="11"/>
        <v>1.8189894035458565E-12</v>
      </c>
      <c r="J39" s="184">
        <f t="shared" ref="J39:L39" si="13">SUM(J37:J38)+SUM(J32:J33)-J42</f>
        <v>1.8189894035458565E-12</v>
      </c>
      <c r="K39" s="63">
        <f t="shared" si="13"/>
        <v>1.8189894035458565E-12</v>
      </c>
      <c r="L39" s="75">
        <f t="shared" si="13"/>
        <v>1.8189894035458565E-12</v>
      </c>
    </row>
    <row r="40" spans="1:12" ht="15.5" thickTop="1" thickBot="1" x14ac:dyDescent="0.4">
      <c r="A40" s="67" t="s">
        <v>25</v>
      </c>
      <c r="B40" s="67"/>
      <c r="C40" s="125">
        <v>0</v>
      </c>
      <c r="D40" s="54">
        <f t="shared" ref="D40:I40" si="14">SUM(D37:D38)-D25</f>
        <v>0</v>
      </c>
      <c r="E40" s="54">
        <f t="shared" si="14"/>
        <v>0</v>
      </c>
      <c r="F40" s="63">
        <f t="shared" ref="F40:H40" si="15">SUM(F37:F38)-F25</f>
        <v>0</v>
      </c>
      <c r="G40" s="165">
        <f t="shared" si="15"/>
        <v>0</v>
      </c>
      <c r="H40" s="63">
        <f t="shared" si="15"/>
        <v>0</v>
      </c>
      <c r="I40" s="75">
        <f t="shared" si="14"/>
        <v>0</v>
      </c>
      <c r="J40" s="185">
        <f t="shared" ref="J40:L40" si="16">SUM(J37:J38)-J25</f>
        <v>0</v>
      </c>
      <c r="K40" s="54">
        <f t="shared" si="16"/>
        <v>0</v>
      </c>
      <c r="L40" s="54">
        <f t="shared" si="16"/>
        <v>0</v>
      </c>
    </row>
    <row r="41" spans="1:12" ht="15.5" thickTop="1" thickBot="1" x14ac:dyDescent="0.4">
      <c r="C41" s="117"/>
      <c r="D41" s="17"/>
      <c r="E41" s="17"/>
      <c r="F41" s="17"/>
      <c r="G41" s="10"/>
      <c r="H41" s="17"/>
      <c r="I41" s="11"/>
      <c r="J41" s="17"/>
      <c r="K41" s="17"/>
      <c r="L41" s="11"/>
    </row>
    <row r="42" spans="1:12" ht="15" thickBot="1" x14ac:dyDescent="0.4">
      <c r="A42" s="59" t="s">
        <v>38</v>
      </c>
      <c r="B42" s="137">
        <f>+B32+B33</f>
        <v>21544.890349999951</v>
      </c>
      <c r="C42" s="118">
        <f t="shared" ref="C42:L42" si="17">(C15-SUM(C18:C19))+SUM(C37:C38)+B42</f>
        <v>18227.69999999995</v>
      </c>
      <c r="D42" s="53">
        <f t="shared" si="17"/>
        <v>17759.87999999995</v>
      </c>
      <c r="E42" s="53">
        <f t="shared" si="17"/>
        <v>18139.489999999951</v>
      </c>
      <c r="F42" s="126">
        <f t="shared" si="17"/>
        <v>18451.839999999953</v>
      </c>
      <c r="G42" s="52">
        <f t="shared" si="17"/>
        <v>18880.739999999954</v>
      </c>
      <c r="H42" s="53">
        <f t="shared" si="17"/>
        <v>2.9999999955180101E-2</v>
      </c>
      <c r="I42" s="74">
        <f t="shared" si="17"/>
        <v>2.9999999955180101E-2</v>
      </c>
      <c r="J42" s="183">
        <f t="shared" si="17"/>
        <v>2.9999999955180101E-2</v>
      </c>
      <c r="K42" s="126">
        <f t="shared" si="17"/>
        <v>2.9999999955180101E-2</v>
      </c>
      <c r="L42" s="74">
        <f t="shared" si="17"/>
        <v>2.9999999955180101E-2</v>
      </c>
    </row>
    <row r="43" spans="1:12" x14ac:dyDescent="0.35">
      <c r="A43" s="59" t="s">
        <v>14</v>
      </c>
      <c r="C43" s="138"/>
      <c r="D43" s="17"/>
      <c r="E43" s="17"/>
      <c r="F43" s="17"/>
      <c r="G43" s="10"/>
      <c r="H43" s="17"/>
      <c r="I43" s="11"/>
      <c r="J43" s="17"/>
      <c r="K43" s="17"/>
      <c r="L43" s="11"/>
    </row>
    <row r="44" spans="1:12" ht="15" thickBot="1" x14ac:dyDescent="0.4">
      <c r="A44" s="49"/>
      <c r="B44" s="49"/>
      <c r="C44" s="166"/>
      <c r="D44" s="56"/>
      <c r="E44" s="56"/>
      <c r="F44" s="56"/>
      <c r="G44" s="55"/>
      <c r="H44" s="56"/>
      <c r="I44" s="57"/>
      <c r="J44" s="56"/>
      <c r="K44" s="56"/>
      <c r="L44" s="57"/>
    </row>
    <row r="46" spans="1:12" x14ac:dyDescent="0.35">
      <c r="A46" s="82" t="s">
        <v>13</v>
      </c>
      <c r="B46" s="82"/>
      <c r="C46" s="82"/>
    </row>
    <row r="47" spans="1:12" ht="31.5" customHeight="1" x14ac:dyDescent="0.35">
      <c r="A47" s="299" t="s">
        <v>104</v>
      </c>
      <c r="B47" s="299"/>
      <c r="C47" s="299"/>
      <c r="D47" s="299"/>
      <c r="E47" s="299"/>
      <c r="F47" s="299"/>
      <c r="G47" s="299"/>
      <c r="H47" s="299"/>
      <c r="I47" s="299"/>
      <c r="J47" s="202"/>
      <c r="K47" s="202"/>
      <c r="L47" s="202"/>
    </row>
    <row r="48" spans="1:12" ht="45" customHeight="1" x14ac:dyDescent="0.35">
      <c r="A48" s="299" t="s">
        <v>178</v>
      </c>
      <c r="B48" s="299"/>
      <c r="C48" s="299"/>
      <c r="D48" s="299"/>
      <c r="E48" s="299"/>
      <c r="F48" s="299"/>
      <c r="G48" s="299"/>
      <c r="H48" s="299"/>
      <c r="I48" s="299"/>
      <c r="J48" s="202"/>
      <c r="K48" s="202"/>
    </row>
    <row r="49" spans="1:12" ht="18.75" customHeight="1" x14ac:dyDescent="0.35">
      <c r="A49" s="299" t="s">
        <v>98</v>
      </c>
      <c r="B49" s="299"/>
      <c r="C49" s="299"/>
      <c r="D49" s="299"/>
      <c r="E49" s="299"/>
      <c r="F49" s="299"/>
      <c r="G49" s="299"/>
      <c r="H49" s="299"/>
      <c r="I49" s="299"/>
      <c r="J49" s="202"/>
      <c r="K49" s="202"/>
      <c r="L49" s="202"/>
    </row>
    <row r="50" spans="1:12" x14ac:dyDescent="0.35">
      <c r="A50" s="76" t="s">
        <v>33</v>
      </c>
      <c r="B50" s="76"/>
      <c r="C50" s="76"/>
      <c r="D50" s="51"/>
      <c r="E50" s="51"/>
      <c r="F50" s="51"/>
      <c r="G50" s="51"/>
      <c r="H50" s="51"/>
      <c r="I50" s="51"/>
    </row>
    <row r="51" spans="1:12" x14ac:dyDescent="0.35">
      <c r="A51" s="76" t="s">
        <v>179</v>
      </c>
      <c r="B51" s="76"/>
      <c r="C51" s="76"/>
      <c r="D51" s="51"/>
      <c r="E51" s="51"/>
      <c r="F51" s="51"/>
      <c r="G51" s="51"/>
      <c r="H51" s="51"/>
      <c r="I51" s="51"/>
    </row>
    <row r="52" spans="1:12" x14ac:dyDescent="0.35">
      <c r="A52" s="76" t="s">
        <v>105</v>
      </c>
      <c r="B52" s="76"/>
      <c r="C52" s="76"/>
      <c r="D52" s="51"/>
      <c r="E52" s="51"/>
      <c r="F52" s="51"/>
      <c r="G52" s="51"/>
      <c r="H52" s="51"/>
      <c r="I52" s="51"/>
    </row>
    <row r="53" spans="1:12" x14ac:dyDescent="0.35">
      <c r="A53" s="3" t="s">
        <v>180</v>
      </c>
      <c r="B53" s="3"/>
      <c r="C53" s="3"/>
    </row>
  </sheetData>
  <mergeCells count="6">
    <mergeCell ref="A49:I49"/>
    <mergeCell ref="A48:I48"/>
    <mergeCell ref="D13:F13"/>
    <mergeCell ref="G13:I13"/>
    <mergeCell ref="J13:L13"/>
    <mergeCell ref="A47:I47"/>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3"/>
  <sheetViews>
    <sheetView workbookViewId="0"/>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54296875" style="59" customWidth="1"/>
    <col min="11" max="11" width="12.81640625" style="59" customWidth="1"/>
    <col min="12" max="12" width="16" style="59" customWidth="1"/>
    <col min="13" max="13" width="15" style="59" bestFit="1" customWidth="1"/>
    <col min="14" max="14" width="16" style="59" bestFit="1" customWidth="1"/>
    <col min="15" max="15" width="15.26953125" style="59" bestFit="1" customWidth="1"/>
    <col min="16" max="16" width="17.453125" style="59" bestFit="1" customWidth="1"/>
    <col min="17" max="17" width="16.26953125" style="59" bestFit="1" customWidth="1"/>
    <col min="18" max="18" width="15.26953125" style="59" bestFit="1" customWidth="1"/>
    <col min="19" max="19" width="12.453125" style="59" customWidth="1"/>
    <col min="20" max="21" width="14.26953125" style="59" bestFit="1" customWidth="1"/>
    <col min="22" max="16384" width="9.1796875" style="59"/>
  </cols>
  <sheetData>
    <row r="1" spans="1:34" x14ac:dyDescent="0.35">
      <c r="A1" s="3" t="str">
        <f>+'PPC Cycle 2'!A1</f>
        <v>Evergy Missouri West, Inc. - DSIM Rider Update Filed 06/01/2020</v>
      </c>
      <c r="B1" s="3"/>
      <c r="C1" s="3"/>
    </row>
    <row r="2" spans="1:34" x14ac:dyDescent="0.35">
      <c r="D2" s="3" t="s">
        <v>161</v>
      </c>
    </row>
    <row r="3" spans="1:34" ht="29" x14ac:dyDescent="0.35">
      <c r="D3" s="61" t="s">
        <v>48</v>
      </c>
      <c r="E3" s="83" t="s">
        <v>60</v>
      </c>
      <c r="F3" s="61" t="s">
        <v>3</v>
      </c>
      <c r="G3" s="83" t="s">
        <v>57</v>
      </c>
      <c r="H3" s="61" t="s">
        <v>11</v>
      </c>
      <c r="I3" s="61" t="s">
        <v>61</v>
      </c>
      <c r="R3" s="61"/>
    </row>
    <row r="4" spans="1:34" x14ac:dyDescent="0.35">
      <c r="A4" s="21" t="s">
        <v>26</v>
      </c>
      <c r="B4" s="21"/>
      <c r="C4" s="21"/>
      <c r="D4" s="23">
        <f>SUM(C18:L18)</f>
        <v>940176.52781999996</v>
      </c>
      <c r="E4" s="23">
        <f>SUM(C24:K24)</f>
        <v>839382.88</v>
      </c>
      <c r="F4" s="23">
        <f>E4-D4</f>
        <v>-100793.64781999995</v>
      </c>
      <c r="G4" s="23">
        <f>+B38</f>
        <v>0</v>
      </c>
      <c r="H4" s="23">
        <f>SUM(C45:K45)</f>
        <v>515.46</v>
      </c>
      <c r="I4" s="35">
        <f>SUM(F4:H4)</f>
        <v>-100278.18781999995</v>
      </c>
      <c r="J4" s="60">
        <f>+I4-L38</f>
        <v>0</v>
      </c>
      <c r="M4" s="60"/>
    </row>
    <row r="5" spans="1:34" ht="15" thickBot="1" x14ac:dyDescent="0.4">
      <c r="A5" s="21" t="s">
        <v>27</v>
      </c>
      <c r="B5" s="21"/>
      <c r="C5" s="21"/>
      <c r="D5" s="23">
        <f>SUM(C19:L21)</f>
        <v>1102473.5991600002</v>
      </c>
      <c r="E5" s="23">
        <f>SUM(C25:K27)</f>
        <v>972805.55999999994</v>
      </c>
      <c r="F5" s="23">
        <f>E5-D5</f>
        <v>-129668.03916000028</v>
      </c>
      <c r="G5" s="23">
        <f>+B41</f>
        <v>0</v>
      </c>
      <c r="H5" s="23">
        <f>SUM(C46:K48)</f>
        <v>543.72</v>
      </c>
      <c r="I5" s="35">
        <f>SUM(F5:H5)</f>
        <v>-129124.31916000028</v>
      </c>
      <c r="J5" s="60">
        <f>+I5-SUM(L39:L41)</f>
        <v>-2.1827872842550278E-10</v>
      </c>
      <c r="M5" s="60"/>
    </row>
    <row r="6" spans="1:34" ht="15.5" thickTop="1" thickBot="1" x14ac:dyDescent="0.4">
      <c r="D6" s="39">
        <f t="shared" ref="D6:I6" si="0">SUM(D4:D5)</f>
        <v>2042650.1269800002</v>
      </c>
      <c r="E6" s="39">
        <f t="shared" si="0"/>
        <v>1812188.44</v>
      </c>
      <c r="F6" s="39">
        <f t="shared" si="0"/>
        <v>-230461.68698000023</v>
      </c>
      <c r="G6" s="39">
        <f t="shared" si="0"/>
        <v>0</v>
      </c>
      <c r="H6" s="39">
        <f t="shared" si="0"/>
        <v>1059.18</v>
      </c>
      <c r="I6" s="39">
        <f t="shared" si="0"/>
        <v>-229402.50698000024</v>
      </c>
      <c r="S6" s="5"/>
    </row>
    <row r="7" spans="1:34" ht="44" thickTop="1" x14ac:dyDescent="0.35">
      <c r="I7" s="253"/>
      <c r="J7" s="252" t="s">
        <v>138</v>
      </c>
    </row>
    <row r="8" spans="1:34" ht="17.25" customHeight="1" x14ac:dyDescent="0.35">
      <c r="A8" s="21" t="s">
        <v>121</v>
      </c>
      <c r="I8" s="35">
        <f>ROUND($I$5*J8,2)</f>
        <v>-50628.73</v>
      </c>
      <c r="J8" s="250">
        <f>+'[3]Monthly TD Calc'!$CY$44</f>
        <v>0.39209287804949344</v>
      </c>
    </row>
    <row r="9" spans="1:34" ht="17.25" customHeight="1" x14ac:dyDescent="0.35">
      <c r="A9" s="21" t="s">
        <v>122</v>
      </c>
      <c r="I9" s="35">
        <f t="shared" ref="I9:I10" si="1">ROUND($I$5*J9,2)</f>
        <v>-58668.81</v>
      </c>
      <c r="J9" s="250">
        <f>+'[3]Monthly TD Calc'!$DA$44</f>
        <v>0.45435908608374953</v>
      </c>
    </row>
    <row r="10" spans="1:34" ht="17.25" customHeight="1" thickBot="1" x14ac:dyDescent="0.4">
      <c r="A10" s="21" t="s">
        <v>123</v>
      </c>
      <c r="I10" s="35">
        <f t="shared" si="1"/>
        <v>-19826.79</v>
      </c>
      <c r="J10" s="250">
        <f>+'[3]Monthly TD Calc'!$DB$44</f>
        <v>0.15354803586675725</v>
      </c>
    </row>
    <row r="11" spans="1:34" ht="17.25" customHeight="1" thickTop="1" thickBot="1" x14ac:dyDescent="0.4">
      <c r="A11" s="21" t="s">
        <v>125</v>
      </c>
      <c r="I11" s="39">
        <f>SUM(I8:I10)</f>
        <v>-129124.33000000002</v>
      </c>
      <c r="J11" s="251">
        <f>SUM(J8:J10)</f>
        <v>1.0000000000000002</v>
      </c>
    </row>
    <row r="12" spans="1:34" ht="15.5" thickTop="1" thickBot="1" x14ac:dyDescent="0.4">
      <c r="U12" s="4"/>
      <c r="V12" s="5"/>
    </row>
    <row r="13" spans="1:34" ht="116.5" thickBot="1" x14ac:dyDescent="0.4">
      <c r="B13" s="136" t="str">
        <f>+'PCR Cycle 2'!B13</f>
        <v>Cumulative Over/Under Carryover From 12/02/2020 Filing</v>
      </c>
      <c r="C13" s="171" t="str">
        <f>+'PCR Cycle 2'!C13</f>
        <v>Reverse November-19 - January 2020  Forecast From 12/02/2020 Filing</v>
      </c>
      <c r="D13" s="300" t="s">
        <v>35</v>
      </c>
      <c r="E13" s="300"/>
      <c r="F13" s="301"/>
      <c r="G13" s="302" t="s">
        <v>35</v>
      </c>
      <c r="H13" s="303"/>
      <c r="I13" s="304"/>
      <c r="J13" s="296" t="s">
        <v>9</v>
      </c>
      <c r="K13" s="297"/>
      <c r="L13" s="298"/>
    </row>
    <row r="14" spans="1:34" x14ac:dyDescent="0.35">
      <c r="A14" s="59" t="s">
        <v>91</v>
      </c>
      <c r="C14" s="123"/>
      <c r="D14" s="19">
        <f>+'PCR Cycle 2'!D14</f>
        <v>43799</v>
      </c>
      <c r="E14" s="19">
        <f t="shared" ref="E14:L14" si="2">EOMONTH(D14,1)</f>
        <v>43830</v>
      </c>
      <c r="F14" s="19">
        <f t="shared" si="2"/>
        <v>43861</v>
      </c>
      <c r="G14" s="14">
        <f t="shared" si="2"/>
        <v>43890</v>
      </c>
      <c r="H14" s="19">
        <f t="shared" si="2"/>
        <v>43921</v>
      </c>
      <c r="I14" s="15">
        <f t="shared" si="2"/>
        <v>43951</v>
      </c>
      <c r="J14" s="19">
        <f t="shared" si="2"/>
        <v>43982</v>
      </c>
      <c r="K14" s="19">
        <f t="shared" si="2"/>
        <v>44012</v>
      </c>
      <c r="L14" s="15">
        <f t="shared" si="2"/>
        <v>44043</v>
      </c>
      <c r="Y14" s="1"/>
      <c r="Z14" s="1"/>
      <c r="AA14" s="1"/>
      <c r="AB14" s="1"/>
      <c r="AC14" s="1"/>
      <c r="AD14" s="1"/>
      <c r="AE14" s="1"/>
      <c r="AF14" s="1"/>
      <c r="AG14" s="1"/>
      <c r="AH14" s="1"/>
    </row>
    <row r="15" spans="1:34" x14ac:dyDescent="0.35">
      <c r="A15" s="59" t="s">
        <v>6</v>
      </c>
      <c r="C15" s="115">
        <v>0</v>
      </c>
      <c r="D15" s="127">
        <f t="shared" ref="D15:K15" si="3">SUM(D24:D27)</f>
        <v>0</v>
      </c>
      <c r="E15" s="127">
        <f t="shared" si="3"/>
        <v>0</v>
      </c>
      <c r="F15" s="128">
        <f t="shared" si="3"/>
        <v>0</v>
      </c>
      <c r="G15" s="16">
        <f t="shared" si="3"/>
        <v>0</v>
      </c>
      <c r="H15" s="68">
        <f t="shared" si="3"/>
        <v>453047.11</v>
      </c>
      <c r="I15" s="186">
        <f t="shared" si="3"/>
        <v>453047.11</v>
      </c>
      <c r="J15" s="179">
        <f t="shared" si="3"/>
        <v>453047.11</v>
      </c>
      <c r="K15" s="93">
        <f t="shared" si="3"/>
        <v>453047.11</v>
      </c>
      <c r="L15" s="94"/>
    </row>
    <row r="16" spans="1:34" x14ac:dyDescent="0.35">
      <c r="C16" s="117"/>
      <c r="D16" s="17"/>
      <c r="E16" s="17"/>
      <c r="F16" s="17"/>
      <c r="G16" s="10"/>
      <c r="H16" s="17"/>
      <c r="I16" s="11"/>
      <c r="J16" s="43"/>
      <c r="K16" s="43"/>
      <c r="L16" s="41"/>
    </row>
    <row r="17" spans="1:14" x14ac:dyDescent="0.35">
      <c r="A17" s="59" t="s">
        <v>92</v>
      </c>
      <c r="C17" s="117"/>
      <c r="D17" s="18"/>
      <c r="E17" s="18"/>
      <c r="F17" s="18"/>
      <c r="G17" s="109"/>
      <c r="H17" s="18"/>
      <c r="I17" s="187"/>
      <c r="J17" s="43"/>
      <c r="K17" s="43"/>
      <c r="L17" s="41"/>
      <c r="M17" s="3" t="s">
        <v>52</v>
      </c>
      <c r="N17" s="51"/>
    </row>
    <row r="18" spans="1:14" x14ac:dyDescent="0.35">
      <c r="A18" s="59" t="s">
        <v>26</v>
      </c>
      <c r="C18" s="115"/>
      <c r="D18" s="154">
        <v>0</v>
      </c>
      <c r="E18" s="154">
        <v>0</v>
      </c>
      <c r="F18" s="154">
        <v>0</v>
      </c>
      <c r="G18" s="207">
        <f>ROUND('[7]February 2020'!F60,2)</f>
        <v>1.59</v>
      </c>
      <c r="H18" s="139">
        <f>ROUND('[7]March 2020'!F60,2)</f>
        <v>182373.19</v>
      </c>
      <c r="I18" s="188">
        <f>ROUND('[7]April 2020'!F60,2)</f>
        <v>166104.19</v>
      </c>
      <c r="J18" s="141">
        <f>'PCR Cycle 2'!J26*$M18</f>
        <v>144762.00153000001</v>
      </c>
      <c r="K18" s="53">
        <f>'PCR Cycle 2'!K26*$M18</f>
        <v>187104.82604000001</v>
      </c>
      <c r="L18" s="74">
        <f>'PCR Cycle 2'!L26*$M18</f>
        <v>259830.73024999999</v>
      </c>
      <c r="M18" s="85">
        <v>7.1000000000000002E-4</v>
      </c>
      <c r="N18" s="4"/>
    </row>
    <row r="19" spans="1:14" x14ac:dyDescent="0.35">
      <c r="A19" s="59" t="s">
        <v>155</v>
      </c>
      <c r="C19" s="115"/>
      <c r="D19" s="154">
        <v>0</v>
      </c>
      <c r="E19" s="154">
        <v>0</v>
      </c>
      <c r="F19" s="154">
        <v>0</v>
      </c>
      <c r="G19" s="207">
        <f>ROUND('[7]February 2020'!F61,2)</f>
        <v>0</v>
      </c>
      <c r="H19" s="139">
        <f>ROUND('[7]March 2020'!F61,2)</f>
        <v>102889.35</v>
      </c>
      <c r="I19" s="188">
        <f>ROUND('[7]April 2020'!F61,2)</f>
        <v>85956.98</v>
      </c>
      <c r="J19" s="141">
        <f>'PCR Cycle 2'!J27*$M19</f>
        <v>89795.596800000014</v>
      </c>
      <c r="K19" s="53">
        <f>'PCR Cycle 2'!K27*$M19</f>
        <v>97008.432000000015</v>
      </c>
      <c r="L19" s="74">
        <f>'PCR Cycle 2'!L27*$M19</f>
        <v>107527.20480000001</v>
      </c>
      <c r="M19" s="85">
        <v>1.2000000000000001E-3</v>
      </c>
      <c r="N19" s="4"/>
    </row>
    <row r="20" spans="1:14" x14ac:dyDescent="0.35">
      <c r="A20" s="59" t="s">
        <v>156</v>
      </c>
      <c r="C20" s="115"/>
      <c r="D20" s="154">
        <v>0</v>
      </c>
      <c r="E20" s="154">
        <v>0</v>
      </c>
      <c r="F20" s="154">
        <v>0</v>
      </c>
      <c r="G20" s="207">
        <f>ROUND('[7]February 2020'!F62,2)</f>
        <v>0</v>
      </c>
      <c r="H20" s="139">
        <f>ROUND('[7]March 2020'!F62,2)</f>
        <v>74658.36</v>
      </c>
      <c r="I20" s="188">
        <f>ROUND('[7]April 2020'!F62,2)</f>
        <v>67438.06</v>
      </c>
      <c r="J20" s="141">
        <f>'PCR Cycle 2'!J28*$M20</f>
        <v>99824.243199999997</v>
      </c>
      <c r="K20" s="53">
        <f>'PCR Cycle 2'!K28*$M20</f>
        <v>107842.62984000001</v>
      </c>
      <c r="L20" s="74">
        <f>'PCR Cycle 2'!L28*$M20</f>
        <v>119536.17192000001</v>
      </c>
      <c r="M20" s="85">
        <v>8.8000000000000003E-4</v>
      </c>
      <c r="N20" s="4"/>
    </row>
    <row r="21" spans="1:14" x14ac:dyDescent="0.35">
      <c r="A21" s="59" t="s">
        <v>157</v>
      </c>
      <c r="C21" s="115"/>
      <c r="D21" s="154">
        <v>0</v>
      </c>
      <c r="E21" s="154">
        <v>0</v>
      </c>
      <c r="F21" s="154">
        <v>0</v>
      </c>
      <c r="G21" s="207">
        <f>ROUND('[7]February 2020'!F63,2)</f>
        <v>0</v>
      </c>
      <c r="H21" s="139">
        <f>ROUND('[7]March 2020'!F63,2)</f>
        <v>26743.24</v>
      </c>
      <c r="I21" s="188">
        <f>ROUND('[7]April 2020'!F63,2)</f>
        <v>27944.880000000001</v>
      </c>
      <c r="J21" s="141">
        <f>'PCR Cycle 2'!J29*$M21</f>
        <v>29077.033480000002</v>
      </c>
      <c r="K21" s="53">
        <f>'PCR Cycle 2'!K29*$M21</f>
        <v>31412.647640000003</v>
      </c>
      <c r="L21" s="74">
        <f>'PCR Cycle 2'!L29*$M21</f>
        <v>34818.769480000003</v>
      </c>
      <c r="M21" s="85">
        <v>4.4000000000000002E-4</v>
      </c>
      <c r="N21" s="4"/>
    </row>
    <row r="22" spans="1:14" x14ac:dyDescent="0.35">
      <c r="C22" s="80"/>
      <c r="D22" s="81"/>
      <c r="E22" s="81"/>
      <c r="F22" s="81"/>
      <c r="G22" s="80"/>
      <c r="H22" s="81"/>
      <c r="I22" s="189"/>
      <c r="J22" s="69"/>
      <c r="K22" s="69"/>
      <c r="L22" s="13"/>
      <c r="N22" s="4"/>
    </row>
    <row r="23" spans="1:14" x14ac:dyDescent="0.35">
      <c r="A23" s="59" t="s">
        <v>94</v>
      </c>
      <c r="C23" s="48"/>
      <c r="D23" s="49"/>
      <c r="E23" s="49"/>
      <c r="F23" s="49"/>
      <c r="G23" s="48"/>
      <c r="H23" s="49"/>
      <c r="I23" s="192"/>
      <c r="J23" s="65"/>
      <c r="K23" s="65"/>
      <c r="L23" s="50"/>
    </row>
    <row r="24" spans="1:14" x14ac:dyDescent="0.35">
      <c r="A24" s="59" t="s">
        <v>26</v>
      </c>
      <c r="C24" s="115">
        <v>0</v>
      </c>
      <c r="D24" s="127">
        <v>0</v>
      </c>
      <c r="E24" s="127">
        <v>0</v>
      </c>
      <c r="F24" s="128">
        <v>0</v>
      </c>
      <c r="G24" s="16">
        <v>0</v>
      </c>
      <c r="H24" s="68">
        <f>ROUND('EO Cycle 2'!$G$8/12,2)</f>
        <v>209845.72</v>
      </c>
      <c r="I24" s="186">
        <f>ROUND('EO Cycle 2'!$G$8/12,2)</f>
        <v>209845.72</v>
      </c>
      <c r="J24" s="181">
        <f>ROUND('EO Cycle 2'!$G$8/12,2)</f>
        <v>209845.72</v>
      </c>
      <c r="K24" s="161">
        <f>ROUND('EO Cycle 2'!$G$8/12,2)</f>
        <v>209845.72</v>
      </c>
      <c r="L24" s="94"/>
    </row>
    <row r="25" spans="1:14" x14ac:dyDescent="0.35">
      <c r="A25" s="59" t="s">
        <v>155</v>
      </c>
      <c r="C25" s="115"/>
      <c r="D25" s="127">
        <v>0</v>
      </c>
      <c r="E25" s="127">
        <v>0</v>
      </c>
      <c r="F25" s="128">
        <v>0</v>
      </c>
      <c r="G25" s="16">
        <v>0</v>
      </c>
      <c r="H25" s="68">
        <f>ROUND('EO Cycle 2'!$G$12/12,2)</f>
        <v>96062.14</v>
      </c>
      <c r="I25" s="186">
        <f>ROUND('EO Cycle 2'!$G$12/12,2)</f>
        <v>96062.14</v>
      </c>
      <c r="J25" s="181">
        <f>ROUND('EO Cycle 2'!$G$12/12,2)</f>
        <v>96062.14</v>
      </c>
      <c r="K25" s="161">
        <f>ROUND('EO Cycle 2'!$G$12/12,2)</f>
        <v>96062.14</v>
      </c>
      <c r="L25" s="94"/>
    </row>
    <row r="26" spans="1:14" x14ac:dyDescent="0.35">
      <c r="A26" s="59" t="s">
        <v>156</v>
      </c>
      <c r="C26" s="115"/>
      <c r="D26" s="127">
        <v>0</v>
      </c>
      <c r="E26" s="127">
        <v>0</v>
      </c>
      <c r="F26" s="128">
        <v>0</v>
      </c>
      <c r="G26" s="16">
        <v>0</v>
      </c>
      <c r="H26" s="68">
        <f>ROUND('EO Cycle 2'!$G$13/12,2)</f>
        <v>106744.3</v>
      </c>
      <c r="I26" s="186">
        <f>ROUND('EO Cycle 2'!$G$13/12,2)</f>
        <v>106744.3</v>
      </c>
      <c r="J26" s="181">
        <f>ROUND('EO Cycle 2'!$G$13/12,2)</f>
        <v>106744.3</v>
      </c>
      <c r="K26" s="161">
        <f>ROUND('EO Cycle 2'!$G$13/12,2)</f>
        <v>106744.3</v>
      </c>
      <c r="L26" s="94"/>
    </row>
    <row r="27" spans="1:14" x14ac:dyDescent="0.35">
      <c r="A27" s="59" t="s">
        <v>157</v>
      </c>
      <c r="C27" s="115">
        <v>0</v>
      </c>
      <c r="D27" s="127">
        <v>0</v>
      </c>
      <c r="E27" s="127">
        <v>0</v>
      </c>
      <c r="F27" s="128">
        <v>0</v>
      </c>
      <c r="G27" s="16">
        <v>0</v>
      </c>
      <c r="H27" s="68">
        <f>ROUND('EO Cycle 2'!$G$14/12,2)</f>
        <v>40394.949999999997</v>
      </c>
      <c r="I27" s="186">
        <f>ROUND('EO Cycle 2'!$G$14/12,2)</f>
        <v>40394.949999999997</v>
      </c>
      <c r="J27" s="181">
        <f>ROUND('EO Cycle 2'!$G$14/12,2)</f>
        <v>40394.949999999997</v>
      </c>
      <c r="K27" s="161">
        <f>ROUND('EO Cycle 2'!$G$14/12,2)</f>
        <v>40394.949999999997</v>
      </c>
      <c r="L27" s="94"/>
      <c r="N27" s="60"/>
    </row>
    <row r="28" spans="1:14" x14ac:dyDescent="0.35">
      <c r="C28" s="117"/>
      <c r="D28" s="18"/>
      <c r="E28" s="18"/>
      <c r="F28" s="18"/>
      <c r="G28" s="109"/>
      <c r="H28" s="18"/>
      <c r="I28" s="187"/>
      <c r="J28" s="69"/>
      <c r="K28" s="69"/>
      <c r="L28" s="13"/>
    </row>
    <row r="29" spans="1:14" ht="15" thickBot="1" x14ac:dyDescent="0.4">
      <c r="A29" s="3" t="s">
        <v>16</v>
      </c>
      <c r="B29" s="3"/>
      <c r="C29" s="121"/>
      <c r="D29" s="154"/>
      <c r="E29" s="154"/>
      <c r="F29" s="155"/>
      <c r="G29" s="38"/>
      <c r="H29" s="140">
        <v>60.36</v>
      </c>
      <c r="I29" s="193">
        <v>194.2</v>
      </c>
      <c r="J29" s="182">
        <v>353.47</v>
      </c>
      <c r="K29" s="163">
        <v>451.17</v>
      </c>
      <c r="L29" s="97"/>
    </row>
    <row r="30" spans="1:14" x14ac:dyDescent="0.35">
      <c r="C30" s="77"/>
      <c r="D30" s="167"/>
      <c r="E30" s="167"/>
      <c r="F30" s="168"/>
      <c r="G30" s="77"/>
      <c r="H30" s="45"/>
      <c r="I30" s="194"/>
      <c r="J30" s="46"/>
      <c r="K30" s="46"/>
      <c r="L30" s="73"/>
    </row>
    <row r="31" spans="1:14" x14ac:dyDescent="0.35">
      <c r="A31" s="59" t="s">
        <v>54</v>
      </c>
      <c r="C31" s="78"/>
      <c r="D31" s="168"/>
      <c r="E31" s="168"/>
      <c r="F31" s="168"/>
      <c r="G31" s="78"/>
      <c r="H31" s="47"/>
      <c r="I31" s="195"/>
      <c r="J31" s="46"/>
      <c r="K31" s="46"/>
      <c r="L31" s="73"/>
    </row>
    <row r="32" spans="1:14" x14ac:dyDescent="0.35">
      <c r="A32" s="59" t="s">
        <v>26</v>
      </c>
      <c r="C32" s="118">
        <f t="shared" ref="C32:L32" si="4">C24-C18</f>
        <v>0</v>
      </c>
      <c r="D32" s="53">
        <f t="shared" si="4"/>
        <v>0</v>
      </c>
      <c r="E32" s="53">
        <f t="shared" si="4"/>
        <v>0</v>
      </c>
      <c r="F32" s="126">
        <f t="shared" si="4"/>
        <v>0</v>
      </c>
      <c r="G32" s="52">
        <f t="shared" si="4"/>
        <v>-1.59</v>
      </c>
      <c r="H32" s="53">
        <f t="shared" si="4"/>
        <v>27472.53</v>
      </c>
      <c r="I32" s="74">
        <f t="shared" si="4"/>
        <v>43741.53</v>
      </c>
      <c r="J32" s="141">
        <f t="shared" si="4"/>
        <v>65083.718469999993</v>
      </c>
      <c r="K32" s="53">
        <f t="shared" si="4"/>
        <v>22740.893959999987</v>
      </c>
      <c r="L32" s="74">
        <f t="shared" si="4"/>
        <v>-259830.73024999999</v>
      </c>
    </row>
    <row r="33" spans="1:12" x14ac:dyDescent="0.35">
      <c r="A33" s="59" t="s">
        <v>155</v>
      </c>
      <c r="C33" s="118">
        <f t="shared" ref="C33:L33" si="5">C25-C19</f>
        <v>0</v>
      </c>
      <c r="D33" s="53">
        <f t="shared" si="5"/>
        <v>0</v>
      </c>
      <c r="E33" s="53">
        <f t="shared" si="5"/>
        <v>0</v>
      </c>
      <c r="F33" s="126">
        <f t="shared" si="5"/>
        <v>0</v>
      </c>
      <c r="G33" s="52">
        <f t="shared" si="5"/>
        <v>0</v>
      </c>
      <c r="H33" s="53">
        <f t="shared" si="5"/>
        <v>-6827.2100000000064</v>
      </c>
      <c r="I33" s="74">
        <f t="shared" si="5"/>
        <v>10105.160000000003</v>
      </c>
      <c r="J33" s="141">
        <f t="shared" si="5"/>
        <v>6266.5431999999855</v>
      </c>
      <c r="K33" s="53">
        <f t="shared" si="5"/>
        <v>-946.29200000001583</v>
      </c>
      <c r="L33" s="74">
        <f t="shared" si="5"/>
        <v>-107527.20480000001</v>
      </c>
    </row>
    <row r="34" spans="1:12" x14ac:dyDescent="0.35">
      <c r="A34" s="59" t="s">
        <v>156</v>
      </c>
      <c r="C34" s="118">
        <f t="shared" ref="C34:L34" si="6">C26-C20</f>
        <v>0</v>
      </c>
      <c r="D34" s="53">
        <f t="shared" si="6"/>
        <v>0</v>
      </c>
      <c r="E34" s="53">
        <f t="shared" si="6"/>
        <v>0</v>
      </c>
      <c r="F34" s="126">
        <f t="shared" si="6"/>
        <v>0</v>
      </c>
      <c r="G34" s="52">
        <f t="shared" si="6"/>
        <v>0</v>
      </c>
      <c r="H34" s="53">
        <f t="shared" si="6"/>
        <v>32085.940000000002</v>
      </c>
      <c r="I34" s="74">
        <f t="shared" si="6"/>
        <v>39306.240000000005</v>
      </c>
      <c r="J34" s="141">
        <f t="shared" si="6"/>
        <v>6920.0568000000058</v>
      </c>
      <c r="K34" s="53">
        <f t="shared" si="6"/>
        <v>-1098.3298400000058</v>
      </c>
      <c r="L34" s="74">
        <f t="shared" si="6"/>
        <v>-119536.17192000001</v>
      </c>
    </row>
    <row r="35" spans="1:12" x14ac:dyDescent="0.35">
      <c r="A35" s="59" t="s">
        <v>157</v>
      </c>
      <c r="C35" s="118">
        <f t="shared" ref="C35:L35" si="7">C27-C21</f>
        <v>0</v>
      </c>
      <c r="D35" s="53">
        <f t="shared" si="7"/>
        <v>0</v>
      </c>
      <c r="E35" s="53">
        <f t="shared" si="7"/>
        <v>0</v>
      </c>
      <c r="F35" s="126">
        <f t="shared" si="7"/>
        <v>0</v>
      </c>
      <c r="G35" s="52">
        <f t="shared" si="7"/>
        <v>0</v>
      </c>
      <c r="H35" s="53">
        <f t="shared" si="7"/>
        <v>13651.709999999995</v>
      </c>
      <c r="I35" s="74">
        <f t="shared" si="7"/>
        <v>12450.069999999996</v>
      </c>
      <c r="J35" s="141">
        <f t="shared" si="7"/>
        <v>11317.916519999995</v>
      </c>
      <c r="K35" s="53">
        <f t="shared" si="7"/>
        <v>8982.3023599999942</v>
      </c>
      <c r="L35" s="74">
        <f t="shared" si="7"/>
        <v>-34818.769480000003</v>
      </c>
    </row>
    <row r="36" spans="1:12" x14ac:dyDescent="0.35">
      <c r="C36" s="117"/>
      <c r="D36" s="17"/>
      <c r="E36" s="17"/>
      <c r="F36" s="17"/>
      <c r="G36" s="10"/>
      <c r="H36" s="17"/>
      <c r="I36" s="11"/>
      <c r="J36" s="17"/>
      <c r="K36" s="17"/>
      <c r="L36" s="11"/>
    </row>
    <row r="37" spans="1:12" ht="15" thickBot="1" x14ac:dyDescent="0.4">
      <c r="A37" s="59" t="s">
        <v>55</v>
      </c>
      <c r="C37" s="117"/>
      <c r="D37" s="17"/>
      <c r="E37" s="17"/>
      <c r="F37" s="17"/>
      <c r="G37" s="10"/>
      <c r="H37" s="17"/>
      <c r="I37" s="11"/>
      <c r="J37" s="17"/>
      <c r="K37" s="17"/>
      <c r="L37" s="11"/>
    </row>
    <row r="38" spans="1:12" x14ac:dyDescent="0.35">
      <c r="A38" s="59" t="s">
        <v>26</v>
      </c>
      <c r="B38" s="134">
        <v>0</v>
      </c>
      <c r="C38" s="118">
        <f t="shared" ref="C38:L38" si="8">B38+C32+B45</f>
        <v>0</v>
      </c>
      <c r="D38" s="53">
        <f t="shared" si="8"/>
        <v>0</v>
      </c>
      <c r="E38" s="53">
        <f t="shared" si="8"/>
        <v>0</v>
      </c>
      <c r="F38" s="126">
        <f t="shared" si="8"/>
        <v>0</v>
      </c>
      <c r="G38" s="52">
        <f t="shared" si="8"/>
        <v>-1.59</v>
      </c>
      <c r="H38" s="53">
        <f t="shared" si="8"/>
        <v>27470.94</v>
      </c>
      <c r="I38" s="74">
        <f t="shared" si="8"/>
        <v>71237.440000000002</v>
      </c>
      <c r="J38" s="141">
        <f t="shared" si="8"/>
        <v>136401.55846999999</v>
      </c>
      <c r="K38" s="53">
        <f t="shared" si="8"/>
        <v>159311.60242999997</v>
      </c>
      <c r="L38" s="74">
        <f t="shared" si="8"/>
        <v>-100278.18782000002</v>
      </c>
    </row>
    <row r="39" spans="1:12" x14ac:dyDescent="0.35">
      <c r="A39" s="59" t="s">
        <v>155</v>
      </c>
      <c r="B39" s="270">
        <v>0</v>
      </c>
      <c r="C39" s="118">
        <f t="shared" ref="C39:L39" si="9">B39+C33+B46</f>
        <v>0</v>
      </c>
      <c r="D39" s="53">
        <f t="shared" si="9"/>
        <v>0</v>
      </c>
      <c r="E39" s="53">
        <f t="shared" si="9"/>
        <v>0</v>
      </c>
      <c r="F39" s="126">
        <f t="shared" si="9"/>
        <v>0</v>
      </c>
      <c r="G39" s="52">
        <f t="shared" si="9"/>
        <v>0</v>
      </c>
      <c r="H39" s="53">
        <f t="shared" si="9"/>
        <v>-6827.2100000000064</v>
      </c>
      <c r="I39" s="74">
        <f t="shared" si="9"/>
        <v>3271.7399999999971</v>
      </c>
      <c r="J39" s="141">
        <f t="shared" si="9"/>
        <v>9535.3831999999838</v>
      </c>
      <c r="K39" s="53">
        <f t="shared" si="9"/>
        <v>8599.5211999999683</v>
      </c>
      <c r="L39" s="74">
        <f t="shared" si="9"/>
        <v>-98912.903600000034</v>
      </c>
    </row>
    <row r="40" spans="1:12" x14ac:dyDescent="0.35">
      <c r="A40" s="59" t="s">
        <v>156</v>
      </c>
      <c r="B40" s="270">
        <v>0</v>
      </c>
      <c r="C40" s="118">
        <f t="shared" ref="C40:L40" si="10">B40+C34+B47</f>
        <v>0</v>
      </c>
      <c r="D40" s="53">
        <f t="shared" si="10"/>
        <v>0</v>
      </c>
      <c r="E40" s="53">
        <f t="shared" si="10"/>
        <v>0</v>
      </c>
      <c r="F40" s="126">
        <f t="shared" si="10"/>
        <v>0</v>
      </c>
      <c r="G40" s="52">
        <f t="shared" si="10"/>
        <v>0</v>
      </c>
      <c r="H40" s="53">
        <f t="shared" si="10"/>
        <v>32085.940000000002</v>
      </c>
      <c r="I40" s="74">
        <f t="shared" si="10"/>
        <v>71421.350000000006</v>
      </c>
      <c r="J40" s="141">
        <f t="shared" si="10"/>
        <v>78425.716800000009</v>
      </c>
      <c r="K40" s="53">
        <f t="shared" si="10"/>
        <v>77449.47696</v>
      </c>
      <c r="L40" s="74">
        <f t="shared" si="10"/>
        <v>-41959.664960000009</v>
      </c>
    </row>
    <row r="41" spans="1:12" ht="15" thickBot="1" x14ac:dyDescent="0.4">
      <c r="A41" s="59" t="s">
        <v>157</v>
      </c>
      <c r="B41" s="135">
        <v>0</v>
      </c>
      <c r="C41" s="118">
        <f t="shared" ref="C41:L41" si="11">B41+C35+B48</f>
        <v>0</v>
      </c>
      <c r="D41" s="53">
        <f t="shared" si="11"/>
        <v>0</v>
      </c>
      <c r="E41" s="53">
        <f t="shared" si="11"/>
        <v>0</v>
      </c>
      <c r="F41" s="126">
        <f t="shared" si="11"/>
        <v>0</v>
      </c>
      <c r="G41" s="52">
        <f t="shared" si="11"/>
        <v>0</v>
      </c>
      <c r="H41" s="53">
        <f t="shared" si="11"/>
        <v>13651.709999999995</v>
      </c>
      <c r="I41" s="74">
        <f t="shared" si="11"/>
        <v>26114.189999999991</v>
      </c>
      <c r="J41" s="141">
        <f t="shared" si="11"/>
        <v>37464.496519999986</v>
      </c>
      <c r="K41" s="53">
        <f t="shared" si="11"/>
        <v>46498.598879999983</v>
      </c>
      <c r="L41" s="74">
        <f t="shared" si="11"/>
        <v>11748.249399999981</v>
      </c>
    </row>
    <row r="42" spans="1:12" x14ac:dyDescent="0.35">
      <c r="C42" s="117"/>
      <c r="D42" s="17"/>
      <c r="E42" s="17"/>
      <c r="F42" s="17"/>
      <c r="G42" s="10"/>
      <c r="H42" s="17"/>
      <c r="I42" s="11"/>
      <c r="J42" s="17"/>
      <c r="K42" s="17"/>
      <c r="L42" s="11"/>
    </row>
    <row r="43" spans="1:12" x14ac:dyDescent="0.35">
      <c r="A43" s="51" t="s">
        <v>93</v>
      </c>
      <c r="B43" s="51"/>
      <c r="C43" s="122"/>
      <c r="D43" s="98">
        <f>+'PCR Cycle 2'!D47</f>
        <v>2.4882900000000002E-3</v>
      </c>
      <c r="E43" s="98">
        <f>+'PCR Cycle 2'!E47</f>
        <v>2.5028199999999998E-3</v>
      </c>
      <c r="F43" s="98">
        <f>+'PCR Cycle 2'!F47</f>
        <v>2.43764E-3</v>
      </c>
      <c r="G43" s="99">
        <f>+'PCR Cycle 2'!G47</f>
        <v>2.4056699999999999E-3</v>
      </c>
      <c r="H43" s="98">
        <f>+'PCR Cycle 2'!H47</f>
        <v>1.8183299999999999E-3</v>
      </c>
      <c r="I43" s="110">
        <f>+'PCR Cycle 2'!I47</f>
        <v>1.62864E-3</v>
      </c>
      <c r="J43" s="98">
        <f>+'PCR Cycle 2'!J47</f>
        <v>1.62864E-3</v>
      </c>
      <c r="K43" s="98">
        <f>+'PCR Cycle 2'!K47</f>
        <v>1.62864E-3</v>
      </c>
      <c r="L43" s="100"/>
    </row>
    <row r="44" spans="1:12" x14ac:dyDescent="0.35">
      <c r="A44" s="51" t="s">
        <v>39</v>
      </c>
      <c r="B44" s="51"/>
      <c r="C44" s="124"/>
      <c r="D44" s="98"/>
      <c r="E44" s="98"/>
      <c r="F44" s="98"/>
      <c r="G44" s="99"/>
      <c r="H44" s="98"/>
      <c r="I44" s="100"/>
      <c r="J44" s="98"/>
      <c r="K44" s="98"/>
      <c r="L44" s="100"/>
    </row>
    <row r="45" spans="1:12" x14ac:dyDescent="0.35">
      <c r="A45" s="59" t="s">
        <v>26</v>
      </c>
      <c r="C45" s="118"/>
      <c r="D45" s="53">
        <f t="shared" ref="D45:L45" si="12">ROUND((C38+C45+D32/2)*D$43,2)</f>
        <v>0</v>
      </c>
      <c r="E45" s="53">
        <f t="shared" si="12"/>
        <v>0</v>
      </c>
      <c r="F45" s="126">
        <f t="shared" si="12"/>
        <v>0</v>
      </c>
      <c r="G45" s="52">
        <f t="shared" si="12"/>
        <v>0</v>
      </c>
      <c r="H45" s="141">
        <f t="shared" si="12"/>
        <v>24.97</v>
      </c>
      <c r="I45" s="62">
        <f t="shared" si="12"/>
        <v>80.400000000000006</v>
      </c>
      <c r="J45" s="183">
        <f t="shared" si="12"/>
        <v>169.15</v>
      </c>
      <c r="K45" s="126">
        <f t="shared" si="12"/>
        <v>240.94</v>
      </c>
      <c r="L45" s="74">
        <f t="shared" si="12"/>
        <v>0</v>
      </c>
    </row>
    <row r="46" spans="1:12" x14ac:dyDescent="0.35">
      <c r="A46" s="59" t="s">
        <v>155</v>
      </c>
      <c r="C46" s="118"/>
      <c r="D46" s="53">
        <f t="shared" ref="D46:L46" si="13">ROUND((C39+C46+D33/2)*D$43,2)</f>
        <v>0</v>
      </c>
      <c r="E46" s="53">
        <f t="shared" si="13"/>
        <v>0</v>
      </c>
      <c r="F46" s="126">
        <f t="shared" si="13"/>
        <v>0</v>
      </c>
      <c r="G46" s="52">
        <f t="shared" si="13"/>
        <v>0</v>
      </c>
      <c r="H46" s="141">
        <f t="shared" si="13"/>
        <v>-6.21</v>
      </c>
      <c r="I46" s="62">
        <f t="shared" si="13"/>
        <v>-2.9</v>
      </c>
      <c r="J46" s="183">
        <f t="shared" si="13"/>
        <v>10.43</v>
      </c>
      <c r="K46" s="126">
        <f t="shared" si="13"/>
        <v>14.78</v>
      </c>
      <c r="L46" s="74">
        <f t="shared" si="13"/>
        <v>0</v>
      </c>
    </row>
    <row r="47" spans="1:12" x14ac:dyDescent="0.35">
      <c r="A47" s="59" t="s">
        <v>156</v>
      </c>
      <c r="C47" s="118"/>
      <c r="D47" s="53">
        <f t="shared" ref="D47:L47" si="14">ROUND((C40+C47+D34/2)*D$43,2)</f>
        <v>0</v>
      </c>
      <c r="E47" s="53">
        <f t="shared" si="14"/>
        <v>0</v>
      </c>
      <c r="F47" s="126">
        <f t="shared" si="14"/>
        <v>0</v>
      </c>
      <c r="G47" s="52">
        <f t="shared" si="14"/>
        <v>0</v>
      </c>
      <c r="H47" s="141">
        <f t="shared" si="14"/>
        <v>29.17</v>
      </c>
      <c r="I47" s="62">
        <f t="shared" si="14"/>
        <v>84.31</v>
      </c>
      <c r="J47" s="183">
        <f t="shared" si="14"/>
        <v>122.09</v>
      </c>
      <c r="K47" s="126">
        <f t="shared" si="14"/>
        <v>127.03</v>
      </c>
      <c r="L47" s="74">
        <f t="shared" si="14"/>
        <v>0</v>
      </c>
    </row>
    <row r="48" spans="1:12" ht="15" thickBot="1" x14ac:dyDescent="0.4">
      <c r="A48" s="59" t="s">
        <v>157</v>
      </c>
      <c r="C48" s="118"/>
      <c r="D48" s="53">
        <f t="shared" ref="D48:L48" si="15">ROUND((C41+C48+D35/2)*D$43,2)</f>
        <v>0</v>
      </c>
      <c r="E48" s="53">
        <f t="shared" si="15"/>
        <v>0</v>
      </c>
      <c r="F48" s="126">
        <f t="shared" si="15"/>
        <v>0</v>
      </c>
      <c r="G48" s="52">
        <f t="shared" si="15"/>
        <v>0</v>
      </c>
      <c r="H48" s="141">
        <f t="shared" si="15"/>
        <v>12.41</v>
      </c>
      <c r="I48" s="62">
        <f t="shared" si="15"/>
        <v>32.39</v>
      </c>
      <c r="J48" s="183">
        <f t="shared" si="15"/>
        <v>51.8</v>
      </c>
      <c r="K48" s="126">
        <f t="shared" si="15"/>
        <v>68.42</v>
      </c>
      <c r="L48" s="74">
        <f t="shared" si="15"/>
        <v>0</v>
      </c>
    </row>
    <row r="49" spans="1:12" ht="15.5" thickTop="1" thickBot="1" x14ac:dyDescent="0.4">
      <c r="A49" s="67" t="s">
        <v>24</v>
      </c>
      <c r="B49" s="67"/>
      <c r="C49" s="125">
        <v>0</v>
      </c>
      <c r="D49" s="54">
        <f t="shared" ref="D49:L49" si="16">SUM(D45:D48)+SUM(D38:D41)-D52</f>
        <v>0</v>
      </c>
      <c r="E49" s="54">
        <f t="shared" si="16"/>
        <v>0</v>
      </c>
      <c r="F49" s="63">
        <f t="shared" si="16"/>
        <v>0</v>
      </c>
      <c r="G49" s="165">
        <f t="shared" si="16"/>
        <v>0</v>
      </c>
      <c r="H49" s="63">
        <f t="shared" si="16"/>
        <v>0</v>
      </c>
      <c r="I49" s="75">
        <f t="shared" si="16"/>
        <v>0</v>
      </c>
      <c r="J49" s="184">
        <f t="shared" si="16"/>
        <v>0</v>
      </c>
      <c r="K49" s="63">
        <f t="shared" si="16"/>
        <v>0</v>
      </c>
      <c r="L49" s="75">
        <f t="shared" si="16"/>
        <v>0</v>
      </c>
    </row>
    <row r="50" spans="1:12" ht="15.5" thickTop="1" thickBot="1" x14ac:dyDescent="0.4">
      <c r="A50" s="67" t="s">
        <v>25</v>
      </c>
      <c r="B50" s="67"/>
      <c r="C50" s="125">
        <v>0</v>
      </c>
      <c r="D50" s="54">
        <f t="shared" ref="D50:L50" si="17">SUM(D45:D48)-D29</f>
        <v>0</v>
      </c>
      <c r="E50" s="54">
        <f t="shared" si="17"/>
        <v>0</v>
      </c>
      <c r="F50" s="63">
        <f t="shared" si="17"/>
        <v>0</v>
      </c>
      <c r="G50" s="165">
        <f t="shared" si="17"/>
        <v>0</v>
      </c>
      <c r="H50" s="63">
        <f t="shared" si="17"/>
        <v>-1.9999999999996021E-2</v>
      </c>
      <c r="I50" s="75">
        <f t="shared" si="17"/>
        <v>0</v>
      </c>
      <c r="J50" s="185">
        <f t="shared" si="17"/>
        <v>0</v>
      </c>
      <c r="K50" s="54">
        <f t="shared" si="17"/>
        <v>0</v>
      </c>
      <c r="L50" s="54">
        <f t="shared" si="17"/>
        <v>0</v>
      </c>
    </row>
    <row r="51" spans="1:12" ht="15.5" thickTop="1" thickBot="1" x14ac:dyDescent="0.4">
      <c r="C51" s="117"/>
      <c r="D51" s="17"/>
      <c r="E51" s="17"/>
      <c r="F51" s="17"/>
      <c r="G51" s="10"/>
      <c r="H51" s="17"/>
      <c r="I51" s="11"/>
      <c r="J51" s="17"/>
      <c r="K51" s="17"/>
      <c r="L51" s="11"/>
    </row>
    <row r="52" spans="1:12" ht="15" thickBot="1" x14ac:dyDescent="0.4">
      <c r="A52" s="59" t="s">
        <v>38</v>
      </c>
      <c r="B52" s="137">
        <f>+B38+B41</f>
        <v>0</v>
      </c>
      <c r="C52" s="118">
        <f t="shared" ref="C52:L52" si="18">(C15-SUM(C18:C21))+SUM(C45:C48)+B52</f>
        <v>0</v>
      </c>
      <c r="D52" s="53">
        <f t="shared" si="18"/>
        <v>0</v>
      </c>
      <c r="E52" s="53">
        <f t="shared" si="18"/>
        <v>0</v>
      </c>
      <c r="F52" s="126">
        <f t="shared" si="18"/>
        <v>0</v>
      </c>
      <c r="G52" s="52">
        <f t="shared" si="18"/>
        <v>-1.59</v>
      </c>
      <c r="H52" s="53">
        <f t="shared" si="18"/>
        <v>66441.719999999972</v>
      </c>
      <c r="I52" s="74">
        <f t="shared" si="18"/>
        <v>172238.91999999998</v>
      </c>
      <c r="J52" s="183">
        <f t="shared" si="18"/>
        <v>262180.62499000004</v>
      </c>
      <c r="K52" s="126">
        <f t="shared" si="18"/>
        <v>292310.36946999998</v>
      </c>
      <c r="L52" s="74">
        <f t="shared" si="18"/>
        <v>-229402.50698000001</v>
      </c>
    </row>
    <row r="53" spans="1:12" x14ac:dyDescent="0.35">
      <c r="A53" s="59" t="s">
        <v>14</v>
      </c>
      <c r="C53" s="138"/>
      <c r="D53" s="17"/>
      <c r="E53" s="17"/>
      <c r="F53" s="17"/>
      <c r="G53" s="10"/>
      <c r="H53" s="17"/>
      <c r="I53" s="11"/>
      <c r="J53" s="17"/>
      <c r="K53" s="17"/>
      <c r="L53" s="11"/>
    </row>
    <row r="54" spans="1:12" ht="15" thickBot="1" x14ac:dyDescent="0.4">
      <c r="A54" s="49"/>
      <c r="B54" s="49"/>
      <c r="C54" s="166"/>
      <c r="D54" s="56"/>
      <c r="E54" s="56"/>
      <c r="F54" s="56"/>
      <c r="G54" s="55"/>
      <c r="H54" s="56"/>
      <c r="I54" s="57"/>
      <c r="J54" s="56"/>
      <c r="K54" s="56"/>
      <c r="L54" s="57"/>
    </row>
    <row r="56" spans="1:12" x14ac:dyDescent="0.35">
      <c r="A56" s="82" t="s">
        <v>13</v>
      </c>
      <c r="B56" s="82"/>
      <c r="C56" s="82"/>
    </row>
    <row r="57" spans="1:12" ht="31.5" customHeight="1" x14ac:dyDescent="0.35">
      <c r="A57" s="299" t="s">
        <v>162</v>
      </c>
      <c r="B57" s="299"/>
      <c r="C57" s="299"/>
      <c r="D57" s="299"/>
      <c r="E57" s="299"/>
      <c r="F57" s="299"/>
      <c r="G57" s="299"/>
      <c r="H57" s="299"/>
      <c r="I57" s="299"/>
      <c r="J57" s="259"/>
      <c r="K57" s="259"/>
      <c r="L57" s="259"/>
    </row>
    <row r="58" spans="1:12" ht="45" customHeight="1" x14ac:dyDescent="0.35">
      <c r="A58" s="299" t="s">
        <v>178</v>
      </c>
      <c r="B58" s="299"/>
      <c r="C58" s="299"/>
      <c r="D58" s="299"/>
      <c r="E58" s="299"/>
      <c r="F58" s="299"/>
      <c r="G58" s="299"/>
      <c r="H58" s="299"/>
      <c r="I58" s="299"/>
      <c r="J58" s="259"/>
      <c r="K58" s="259"/>
    </row>
    <row r="59" spans="1:12" ht="18.75" customHeight="1" x14ac:dyDescent="0.35">
      <c r="A59" s="299" t="s">
        <v>208</v>
      </c>
      <c r="B59" s="299"/>
      <c r="C59" s="299"/>
      <c r="D59" s="299"/>
      <c r="E59" s="299"/>
      <c r="F59" s="299"/>
      <c r="G59" s="299"/>
      <c r="H59" s="299"/>
      <c r="I59" s="299"/>
      <c r="J59" s="259"/>
      <c r="K59" s="259"/>
      <c r="L59" s="259"/>
    </row>
    <row r="60" spans="1:12" x14ac:dyDescent="0.35">
      <c r="A60" s="76" t="s">
        <v>33</v>
      </c>
      <c r="B60" s="76"/>
      <c r="C60" s="76"/>
      <c r="D60" s="51"/>
      <c r="E60" s="51"/>
      <c r="F60" s="51"/>
      <c r="G60" s="51"/>
      <c r="H60" s="51"/>
      <c r="I60" s="51"/>
    </row>
    <row r="61" spans="1:12" x14ac:dyDescent="0.35">
      <c r="A61" s="76" t="s">
        <v>179</v>
      </c>
      <c r="B61" s="76"/>
      <c r="C61" s="76"/>
      <c r="D61" s="51"/>
      <c r="E61" s="51"/>
      <c r="F61" s="51"/>
      <c r="G61" s="51"/>
      <c r="H61" s="51"/>
      <c r="I61" s="51"/>
    </row>
    <row r="62" spans="1:12" x14ac:dyDescent="0.35">
      <c r="A62" s="76" t="s">
        <v>105</v>
      </c>
      <c r="B62" s="76"/>
      <c r="C62" s="76"/>
      <c r="D62" s="51"/>
      <c r="E62" s="51"/>
      <c r="F62" s="51"/>
      <c r="G62" s="51"/>
      <c r="H62" s="51"/>
      <c r="I62" s="51"/>
    </row>
    <row r="63" spans="1:12" x14ac:dyDescent="0.35">
      <c r="A63" s="3" t="s">
        <v>180</v>
      </c>
      <c r="B63" s="3"/>
      <c r="C63" s="3"/>
    </row>
  </sheetData>
  <mergeCells count="6">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3"/>
  <sheetViews>
    <sheetView workbookViewId="0"/>
  </sheetViews>
  <sheetFormatPr defaultColWidth="9.1796875" defaultRowHeight="14.5" x14ac:dyDescent="0.35"/>
  <cols>
    <col min="1" max="1" width="43.1796875" style="59" customWidth="1"/>
    <col min="2" max="2" width="14.26953125" style="59" bestFit="1" customWidth="1"/>
    <col min="3" max="3" width="14.26953125" style="59" customWidth="1"/>
    <col min="4" max="4" width="13.26953125" style="59" bestFit="1" customWidth="1"/>
    <col min="5" max="16384" width="9.1796875" style="59"/>
  </cols>
  <sheetData>
    <row r="1" spans="1:5" x14ac:dyDescent="0.35">
      <c r="A1" s="76" t="str">
        <f>+'PPC Cycle 2'!A1</f>
        <v>Evergy Missouri West, Inc. - DSIM Rider Update Filed 06/01/2020</v>
      </c>
    </row>
    <row r="2" spans="1:5" x14ac:dyDescent="0.35">
      <c r="A2" s="9" t="str">
        <f>+'PPC Cycle 2'!A2</f>
        <v>Projections for Cycle 2 July 2020 - June 2021 DSIM</v>
      </c>
    </row>
    <row r="3" spans="1:5" ht="45.75" customHeight="1" x14ac:dyDescent="0.35">
      <c r="B3" s="290" t="s">
        <v>107</v>
      </c>
      <c r="C3" s="290"/>
      <c r="D3" s="290"/>
    </row>
    <row r="4" spans="1:5" x14ac:dyDescent="0.35">
      <c r="B4" s="83"/>
      <c r="C4" s="83"/>
      <c r="D4" s="61" t="s">
        <v>19</v>
      </c>
    </row>
    <row r="5" spans="1:5" x14ac:dyDescent="0.35">
      <c r="A5" s="21" t="s">
        <v>88</v>
      </c>
      <c r="B5" s="83"/>
      <c r="C5" s="83"/>
      <c r="D5" s="212">
        <f>+D23</f>
        <v>0</v>
      </c>
    </row>
    <row r="6" spans="1:5" x14ac:dyDescent="0.35">
      <c r="A6" s="21" t="s">
        <v>89</v>
      </c>
      <c r="B6" s="83"/>
      <c r="C6" s="83"/>
      <c r="D6" s="212">
        <f>+D33</f>
        <v>0</v>
      </c>
    </row>
    <row r="7" spans="1:5" ht="29" x14ac:dyDescent="0.35">
      <c r="A7" s="21"/>
      <c r="B7" s="83"/>
      <c r="C7" s="83" t="s">
        <v>99</v>
      </c>
      <c r="D7" s="172"/>
    </row>
    <row r="8" spans="1:5" x14ac:dyDescent="0.35">
      <c r="A8" s="21" t="s">
        <v>26</v>
      </c>
      <c r="B8" s="83"/>
      <c r="C8" s="211">
        <v>0.5</v>
      </c>
      <c r="D8" s="242">
        <f>ROUND(SUM(D5:D6)*C8,2)</f>
        <v>0</v>
      </c>
      <c r="E8" s="4"/>
    </row>
    <row r="9" spans="1:5" x14ac:dyDescent="0.35">
      <c r="A9" s="21" t="s">
        <v>27</v>
      </c>
      <c r="B9" s="83"/>
      <c r="C9" s="211">
        <v>0.5</v>
      </c>
      <c r="D9" s="242">
        <f>ROUND(SUM(D5:D6)*C9,2)</f>
        <v>0</v>
      </c>
      <c r="E9" s="4"/>
    </row>
    <row r="10" spans="1:5" ht="15" thickBot="1" x14ac:dyDescent="0.4">
      <c r="A10" s="21" t="s">
        <v>6</v>
      </c>
      <c r="B10" s="83"/>
      <c r="C10" s="211">
        <f>SUM(C8:C9)</f>
        <v>1</v>
      </c>
      <c r="D10" s="243">
        <f>SUM(D8:D9)</f>
        <v>0</v>
      </c>
      <c r="E10" s="4"/>
    </row>
    <row r="11" spans="1:5" ht="15.5" thickTop="1" thickBot="1" x14ac:dyDescent="0.4">
      <c r="B11" s="32"/>
      <c r="C11" s="32"/>
      <c r="D11" s="244">
        <f>ROUND(D5+D6,2)-D10</f>
        <v>0</v>
      </c>
      <c r="E11" s="2"/>
    </row>
    <row r="12" spans="1:5" ht="58.5" thickTop="1" x14ac:dyDescent="0.35">
      <c r="D12" s="253"/>
      <c r="E12" s="252" t="s">
        <v>124</v>
      </c>
    </row>
    <row r="13" spans="1:5" x14ac:dyDescent="0.35">
      <c r="A13" s="21" t="s">
        <v>121</v>
      </c>
      <c r="D13" s="35">
        <f>ROUND($D$9*E13,2)</f>
        <v>0</v>
      </c>
      <c r="E13" s="250">
        <f>+'[3]Monthly TD Calc'!$CY$44</f>
        <v>0.39209287804949344</v>
      </c>
    </row>
    <row r="14" spans="1:5" x14ac:dyDescent="0.35">
      <c r="A14" s="21" t="s">
        <v>122</v>
      </c>
      <c r="D14" s="35">
        <f t="shared" ref="D14:D15" si="0">ROUND($D$9*E14,2)</f>
        <v>0</v>
      </c>
      <c r="E14" s="250">
        <f>+'[3]Monthly TD Calc'!$DA$44</f>
        <v>0.45435908608374953</v>
      </c>
    </row>
    <row r="15" spans="1:5" ht="15" thickBot="1" x14ac:dyDescent="0.4">
      <c r="A15" s="21" t="s">
        <v>123</v>
      </c>
      <c r="D15" s="35">
        <f t="shared" si="0"/>
        <v>0</v>
      </c>
      <c r="E15" s="250">
        <f>+'[3]Monthly TD Calc'!$DB$44</f>
        <v>0.15354803586675725</v>
      </c>
    </row>
    <row r="16" spans="1:5" ht="15.5" thickTop="1" thickBot="1" x14ac:dyDescent="0.4">
      <c r="A16" s="21" t="s">
        <v>125</v>
      </c>
      <c r="D16" s="39">
        <f>SUM(D13:D15)</f>
        <v>0</v>
      </c>
      <c r="E16" s="251">
        <f>SUM(E13:E15)</f>
        <v>1.0000000000000002</v>
      </c>
    </row>
    <row r="17" spans="1:4" ht="15" thickTop="1" x14ac:dyDescent="0.35"/>
    <row r="18" spans="1:4" x14ac:dyDescent="0.35">
      <c r="A18" s="66" t="s">
        <v>13</v>
      </c>
    </row>
    <row r="19" spans="1:4" s="51" customFormat="1" x14ac:dyDescent="0.35">
      <c r="A19" s="3" t="s">
        <v>109</v>
      </c>
      <c r="B19" s="59"/>
      <c r="C19" s="59"/>
      <c r="D19" s="59"/>
    </row>
    <row r="20" spans="1:4" s="51" customFormat="1" x14ac:dyDescent="0.35">
      <c r="A20" s="3" t="s">
        <v>100</v>
      </c>
      <c r="B20" s="59"/>
      <c r="C20" s="59"/>
      <c r="D20" s="59"/>
    </row>
    <row r="21" spans="1:4" s="51" customFormat="1" x14ac:dyDescent="0.35">
      <c r="A21" s="3" t="s">
        <v>110</v>
      </c>
      <c r="B21" s="59"/>
      <c r="C21" s="59"/>
      <c r="D21" s="59"/>
    </row>
    <row r="23" spans="1:4" x14ac:dyDescent="0.35">
      <c r="A23" s="3" t="s">
        <v>108</v>
      </c>
      <c r="D23" s="213">
        <v>0</v>
      </c>
    </row>
    <row r="24" spans="1:4" x14ac:dyDescent="0.35">
      <c r="D24" s="213"/>
    </row>
    <row r="25" spans="1:4" ht="43.5" x14ac:dyDescent="0.35">
      <c r="B25" s="83" t="s">
        <v>101</v>
      </c>
      <c r="D25" s="213"/>
    </row>
    <row r="26" spans="1:4" x14ac:dyDescent="0.35">
      <c r="A26" s="239"/>
      <c r="B26" s="240"/>
      <c r="D26" s="213">
        <f>ROUND(SUM(D$23:D25)*B26,2)</f>
        <v>0</v>
      </c>
    </row>
    <row r="27" spans="1:4" x14ac:dyDescent="0.35">
      <c r="A27" s="239"/>
      <c r="B27" s="240"/>
      <c r="D27" s="213">
        <f>ROUND(SUM(D$23:D26)*B27,2)</f>
        <v>0</v>
      </c>
    </row>
    <row r="28" spans="1:4" x14ac:dyDescent="0.35">
      <c r="A28" s="239"/>
      <c r="B28" s="240"/>
      <c r="D28" s="213">
        <f>ROUND(SUM(D$23:D27)*B28,2)</f>
        <v>0</v>
      </c>
    </row>
    <row r="29" spans="1:4" x14ac:dyDescent="0.35">
      <c r="A29" s="239"/>
      <c r="B29" s="240"/>
      <c r="D29" s="213">
        <f>ROUND(SUM(D$23:D28)*B29,2)</f>
        <v>0</v>
      </c>
    </row>
    <row r="30" spans="1:4" x14ac:dyDescent="0.35">
      <c r="A30" s="239"/>
      <c r="B30" s="214"/>
      <c r="D30" s="213">
        <f>ROUND(SUM(D$23:D29)*B30,2)</f>
        <v>0</v>
      </c>
    </row>
    <row r="31" spans="1:4" x14ac:dyDescent="0.35">
      <c r="A31" s="239"/>
      <c r="B31" s="214"/>
      <c r="D31" s="213">
        <f>ROUND(SUM(D$23:D30)*B31,2)</f>
        <v>0</v>
      </c>
    </row>
    <row r="32" spans="1:4" ht="16" x14ac:dyDescent="0.5">
      <c r="A32" s="239"/>
      <c r="B32" s="214"/>
      <c r="D32" s="241">
        <f>ROUND(SUM(D$23:D31)*B32,2)</f>
        <v>0</v>
      </c>
    </row>
    <row r="33" spans="1:4" x14ac:dyDescent="0.35">
      <c r="A33" s="239"/>
      <c r="D33" s="213">
        <f>SUM(D26:D32)</f>
        <v>0</v>
      </c>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3"/>
  <sheetViews>
    <sheetView workbookViewId="0"/>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453125" style="59" customWidth="1"/>
    <col min="11" max="11" width="12.81640625" style="59" customWidth="1"/>
    <col min="12" max="12" width="16" style="59" customWidth="1"/>
    <col min="13" max="13" width="15" style="59" bestFit="1" customWidth="1"/>
    <col min="14" max="14" width="16" style="59" bestFit="1" customWidth="1"/>
    <col min="15" max="15" width="17.81640625" style="59"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35" x14ac:dyDescent="0.35">
      <c r="A1" s="3" t="str">
        <f>+'PPC Cycle 2'!A1</f>
        <v>Evergy Missouri West, Inc. - DSIM Rider Update Filed 06/01/2020</v>
      </c>
      <c r="B1" s="3"/>
      <c r="C1" s="3"/>
    </row>
    <row r="2" spans="1:35" x14ac:dyDescent="0.35">
      <c r="D2" s="3" t="s">
        <v>106</v>
      </c>
    </row>
    <row r="3" spans="1:35" ht="29" x14ac:dyDescent="0.35">
      <c r="D3" s="61" t="s">
        <v>48</v>
      </c>
      <c r="E3" s="83" t="s">
        <v>19</v>
      </c>
      <c r="F3" s="61" t="s">
        <v>3</v>
      </c>
      <c r="G3" s="83" t="s">
        <v>57</v>
      </c>
      <c r="H3" s="61" t="s">
        <v>11</v>
      </c>
      <c r="I3" s="61" t="s">
        <v>20</v>
      </c>
      <c r="S3" s="61"/>
    </row>
    <row r="4" spans="1:35" x14ac:dyDescent="0.35">
      <c r="A4" s="21" t="s">
        <v>26</v>
      </c>
      <c r="B4" s="21"/>
      <c r="C4" s="21"/>
      <c r="D4" s="23">
        <f>SUM(C18:L18)</f>
        <v>0</v>
      </c>
      <c r="E4" s="23">
        <f>SUM(C22:K22)</f>
        <v>0</v>
      </c>
      <c r="F4" s="23">
        <f>E4-D4</f>
        <v>0</v>
      </c>
      <c r="G4" s="23">
        <f>+B32</f>
        <v>0</v>
      </c>
      <c r="H4" s="23">
        <f>SUM(C37:K37)</f>
        <v>0</v>
      </c>
      <c r="I4" s="35">
        <f>SUM(F4:H4)</f>
        <v>0</v>
      </c>
      <c r="J4" s="60">
        <f>+I4-L32</f>
        <v>0</v>
      </c>
      <c r="M4" s="60"/>
    </row>
    <row r="5" spans="1:35" ht="15" thickBot="1" x14ac:dyDescent="0.4">
      <c r="A5" s="21" t="s">
        <v>27</v>
      </c>
      <c r="B5" s="21"/>
      <c r="C5" s="21"/>
      <c r="D5" s="23">
        <f>SUM(C19:L19)</f>
        <v>0</v>
      </c>
      <c r="E5" s="23">
        <f>SUM(C23:K23)</f>
        <v>0</v>
      </c>
      <c r="F5" s="23">
        <f>E5-D5</f>
        <v>0</v>
      </c>
      <c r="G5" s="23">
        <f>+B33</f>
        <v>0</v>
      </c>
      <c r="H5" s="23">
        <f>SUM(C38:K38)</f>
        <v>0</v>
      </c>
      <c r="I5" s="35">
        <f>SUM(F5:H5)</f>
        <v>0</v>
      </c>
      <c r="J5" s="60">
        <f>+I5-L33</f>
        <v>0</v>
      </c>
      <c r="M5" s="60"/>
    </row>
    <row r="6" spans="1:35" ht="15.5" thickTop="1" thickBot="1" x14ac:dyDescent="0.4">
      <c r="D6" s="39">
        <f t="shared" ref="D6" si="0">SUM(D4:D5)</f>
        <v>0</v>
      </c>
      <c r="E6" s="39">
        <f>SUM(E4:E5)</f>
        <v>0</v>
      </c>
      <c r="F6" s="39">
        <f>SUM(F4:F5)</f>
        <v>0</v>
      </c>
      <c r="G6" s="39">
        <f>SUM(G4:G5)</f>
        <v>0</v>
      </c>
      <c r="H6" s="39">
        <f>SUM(H4:H5)</f>
        <v>0</v>
      </c>
      <c r="I6" s="39">
        <f>SUM(I4:I5)</f>
        <v>0</v>
      </c>
      <c r="T6" s="5"/>
    </row>
    <row r="7" spans="1:35" ht="44" thickTop="1" x14ac:dyDescent="0.35">
      <c r="I7" s="253"/>
      <c r="J7" s="252" t="s">
        <v>138</v>
      </c>
    </row>
    <row r="8" spans="1:35" x14ac:dyDescent="0.35">
      <c r="A8" s="21" t="s">
        <v>121</v>
      </c>
      <c r="I8" s="35">
        <f>ROUND($I$5*J8,2)</f>
        <v>0</v>
      </c>
      <c r="J8" s="250">
        <v>0</v>
      </c>
    </row>
    <row r="9" spans="1:35" x14ac:dyDescent="0.35">
      <c r="A9" s="21" t="s">
        <v>122</v>
      </c>
      <c r="I9" s="35">
        <f t="shared" ref="I9:I10" si="1">ROUND($I$5*J9,2)</f>
        <v>0</v>
      </c>
      <c r="J9" s="250">
        <v>0</v>
      </c>
    </row>
    <row r="10" spans="1:35" ht="15" thickBot="1" x14ac:dyDescent="0.4">
      <c r="A10" s="21" t="s">
        <v>123</v>
      </c>
      <c r="I10" s="35">
        <f t="shared" si="1"/>
        <v>0</v>
      </c>
      <c r="J10" s="250">
        <v>0</v>
      </c>
    </row>
    <row r="11" spans="1:35" ht="15.5" thickTop="1" thickBot="1" x14ac:dyDescent="0.4">
      <c r="A11" s="21" t="s">
        <v>125</v>
      </c>
      <c r="I11" s="39">
        <f>SUM(I8:I10)</f>
        <v>0</v>
      </c>
      <c r="J11" s="251">
        <f>SUM(J8:J10)</f>
        <v>0</v>
      </c>
      <c r="V11" s="4"/>
    </row>
    <row r="12" spans="1:35" ht="15.5" thickTop="1" thickBot="1" x14ac:dyDescent="0.4">
      <c r="V12" s="4"/>
      <c r="W12" s="5"/>
    </row>
    <row r="13" spans="1:35" ht="116.5" thickBot="1" x14ac:dyDescent="0.4">
      <c r="B13" s="136" t="str">
        <f>+'PCR Cycle 2'!B13</f>
        <v>Cumulative Over/Under Carryover From 12/02/2020 Filing</v>
      </c>
      <c r="C13" s="171" t="str">
        <f>+'PCR Cycle 2'!C13</f>
        <v>Reverse November-19 - January 2020  Forecast From 12/02/2020 Filing</v>
      </c>
      <c r="D13" s="300" t="s">
        <v>35</v>
      </c>
      <c r="E13" s="300"/>
      <c r="F13" s="301"/>
      <c r="G13" s="302" t="s">
        <v>35</v>
      </c>
      <c r="H13" s="303"/>
      <c r="I13" s="304"/>
      <c r="J13" s="296" t="s">
        <v>9</v>
      </c>
      <c r="K13" s="297"/>
      <c r="L13" s="298"/>
    </row>
    <row r="14" spans="1:35" x14ac:dyDescent="0.35">
      <c r="A14" s="59" t="s">
        <v>96</v>
      </c>
      <c r="C14" s="123"/>
      <c r="D14" s="19">
        <f>+'PCR Cycle 2'!D14</f>
        <v>43799</v>
      </c>
      <c r="E14" s="19">
        <f t="shared" ref="E14:L14" si="2">EOMONTH(D14,1)</f>
        <v>43830</v>
      </c>
      <c r="F14" s="19">
        <f t="shared" si="2"/>
        <v>43861</v>
      </c>
      <c r="G14" s="14">
        <f t="shared" si="2"/>
        <v>43890</v>
      </c>
      <c r="H14" s="19">
        <f t="shared" si="2"/>
        <v>43921</v>
      </c>
      <c r="I14" s="15">
        <f t="shared" si="2"/>
        <v>43951</v>
      </c>
      <c r="J14" s="19">
        <f t="shared" si="2"/>
        <v>43982</v>
      </c>
      <c r="K14" s="19">
        <f t="shared" si="2"/>
        <v>44012</v>
      </c>
      <c r="L14" s="15">
        <f t="shared" si="2"/>
        <v>44043</v>
      </c>
      <c r="Z14" s="1"/>
      <c r="AA14" s="1"/>
      <c r="AB14" s="1"/>
      <c r="AC14" s="1"/>
      <c r="AD14" s="1"/>
      <c r="AE14" s="1"/>
      <c r="AF14" s="1"/>
      <c r="AG14" s="1"/>
      <c r="AH14" s="1"/>
      <c r="AI14" s="1"/>
    </row>
    <row r="15" spans="1:35" x14ac:dyDescent="0.35">
      <c r="A15" s="59" t="s">
        <v>6</v>
      </c>
      <c r="C15" s="115">
        <v>0</v>
      </c>
      <c r="D15" s="127">
        <f>SUM(D22:D23)</f>
        <v>0</v>
      </c>
      <c r="E15" s="127">
        <f t="shared" ref="E15:H15" si="3">SUM(E22:E23)</f>
        <v>0</v>
      </c>
      <c r="F15" s="128">
        <f t="shared" si="3"/>
        <v>0</v>
      </c>
      <c r="G15" s="16">
        <f t="shared" si="3"/>
        <v>0</v>
      </c>
      <c r="H15" s="68">
        <f t="shared" si="3"/>
        <v>0</v>
      </c>
      <c r="I15" s="186">
        <f>+I22+I23</f>
        <v>0</v>
      </c>
      <c r="J15" s="179">
        <f t="shared" ref="J15:K15" si="4">+J22+J23</f>
        <v>0</v>
      </c>
      <c r="K15" s="93">
        <f t="shared" si="4"/>
        <v>0</v>
      </c>
      <c r="L15" s="94"/>
    </row>
    <row r="16" spans="1:35" x14ac:dyDescent="0.35">
      <c r="C16" s="117"/>
      <c r="D16" s="17"/>
      <c r="E16" s="17"/>
      <c r="F16" s="17"/>
      <c r="G16" s="10"/>
      <c r="H16" s="17"/>
      <c r="I16" s="11"/>
      <c r="J16" s="43"/>
      <c r="K16" s="43"/>
      <c r="L16" s="41"/>
    </row>
    <row r="17" spans="1:14" x14ac:dyDescent="0.35">
      <c r="A17" s="59" t="s">
        <v>95</v>
      </c>
      <c r="C17" s="117"/>
      <c r="D17" s="18"/>
      <c r="E17" s="18"/>
      <c r="F17" s="18"/>
      <c r="G17" s="109"/>
      <c r="H17" s="18"/>
      <c r="I17" s="187"/>
      <c r="J17" s="43"/>
      <c r="K17" s="43"/>
      <c r="L17" s="41"/>
      <c r="M17" s="3" t="s">
        <v>52</v>
      </c>
      <c r="N17" s="51"/>
    </row>
    <row r="18" spans="1:14" x14ac:dyDescent="0.35">
      <c r="A18" s="59" t="s">
        <v>26</v>
      </c>
      <c r="C18" s="115">
        <v>0</v>
      </c>
      <c r="D18" s="154">
        <v>0</v>
      </c>
      <c r="E18" s="154">
        <v>0</v>
      </c>
      <c r="F18" s="208">
        <v>0</v>
      </c>
      <c r="G18" s="16">
        <v>0</v>
      </c>
      <c r="H18" s="139">
        <v>0</v>
      </c>
      <c r="I18" s="188">
        <v>0</v>
      </c>
      <c r="J18" s="141">
        <f>'PCR Cycle 2'!J26*$M18</f>
        <v>0</v>
      </c>
      <c r="K18" s="53">
        <f>'PCR Cycle 2'!K26*$M18</f>
        <v>0</v>
      </c>
      <c r="L18" s="74">
        <f>'PCR Cycle 2'!L26*$M18</f>
        <v>0</v>
      </c>
      <c r="M18" s="85">
        <v>0</v>
      </c>
      <c r="N18" s="4"/>
    </row>
    <row r="19" spans="1:14" x14ac:dyDescent="0.35">
      <c r="A19" s="59" t="s">
        <v>27</v>
      </c>
      <c r="C19" s="115">
        <v>0</v>
      </c>
      <c r="D19" s="154">
        <v>0</v>
      </c>
      <c r="E19" s="154">
        <v>0</v>
      </c>
      <c r="F19" s="208">
        <v>0</v>
      </c>
      <c r="G19" s="16">
        <v>0</v>
      </c>
      <c r="H19" s="139">
        <v>0</v>
      </c>
      <c r="I19" s="188">
        <v>0</v>
      </c>
      <c r="J19" s="141">
        <f>SUM('PCR Cycle 2'!J27:J29)*$M19</f>
        <v>0</v>
      </c>
      <c r="K19" s="53">
        <f>SUM('PCR Cycle 2'!K27:K29)*$M19</f>
        <v>0</v>
      </c>
      <c r="L19" s="74">
        <f>SUM('PCR Cycle 2'!L27:L29)*$M19</f>
        <v>0</v>
      </c>
      <c r="M19" s="85">
        <v>0</v>
      </c>
      <c r="N19" s="4"/>
    </row>
    <row r="20" spans="1:14" x14ac:dyDescent="0.35">
      <c r="C20" s="80"/>
      <c r="D20" s="81"/>
      <c r="E20" s="81"/>
      <c r="F20" s="81"/>
      <c r="G20" s="116"/>
      <c r="H20" s="81"/>
      <c r="I20" s="189"/>
      <c r="J20" s="69"/>
      <c r="K20" s="69"/>
      <c r="L20" s="13"/>
      <c r="N20" s="4"/>
    </row>
    <row r="21" spans="1:14" x14ac:dyDescent="0.35">
      <c r="A21" s="59" t="s">
        <v>97</v>
      </c>
      <c r="C21" s="48"/>
      <c r="D21" s="49"/>
      <c r="E21" s="49"/>
      <c r="F21" s="49"/>
      <c r="G21" s="48"/>
      <c r="H21" s="49"/>
      <c r="I21" s="192"/>
      <c r="J21" s="65"/>
      <c r="K21" s="65"/>
      <c r="L21" s="50"/>
    </row>
    <row r="22" spans="1:14" x14ac:dyDescent="0.35">
      <c r="A22" s="59" t="s">
        <v>26</v>
      </c>
      <c r="C22" s="115">
        <v>0</v>
      </c>
      <c r="D22" s="127">
        <v>0</v>
      </c>
      <c r="E22" s="127">
        <v>0</v>
      </c>
      <c r="F22" s="128">
        <v>0</v>
      </c>
      <c r="G22" s="16">
        <v>0</v>
      </c>
      <c r="H22" s="68">
        <v>0</v>
      </c>
      <c r="I22" s="186">
        <v>0</v>
      </c>
      <c r="J22" s="181">
        <v>0</v>
      </c>
      <c r="K22" s="161">
        <v>0</v>
      </c>
      <c r="L22" s="94"/>
    </row>
    <row r="23" spans="1:14" x14ac:dyDescent="0.35">
      <c r="A23" s="59" t="s">
        <v>27</v>
      </c>
      <c r="C23" s="115">
        <v>0</v>
      </c>
      <c r="D23" s="127">
        <v>0</v>
      </c>
      <c r="E23" s="127">
        <v>0</v>
      </c>
      <c r="F23" s="128">
        <v>0</v>
      </c>
      <c r="G23" s="16">
        <v>0</v>
      </c>
      <c r="H23" s="68">
        <v>0</v>
      </c>
      <c r="I23" s="186">
        <v>0</v>
      </c>
      <c r="J23" s="181">
        <v>0</v>
      </c>
      <c r="K23" s="161">
        <v>0</v>
      </c>
      <c r="L23" s="94"/>
      <c r="N23" s="60"/>
    </row>
    <row r="24" spans="1:14" x14ac:dyDescent="0.35">
      <c r="C24" s="117"/>
      <c r="D24" s="18"/>
      <c r="E24" s="18"/>
      <c r="F24" s="18"/>
      <c r="G24" s="109"/>
      <c r="H24" s="18"/>
      <c r="I24" s="187"/>
      <c r="J24" s="69"/>
      <c r="K24" s="69"/>
      <c r="L24" s="13"/>
    </row>
    <row r="25" spans="1:14" ht="15" thickBot="1" x14ac:dyDescent="0.4">
      <c r="A25" s="3" t="s">
        <v>16</v>
      </c>
      <c r="B25" s="3"/>
      <c r="C25" s="121">
        <v>0</v>
      </c>
      <c r="D25" s="154">
        <v>0</v>
      </c>
      <c r="E25" s="154">
        <v>0</v>
      </c>
      <c r="F25" s="155">
        <v>0</v>
      </c>
      <c r="G25" s="38">
        <v>0</v>
      </c>
      <c r="H25" s="140">
        <v>0</v>
      </c>
      <c r="I25" s="193">
        <v>0</v>
      </c>
      <c r="J25" s="182"/>
      <c r="K25" s="163"/>
      <c r="L25" s="97"/>
    </row>
    <row r="26" spans="1:14" x14ac:dyDescent="0.35">
      <c r="C26" s="77"/>
      <c r="D26" s="167"/>
      <c r="E26" s="167"/>
      <c r="F26" s="168"/>
      <c r="G26" s="77"/>
      <c r="H26" s="45"/>
      <c r="I26" s="194"/>
      <c r="J26" s="46"/>
      <c r="K26" s="46"/>
      <c r="L26" s="73"/>
    </row>
    <row r="27" spans="1:14" x14ac:dyDescent="0.35">
      <c r="A27" s="59" t="s">
        <v>54</v>
      </c>
      <c r="C27" s="78"/>
      <c r="D27" s="168"/>
      <c r="E27" s="168"/>
      <c r="F27" s="168"/>
      <c r="G27" s="78"/>
      <c r="H27" s="47"/>
      <c r="I27" s="195"/>
      <c r="J27" s="46"/>
      <c r="K27" s="46"/>
      <c r="L27" s="73"/>
    </row>
    <row r="28" spans="1:14" x14ac:dyDescent="0.35">
      <c r="A28" s="59" t="s">
        <v>26</v>
      </c>
      <c r="C28" s="118">
        <f t="shared" ref="C28:L28" si="5">C22-C18</f>
        <v>0</v>
      </c>
      <c r="D28" s="53">
        <f t="shared" si="5"/>
        <v>0</v>
      </c>
      <c r="E28" s="53">
        <f t="shared" si="5"/>
        <v>0</v>
      </c>
      <c r="F28" s="126">
        <f t="shared" si="5"/>
        <v>0</v>
      </c>
      <c r="G28" s="52">
        <f t="shared" si="5"/>
        <v>0</v>
      </c>
      <c r="H28" s="53">
        <f t="shared" si="5"/>
        <v>0</v>
      </c>
      <c r="I28" s="74">
        <f t="shared" si="5"/>
        <v>0</v>
      </c>
      <c r="J28" s="141">
        <f t="shared" si="5"/>
        <v>0</v>
      </c>
      <c r="K28" s="53">
        <f t="shared" si="5"/>
        <v>0</v>
      </c>
      <c r="L28" s="74">
        <f t="shared" si="5"/>
        <v>0</v>
      </c>
    </row>
    <row r="29" spans="1:14" x14ac:dyDescent="0.35">
      <c r="A29" s="59" t="s">
        <v>27</v>
      </c>
      <c r="C29" s="118">
        <f t="shared" ref="C29:L29" si="6">C23-C19</f>
        <v>0</v>
      </c>
      <c r="D29" s="53">
        <f t="shared" si="6"/>
        <v>0</v>
      </c>
      <c r="E29" s="53">
        <f t="shared" si="6"/>
        <v>0</v>
      </c>
      <c r="F29" s="126">
        <f t="shared" si="6"/>
        <v>0</v>
      </c>
      <c r="G29" s="52">
        <f t="shared" si="6"/>
        <v>0</v>
      </c>
      <c r="H29" s="53">
        <f t="shared" si="6"/>
        <v>0</v>
      </c>
      <c r="I29" s="74">
        <f t="shared" si="6"/>
        <v>0</v>
      </c>
      <c r="J29" s="141">
        <f t="shared" si="6"/>
        <v>0</v>
      </c>
      <c r="K29" s="53">
        <f t="shared" si="6"/>
        <v>0</v>
      </c>
      <c r="L29" s="74">
        <f t="shared" si="6"/>
        <v>0</v>
      </c>
    </row>
    <row r="30" spans="1:14" x14ac:dyDescent="0.35">
      <c r="C30" s="117"/>
      <c r="D30" s="17"/>
      <c r="E30" s="17"/>
      <c r="F30" s="17"/>
      <c r="G30" s="10"/>
      <c r="H30" s="17"/>
      <c r="I30" s="11"/>
      <c r="J30" s="17"/>
      <c r="K30" s="17"/>
      <c r="L30" s="11"/>
    </row>
    <row r="31" spans="1:14" ht="15" thickBot="1" x14ac:dyDescent="0.4">
      <c r="A31" s="59" t="s">
        <v>55</v>
      </c>
      <c r="C31" s="117"/>
      <c r="D31" s="17"/>
      <c r="E31" s="17"/>
      <c r="F31" s="17"/>
      <c r="G31" s="10"/>
      <c r="H31" s="17"/>
      <c r="I31" s="11"/>
      <c r="J31" s="17"/>
      <c r="K31" s="17"/>
      <c r="L31" s="11"/>
    </row>
    <row r="32" spans="1:14" x14ac:dyDescent="0.35">
      <c r="A32" s="59" t="s">
        <v>26</v>
      </c>
      <c r="B32" s="134">
        <v>0</v>
      </c>
      <c r="C32" s="118">
        <f>B32+C28+B37</f>
        <v>0</v>
      </c>
      <c r="D32" s="53">
        <f t="shared" ref="D32:L33" si="7">C32+D28+C37</f>
        <v>0</v>
      </c>
      <c r="E32" s="53">
        <f t="shared" si="7"/>
        <v>0</v>
      </c>
      <c r="F32" s="126">
        <f t="shared" si="7"/>
        <v>0</v>
      </c>
      <c r="G32" s="52">
        <f t="shared" si="7"/>
        <v>0</v>
      </c>
      <c r="H32" s="53">
        <f t="shared" si="7"/>
        <v>0</v>
      </c>
      <c r="I32" s="74">
        <f t="shared" si="7"/>
        <v>0</v>
      </c>
      <c r="J32" s="141">
        <f t="shared" si="7"/>
        <v>0</v>
      </c>
      <c r="K32" s="53">
        <f t="shared" si="7"/>
        <v>0</v>
      </c>
      <c r="L32" s="74">
        <f t="shared" si="7"/>
        <v>0</v>
      </c>
    </row>
    <row r="33" spans="1:12" ht="15" thickBot="1" x14ac:dyDescent="0.4">
      <c r="A33" s="59" t="s">
        <v>27</v>
      </c>
      <c r="B33" s="135">
        <v>0</v>
      </c>
      <c r="C33" s="118">
        <f>B33+C29+B38</f>
        <v>0</v>
      </c>
      <c r="D33" s="53">
        <f t="shared" si="7"/>
        <v>0</v>
      </c>
      <c r="E33" s="53">
        <f t="shared" si="7"/>
        <v>0</v>
      </c>
      <c r="F33" s="126">
        <f t="shared" si="7"/>
        <v>0</v>
      </c>
      <c r="G33" s="52">
        <f t="shared" si="7"/>
        <v>0</v>
      </c>
      <c r="H33" s="53">
        <f t="shared" si="7"/>
        <v>0</v>
      </c>
      <c r="I33" s="74">
        <f t="shared" si="7"/>
        <v>0</v>
      </c>
      <c r="J33" s="141">
        <f t="shared" si="7"/>
        <v>0</v>
      </c>
      <c r="K33" s="53">
        <f t="shared" si="7"/>
        <v>0</v>
      </c>
      <c r="L33" s="74">
        <f t="shared" si="7"/>
        <v>0</v>
      </c>
    </row>
    <row r="34" spans="1:12" x14ac:dyDescent="0.35">
      <c r="C34" s="117"/>
      <c r="D34" s="17"/>
      <c r="E34" s="17"/>
      <c r="F34" s="17"/>
      <c r="G34" s="10"/>
      <c r="H34" s="17"/>
      <c r="I34" s="11"/>
      <c r="J34" s="17"/>
      <c r="K34" s="17"/>
      <c r="L34" s="11"/>
    </row>
    <row r="35" spans="1:12" x14ac:dyDescent="0.35">
      <c r="A35" s="51" t="s">
        <v>93</v>
      </c>
      <c r="B35" s="51"/>
      <c r="C35" s="122"/>
      <c r="D35" s="98">
        <f>+'PCR Cycle 2'!D47</f>
        <v>2.4882900000000002E-3</v>
      </c>
      <c r="E35" s="98">
        <f>+'PCR Cycle 2'!E47</f>
        <v>2.5028199999999998E-3</v>
      </c>
      <c r="F35" s="98">
        <f>+'PCR Cycle 2'!F47</f>
        <v>2.43764E-3</v>
      </c>
      <c r="G35" s="99">
        <f>+'PCR Cycle 2'!G47</f>
        <v>2.4056699999999999E-3</v>
      </c>
      <c r="H35" s="98">
        <f>+'PCR Cycle 2'!H47</f>
        <v>1.8183299999999999E-3</v>
      </c>
      <c r="I35" s="110">
        <f>+'PCR Cycle 2'!I47</f>
        <v>1.62864E-3</v>
      </c>
      <c r="J35" s="98">
        <f>+'PCR Cycle 2'!J47</f>
        <v>1.62864E-3</v>
      </c>
      <c r="K35" s="98">
        <f>+'PCR Cycle 2'!K47</f>
        <v>1.62864E-3</v>
      </c>
      <c r="L35" s="100"/>
    </row>
    <row r="36" spans="1:12" x14ac:dyDescent="0.35">
      <c r="A36" s="51" t="s">
        <v>39</v>
      </c>
      <c r="B36" s="51"/>
      <c r="C36" s="124"/>
      <c r="D36" s="98"/>
      <c r="E36" s="98"/>
      <c r="F36" s="98"/>
      <c r="G36" s="99"/>
      <c r="H36" s="98"/>
      <c r="I36" s="100"/>
      <c r="J36" s="98"/>
      <c r="K36" s="98"/>
      <c r="L36" s="100"/>
    </row>
    <row r="37" spans="1:12" x14ac:dyDescent="0.35">
      <c r="A37" s="59" t="s">
        <v>26</v>
      </c>
      <c r="C37" s="118">
        <v>0</v>
      </c>
      <c r="D37" s="53">
        <f t="shared" ref="D37:L38" si="8">ROUND((C32+C37+D28/2)*D$35,2)</f>
        <v>0</v>
      </c>
      <c r="E37" s="53">
        <f t="shared" si="8"/>
        <v>0</v>
      </c>
      <c r="F37" s="126">
        <f t="shared" si="8"/>
        <v>0</v>
      </c>
      <c r="G37" s="52">
        <f t="shared" si="8"/>
        <v>0</v>
      </c>
      <c r="H37" s="141">
        <f t="shared" si="8"/>
        <v>0</v>
      </c>
      <c r="I37" s="62">
        <f t="shared" si="8"/>
        <v>0</v>
      </c>
      <c r="J37" s="183">
        <f t="shared" si="8"/>
        <v>0</v>
      </c>
      <c r="K37" s="126">
        <f t="shared" si="8"/>
        <v>0</v>
      </c>
      <c r="L37" s="74">
        <f t="shared" si="8"/>
        <v>0</v>
      </c>
    </row>
    <row r="38" spans="1:12" ht="15" thickBot="1" x14ac:dyDescent="0.4">
      <c r="A38" s="59" t="s">
        <v>27</v>
      </c>
      <c r="C38" s="118">
        <v>0</v>
      </c>
      <c r="D38" s="53">
        <f t="shared" si="8"/>
        <v>0</v>
      </c>
      <c r="E38" s="53">
        <f t="shared" si="8"/>
        <v>0</v>
      </c>
      <c r="F38" s="126">
        <f t="shared" si="8"/>
        <v>0</v>
      </c>
      <c r="G38" s="52">
        <f t="shared" si="8"/>
        <v>0</v>
      </c>
      <c r="H38" s="141">
        <f t="shared" si="8"/>
        <v>0</v>
      </c>
      <c r="I38" s="62">
        <f t="shared" si="8"/>
        <v>0</v>
      </c>
      <c r="J38" s="183">
        <f t="shared" si="8"/>
        <v>0</v>
      </c>
      <c r="K38" s="126">
        <f t="shared" si="8"/>
        <v>0</v>
      </c>
      <c r="L38" s="74">
        <f t="shared" si="8"/>
        <v>0</v>
      </c>
    </row>
    <row r="39" spans="1:12" ht="15.5" thickTop="1" thickBot="1" x14ac:dyDescent="0.4">
      <c r="A39" s="67" t="s">
        <v>24</v>
      </c>
      <c r="B39" s="67"/>
      <c r="C39" s="125">
        <v>0</v>
      </c>
      <c r="D39" s="54">
        <f t="shared" ref="D39:I39" si="9">SUM(D37:D38)+SUM(D32:D33)-D42</f>
        <v>0</v>
      </c>
      <c r="E39" s="54">
        <f t="shared" si="9"/>
        <v>0</v>
      </c>
      <c r="F39" s="63">
        <f t="shared" ref="F39:H39" si="10">SUM(F37:F38)+SUM(F32:F33)-F42</f>
        <v>0</v>
      </c>
      <c r="G39" s="165">
        <f t="shared" si="10"/>
        <v>0</v>
      </c>
      <c r="H39" s="63">
        <f t="shared" si="10"/>
        <v>0</v>
      </c>
      <c r="I39" s="75">
        <f t="shared" si="9"/>
        <v>0</v>
      </c>
      <c r="J39" s="184">
        <f t="shared" ref="J39:L39" si="11">SUM(J37:J38)+SUM(J32:J33)-J42</f>
        <v>0</v>
      </c>
      <c r="K39" s="63">
        <f t="shared" si="11"/>
        <v>0</v>
      </c>
      <c r="L39" s="75">
        <f t="shared" si="11"/>
        <v>0</v>
      </c>
    </row>
    <row r="40" spans="1:12" ht="15.5" thickTop="1" thickBot="1" x14ac:dyDescent="0.4">
      <c r="A40" s="67" t="s">
        <v>25</v>
      </c>
      <c r="B40" s="67"/>
      <c r="C40" s="125">
        <v>0</v>
      </c>
      <c r="D40" s="54">
        <f t="shared" ref="D40:I40" si="12">SUM(D37:D38)-D25</f>
        <v>0</v>
      </c>
      <c r="E40" s="54">
        <f t="shared" si="12"/>
        <v>0</v>
      </c>
      <c r="F40" s="63">
        <f t="shared" ref="F40:H40" si="13">SUM(F37:F38)-F25</f>
        <v>0</v>
      </c>
      <c r="G40" s="165">
        <f t="shared" si="13"/>
        <v>0</v>
      </c>
      <c r="H40" s="63">
        <f t="shared" si="13"/>
        <v>0</v>
      </c>
      <c r="I40" s="75">
        <f t="shared" si="12"/>
        <v>0</v>
      </c>
      <c r="J40" s="185">
        <f t="shared" ref="J40:L40" si="14">SUM(J37:J38)-J25</f>
        <v>0</v>
      </c>
      <c r="K40" s="54">
        <f t="shared" si="14"/>
        <v>0</v>
      </c>
      <c r="L40" s="54">
        <f t="shared" si="14"/>
        <v>0</v>
      </c>
    </row>
    <row r="41" spans="1:12" ht="15.5" thickTop="1" thickBot="1" x14ac:dyDescent="0.4">
      <c r="C41" s="117"/>
      <c r="D41" s="17"/>
      <c r="E41" s="17"/>
      <c r="F41" s="17"/>
      <c r="G41" s="10"/>
      <c r="H41" s="17"/>
      <c r="I41" s="11"/>
      <c r="J41" s="17"/>
      <c r="K41" s="17"/>
      <c r="L41" s="11"/>
    </row>
    <row r="42" spans="1:12" ht="15" thickBot="1" x14ac:dyDescent="0.4">
      <c r="A42" s="59" t="s">
        <v>38</v>
      </c>
      <c r="B42" s="137">
        <v>0</v>
      </c>
      <c r="C42" s="118">
        <f t="shared" ref="C42:L42" si="15">(C15-SUM(C18:C19))+SUM(C37:C38)+B42</f>
        <v>0</v>
      </c>
      <c r="D42" s="53">
        <f t="shared" si="15"/>
        <v>0</v>
      </c>
      <c r="E42" s="53">
        <f t="shared" si="15"/>
        <v>0</v>
      </c>
      <c r="F42" s="126">
        <f t="shared" si="15"/>
        <v>0</v>
      </c>
      <c r="G42" s="52">
        <f t="shared" si="15"/>
        <v>0</v>
      </c>
      <c r="H42" s="53">
        <f t="shared" si="15"/>
        <v>0</v>
      </c>
      <c r="I42" s="74">
        <f t="shared" si="15"/>
        <v>0</v>
      </c>
      <c r="J42" s="183">
        <f t="shared" si="15"/>
        <v>0</v>
      </c>
      <c r="K42" s="126">
        <f t="shared" si="15"/>
        <v>0</v>
      </c>
      <c r="L42" s="74">
        <f t="shared" si="15"/>
        <v>0</v>
      </c>
    </row>
    <row r="43" spans="1:12" x14ac:dyDescent="0.35">
      <c r="A43" s="59" t="s">
        <v>14</v>
      </c>
      <c r="C43" s="138"/>
      <c r="D43" s="17"/>
      <c r="E43" s="17"/>
      <c r="F43" s="17"/>
      <c r="G43" s="10"/>
      <c r="H43" s="17"/>
      <c r="I43" s="11"/>
      <c r="J43" s="17"/>
      <c r="K43" s="17"/>
      <c r="L43" s="11"/>
    </row>
    <row r="44" spans="1:12" ht="15" thickBot="1" x14ac:dyDescent="0.4">
      <c r="A44" s="49"/>
      <c r="B44" s="49"/>
      <c r="C44" s="166"/>
      <c r="D44" s="56"/>
      <c r="E44" s="56"/>
      <c r="F44" s="56"/>
      <c r="G44" s="55"/>
      <c r="H44" s="56"/>
      <c r="I44" s="57"/>
      <c r="J44" s="56"/>
      <c r="K44" s="56"/>
      <c r="L44" s="57"/>
    </row>
    <row r="46" spans="1:12" x14ac:dyDescent="0.35">
      <c r="A46" s="82" t="s">
        <v>13</v>
      </c>
      <c r="B46" s="82"/>
      <c r="C46" s="82"/>
    </row>
    <row r="47" spans="1:12" x14ac:dyDescent="0.35">
      <c r="A47" s="305" t="s">
        <v>202</v>
      </c>
      <c r="B47" s="305"/>
      <c r="C47" s="305"/>
      <c r="D47" s="305"/>
      <c r="E47" s="305"/>
      <c r="F47" s="305"/>
      <c r="G47" s="305"/>
      <c r="H47" s="305"/>
      <c r="I47" s="305"/>
      <c r="J47" s="202"/>
      <c r="K47" s="202"/>
      <c r="L47" s="202"/>
    </row>
    <row r="48" spans="1:12" ht="32.25" customHeight="1" x14ac:dyDescent="0.35">
      <c r="A48" s="305" t="s">
        <v>203</v>
      </c>
      <c r="B48" s="305"/>
      <c r="C48" s="305"/>
      <c r="D48" s="305"/>
      <c r="E48" s="305"/>
      <c r="F48" s="305"/>
      <c r="G48" s="305"/>
      <c r="H48" s="305"/>
      <c r="I48" s="305"/>
      <c r="J48" s="202"/>
      <c r="K48" s="202"/>
    </row>
    <row r="49" spans="1:12" ht="18.75" customHeight="1" x14ac:dyDescent="0.35">
      <c r="A49" s="3" t="s">
        <v>33</v>
      </c>
      <c r="B49" s="3"/>
      <c r="C49" s="3"/>
      <c r="I49" s="4"/>
      <c r="J49" s="202"/>
      <c r="K49" s="202"/>
      <c r="L49" s="202"/>
    </row>
    <row r="50" spans="1:12" x14ac:dyDescent="0.35">
      <c r="A50" s="3" t="s">
        <v>204</v>
      </c>
      <c r="B50" s="3"/>
      <c r="C50" s="3"/>
      <c r="I50" s="4"/>
    </row>
    <row r="51" spans="1:12" x14ac:dyDescent="0.35">
      <c r="A51" s="3" t="s">
        <v>142</v>
      </c>
      <c r="B51" s="3"/>
      <c r="C51" s="3"/>
      <c r="I51" s="4"/>
    </row>
    <row r="52" spans="1:12" x14ac:dyDescent="0.35">
      <c r="A52" s="3" t="s">
        <v>205</v>
      </c>
      <c r="B52" s="76"/>
      <c r="C52" s="76"/>
      <c r="D52" s="51"/>
      <c r="E52" s="51"/>
      <c r="F52" s="51"/>
      <c r="G52" s="51"/>
      <c r="H52" s="51"/>
      <c r="I52" s="51"/>
    </row>
    <row r="53" spans="1:12" x14ac:dyDescent="0.35">
      <c r="A53" s="3"/>
      <c r="B53" s="3"/>
      <c r="C53" s="3"/>
    </row>
  </sheetData>
  <mergeCells count="5">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29"/>
  <sheetViews>
    <sheetView workbookViewId="0"/>
  </sheetViews>
  <sheetFormatPr defaultRowHeight="14.5" x14ac:dyDescent="0.35"/>
  <cols>
    <col min="1" max="1" width="17.7265625" customWidth="1"/>
    <col min="2" max="2" width="11.7265625" customWidth="1"/>
    <col min="3" max="6" width="10.1796875" bestFit="1" customWidth="1"/>
  </cols>
  <sheetData>
    <row r="3" spans="1:6" ht="15" thickBot="1" x14ac:dyDescent="0.4">
      <c r="A3" s="3" t="s">
        <v>143</v>
      </c>
    </row>
    <row r="4" spans="1:6" ht="27.5" thickBot="1" x14ac:dyDescent="0.4">
      <c r="A4" s="105" t="s">
        <v>150</v>
      </c>
      <c r="B4" s="148" t="s">
        <v>149</v>
      </c>
      <c r="C4" s="148" t="s">
        <v>148</v>
      </c>
      <c r="D4" s="148" t="s">
        <v>147</v>
      </c>
      <c r="E4" s="148" t="s">
        <v>146</v>
      </c>
      <c r="F4" s="107" t="s">
        <v>30</v>
      </c>
    </row>
    <row r="5" spans="1:6" ht="15" thickBot="1" x14ac:dyDescent="0.4">
      <c r="A5" s="108" t="s">
        <v>26</v>
      </c>
      <c r="B5" s="261">
        <f>+'tariff tables'!S12+'tariff tables'!S20</f>
        <v>1.0000000000000001E-5</v>
      </c>
      <c r="C5" s="262">
        <f>+'tariff tables'!T12+'tariff tables'!T20</f>
        <v>8.4999999999999995E-4</v>
      </c>
      <c r="D5" s="262">
        <f>+'tariff tables'!U12+'tariff tables'!U20</f>
        <v>6.8000000000000005E-4</v>
      </c>
      <c r="E5" s="262">
        <f>+'tariff tables'!V12+'tariff tables'!V20</f>
        <v>0</v>
      </c>
      <c r="F5" s="260">
        <f>SUM(B5:E5)</f>
        <v>1.5400000000000001E-3</v>
      </c>
    </row>
    <row r="6" spans="1:6" ht="27.5" thickBot="1" x14ac:dyDescent="0.4">
      <c r="A6" s="108" t="s">
        <v>121</v>
      </c>
      <c r="B6" s="261">
        <f>+'tariff tables'!S13+'tariff tables'!S21</f>
        <v>-4.0999999999999994E-4</v>
      </c>
      <c r="C6" s="262">
        <f>+'tariff tables'!T13+'tariff tables'!T21</f>
        <v>1.1199999999999999E-3</v>
      </c>
      <c r="D6" s="262">
        <f>+'tariff tables'!U13+'tariff tables'!U21</f>
        <v>1.16E-3</v>
      </c>
      <c r="E6" s="262">
        <f>+'tariff tables'!V13+'tariff tables'!V21</f>
        <v>0</v>
      </c>
      <c r="F6" s="260">
        <f t="shared" ref="F6:F8" si="0">SUM(B6:E6)</f>
        <v>1.8699999999999999E-3</v>
      </c>
    </row>
    <row r="7" spans="1:6" ht="27.5" thickBot="1" x14ac:dyDescent="0.4">
      <c r="A7" s="108" t="s">
        <v>122</v>
      </c>
      <c r="B7" s="261">
        <f>+'tariff tables'!S14+'tariff tables'!S22</f>
        <v>-3.2000000000000003E-4</v>
      </c>
      <c r="C7" s="262">
        <f>+'tariff tables'!T14+'tariff tables'!T22</f>
        <v>6.7000000000000002E-4</v>
      </c>
      <c r="D7" s="262">
        <f>+'tariff tables'!U14+'tariff tables'!U22</f>
        <v>8.4999999999999995E-4</v>
      </c>
      <c r="E7" s="262">
        <f>+'tariff tables'!V14+'tariff tables'!V22</f>
        <v>0</v>
      </c>
      <c r="F7" s="260">
        <f t="shared" si="0"/>
        <v>1.1999999999999999E-3</v>
      </c>
    </row>
    <row r="8" spans="1:6" ht="27.5" thickBot="1" x14ac:dyDescent="0.4">
      <c r="A8" s="108" t="s">
        <v>123</v>
      </c>
      <c r="B8" s="261">
        <f>+'tariff tables'!S15+'tariff tables'!S23</f>
        <v>-1.8000000000000001E-4</v>
      </c>
      <c r="C8" s="262">
        <f>+'tariff tables'!T15+'tariff tables'!T23</f>
        <v>2.0000000000000001E-4</v>
      </c>
      <c r="D8" s="262">
        <f>+'tariff tables'!U15+'tariff tables'!U23</f>
        <v>5.5000000000000003E-4</v>
      </c>
      <c r="E8" s="262">
        <f>+'tariff tables'!V15+'tariff tables'!V23</f>
        <v>0</v>
      </c>
      <c r="F8" s="260">
        <f t="shared" si="0"/>
        <v>5.6999999999999998E-4</v>
      </c>
    </row>
    <row r="11" spans="1:6" ht="15" thickBot="1" x14ac:dyDescent="0.4">
      <c r="A11" s="3" t="s">
        <v>144</v>
      </c>
      <c r="B11" s="59"/>
      <c r="C11" s="59"/>
      <c r="D11" s="59"/>
      <c r="E11" s="59"/>
      <c r="F11" s="59"/>
    </row>
    <row r="12" spans="1:6" ht="27.5" thickBot="1" x14ac:dyDescent="0.4">
      <c r="A12" s="105" t="s">
        <v>150</v>
      </c>
      <c r="B12" s="148" t="s">
        <v>149</v>
      </c>
      <c r="C12" s="148" t="s">
        <v>148</v>
      </c>
      <c r="D12" s="148" t="s">
        <v>147</v>
      </c>
      <c r="E12" s="148" t="s">
        <v>146</v>
      </c>
      <c r="F12" s="107" t="s">
        <v>30</v>
      </c>
    </row>
    <row r="13" spans="1:6" ht="15" thickBot="1" x14ac:dyDescent="0.4">
      <c r="A13" s="108" t="s">
        <v>26</v>
      </c>
      <c r="B13" s="261">
        <f>+'tariff tables'!X12+'tariff tables'!X20</f>
        <v>2.5799999999999998E-3</v>
      </c>
      <c r="C13" s="262">
        <f>+'tariff tables'!Y12+'tariff tables'!Y20</f>
        <v>6.6E-4</v>
      </c>
      <c r="D13" s="262">
        <f>+'tariff tables'!Z12+'tariff tables'!Z20</f>
        <v>0</v>
      </c>
      <c r="E13" s="262">
        <f>+'tariff tables'!AA12+'tariff tables'!AA20</f>
        <v>0</v>
      </c>
      <c r="F13" s="260">
        <f>SUM(B13:E13)</f>
        <v>3.2399999999999998E-3</v>
      </c>
    </row>
    <row r="14" spans="1:6" ht="27.5" thickBot="1" x14ac:dyDescent="0.4">
      <c r="A14" s="108" t="s">
        <v>121</v>
      </c>
      <c r="B14" s="261">
        <f>+'tariff tables'!X13+'tariff tables'!X21</f>
        <v>2.0400000000000001E-3</v>
      </c>
      <c r="C14" s="262">
        <f>+'tariff tables'!Y13+'tariff tables'!Y21</f>
        <v>2.9999999999999997E-4</v>
      </c>
      <c r="D14" s="262">
        <f>+'tariff tables'!Z13+'tariff tables'!Z21</f>
        <v>0</v>
      </c>
      <c r="E14" s="262">
        <f>+'tariff tables'!AA13+'tariff tables'!AA21</f>
        <v>0</v>
      </c>
      <c r="F14" s="260">
        <f t="shared" ref="F14:F16" si="1">SUM(B14:E14)</f>
        <v>2.3400000000000001E-3</v>
      </c>
    </row>
    <row r="15" spans="1:6" ht="27.5" thickBot="1" x14ac:dyDescent="0.4">
      <c r="A15" s="108" t="s">
        <v>122</v>
      </c>
      <c r="B15" s="261">
        <f>+'tariff tables'!X14+'tariff tables'!X22</f>
        <v>1.9299999999999999E-3</v>
      </c>
      <c r="C15" s="262">
        <f>+'tariff tables'!Y14+'tariff tables'!Y22</f>
        <v>1.7000000000000001E-4</v>
      </c>
      <c r="D15" s="262">
        <f>+'tariff tables'!Z14+'tariff tables'!Z22</f>
        <v>0</v>
      </c>
      <c r="E15" s="262">
        <f>+'tariff tables'!AA14+'tariff tables'!AA22</f>
        <v>0</v>
      </c>
      <c r="F15" s="260">
        <f t="shared" si="1"/>
        <v>2.0999999999999999E-3</v>
      </c>
    </row>
    <row r="16" spans="1:6" ht="27.5" thickBot="1" x14ac:dyDescent="0.4">
      <c r="A16" s="108" t="s">
        <v>123</v>
      </c>
      <c r="B16" s="261">
        <f>+'tariff tables'!X15+'tariff tables'!X23</f>
        <v>2.5599999999999998E-3</v>
      </c>
      <c r="C16" s="262">
        <f>+'tariff tables'!Y15+'tariff tables'!Y23</f>
        <v>9.0000000000000006E-5</v>
      </c>
      <c r="D16" s="262">
        <f>+'tariff tables'!Z15+'tariff tables'!Z23</f>
        <v>0</v>
      </c>
      <c r="E16" s="262">
        <f>+'tariff tables'!AA15+'tariff tables'!AA23</f>
        <v>0</v>
      </c>
      <c r="F16" s="260">
        <f t="shared" si="1"/>
        <v>2.6499999999999996E-3</v>
      </c>
    </row>
    <row r="19" spans="1:7" ht="15" thickBot="1" x14ac:dyDescent="0.4">
      <c r="A19" s="3" t="s">
        <v>145</v>
      </c>
      <c r="B19" s="59"/>
      <c r="C19" s="59"/>
      <c r="D19" s="59"/>
      <c r="E19" s="59"/>
      <c r="F19" s="59"/>
    </row>
    <row r="20" spans="1:7" ht="27.5" thickBot="1" x14ac:dyDescent="0.4">
      <c r="A20" s="105" t="s">
        <v>150</v>
      </c>
      <c r="B20" s="148" t="s">
        <v>149</v>
      </c>
      <c r="C20" s="148" t="s">
        <v>148</v>
      </c>
      <c r="D20" s="148" t="s">
        <v>147</v>
      </c>
      <c r="E20" s="148" t="s">
        <v>146</v>
      </c>
      <c r="F20" s="107" t="s">
        <v>30</v>
      </c>
    </row>
    <row r="21" spans="1:7" ht="15" thickBot="1" x14ac:dyDescent="0.4">
      <c r="A21" s="108" t="s">
        <v>26</v>
      </c>
      <c r="B21" s="261">
        <f t="shared" ref="B21:E24" si="2">+B5+B13</f>
        <v>2.5899999999999999E-3</v>
      </c>
      <c r="C21" s="262">
        <f t="shared" si="2"/>
        <v>1.5100000000000001E-3</v>
      </c>
      <c r="D21" s="262">
        <f t="shared" si="2"/>
        <v>6.8000000000000005E-4</v>
      </c>
      <c r="E21" s="262">
        <f t="shared" si="2"/>
        <v>0</v>
      </c>
      <c r="F21" s="260">
        <f>SUM(B21:E21)</f>
        <v>4.7799999999999995E-3</v>
      </c>
      <c r="G21" s="263">
        <f>+F21-'tariff tables'!H4</f>
        <v>0</v>
      </c>
    </row>
    <row r="22" spans="1:7" ht="27.5" thickBot="1" x14ac:dyDescent="0.4">
      <c r="A22" s="108" t="s">
        <v>121</v>
      </c>
      <c r="B22" s="261">
        <f t="shared" si="2"/>
        <v>1.6300000000000002E-3</v>
      </c>
      <c r="C22" s="262">
        <f t="shared" si="2"/>
        <v>1.4199999999999998E-3</v>
      </c>
      <c r="D22" s="262">
        <f t="shared" si="2"/>
        <v>1.16E-3</v>
      </c>
      <c r="E22" s="262">
        <f t="shared" si="2"/>
        <v>0</v>
      </c>
      <c r="F22" s="260">
        <f t="shared" ref="F22:F24" si="3">SUM(B22:E22)</f>
        <v>4.2100000000000002E-3</v>
      </c>
      <c r="G22" s="263">
        <f>+F22-'tariff tables'!H5</f>
        <v>0</v>
      </c>
    </row>
    <row r="23" spans="1:7" ht="27.5" thickBot="1" x14ac:dyDescent="0.4">
      <c r="A23" s="108" t="s">
        <v>122</v>
      </c>
      <c r="B23" s="261">
        <f t="shared" si="2"/>
        <v>1.6099999999999999E-3</v>
      </c>
      <c r="C23" s="262">
        <f t="shared" si="2"/>
        <v>8.4000000000000003E-4</v>
      </c>
      <c r="D23" s="262">
        <f t="shared" si="2"/>
        <v>8.4999999999999995E-4</v>
      </c>
      <c r="E23" s="262">
        <f t="shared" si="2"/>
        <v>0</v>
      </c>
      <c r="F23" s="260">
        <f t="shared" si="3"/>
        <v>3.3E-3</v>
      </c>
      <c r="G23" s="263">
        <f>+F23-'tariff tables'!H6</f>
        <v>0</v>
      </c>
    </row>
    <row r="24" spans="1:7" ht="27.5" thickBot="1" x14ac:dyDescent="0.4">
      <c r="A24" s="108" t="s">
        <v>123</v>
      </c>
      <c r="B24" s="261">
        <f t="shared" si="2"/>
        <v>2.3799999999999997E-3</v>
      </c>
      <c r="C24" s="262">
        <f t="shared" si="2"/>
        <v>2.9E-4</v>
      </c>
      <c r="D24" s="262">
        <f t="shared" si="2"/>
        <v>5.5000000000000003E-4</v>
      </c>
      <c r="E24" s="262">
        <f t="shared" si="2"/>
        <v>0</v>
      </c>
      <c r="F24" s="260">
        <f t="shared" si="3"/>
        <v>3.2199999999999998E-3</v>
      </c>
      <c r="G24" s="263">
        <f>+F24-'tariff tables'!H7</f>
        <v>0</v>
      </c>
    </row>
    <row r="26" spans="1:7" x14ac:dyDescent="0.35">
      <c r="B26" s="263">
        <f>+B21-'tariff tables'!J4</f>
        <v>0</v>
      </c>
      <c r="C26" s="263">
        <f>+C21-'tariff tables'!K4</f>
        <v>0</v>
      </c>
      <c r="D26" s="263">
        <f>+D21-'tariff tables'!L4</f>
        <v>0</v>
      </c>
      <c r="E26" s="263">
        <f>+E21-'tariff tables'!M4</f>
        <v>0</v>
      </c>
      <c r="F26" s="263"/>
    </row>
    <row r="27" spans="1:7" x14ac:dyDescent="0.35">
      <c r="B27" s="263">
        <f>+B22-'tariff tables'!J5</f>
        <v>0</v>
      </c>
      <c r="C27" s="263">
        <f>+C22-'tariff tables'!K5</f>
        <v>0</v>
      </c>
      <c r="D27" s="263">
        <f>+D22-'tariff tables'!L5</f>
        <v>0</v>
      </c>
      <c r="E27" s="263">
        <f>+E22-'tariff tables'!M5</f>
        <v>0</v>
      </c>
      <c r="F27" s="263"/>
    </row>
    <row r="28" spans="1:7" x14ac:dyDescent="0.35">
      <c r="B28" s="263">
        <f>+B23-'tariff tables'!J6</f>
        <v>0</v>
      </c>
      <c r="C28" s="263">
        <f>+C23-'tariff tables'!K6</f>
        <v>0</v>
      </c>
      <c r="D28" s="263">
        <f>+D23-'tariff tables'!L6</f>
        <v>0</v>
      </c>
      <c r="E28" s="263">
        <f>+E23-'tariff tables'!M6</f>
        <v>0</v>
      </c>
      <c r="F28" s="263"/>
    </row>
    <row r="29" spans="1:7" x14ac:dyDescent="0.35">
      <c r="B29" s="263">
        <f>+B24-'tariff tables'!J7</f>
        <v>0</v>
      </c>
      <c r="C29" s="263">
        <f>+C24-'tariff tables'!K7</f>
        <v>0</v>
      </c>
      <c r="D29" s="263">
        <f>+D24-'tariff tables'!L7</f>
        <v>0</v>
      </c>
      <c r="E29" s="263">
        <f>+E24-'tariff tables'!M7</f>
        <v>0</v>
      </c>
      <c r="F29" s="263"/>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3"/>
  <sheetViews>
    <sheetView workbookViewId="0"/>
  </sheetViews>
  <sheetFormatPr defaultRowHeight="14.5" x14ac:dyDescent="0.35"/>
  <cols>
    <col min="1" max="1" width="20.81640625" customWidth="1"/>
    <col min="2" max="2" width="22" customWidth="1"/>
    <col min="3" max="3" width="17.26953125" customWidth="1"/>
    <col min="4" max="4" width="16.26953125" customWidth="1"/>
    <col min="5" max="5" width="15.54296875" bestFit="1" customWidth="1"/>
    <col min="6" max="9" width="17.7265625" customWidth="1"/>
  </cols>
  <sheetData>
    <row r="1" spans="1:32" s="59" customFormat="1" x14ac:dyDescent="0.35">
      <c r="A1" s="76" t="s">
        <v>177</v>
      </c>
    </row>
    <row r="2" spans="1:32" ht="15" thickBot="1" x14ac:dyDescent="0.4">
      <c r="A2" s="9" t="s">
        <v>151</v>
      </c>
    </row>
    <row r="3" spans="1:32" ht="35.25" customHeight="1" thickBot="1" x14ac:dyDescent="0.4">
      <c r="B3" s="290" t="s">
        <v>67</v>
      </c>
      <c r="C3" s="290"/>
      <c r="E3" s="291" t="s">
        <v>5</v>
      </c>
      <c r="F3" s="292"/>
      <c r="G3" s="292"/>
      <c r="H3" s="292"/>
      <c r="I3" s="293"/>
    </row>
    <row r="4" spans="1:32" ht="43.5" x14ac:dyDescent="0.35">
      <c r="B4" s="83" t="s">
        <v>46</v>
      </c>
      <c r="C4" s="6" t="s">
        <v>28</v>
      </c>
      <c r="E4" s="10"/>
      <c r="F4" s="87" t="s">
        <v>26</v>
      </c>
      <c r="G4" s="87" t="s">
        <v>27</v>
      </c>
      <c r="H4" s="87" t="s">
        <v>62</v>
      </c>
      <c r="I4" s="88" t="s">
        <v>1</v>
      </c>
    </row>
    <row r="5" spans="1:32" x14ac:dyDescent="0.35">
      <c r="A5" s="21" t="s">
        <v>26</v>
      </c>
      <c r="B5" s="90">
        <f>SUM('[1]Billed kWh Sales'!F33:G33)</f>
        <v>3544457568</v>
      </c>
      <c r="C5" s="35">
        <f>SUM(F9:I9)</f>
        <v>61792.83</v>
      </c>
      <c r="D5" s="4"/>
      <c r="E5" s="24"/>
      <c r="F5" s="26">
        <v>1</v>
      </c>
      <c r="G5" s="26">
        <v>0</v>
      </c>
      <c r="H5" s="26">
        <v>0.5</v>
      </c>
      <c r="I5" s="27">
        <v>0.5</v>
      </c>
    </row>
    <row r="6" spans="1:32" ht="15" thickBot="1" x14ac:dyDescent="0.4">
      <c r="A6" s="21" t="s">
        <v>27</v>
      </c>
      <c r="B6" s="90">
        <f>+B13</f>
        <v>3230497392</v>
      </c>
      <c r="C6" s="35">
        <f>SUM(F10:I10)</f>
        <v>68539.44</v>
      </c>
      <c r="D6" s="4"/>
      <c r="E6" s="24"/>
      <c r="F6" s="26">
        <v>0</v>
      </c>
      <c r="G6" s="26">
        <v>1</v>
      </c>
      <c r="H6" s="26">
        <v>0.5</v>
      </c>
      <c r="I6" s="27">
        <v>0.5</v>
      </c>
    </row>
    <row r="7" spans="1:32" ht="15.5" thickTop="1" thickBot="1" x14ac:dyDescent="0.4">
      <c r="A7" s="21" t="s">
        <v>6</v>
      </c>
      <c r="B7" s="34">
        <f>SUM(B5:B6)</f>
        <v>6774954960</v>
      </c>
      <c r="C7" s="23">
        <f>SUM(C5:C6)</f>
        <v>130332.27</v>
      </c>
      <c r="D7" s="4"/>
      <c r="E7" s="30" t="s">
        <v>12</v>
      </c>
      <c r="F7" s="20">
        <f>1-SUM(F5:F6)</f>
        <v>0</v>
      </c>
      <c r="G7" s="20">
        <f>1-SUM(G5:G6)</f>
        <v>0</v>
      </c>
      <c r="H7" s="20">
        <f>1-SUM(H5:H6)</f>
        <v>0</v>
      </c>
      <c r="I7" s="20">
        <f>1-SUM(I5:I6)</f>
        <v>0</v>
      </c>
    </row>
    <row r="8" spans="1:32" ht="15.5" thickTop="1" thickBot="1" x14ac:dyDescent="0.4">
      <c r="B8" s="32" t="s">
        <v>12</v>
      </c>
      <c r="C8" s="20">
        <f>SUM(F8:I8)-C7</f>
        <v>0</v>
      </c>
      <c r="D8" s="2"/>
      <c r="E8" s="31" t="s">
        <v>6</v>
      </c>
      <c r="F8" s="36">
        <f>+SUM('[2]EM&amp;V Forecast'!$M$37:$P$37)</f>
        <v>55838.43</v>
      </c>
      <c r="G8" s="36">
        <f>SUM('[2]EM&amp;V Forecast'!$M$38:$P$38)</f>
        <v>62585.040000000008</v>
      </c>
      <c r="H8" s="36">
        <f>SUM('[2]EM&amp;V Forecast'!$M$39:$P$39)</f>
        <v>11908.8</v>
      </c>
      <c r="I8" s="37">
        <f>SUM('[2]EM&amp;V Forecast'!$M$40:$P$40)</f>
        <v>0</v>
      </c>
    </row>
    <row r="9" spans="1:32" ht="29.5" thickTop="1" x14ac:dyDescent="0.35">
      <c r="D9" s="252" t="s">
        <v>128</v>
      </c>
      <c r="E9" s="102" t="s">
        <v>26</v>
      </c>
      <c r="F9" s="103">
        <f t="shared" ref="F9:I10" si="0">F5*F$8</f>
        <v>55838.43</v>
      </c>
      <c r="G9" s="103">
        <f t="shared" si="0"/>
        <v>0</v>
      </c>
      <c r="H9" s="103">
        <f t="shared" si="0"/>
        <v>5954.4</v>
      </c>
      <c r="I9" s="104">
        <f t="shared" si="0"/>
        <v>0</v>
      </c>
    </row>
    <row r="10" spans="1:32" ht="15" thickBot="1" x14ac:dyDescent="0.4">
      <c r="A10" s="21" t="s">
        <v>121</v>
      </c>
      <c r="B10" s="90">
        <f>SUM('[1]Billed kWh Sales'!F34:G34)</f>
        <v>950409223</v>
      </c>
      <c r="C10" s="35">
        <f>ROUND($C$6*D10,2)</f>
        <v>26873.83</v>
      </c>
      <c r="D10" s="250">
        <f>+'[3]Monthly TD Calc'!$CY$44</f>
        <v>0.39209287804949344</v>
      </c>
      <c r="E10" s="25" t="s">
        <v>27</v>
      </c>
      <c r="F10" s="28">
        <f t="shared" si="0"/>
        <v>0</v>
      </c>
      <c r="G10" s="28">
        <f t="shared" si="0"/>
        <v>62585.040000000008</v>
      </c>
      <c r="H10" s="28">
        <f t="shared" si="0"/>
        <v>5954.4</v>
      </c>
      <c r="I10" s="29">
        <f t="shared" si="0"/>
        <v>0</v>
      </c>
    </row>
    <row r="11" spans="1:32" x14ac:dyDescent="0.35">
      <c r="A11" s="21" t="s">
        <v>122</v>
      </c>
      <c r="B11" s="90">
        <f>SUM('[1]Billed kWh Sales'!F35:G35)</f>
        <v>1440755221</v>
      </c>
      <c r="C11" s="35">
        <f>ROUND($C$6*D11,2)</f>
        <v>31141.52</v>
      </c>
      <c r="D11" s="250">
        <f>+'[3]Monthly TD Calc'!$DA$44</f>
        <v>0.45435908608374953</v>
      </c>
    </row>
    <row r="12" spans="1:32" x14ac:dyDescent="0.35">
      <c r="A12" s="21" t="s">
        <v>123</v>
      </c>
      <c r="B12" s="90">
        <f>SUM('[1]Billed kWh Sales'!F36:G36)</f>
        <v>839332948</v>
      </c>
      <c r="C12" s="35">
        <f>ROUND($C$6*D12,2)</f>
        <v>10524.1</v>
      </c>
      <c r="D12" s="250">
        <f>+'[3]Monthly TD Calc'!$DB$44</f>
        <v>0.15354803586675725</v>
      </c>
      <c r="W12" s="1"/>
      <c r="X12" s="1"/>
      <c r="Y12" s="1"/>
      <c r="Z12" s="1"/>
      <c r="AA12" s="1"/>
      <c r="AB12" s="1"/>
      <c r="AC12" s="1"/>
      <c r="AD12" s="1"/>
      <c r="AE12" s="1"/>
      <c r="AF12" s="1"/>
    </row>
    <row r="13" spans="1:32" s="59" customFormat="1" x14ac:dyDescent="0.35">
      <c r="A13" s="42" t="s">
        <v>125</v>
      </c>
      <c r="B13" s="34">
        <f>SUM(B10:B12)</f>
        <v>3230497392</v>
      </c>
      <c r="C13" s="23">
        <f>SUM(C10:C12)</f>
        <v>68539.450000000012</v>
      </c>
      <c r="D13" s="251">
        <f>SUM(D10:D12)</f>
        <v>1.0000000000000002</v>
      </c>
      <c r="W13" s="1"/>
      <c r="X13" s="1"/>
      <c r="Y13" s="1"/>
      <c r="Z13" s="1"/>
      <c r="AA13" s="1"/>
      <c r="AB13" s="1"/>
      <c r="AC13" s="1"/>
      <c r="AD13" s="1"/>
      <c r="AE13" s="1"/>
      <c r="AF13" s="1"/>
    </row>
    <row r="14" spans="1:32" x14ac:dyDescent="0.35">
      <c r="F14" s="58"/>
      <c r="G14" s="58"/>
      <c r="H14" s="58"/>
      <c r="I14" s="169"/>
      <c r="J14" s="58"/>
    </row>
    <row r="15" spans="1:32" s="59" customFormat="1" x14ac:dyDescent="0.35">
      <c r="A15" s="66" t="s">
        <v>13</v>
      </c>
      <c r="I15" s="169"/>
    </row>
    <row r="16" spans="1:32" x14ac:dyDescent="0.35">
      <c r="A16" s="294" t="s">
        <v>188</v>
      </c>
      <c r="B16" s="294"/>
      <c r="C16" s="294"/>
      <c r="D16" s="294"/>
      <c r="E16" s="294"/>
      <c r="F16" s="294"/>
      <c r="G16" s="294"/>
      <c r="H16" s="294"/>
      <c r="I16" s="294"/>
    </row>
    <row r="17" spans="1:10" x14ac:dyDescent="0.35">
      <c r="A17" s="294" t="s">
        <v>189</v>
      </c>
      <c r="B17" s="294"/>
      <c r="C17" s="294"/>
      <c r="D17" s="294"/>
      <c r="E17" s="294"/>
      <c r="F17" s="294"/>
      <c r="G17" s="294"/>
      <c r="H17" s="294"/>
      <c r="I17" s="294"/>
    </row>
    <row r="18" spans="1:10" x14ac:dyDescent="0.35">
      <c r="A18" s="3" t="s">
        <v>190</v>
      </c>
      <c r="I18" s="169"/>
    </row>
    <row r="19" spans="1:10" x14ac:dyDescent="0.35">
      <c r="I19" s="169"/>
    </row>
    <row r="20" spans="1:10" x14ac:dyDescent="0.35">
      <c r="I20" s="169"/>
    </row>
    <row r="27" spans="1:10" x14ac:dyDescent="0.35">
      <c r="C27" s="2"/>
    </row>
    <row r="29" spans="1:10" x14ac:dyDescent="0.35">
      <c r="A29" s="59"/>
      <c r="B29" s="59"/>
      <c r="C29" s="59"/>
      <c r="D29" s="59"/>
      <c r="E29" s="59"/>
      <c r="F29" s="59"/>
      <c r="G29" s="59"/>
      <c r="H29" s="59"/>
      <c r="I29" s="59"/>
      <c r="J29" s="59"/>
    </row>
    <row r="30" spans="1:10" x14ac:dyDescent="0.35">
      <c r="A30" s="59"/>
      <c r="B30" s="59"/>
      <c r="C30" s="59"/>
      <c r="E30" s="59"/>
      <c r="F30" s="59"/>
      <c r="G30" s="59"/>
      <c r="H30" s="59"/>
      <c r="I30" s="59"/>
      <c r="J30" s="59"/>
    </row>
    <row r="31" spans="1:10" x14ac:dyDescent="0.35">
      <c r="A31" s="59"/>
      <c r="B31" s="59"/>
      <c r="C31" s="59"/>
      <c r="D31" s="59"/>
      <c r="E31" s="59"/>
      <c r="F31" s="59"/>
      <c r="G31" s="59"/>
      <c r="H31" s="59"/>
      <c r="I31" s="59"/>
      <c r="J31" s="59"/>
    </row>
    <row r="32" spans="1:10" x14ac:dyDescent="0.35">
      <c r="A32" s="59"/>
      <c r="B32" s="59"/>
      <c r="C32" s="59"/>
      <c r="D32" s="59"/>
      <c r="E32" s="59"/>
      <c r="F32" s="59"/>
      <c r="G32" s="59"/>
      <c r="H32" s="59"/>
      <c r="I32" s="59"/>
      <c r="J32" s="59"/>
    </row>
    <row r="33" spans="1:10" x14ac:dyDescent="0.35">
      <c r="A33" s="59"/>
      <c r="B33" s="59"/>
      <c r="C33" s="59"/>
      <c r="D33" s="59"/>
      <c r="E33" s="59"/>
      <c r="F33" s="59"/>
      <c r="G33" s="59"/>
      <c r="H33" s="59"/>
      <c r="I33" s="59"/>
      <c r="J33" s="59"/>
    </row>
    <row r="34" spans="1:10" x14ac:dyDescent="0.35">
      <c r="A34" s="59"/>
      <c r="B34" s="59"/>
      <c r="C34" s="59"/>
      <c r="D34" s="59"/>
      <c r="E34" s="59"/>
      <c r="F34" s="59"/>
      <c r="G34" s="59"/>
      <c r="H34" s="59"/>
      <c r="I34" s="59"/>
      <c r="J34" s="59"/>
    </row>
    <row r="35" spans="1:10" x14ac:dyDescent="0.35">
      <c r="A35" s="59"/>
      <c r="B35" s="59"/>
      <c r="C35" s="59"/>
      <c r="D35" s="59"/>
      <c r="E35" s="59"/>
      <c r="F35" s="59"/>
      <c r="G35" s="59"/>
      <c r="H35" s="59"/>
      <c r="I35" s="59"/>
      <c r="J35" s="59"/>
    </row>
    <row r="36" spans="1:10" x14ac:dyDescent="0.35">
      <c r="A36" s="59"/>
      <c r="B36" s="59"/>
      <c r="C36" s="59"/>
      <c r="D36" s="59"/>
      <c r="E36" s="59"/>
      <c r="F36" s="59"/>
      <c r="G36" s="59"/>
      <c r="H36" s="59"/>
      <c r="I36" s="59"/>
      <c r="J36" s="59"/>
    </row>
    <row r="37" spans="1:10" x14ac:dyDescent="0.35">
      <c r="A37" s="59"/>
      <c r="B37" s="59"/>
      <c r="C37" s="59"/>
      <c r="D37" s="59"/>
      <c r="E37" s="59"/>
      <c r="F37" s="59"/>
      <c r="G37" s="59"/>
      <c r="H37" s="59"/>
      <c r="I37" s="59"/>
      <c r="J37" s="59"/>
    </row>
    <row r="38" spans="1:10" x14ac:dyDescent="0.35">
      <c r="A38" s="59"/>
      <c r="B38" s="59"/>
      <c r="C38" s="59"/>
      <c r="D38" s="59"/>
      <c r="E38" s="59"/>
      <c r="F38" s="59"/>
      <c r="G38" s="59"/>
      <c r="H38" s="59"/>
      <c r="I38" s="59"/>
      <c r="J38" s="59"/>
    </row>
    <row r="39" spans="1:10" x14ac:dyDescent="0.35">
      <c r="A39" s="59"/>
      <c r="B39" s="59"/>
      <c r="C39" s="59"/>
      <c r="D39" s="59"/>
      <c r="E39" s="59"/>
      <c r="F39" s="59"/>
      <c r="G39" s="59"/>
      <c r="H39" s="59"/>
      <c r="I39" s="59"/>
      <c r="J39" s="59"/>
    </row>
    <row r="40" spans="1:10" x14ac:dyDescent="0.35">
      <c r="A40" s="59"/>
      <c r="B40" s="59"/>
      <c r="C40" s="59"/>
      <c r="D40" s="59"/>
      <c r="E40" s="59"/>
      <c r="F40" s="59"/>
      <c r="G40" s="59"/>
      <c r="H40" s="59"/>
      <c r="I40" s="59"/>
      <c r="J40" s="59"/>
    </row>
    <row r="41" spans="1:10" x14ac:dyDescent="0.35">
      <c r="A41" s="59"/>
      <c r="B41" s="59"/>
      <c r="C41" s="59"/>
      <c r="D41" s="59"/>
      <c r="E41" s="59"/>
      <c r="F41" s="59"/>
      <c r="G41" s="59"/>
      <c r="H41" s="59"/>
      <c r="I41" s="59"/>
      <c r="J41" s="59"/>
    </row>
    <row r="42" spans="1:10" x14ac:dyDescent="0.35">
      <c r="A42" s="59"/>
      <c r="B42" s="59"/>
      <c r="C42" s="59"/>
      <c r="D42" s="59"/>
      <c r="E42" s="59"/>
      <c r="F42" s="59"/>
      <c r="G42" s="59"/>
      <c r="H42" s="59"/>
      <c r="I42" s="59"/>
      <c r="J42" s="59"/>
    </row>
    <row r="43" spans="1:10" x14ac:dyDescent="0.35">
      <c r="A43" s="59"/>
      <c r="B43" s="59"/>
      <c r="C43" s="59"/>
      <c r="D43" s="59"/>
      <c r="E43" s="59"/>
      <c r="F43" s="59"/>
      <c r="G43" s="59"/>
      <c r="H43" s="59"/>
      <c r="I43" s="59"/>
      <c r="J43" s="59"/>
    </row>
    <row r="49" spans="2:4" x14ac:dyDescent="0.35">
      <c r="B49" s="8"/>
      <c r="C49" s="8"/>
      <c r="D49" s="8"/>
    </row>
    <row r="53" spans="2:4" x14ac:dyDescent="0.35">
      <c r="B53" s="8"/>
      <c r="C53" s="8"/>
      <c r="D53" s="8"/>
    </row>
  </sheetData>
  <mergeCells count="4">
    <mergeCell ref="B3:C3"/>
    <mergeCell ref="E3:I3"/>
    <mergeCell ref="A16:I16"/>
    <mergeCell ref="A17:I17"/>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8"/>
  <sheetViews>
    <sheetView workbookViewId="0"/>
  </sheetViews>
  <sheetFormatPr defaultColWidth="9.1796875" defaultRowHeight="14.5" x14ac:dyDescent="0.35"/>
  <cols>
    <col min="1" max="1" width="20.81640625" style="59" customWidth="1"/>
    <col min="2" max="2" width="22" style="59" customWidth="1"/>
    <col min="3" max="3" width="17.26953125" style="59" customWidth="1"/>
    <col min="4" max="16384" width="9.1796875" style="59"/>
  </cols>
  <sheetData>
    <row r="1" spans="1:25" x14ac:dyDescent="0.35">
      <c r="A1" s="76" t="str">
        <f>+'PPC Cycle 2'!A1</f>
        <v>Evergy Missouri West, Inc. - DSIM Rider Update Filed 06/01/2020</v>
      </c>
    </row>
    <row r="2" spans="1:25" x14ac:dyDescent="0.35">
      <c r="A2" s="9" t="s">
        <v>152</v>
      </c>
    </row>
    <row r="3" spans="1:25" ht="35.25" customHeight="1" x14ac:dyDescent="0.35">
      <c r="B3" s="290" t="s">
        <v>126</v>
      </c>
      <c r="C3" s="290"/>
    </row>
    <row r="4" spans="1:25" x14ac:dyDescent="0.35">
      <c r="B4" s="258" t="s">
        <v>129</v>
      </c>
    </row>
    <row r="5" spans="1:25" x14ac:dyDescent="0.35">
      <c r="A5" s="21" t="s">
        <v>26</v>
      </c>
      <c r="B5" s="256">
        <f>ROUND(SUM('[4]Monthly Program Costs'!N277:Y277),2)</f>
        <v>8596988.0600000005</v>
      </c>
    </row>
    <row r="6" spans="1:25" x14ac:dyDescent="0.35">
      <c r="A6" s="21" t="s">
        <v>121</v>
      </c>
      <c r="B6" s="256">
        <f>ROUND(SUM('[4]Monthly Program Costs'!N278:Y278),2)</f>
        <v>1848074.9</v>
      </c>
    </row>
    <row r="7" spans="1:25" x14ac:dyDescent="0.35">
      <c r="A7" s="21" t="s">
        <v>122</v>
      </c>
      <c r="B7" s="256">
        <f>ROUND(SUM('[4]Monthly Program Costs'!N280:Y280),2)</f>
        <v>2711449.62</v>
      </c>
    </row>
    <row r="8" spans="1:25" x14ac:dyDescent="0.35">
      <c r="A8" s="21" t="s">
        <v>123</v>
      </c>
      <c r="B8" s="256">
        <f>ROUND(SUM('[4]Monthly Program Costs'!N281:Y281),2)</f>
        <v>2033025.74</v>
      </c>
      <c r="P8" s="1"/>
      <c r="Q8" s="1"/>
      <c r="R8" s="1"/>
      <c r="S8" s="1"/>
      <c r="T8" s="1"/>
      <c r="U8" s="1"/>
      <c r="V8" s="1"/>
      <c r="W8" s="1"/>
      <c r="X8" s="1"/>
      <c r="Y8" s="1"/>
    </row>
    <row r="9" spans="1:25" x14ac:dyDescent="0.35">
      <c r="A9" s="42" t="s">
        <v>125</v>
      </c>
      <c r="B9" s="257">
        <f>SUM(B5:B8)</f>
        <v>15189538.320000002</v>
      </c>
      <c r="P9" s="1"/>
      <c r="Q9" s="1"/>
      <c r="R9" s="1"/>
      <c r="S9" s="1"/>
      <c r="T9" s="1"/>
      <c r="U9" s="1"/>
      <c r="V9" s="1"/>
      <c r="W9" s="1"/>
      <c r="X9" s="1"/>
      <c r="Y9" s="1"/>
    </row>
    <row r="11" spans="1:25" x14ac:dyDescent="0.35">
      <c r="A11" s="66" t="s">
        <v>13</v>
      </c>
    </row>
    <row r="12" spans="1:25" ht="47.25" customHeight="1" x14ac:dyDescent="0.35">
      <c r="A12" s="295" t="s">
        <v>185</v>
      </c>
      <c r="B12" s="295"/>
      <c r="C12" s="295"/>
    </row>
    <row r="13" spans="1:25" x14ac:dyDescent="0.35">
      <c r="A13" s="3"/>
    </row>
    <row r="22" spans="3:3" x14ac:dyDescent="0.35">
      <c r="C22" s="2"/>
    </row>
    <row r="44" spans="2:3" x14ac:dyDescent="0.35">
      <c r="B44" s="8"/>
      <c r="C44" s="8"/>
    </row>
    <row r="48" spans="2:3" x14ac:dyDescent="0.35">
      <c r="B48" s="8"/>
      <c r="C48" s="8"/>
    </row>
  </sheetData>
  <mergeCells count="2">
    <mergeCell ref="B3:C3"/>
    <mergeCell ref="A12:C12"/>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4"/>
  <sheetViews>
    <sheetView workbookViewId="0"/>
  </sheetViews>
  <sheetFormatPr defaultColWidth="9.1796875" defaultRowHeight="14.5" x14ac:dyDescent="0.35"/>
  <cols>
    <col min="1" max="1" width="54.54296875" style="59" customWidth="1"/>
    <col min="2" max="2" width="14.7265625" style="59" customWidth="1"/>
    <col min="3" max="3" width="15" style="59" customWidth="1"/>
    <col min="4" max="4" width="15.26953125" style="59" customWidth="1"/>
    <col min="5" max="5" width="15.81640625" style="59" customWidth="1"/>
    <col min="6" max="6" width="17.54296875" style="59" customWidth="1"/>
    <col min="7" max="8" width="13.26953125" style="59" customWidth="1"/>
    <col min="9" max="9" width="15.7265625" style="59" customWidth="1"/>
    <col min="10" max="11" width="12.54296875" style="59" bestFit="1" customWidth="1"/>
    <col min="12" max="12" width="14.453125" style="59" customWidth="1"/>
    <col min="13" max="13" width="15" style="59" bestFit="1" customWidth="1"/>
    <col min="14" max="14" width="16.26953125" style="59" bestFit="1" customWidth="1"/>
    <col min="15" max="15" width="16.1796875" style="59" customWidth="1"/>
    <col min="16" max="16" width="17.26953125" style="59" bestFit="1" customWidth="1"/>
    <col min="17" max="17" width="17.453125" style="59" customWidth="1"/>
    <col min="18" max="18" width="15.54296875" style="59" customWidth="1"/>
    <col min="19" max="19" width="13" style="59" customWidth="1"/>
    <col min="20" max="20" width="9.1796875" style="59"/>
    <col min="21" max="21" width="14.26953125" style="59" bestFit="1" customWidth="1"/>
    <col min="22" max="16384" width="9.1796875" style="59"/>
  </cols>
  <sheetData>
    <row r="1" spans="1:34" x14ac:dyDescent="0.35">
      <c r="A1" s="3" t="str">
        <f>+'PPC Cycle 2'!A1</f>
        <v>Evergy Missouri West, Inc. - DSIM Rider Update Filed 06/01/2020</v>
      </c>
      <c r="B1" s="3"/>
      <c r="C1" s="3"/>
    </row>
    <row r="2" spans="1:34" x14ac:dyDescent="0.35">
      <c r="D2" s="3" t="s">
        <v>63</v>
      </c>
    </row>
    <row r="3" spans="1:34" ht="29" x14ac:dyDescent="0.35">
      <c r="D3" s="61" t="s">
        <v>48</v>
      </c>
      <c r="E3" s="61" t="s">
        <v>47</v>
      </c>
      <c r="F3" s="83" t="s">
        <v>2</v>
      </c>
      <c r="G3" s="61" t="s">
        <v>3</v>
      </c>
      <c r="H3" s="83" t="s">
        <v>57</v>
      </c>
      <c r="I3" s="61" t="s">
        <v>11</v>
      </c>
      <c r="J3" s="61" t="s">
        <v>4</v>
      </c>
    </row>
    <row r="4" spans="1:34" x14ac:dyDescent="0.35">
      <c r="A4" s="21" t="s">
        <v>26</v>
      </c>
      <c r="D4" s="23">
        <f>SUM(C32:L32)</f>
        <v>1564696.87</v>
      </c>
      <c r="E4" s="156">
        <f>SUM(C26:L26)</f>
        <v>1708002568.3169</v>
      </c>
      <c r="F4" s="23">
        <f>SUM(C22:K22)</f>
        <v>739208.97000000009</v>
      </c>
      <c r="G4" s="23">
        <f>F4-D4</f>
        <v>-825487.9</v>
      </c>
      <c r="H4" s="23">
        <f>+B44</f>
        <v>808394.66232000012</v>
      </c>
      <c r="I4" s="23">
        <f>SUM(C49:K49)</f>
        <v>7315.7400000000007</v>
      </c>
      <c r="J4" s="35">
        <f>SUM(G4:I4)</f>
        <v>-9777.4976799999022</v>
      </c>
      <c r="K4" s="60">
        <f>+J4-L44</f>
        <v>1.7644197214394808E-10</v>
      </c>
    </row>
    <row r="5" spans="1:34" ht="15" thickBot="1" x14ac:dyDescent="0.4">
      <c r="A5" s="21" t="s">
        <v>27</v>
      </c>
      <c r="D5" s="23">
        <f>SUM(C33:L35)</f>
        <v>3629918.33</v>
      </c>
      <c r="E5" s="156">
        <f>SUM(C27:L29)</f>
        <v>2093727988.3271</v>
      </c>
      <c r="F5" s="23">
        <f>SUM(C23:K23)</f>
        <v>1462331.33</v>
      </c>
      <c r="G5" s="23">
        <f>F5-D5</f>
        <v>-2167587</v>
      </c>
      <c r="H5" s="23">
        <f>+B45</f>
        <v>1098235.6810400004</v>
      </c>
      <c r="I5" s="23">
        <f>SUM(C50:K50)</f>
        <v>-11572.22</v>
      </c>
      <c r="J5" s="35">
        <f>SUM(G5:I5)</f>
        <v>-1080923.5389599996</v>
      </c>
      <c r="K5" s="60">
        <f>+J5-L45</f>
        <v>0</v>
      </c>
    </row>
    <row r="6" spans="1:34" ht="15.5" thickTop="1" thickBot="1" x14ac:dyDescent="0.4">
      <c r="D6" s="39">
        <f t="shared" ref="D6" si="0">SUM(D4:D5)</f>
        <v>5194615.2</v>
      </c>
      <c r="E6" s="39">
        <f t="shared" ref="E6:H6" si="1">SUM(E4:E5)</f>
        <v>3801730556.6440001</v>
      </c>
      <c r="F6" s="39">
        <f t="shared" si="1"/>
        <v>2201540.3000000003</v>
      </c>
      <c r="G6" s="39">
        <f t="shared" si="1"/>
        <v>-2993074.9</v>
      </c>
      <c r="H6" s="39">
        <f t="shared" si="1"/>
        <v>1906630.3433600005</v>
      </c>
      <c r="I6" s="39">
        <f>SUM(I4:I5)</f>
        <v>-4256.4799999999987</v>
      </c>
      <c r="J6" s="39">
        <f>SUM(J4:J5)</f>
        <v>-1090701.0366399994</v>
      </c>
    </row>
    <row r="7" spans="1:34" ht="44" thickTop="1" x14ac:dyDescent="0.35">
      <c r="D7" s="254"/>
      <c r="E7" s="255"/>
      <c r="F7" s="254"/>
      <c r="G7" s="254"/>
      <c r="H7" s="254"/>
      <c r="I7" s="253"/>
      <c r="J7" s="253"/>
      <c r="K7" s="252" t="s">
        <v>138</v>
      </c>
    </row>
    <row r="8" spans="1:34" x14ac:dyDescent="0.35">
      <c r="A8" s="21" t="s">
        <v>121</v>
      </c>
      <c r="D8" s="254"/>
      <c r="E8" s="255"/>
      <c r="F8" s="254"/>
      <c r="G8" s="254"/>
      <c r="H8" s="254"/>
      <c r="I8" s="253"/>
      <c r="J8" s="35">
        <f>ROUND($J$5*K8,2)</f>
        <v>-423822.42</v>
      </c>
      <c r="K8" s="250">
        <f>+'[3]Monthly TD Calc'!$CY$44</f>
        <v>0.39209287804949344</v>
      </c>
    </row>
    <row r="9" spans="1:34" x14ac:dyDescent="0.35">
      <c r="A9" s="21" t="s">
        <v>122</v>
      </c>
      <c r="D9" s="254"/>
      <c r="E9" s="255"/>
      <c r="F9" s="254"/>
      <c r="G9" s="254"/>
      <c r="H9" s="254"/>
      <c r="I9" s="253"/>
      <c r="J9" s="35">
        <f t="shared" ref="J9:J10" si="2">ROUND($J$5*K9,2)</f>
        <v>-491127.43</v>
      </c>
      <c r="K9" s="250">
        <f>+'[3]Monthly TD Calc'!$DA$44</f>
        <v>0.45435908608374953</v>
      </c>
    </row>
    <row r="10" spans="1:34" ht="15" thickBot="1" x14ac:dyDescent="0.4">
      <c r="A10" s="21" t="s">
        <v>123</v>
      </c>
      <c r="D10" s="254"/>
      <c r="E10" s="255"/>
      <c r="F10" s="254"/>
      <c r="G10" s="254"/>
      <c r="H10" s="254"/>
      <c r="I10" s="253"/>
      <c r="J10" s="35">
        <f t="shared" si="2"/>
        <v>-165973.69</v>
      </c>
      <c r="K10" s="250">
        <f>+'[3]Monthly TD Calc'!$DB$44</f>
        <v>0.15354803586675725</v>
      </c>
    </row>
    <row r="11" spans="1:34" ht="15.5" thickTop="1" thickBot="1" x14ac:dyDescent="0.4">
      <c r="A11" s="21" t="s">
        <v>125</v>
      </c>
      <c r="D11" s="254"/>
      <c r="E11" s="255"/>
      <c r="F11" s="254"/>
      <c r="G11" s="254"/>
      <c r="H11" s="254"/>
      <c r="I11" s="253"/>
      <c r="J11" s="39">
        <f>SUM(J8:J10)</f>
        <v>-1080923.54</v>
      </c>
      <c r="K11" s="251">
        <f>SUM(K8:K10)</f>
        <v>1.0000000000000002</v>
      </c>
    </row>
    <row r="12" spans="1:34" ht="15.5" thickTop="1" thickBot="1" x14ac:dyDescent="0.4"/>
    <row r="13" spans="1:34" ht="87.5" thickBot="1" x14ac:dyDescent="0.4">
      <c r="B13" s="136" t="s">
        <v>153</v>
      </c>
      <c r="C13" s="171" t="s">
        <v>154</v>
      </c>
      <c r="D13" s="300" t="s">
        <v>35</v>
      </c>
      <c r="E13" s="300"/>
      <c r="F13" s="301"/>
      <c r="G13" s="291" t="s">
        <v>35</v>
      </c>
      <c r="H13" s="292"/>
      <c r="I13" s="293"/>
      <c r="J13" s="296" t="s">
        <v>9</v>
      </c>
      <c r="K13" s="297"/>
      <c r="L13" s="298"/>
    </row>
    <row r="14" spans="1:34" x14ac:dyDescent="0.35">
      <c r="A14" s="59" t="s">
        <v>34</v>
      </c>
      <c r="C14" s="14"/>
      <c r="D14" s="19">
        <v>43799</v>
      </c>
      <c r="E14" s="19">
        <f>EOMONTH(D14,1)</f>
        <v>43830</v>
      </c>
      <c r="F14" s="19">
        <f t="shared" ref="F14:L14" si="3">EOMONTH(E14,1)</f>
        <v>43861</v>
      </c>
      <c r="G14" s="14">
        <f t="shared" si="3"/>
        <v>43890</v>
      </c>
      <c r="H14" s="19">
        <f t="shared" si="3"/>
        <v>43921</v>
      </c>
      <c r="I14" s="15">
        <f t="shared" si="3"/>
        <v>43951</v>
      </c>
      <c r="J14" s="19">
        <f t="shared" si="3"/>
        <v>43982</v>
      </c>
      <c r="K14" s="19">
        <f t="shared" si="3"/>
        <v>44012</v>
      </c>
      <c r="L14" s="113">
        <f t="shared" si="3"/>
        <v>44043</v>
      </c>
      <c r="Y14" s="1"/>
      <c r="Z14" s="1"/>
      <c r="AA14" s="1"/>
      <c r="AB14" s="1"/>
      <c r="AC14" s="1"/>
      <c r="AD14" s="1"/>
      <c r="AE14" s="1"/>
      <c r="AF14" s="1"/>
      <c r="AG14" s="1"/>
      <c r="AH14" s="1"/>
    </row>
    <row r="15" spans="1:34" x14ac:dyDescent="0.35">
      <c r="A15" s="59" t="s">
        <v>26</v>
      </c>
      <c r="C15" s="115">
        <v>-2128040.71</v>
      </c>
      <c r="D15" s="127">
        <f>ROUND('[5]Cycle 2'!C25,2)</f>
        <v>1239471.6000000001</v>
      </c>
      <c r="E15" s="127">
        <f>ROUND('[5]Cycle 2'!D25,2)</f>
        <v>664345.21</v>
      </c>
      <c r="F15" s="128">
        <f>ROUND('[5]Cycle 2'!E25,2)</f>
        <v>726298.26</v>
      </c>
      <c r="G15" s="16">
        <f>ROUND('[5]Cycle 2'!F25,2)</f>
        <v>34862.699999999997</v>
      </c>
      <c r="H15" s="68">
        <f>ROUND('[5]Cycle 2'!G25,2)</f>
        <v>22450.38</v>
      </c>
      <c r="I15" s="186">
        <f>ROUND('[5]Cycle 2'!H25,2)</f>
        <v>0</v>
      </c>
      <c r="J15" s="196">
        <f>ROUND('[2]EM&amp;V Forecast'!K37,2)</f>
        <v>13959.61</v>
      </c>
      <c r="K15" s="158">
        <f>ROUND('[2]EM&amp;V Forecast'!L37,2)</f>
        <v>13959.61</v>
      </c>
      <c r="L15" s="91"/>
    </row>
    <row r="16" spans="1:34" x14ac:dyDescent="0.35">
      <c r="A16" s="59" t="s">
        <v>27</v>
      </c>
      <c r="C16" s="115">
        <v>-2120395.54</v>
      </c>
      <c r="D16" s="127">
        <f>ROUND('[5]Cycle 2'!C26,2)</f>
        <v>534169.64</v>
      </c>
      <c r="E16" s="127">
        <f>ROUND('[5]Cycle 2'!D26,2)</f>
        <v>707871.14</v>
      </c>
      <c r="F16" s="128">
        <f>ROUND('[5]Cycle 2'!E26,2)</f>
        <v>2169153.8199999998</v>
      </c>
      <c r="G16" s="16">
        <f>ROUND('[5]Cycle 2'!F26,2)</f>
        <v>-16852.54</v>
      </c>
      <c r="H16" s="68">
        <f>ROUND('[5]Cycle 2'!G26,2)</f>
        <v>13001.98</v>
      </c>
      <c r="I16" s="186">
        <f>ROUND('[5]Cycle 2'!H26,2)</f>
        <v>-7812</v>
      </c>
      <c r="J16" s="196">
        <f>ROUND('[2]EM&amp;V Forecast'!K38,2)</f>
        <v>15646.26</v>
      </c>
      <c r="K16" s="158">
        <f>ROUND('[2]EM&amp;V Forecast'!L38,2)</f>
        <v>15646.26</v>
      </c>
      <c r="L16" s="91"/>
      <c r="M16" s="76" t="s">
        <v>29</v>
      </c>
    </row>
    <row r="17" spans="1:14" x14ac:dyDescent="0.35">
      <c r="A17" s="59" t="s">
        <v>0</v>
      </c>
      <c r="C17" s="115">
        <v>-352327.23</v>
      </c>
      <c r="D17" s="127">
        <f>ROUND('[5]Cycle 2'!C27,2)</f>
        <v>104264.72</v>
      </c>
      <c r="E17" s="127">
        <f>ROUND('[5]Cycle 2'!D27,2)</f>
        <v>167014.48000000001</v>
      </c>
      <c r="F17" s="128">
        <f>ROUND('[5]Cycle 2'!E27,2)</f>
        <v>113644.11</v>
      </c>
      <c r="G17" s="16">
        <f>ROUND('[5]Cycle 2'!F27,2)</f>
        <v>2863.38</v>
      </c>
      <c r="H17" s="68">
        <f>ROUND('[5]Cycle 2'!G27,2)</f>
        <v>6664.08</v>
      </c>
      <c r="I17" s="186">
        <f>ROUND('[5]Cycle 2'!H27,2)</f>
        <v>0</v>
      </c>
      <c r="J17" s="196">
        <f>ROUND('[2]EM&amp;V Forecast'!K39,2)</f>
        <v>2977.2</v>
      </c>
      <c r="K17" s="158">
        <f>ROUND('[2]EM&amp;V Forecast'!L39,2)</f>
        <v>2977.2</v>
      </c>
      <c r="L17" s="91"/>
      <c r="M17" s="86">
        <v>0.5</v>
      </c>
    </row>
    <row r="18" spans="1:14" x14ac:dyDescent="0.35">
      <c r="A18" s="59" t="s">
        <v>1</v>
      </c>
      <c r="C18" s="115">
        <v>0</v>
      </c>
      <c r="D18" s="127">
        <f>ROUND('[5]Cycle 2'!C28,2)</f>
        <v>44498.79</v>
      </c>
      <c r="E18" s="127">
        <f>ROUND('[5]Cycle 2'!D28,2)</f>
        <v>173173.36</v>
      </c>
      <c r="F18" s="128">
        <f>ROUND('[5]Cycle 2'!E28,2)</f>
        <v>-8472.67</v>
      </c>
      <c r="G18" s="16">
        <f>ROUND('[5]Cycle 2'!F28,2)</f>
        <v>-382.17</v>
      </c>
      <c r="H18" s="68">
        <f>ROUND('[5]Cycle 2'!G28,2)</f>
        <v>0</v>
      </c>
      <c r="I18" s="186">
        <f>ROUND('[5]Cycle 2'!H28,2)</f>
        <v>46909.37</v>
      </c>
      <c r="J18" s="196">
        <f>ROUND('[2]EM&amp;V Forecast'!K40,2)</f>
        <v>0</v>
      </c>
      <c r="K18" s="158">
        <f>ROUND('[2]EM&amp;V Forecast'!L40,2)</f>
        <v>0</v>
      </c>
      <c r="L18" s="91"/>
      <c r="M18" s="76"/>
    </row>
    <row r="19" spans="1:14" x14ac:dyDescent="0.35">
      <c r="C19" s="116"/>
      <c r="D19" s="43"/>
      <c r="E19" s="43"/>
      <c r="F19" s="43"/>
      <c r="G19" s="40"/>
      <c r="H19" s="43"/>
      <c r="I19" s="11"/>
      <c r="J19" s="43"/>
      <c r="K19" s="43"/>
      <c r="L19" s="41"/>
    </row>
    <row r="20" spans="1:14" x14ac:dyDescent="0.35">
      <c r="C20" s="116"/>
      <c r="D20" s="43"/>
      <c r="E20" s="43"/>
      <c r="F20" s="43"/>
      <c r="G20" s="40"/>
      <c r="H20" s="43"/>
      <c r="I20" s="11"/>
      <c r="J20" s="43"/>
      <c r="K20" s="43"/>
      <c r="L20" s="41"/>
    </row>
    <row r="21" spans="1:14" x14ac:dyDescent="0.35">
      <c r="A21" s="59" t="s">
        <v>37</v>
      </c>
      <c r="C21" s="117"/>
      <c r="D21" s="43"/>
      <c r="E21" s="43"/>
      <c r="F21" s="43"/>
      <c r="G21" s="40"/>
      <c r="H21" s="43"/>
      <c r="I21" s="187"/>
      <c r="J21" s="17"/>
      <c r="K21" s="17"/>
      <c r="L21" s="11"/>
    </row>
    <row r="22" spans="1:14" x14ac:dyDescent="0.35">
      <c r="A22" s="59" t="s">
        <v>26</v>
      </c>
      <c r="C22" s="52">
        <f t="shared" ref="C22:K22" si="4">C15+($M$17*C$17)+($M$17*C$18)</f>
        <v>-2304204.3250000002</v>
      </c>
      <c r="D22" s="53">
        <f t="shared" si="4"/>
        <v>1313853.3550000002</v>
      </c>
      <c r="E22" s="53">
        <f t="shared" si="4"/>
        <v>834439.12999999989</v>
      </c>
      <c r="F22" s="126">
        <f t="shared" si="4"/>
        <v>778883.9800000001</v>
      </c>
      <c r="G22" s="52">
        <f t="shared" si="4"/>
        <v>36103.305</v>
      </c>
      <c r="H22" s="53">
        <f t="shared" si="4"/>
        <v>25782.420000000002</v>
      </c>
      <c r="I22" s="74">
        <f t="shared" si="4"/>
        <v>23454.685000000001</v>
      </c>
      <c r="J22" s="141">
        <f t="shared" si="4"/>
        <v>15448.210000000001</v>
      </c>
      <c r="K22" s="53">
        <f t="shared" si="4"/>
        <v>15448.210000000001</v>
      </c>
      <c r="L22" s="74">
        <f t="shared" ref="L22" si="5">L15+($M$17*L$17)+($M$17*L$18)+L$19*(1-$M$19)</f>
        <v>0</v>
      </c>
    </row>
    <row r="23" spans="1:14" x14ac:dyDescent="0.35">
      <c r="A23" s="59" t="s">
        <v>27</v>
      </c>
      <c r="C23" s="52">
        <f t="shared" ref="C23:K23" si="6">(C$16+$M$17*C$17)+C$18*$M$17</f>
        <v>-2296559.1550000003</v>
      </c>
      <c r="D23" s="53">
        <f t="shared" si="6"/>
        <v>608551.39500000002</v>
      </c>
      <c r="E23" s="53">
        <f t="shared" si="6"/>
        <v>877965.06</v>
      </c>
      <c r="F23" s="126">
        <f t="shared" si="6"/>
        <v>2221739.54</v>
      </c>
      <c r="G23" s="52">
        <f t="shared" si="6"/>
        <v>-15611.934999999999</v>
      </c>
      <c r="H23" s="53">
        <f t="shared" si="6"/>
        <v>16334.02</v>
      </c>
      <c r="I23" s="74">
        <f t="shared" si="6"/>
        <v>15642.685000000001</v>
      </c>
      <c r="J23" s="141">
        <f t="shared" si="6"/>
        <v>17134.86</v>
      </c>
      <c r="K23" s="53">
        <f t="shared" si="6"/>
        <v>17134.86</v>
      </c>
      <c r="L23" s="74">
        <f t="shared" ref="L23" si="7">(L$16+$M$17*L$17+L$19*$M$19)+L$18*$M$17</f>
        <v>0</v>
      </c>
    </row>
    <row r="24" spans="1:14" x14ac:dyDescent="0.35">
      <c r="C24" s="117"/>
      <c r="D24" s="43"/>
      <c r="E24" s="43"/>
      <c r="F24" s="43"/>
      <c r="G24" s="40"/>
      <c r="H24" s="43"/>
      <c r="I24" s="11"/>
      <c r="J24" s="17"/>
      <c r="K24" s="17"/>
      <c r="L24" s="11"/>
    </row>
    <row r="25" spans="1:14" x14ac:dyDescent="0.35">
      <c r="A25" s="51" t="s">
        <v>49</v>
      </c>
      <c r="B25" s="51"/>
      <c r="C25" s="119"/>
      <c r="D25" s="43"/>
      <c r="E25" s="43"/>
      <c r="F25" s="43"/>
      <c r="G25" s="40"/>
      <c r="H25" s="43"/>
      <c r="I25" s="11"/>
      <c r="J25" s="17"/>
      <c r="K25" s="17"/>
      <c r="L25" s="11"/>
    </row>
    <row r="26" spans="1:14" x14ac:dyDescent="0.35">
      <c r="A26" s="59" t="s">
        <v>26</v>
      </c>
      <c r="C26" s="120">
        <v>-836021094</v>
      </c>
      <c r="D26" s="129">
        <f>+'[6]November 2019 Combined'!$F$55</f>
        <v>235127637.14769998</v>
      </c>
      <c r="E26" s="129">
        <f>+'[6]December 2019 Combined'!$F$55</f>
        <v>308714858.91809994</v>
      </c>
      <c r="F26" s="129">
        <f>+'[7]January 2020'!$F$60</f>
        <v>327471670.47650015</v>
      </c>
      <c r="G26" s="206">
        <f>+'[7]February 2020'!$F$102</f>
        <v>331040361.1376999</v>
      </c>
      <c r="H26" s="209">
        <f>+'[7]March 2020'!$F$102</f>
        <v>274322466.85069996</v>
      </c>
      <c r="I26" s="201">
        <f>+'[7]April 2020'!$F$102</f>
        <v>233969825.78619999</v>
      </c>
      <c r="J26" s="197">
        <f>+'[1]Billed kWh Sales'!G24</f>
        <v>203890143</v>
      </c>
      <c r="K26" s="159">
        <f>+'[1]Billed kWh Sales'!H24</f>
        <v>263527924</v>
      </c>
      <c r="L26" s="92">
        <f>+'[1]Billed kWh Sales'!I24</f>
        <v>365958775</v>
      </c>
    </row>
    <row r="27" spans="1:14" x14ac:dyDescent="0.35">
      <c r="A27" s="59" t="s">
        <v>121</v>
      </c>
      <c r="C27" s="120"/>
      <c r="D27" s="129"/>
      <c r="E27" s="129"/>
      <c r="F27" s="129"/>
      <c r="G27" s="206"/>
      <c r="H27" s="209"/>
      <c r="I27" s="201"/>
      <c r="J27" s="197">
        <f>+'[1]Billed kWh Sales'!G25</f>
        <v>74829664</v>
      </c>
      <c r="K27" s="159">
        <f>+'[1]Billed kWh Sales'!H25</f>
        <v>80840360</v>
      </c>
      <c r="L27" s="92">
        <f>+'[1]Billed kWh Sales'!I25</f>
        <v>89606004</v>
      </c>
    </row>
    <row r="28" spans="1:14" x14ac:dyDescent="0.35">
      <c r="A28" s="59" t="s">
        <v>122</v>
      </c>
      <c r="C28" s="120"/>
      <c r="D28" s="129"/>
      <c r="E28" s="129"/>
      <c r="F28" s="129"/>
      <c r="G28" s="206"/>
      <c r="H28" s="209"/>
      <c r="I28" s="201"/>
      <c r="J28" s="197">
        <f>+'[1]Billed kWh Sales'!G26</f>
        <v>113436640</v>
      </c>
      <c r="K28" s="159">
        <f>+'[1]Billed kWh Sales'!H26</f>
        <v>122548443</v>
      </c>
      <c r="L28" s="92">
        <f>+'[1]Billed kWh Sales'!I26</f>
        <v>135836559</v>
      </c>
    </row>
    <row r="29" spans="1:14" x14ac:dyDescent="0.35">
      <c r="A29" s="59" t="s">
        <v>123</v>
      </c>
      <c r="C29" s="120">
        <v>-240871489</v>
      </c>
      <c r="D29" s="129">
        <f>+'[6]November 2019 Combined'!$F$56</f>
        <v>253390442.47080007</v>
      </c>
      <c r="E29" s="129">
        <f>+'[6]December 2019 Combined'!$F$56</f>
        <v>274317874.33490002</v>
      </c>
      <c r="F29" s="129">
        <f>+'[7]January 2020'!$F$61</f>
        <v>253146099.79809996</v>
      </c>
      <c r="G29" s="206">
        <f>+'[7]February 2020'!$F$103</f>
        <v>265668616.2504999</v>
      </c>
      <c r="H29" s="209">
        <f>+'[7]March 2020'!$F$103</f>
        <v>240432419.70310003</v>
      </c>
      <c r="I29" s="201">
        <f>+'[7]April 2020'!$F$103</f>
        <v>213936239.76970005</v>
      </c>
      <c r="J29" s="197">
        <f>+'[1]Billed kWh Sales'!G27</f>
        <v>66084167</v>
      </c>
      <c r="K29" s="159">
        <f>+'[1]Billed kWh Sales'!H27</f>
        <v>71392381</v>
      </c>
      <c r="L29" s="92">
        <f>+'[1]Billed kWh Sales'!I27</f>
        <v>79133567</v>
      </c>
    </row>
    <row r="30" spans="1:14" x14ac:dyDescent="0.35">
      <c r="C30" s="117"/>
      <c r="D30" s="43"/>
      <c r="E30" s="43"/>
      <c r="F30" s="43"/>
      <c r="G30" s="40"/>
      <c r="H30" s="43"/>
      <c r="I30" s="11"/>
      <c r="J30" s="17"/>
      <c r="K30" s="17"/>
      <c r="L30" s="11"/>
    </row>
    <row r="31" spans="1:14" x14ac:dyDescent="0.35">
      <c r="A31" s="59" t="s">
        <v>36</v>
      </c>
      <c r="C31" s="117"/>
      <c r="D31" s="18"/>
      <c r="E31" s="18"/>
      <c r="F31" s="18"/>
      <c r="G31" s="109"/>
      <c r="H31" s="18"/>
      <c r="I31" s="11"/>
      <c r="J31" s="70"/>
      <c r="K31" s="70"/>
      <c r="L31" s="71"/>
      <c r="M31" s="76" t="s">
        <v>52</v>
      </c>
      <c r="N31" s="51"/>
    </row>
    <row r="32" spans="1:14" x14ac:dyDescent="0.35">
      <c r="A32" s="59" t="s">
        <v>26</v>
      </c>
      <c r="C32" s="115">
        <v>-2683627.71</v>
      </c>
      <c r="D32" s="127">
        <f>ROUND('[6]November 2019 Combined'!$F$28+'[6]November 2019 Combined'!$F$33,2)</f>
        <v>754660.56</v>
      </c>
      <c r="E32" s="127">
        <f>ROUND('[6]December 2019 Combined'!$F$28+'[6]December 2019 Combined'!$F$33,2)</f>
        <v>991080.98</v>
      </c>
      <c r="F32" s="129">
        <f>ROUND('[7]January 2020'!$F$33+'[7]January 2020'!$F$38,2)</f>
        <v>1050925.51</v>
      </c>
      <c r="G32" s="207">
        <f>ROUND('[7]February 2020'!F36+'[7]February 2020'!F44,2)</f>
        <v>1062609.28</v>
      </c>
      <c r="H32" s="68">
        <f>ROUND('[7]March 2020'!F36+'[7]March 2020'!F44,2)</f>
        <v>79458.080000000002</v>
      </c>
      <c r="I32" s="199">
        <f>ROUND('[7]April 2020'!F36+'[7]April 2020'!F44,2)</f>
        <v>67910.89</v>
      </c>
      <c r="J32" s="141">
        <f t="shared" ref="J32:L35" si="8">ROUND(J26*$M32,2)</f>
        <v>59128.14</v>
      </c>
      <c r="K32" s="53">
        <f t="shared" si="8"/>
        <v>76423.100000000006</v>
      </c>
      <c r="L32" s="74">
        <f t="shared" si="8"/>
        <v>106128.04</v>
      </c>
      <c r="M32" s="85">
        <v>2.9E-4</v>
      </c>
    </row>
    <row r="33" spans="1:13" x14ac:dyDescent="0.35">
      <c r="A33" s="59" t="s">
        <v>121</v>
      </c>
      <c r="C33" s="115">
        <v>0</v>
      </c>
      <c r="D33" s="127"/>
      <c r="E33" s="127"/>
      <c r="F33" s="129"/>
      <c r="G33" s="207">
        <f>ROUND('[7]February 2020'!F37+'[7]February 2020'!F45,2)</f>
        <v>272177.14</v>
      </c>
      <c r="H33" s="68">
        <f>ROUND('[7]March 2020'!F37+'[7]March 2020'!F45,2)</f>
        <v>49934.76</v>
      </c>
      <c r="I33" s="199">
        <f>ROUND('[7]April 2020'!F37+'[7]April 2020'!F45,2)</f>
        <v>39961.129999999997</v>
      </c>
      <c r="J33" s="141">
        <f t="shared" si="8"/>
        <v>40408.019999999997</v>
      </c>
      <c r="K33" s="53">
        <f t="shared" si="8"/>
        <v>43653.79</v>
      </c>
      <c r="L33" s="74">
        <f t="shared" si="8"/>
        <v>48387.24</v>
      </c>
      <c r="M33" s="85">
        <v>5.4000000000000001E-4</v>
      </c>
    </row>
    <row r="34" spans="1:13" x14ac:dyDescent="0.35">
      <c r="A34" s="59" t="s">
        <v>122</v>
      </c>
      <c r="C34" s="115">
        <v>0</v>
      </c>
      <c r="D34" s="127"/>
      <c r="E34" s="127"/>
      <c r="F34" s="129"/>
      <c r="G34" s="207">
        <f>ROUND('[7]February 2020'!F38+'[7]February 2020'!F46,2)</f>
        <v>331866.34999999998</v>
      </c>
      <c r="H34" s="68">
        <f>ROUND('[7]March 2020'!F38+'[7]March 2020'!F46,2)</f>
        <v>35745.78</v>
      </c>
      <c r="I34" s="199">
        <f>ROUND('[7]April 2020'!F38+'[7]April 2020'!F46,2)</f>
        <v>34267.660000000003</v>
      </c>
      <c r="J34" s="141">
        <f t="shared" si="8"/>
        <v>46509.02</v>
      </c>
      <c r="K34" s="53">
        <f t="shared" si="8"/>
        <v>50244.86</v>
      </c>
      <c r="L34" s="74">
        <f t="shared" si="8"/>
        <v>55692.99</v>
      </c>
      <c r="M34" s="85">
        <v>4.0999999999999999E-4</v>
      </c>
    </row>
    <row r="35" spans="1:13" x14ac:dyDescent="0.35">
      <c r="A35" s="59" t="s">
        <v>123</v>
      </c>
      <c r="C35" s="115">
        <v>-929763.95</v>
      </c>
      <c r="D35" s="127">
        <f>ROUND('[6]November 2019 Combined'!$F$29+'[6]November 2019 Combined'!$F$34,2)</f>
        <v>981093.41</v>
      </c>
      <c r="E35" s="127">
        <f>ROUND('[6]December 2019 Combined'!$F$29+'[6]December 2019 Combined'!$F$34,2)</f>
        <v>1058740.27</v>
      </c>
      <c r="F35" s="129">
        <f>ROUND('[7]January 2020'!$F$34+'[7]January 2020'!$F$39,2)</f>
        <v>984670.79</v>
      </c>
      <c r="G35" s="207">
        <f>ROUND('[7]February 2020'!F39+'[7]February 2020'!F47,2)</f>
        <v>419487.33</v>
      </c>
      <c r="H35" s="68">
        <f>ROUND('[7]March 2020'!F39+'[7]March 2020'!F47,2)</f>
        <v>16048.8</v>
      </c>
      <c r="I35" s="199">
        <f>ROUND('[7]April 2020'!F39+'[7]April 2020'!F47,2)</f>
        <v>11803.12</v>
      </c>
      <c r="J35" s="141">
        <f t="shared" si="8"/>
        <v>11895.15</v>
      </c>
      <c r="K35" s="53">
        <f t="shared" si="8"/>
        <v>12850.63</v>
      </c>
      <c r="L35" s="74">
        <f t="shared" si="8"/>
        <v>14244.04</v>
      </c>
      <c r="M35" s="85">
        <v>1.7999999999999998E-4</v>
      </c>
    </row>
    <row r="36" spans="1:13" x14ac:dyDescent="0.35">
      <c r="C36" s="80"/>
      <c r="D36" s="18"/>
      <c r="E36" s="18"/>
      <c r="F36" s="18"/>
      <c r="G36" s="109"/>
      <c r="H36" s="18"/>
      <c r="I36" s="11"/>
      <c r="J36" s="69"/>
      <c r="K36" s="69"/>
      <c r="L36" s="13"/>
      <c r="M36" s="4"/>
    </row>
    <row r="37" spans="1:13" ht="15" thickBot="1" x14ac:dyDescent="0.4">
      <c r="A37" s="59" t="s">
        <v>16</v>
      </c>
      <c r="C37" s="121">
        <v>-5783.2599999999993</v>
      </c>
      <c r="D37" s="130">
        <v>2495.08</v>
      </c>
      <c r="E37" s="130">
        <v>2327.2200000000003</v>
      </c>
      <c r="F37" s="131">
        <v>3037.2200000000003</v>
      </c>
      <c r="G37" s="38">
        <v>1680.84</v>
      </c>
      <c r="H37" s="140">
        <v>-730.93999999999983</v>
      </c>
      <c r="I37" s="200">
        <v>-862.63999999999987</v>
      </c>
      <c r="J37" s="198">
        <v>-1059.6500000000001</v>
      </c>
      <c r="K37" s="160">
        <v>-1286.08</v>
      </c>
      <c r="L37" s="96"/>
    </row>
    <row r="38" spans="1:13" x14ac:dyDescent="0.35">
      <c r="C38" s="117"/>
      <c r="D38" s="43"/>
      <c r="E38" s="43"/>
      <c r="F38" s="43"/>
      <c r="G38" s="40"/>
      <c r="H38" s="43"/>
      <c r="I38" s="11"/>
      <c r="J38" s="17"/>
      <c r="K38" s="17"/>
      <c r="L38" s="11"/>
    </row>
    <row r="39" spans="1:13" x14ac:dyDescent="0.35">
      <c r="A39" s="59" t="s">
        <v>54</v>
      </c>
      <c r="C39" s="117"/>
      <c r="D39" s="43"/>
      <c r="E39" s="43"/>
      <c r="F39" s="43"/>
      <c r="G39" s="40"/>
      <c r="H39" s="43"/>
      <c r="I39" s="11"/>
      <c r="J39" s="17"/>
      <c r="K39" s="17"/>
      <c r="L39" s="11"/>
    </row>
    <row r="40" spans="1:13" x14ac:dyDescent="0.35">
      <c r="A40" s="59" t="s">
        <v>26</v>
      </c>
      <c r="C40" s="52">
        <f t="shared" ref="C40:L40" si="9">C22-C32</f>
        <v>379423.38499999978</v>
      </c>
      <c r="D40" s="53">
        <f t="shared" si="9"/>
        <v>559192.79500000016</v>
      </c>
      <c r="E40" s="53">
        <f t="shared" si="9"/>
        <v>-156641.85000000009</v>
      </c>
      <c r="F40" s="126">
        <f t="shared" si="9"/>
        <v>-272041.52999999991</v>
      </c>
      <c r="G40" s="52">
        <f t="shared" si="9"/>
        <v>-1026505.975</v>
      </c>
      <c r="H40" s="53">
        <f t="shared" si="9"/>
        <v>-53675.66</v>
      </c>
      <c r="I40" s="74">
        <f t="shared" si="9"/>
        <v>-44456.205000000002</v>
      </c>
      <c r="J40" s="141">
        <f t="shared" si="9"/>
        <v>-43679.93</v>
      </c>
      <c r="K40" s="53">
        <f t="shared" si="9"/>
        <v>-60974.890000000007</v>
      </c>
      <c r="L40" s="62">
        <f t="shared" si="9"/>
        <v>-106128.04</v>
      </c>
    </row>
    <row r="41" spans="1:13" x14ac:dyDescent="0.35">
      <c r="A41" s="59" t="s">
        <v>27</v>
      </c>
      <c r="C41" s="52">
        <f>C23-SUM(C33:C35)</f>
        <v>-1366795.2050000003</v>
      </c>
      <c r="D41" s="53">
        <f t="shared" ref="D41:L41" si="10">D23-SUM(D33:D35)</f>
        <v>-372542.01500000001</v>
      </c>
      <c r="E41" s="53">
        <f t="shared" si="10"/>
        <v>-180775.20999999996</v>
      </c>
      <c r="F41" s="126">
        <f t="shared" si="10"/>
        <v>1237068.75</v>
      </c>
      <c r="G41" s="52">
        <f t="shared" si="10"/>
        <v>-1039142.7550000001</v>
      </c>
      <c r="H41" s="53">
        <f t="shared" si="10"/>
        <v>-85395.32</v>
      </c>
      <c r="I41" s="74">
        <f t="shared" si="10"/>
        <v>-70389.225000000006</v>
      </c>
      <c r="J41" s="141">
        <f t="shared" si="10"/>
        <v>-81677.329999999987</v>
      </c>
      <c r="K41" s="53">
        <f t="shared" si="10"/>
        <v>-89614.42</v>
      </c>
      <c r="L41" s="62">
        <f t="shared" si="10"/>
        <v>-118324.26999999999</v>
      </c>
    </row>
    <row r="42" spans="1:13" x14ac:dyDescent="0.35">
      <c r="C42" s="117"/>
      <c r="D42" s="43"/>
      <c r="E42" s="43"/>
      <c r="F42" s="43"/>
      <c r="G42" s="40"/>
      <c r="H42" s="43"/>
      <c r="I42" s="11"/>
      <c r="J42" s="17"/>
      <c r="K42" s="17"/>
      <c r="L42" s="11"/>
    </row>
    <row r="43" spans="1:13" ht="15" thickBot="1" x14ac:dyDescent="0.4">
      <c r="A43" s="59" t="s">
        <v>55</v>
      </c>
      <c r="C43" s="122"/>
      <c r="D43" s="43"/>
      <c r="E43" s="43"/>
      <c r="F43" s="43"/>
      <c r="G43" s="40"/>
      <c r="H43" s="43"/>
      <c r="I43" s="11"/>
      <c r="J43" s="17"/>
      <c r="K43" s="17"/>
      <c r="L43" s="11"/>
    </row>
    <row r="44" spans="1:13" x14ac:dyDescent="0.35">
      <c r="A44" s="59" t="s">
        <v>26</v>
      </c>
      <c r="B44" s="134">
        <v>808394.66232000012</v>
      </c>
      <c r="C44" s="53">
        <f>B44+C40+B49</f>
        <v>1187818.0473199999</v>
      </c>
      <c r="D44" s="53">
        <f t="shared" ref="D44:L44" si="11">C44+D40+C49</f>
        <v>1739681.4723199999</v>
      </c>
      <c r="E44" s="53">
        <f t="shared" si="11"/>
        <v>1586672.74232</v>
      </c>
      <c r="F44" s="126">
        <f t="shared" si="11"/>
        <v>1318798.3923199999</v>
      </c>
      <c r="G44" s="52">
        <f t="shared" si="11"/>
        <v>295838.74731999991</v>
      </c>
      <c r="H44" s="53">
        <f t="shared" si="11"/>
        <v>244109.49731999991</v>
      </c>
      <c r="I44" s="74">
        <f t="shared" si="11"/>
        <v>200145.9623199999</v>
      </c>
      <c r="J44" s="141">
        <f t="shared" si="11"/>
        <v>156828.20231999992</v>
      </c>
      <c r="K44" s="53">
        <f t="shared" si="11"/>
        <v>96144.302319999915</v>
      </c>
      <c r="L44" s="62">
        <f t="shared" si="11"/>
        <v>-9777.4976800000786</v>
      </c>
    </row>
    <row r="45" spans="1:13" ht="15" thickBot="1" x14ac:dyDescent="0.4">
      <c r="A45" s="59" t="s">
        <v>27</v>
      </c>
      <c r="B45" s="135">
        <v>1098235.6810400004</v>
      </c>
      <c r="C45" s="53">
        <f>B45+C41+B50</f>
        <v>-268559.5239599999</v>
      </c>
      <c r="D45" s="53">
        <f t="shared" ref="D45:L45" si="12">C45+D41+C50</f>
        <v>-643629.70895999996</v>
      </c>
      <c r="E45" s="53">
        <f t="shared" si="12"/>
        <v>-825542.95895999996</v>
      </c>
      <c r="F45" s="126">
        <f t="shared" si="12"/>
        <v>409685.83104000002</v>
      </c>
      <c r="G45" s="52">
        <f t="shared" si="12"/>
        <v>-629966.02396000002</v>
      </c>
      <c r="H45" s="53">
        <f t="shared" si="12"/>
        <v>-715626.91395999992</v>
      </c>
      <c r="I45" s="74">
        <f t="shared" si="12"/>
        <v>-787239.74895999988</v>
      </c>
      <c r="J45" s="141">
        <f t="shared" si="12"/>
        <v>-870141.88895999989</v>
      </c>
      <c r="K45" s="53">
        <f t="shared" si="12"/>
        <v>-961106.94895999995</v>
      </c>
      <c r="L45" s="62">
        <f t="shared" si="12"/>
        <v>-1080923.53896</v>
      </c>
    </row>
    <row r="46" spans="1:13" x14ac:dyDescent="0.35">
      <c r="C46" s="117"/>
      <c r="D46" s="43"/>
      <c r="E46" s="43"/>
      <c r="F46" s="43"/>
      <c r="G46" s="40"/>
      <c r="H46" s="43"/>
      <c r="I46" s="11"/>
      <c r="J46" s="17"/>
      <c r="K46" s="17"/>
      <c r="L46" s="11"/>
    </row>
    <row r="47" spans="1:13" x14ac:dyDescent="0.35">
      <c r="A47" s="51" t="s">
        <v>51</v>
      </c>
      <c r="B47" s="51"/>
      <c r="C47" s="122"/>
      <c r="D47" s="98">
        <f>+'[8]Nov 2019'!$F$51</f>
        <v>2.4882900000000002E-3</v>
      </c>
      <c r="E47" s="98">
        <f>+'[8]Dec 2019'!$F$51</f>
        <v>2.5028199999999998E-3</v>
      </c>
      <c r="F47" s="98">
        <f>+'[8]Jan 2020'!$F$51</f>
        <v>2.43764E-3</v>
      </c>
      <c r="G47" s="99">
        <f>+'[8]Feb 2020'!$F$51</f>
        <v>2.4056699999999999E-3</v>
      </c>
      <c r="H47" s="98">
        <f>+'[8]Mar 2020'!$F$51</f>
        <v>1.8183299999999999E-3</v>
      </c>
      <c r="I47" s="110">
        <f>+'[8]Apr 2020'!$F$50</f>
        <v>1.62864E-3</v>
      </c>
      <c r="J47" s="98">
        <f>+I47</f>
        <v>1.62864E-3</v>
      </c>
      <c r="K47" s="98">
        <f>+J47</f>
        <v>1.62864E-3</v>
      </c>
      <c r="L47" s="110"/>
    </row>
    <row r="48" spans="1:13" x14ac:dyDescent="0.35">
      <c r="A48" s="51" t="s">
        <v>39</v>
      </c>
      <c r="B48" s="51"/>
      <c r="C48" s="117"/>
      <c r="D48" s="43"/>
      <c r="E48" s="43"/>
      <c r="F48" s="43"/>
      <c r="G48" s="40"/>
      <c r="H48" s="43"/>
      <c r="I48" s="11"/>
      <c r="J48" s="17"/>
      <c r="K48" s="17"/>
      <c r="L48" s="11"/>
      <c r="M48" s="84"/>
    </row>
    <row r="49" spans="1:12" x14ac:dyDescent="0.35">
      <c r="A49" s="59" t="s">
        <v>26</v>
      </c>
      <c r="C49" s="52">
        <v>-7329.369999999999</v>
      </c>
      <c r="D49" s="53">
        <f t="shared" ref="D49" si="13">ROUND((C44+C49+D40/2)*D$47,2)</f>
        <v>3633.12</v>
      </c>
      <c r="E49" s="53">
        <f t="shared" ref="E49:E50" si="14">ROUND((D44+D49+E40/2)*E$47,2)</f>
        <v>4167.18</v>
      </c>
      <c r="F49" s="126">
        <f t="shared" ref="F49:F50" si="15">ROUND((E44+E49+F40/2)*F$47,2)</f>
        <v>3546.33</v>
      </c>
      <c r="G49" s="52">
        <f t="shared" ref="G49:G50" si="16">ROUND((F44+F49+G40/2)*G$47,2)</f>
        <v>1946.41</v>
      </c>
      <c r="H49" s="141">
        <f t="shared" ref="H49:I50" si="17">ROUND((G44+G49+H40/2)*H$47,2)</f>
        <v>492.67</v>
      </c>
      <c r="I49" s="74">
        <f t="shared" si="17"/>
        <v>362.17</v>
      </c>
      <c r="J49" s="141">
        <f t="shared" ref="J49:J50" si="18">ROUND((I44+I49+J40/2)*J$47,2)</f>
        <v>290.99</v>
      </c>
      <c r="K49" s="141">
        <f t="shared" ref="K49:K50" si="19">ROUND((J44+J49+K40/2)*K$47,2)</f>
        <v>206.24</v>
      </c>
      <c r="L49" s="62"/>
    </row>
    <row r="50" spans="1:12" ht="15" thickBot="1" x14ac:dyDescent="0.4">
      <c r="A50" s="59" t="s">
        <v>27</v>
      </c>
      <c r="C50" s="132">
        <v>-2528.1699999999996</v>
      </c>
      <c r="D50" s="53">
        <f>ROUND((C45+C50+D41/2)*D$47,2)</f>
        <v>-1138.04</v>
      </c>
      <c r="E50" s="53">
        <f t="shared" si="14"/>
        <v>-1839.96</v>
      </c>
      <c r="F50" s="126">
        <f t="shared" si="15"/>
        <v>-509.1</v>
      </c>
      <c r="G50" s="52">
        <f t="shared" si="16"/>
        <v>-265.57</v>
      </c>
      <c r="H50" s="141">
        <f t="shared" si="17"/>
        <v>-1223.6099999999999</v>
      </c>
      <c r="I50" s="74">
        <f t="shared" si="17"/>
        <v>-1224.81</v>
      </c>
      <c r="J50" s="141">
        <f t="shared" si="18"/>
        <v>-1350.64</v>
      </c>
      <c r="K50" s="141">
        <f t="shared" si="19"/>
        <v>-1492.32</v>
      </c>
      <c r="L50" s="62"/>
    </row>
    <row r="51" spans="1:12" ht="15.5" thickTop="1" thickBot="1" x14ac:dyDescent="0.4">
      <c r="A51" s="67" t="s">
        <v>24</v>
      </c>
      <c r="B51" s="67"/>
      <c r="C51" s="133">
        <v>0</v>
      </c>
      <c r="D51" s="44">
        <f t="shared" ref="D51:L51" si="20">SUM(D49:D50)+SUM(D44:D45)-D54</f>
        <v>0</v>
      </c>
      <c r="E51" s="44">
        <f t="shared" si="20"/>
        <v>0</v>
      </c>
      <c r="F51" s="63">
        <f t="shared" si="20"/>
        <v>0</v>
      </c>
      <c r="G51" s="142">
        <f t="shared" si="20"/>
        <v>0</v>
      </c>
      <c r="H51" s="44">
        <f t="shared" si="20"/>
        <v>0</v>
      </c>
      <c r="I51" s="75">
        <f t="shared" si="20"/>
        <v>0</v>
      </c>
      <c r="J51" s="185">
        <f t="shared" si="20"/>
        <v>0</v>
      </c>
      <c r="K51" s="44">
        <f t="shared" si="20"/>
        <v>0</v>
      </c>
      <c r="L51" s="114">
        <f t="shared" si="20"/>
        <v>0</v>
      </c>
    </row>
    <row r="52" spans="1:12" ht="15.5" thickTop="1" thickBot="1" x14ac:dyDescent="0.4">
      <c r="A52" s="67" t="s">
        <v>25</v>
      </c>
      <c r="B52" s="67"/>
      <c r="C52" s="125">
        <v>0</v>
      </c>
      <c r="D52" s="44">
        <f t="shared" ref="D52:L52" si="21">SUM(D49:D50)-D37</f>
        <v>0</v>
      </c>
      <c r="E52" s="44">
        <f t="shared" si="21"/>
        <v>0</v>
      </c>
      <c r="F52" s="63">
        <f t="shared" si="21"/>
        <v>9.9999999997635314E-3</v>
      </c>
      <c r="G52" s="64">
        <f t="shared" si="21"/>
        <v>0</v>
      </c>
      <c r="H52" s="44">
        <f t="shared" si="21"/>
        <v>0</v>
      </c>
      <c r="I52" s="75">
        <f t="shared" si="21"/>
        <v>0</v>
      </c>
      <c r="J52" s="185">
        <f t="shared" si="21"/>
        <v>0</v>
      </c>
      <c r="K52" s="44">
        <f t="shared" si="21"/>
        <v>0</v>
      </c>
      <c r="L52" s="114">
        <f t="shared" si="21"/>
        <v>0</v>
      </c>
    </row>
    <row r="53" spans="1:12" ht="15.5" thickTop="1" thickBot="1" x14ac:dyDescent="0.4">
      <c r="C53" s="117"/>
      <c r="D53" s="17"/>
      <c r="E53" s="17"/>
      <c r="F53" s="17"/>
      <c r="G53" s="10"/>
      <c r="H53" s="17"/>
      <c r="I53" s="11"/>
      <c r="J53" s="17"/>
      <c r="K53" s="17"/>
      <c r="L53" s="11"/>
    </row>
    <row r="54" spans="1:12" ht="15" thickBot="1" x14ac:dyDescent="0.4">
      <c r="A54" s="59" t="s">
        <v>38</v>
      </c>
      <c r="B54" s="137">
        <f>+B44+B45</f>
        <v>1906630.3433600005</v>
      </c>
      <c r="C54" s="52">
        <f t="shared" ref="C54:L54" si="22">(SUM(C15:C19)-SUM(C32:C35))+SUM(C49:C50)+B54</f>
        <v>909400.98336000019</v>
      </c>
      <c r="D54" s="53">
        <f t="shared" si="22"/>
        <v>1098546.8433600003</v>
      </c>
      <c r="E54" s="53">
        <f t="shared" si="22"/>
        <v>763457.00336000021</v>
      </c>
      <c r="F54" s="126">
        <f t="shared" si="22"/>
        <v>1731521.4533600002</v>
      </c>
      <c r="G54" s="52">
        <f t="shared" si="22"/>
        <v>-332446.43663999974</v>
      </c>
      <c r="H54" s="53">
        <f t="shared" si="22"/>
        <v>-472248.35663999972</v>
      </c>
      <c r="I54" s="74">
        <f t="shared" si="22"/>
        <v>-587956.42663999973</v>
      </c>
      <c r="J54" s="141">
        <f t="shared" si="22"/>
        <v>-714373.33663999964</v>
      </c>
      <c r="K54" s="53">
        <f t="shared" si="22"/>
        <v>-866248.72663999966</v>
      </c>
      <c r="L54" s="74">
        <f t="shared" si="22"/>
        <v>-1090701.0366399996</v>
      </c>
    </row>
    <row r="55" spans="1:12" x14ac:dyDescent="0.35">
      <c r="A55" s="59" t="s">
        <v>14</v>
      </c>
      <c r="C55" s="138"/>
      <c r="D55" s="69"/>
      <c r="E55" s="69"/>
      <c r="F55" s="69"/>
      <c r="G55" s="12"/>
      <c r="H55" s="69"/>
      <c r="I55" s="11"/>
      <c r="J55" s="17"/>
      <c r="K55" s="17"/>
      <c r="L55" s="11"/>
    </row>
    <row r="56" spans="1:12" ht="15" thickBot="1" x14ac:dyDescent="0.4">
      <c r="B56" s="17"/>
      <c r="C56" s="55"/>
      <c r="D56" s="56"/>
      <c r="E56" s="56"/>
      <c r="F56" s="56"/>
      <c r="G56" s="55"/>
      <c r="H56" s="56"/>
      <c r="I56" s="57"/>
      <c r="J56" s="56"/>
      <c r="K56" s="56"/>
      <c r="L56" s="57"/>
    </row>
    <row r="58" spans="1:12" x14ac:dyDescent="0.35">
      <c r="A58" s="82" t="s">
        <v>13</v>
      </c>
      <c r="B58" s="82"/>
      <c r="C58" s="82"/>
    </row>
    <row r="59" spans="1:12" ht="42.75" customHeight="1" x14ac:dyDescent="0.35">
      <c r="A59" s="299" t="s">
        <v>206</v>
      </c>
      <c r="B59" s="299"/>
      <c r="C59" s="299"/>
      <c r="D59" s="299"/>
      <c r="E59" s="299"/>
      <c r="F59" s="299"/>
      <c r="G59" s="299"/>
      <c r="H59" s="299"/>
      <c r="I59" s="299"/>
      <c r="J59" s="164"/>
      <c r="K59" s="164"/>
      <c r="L59" s="164"/>
    </row>
    <row r="60" spans="1:12" ht="33.75" customHeight="1" x14ac:dyDescent="0.35">
      <c r="A60" s="299" t="s">
        <v>191</v>
      </c>
      <c r="B60" s="299"/>
      <c r="C60" s="299"/>
      <c r="D60" s="299"/>
      <c r="E60" s="299"/>
      <c r="F60" s="299"/>
      <c r="G60" s="299"/>
      <c r="H60" s="299"/>
      <c r="I60" s="299"/>
      <c r="J60" s="164"/>
      <c r="K60" s="164"/>
      <c r="L60" s="164"/>
    </row>
    <row r="61" spans="1:12" ht="33.75" customHeight="1" x14ac:dyDescent="0.35">
      <c r="A61" s="299" t="s">
        <v>192</v>
      </c>
      <c r="B61" s="299"/>
      <c r="C61" s="299"/>
      <c r="D61" s="299"/>
      <c r="E61" s="299"/>
      <c r="F61" s="299"/>
      <c r="G61" s="299"/>
      <c r="H61" s="299"/>
      <c r="I61" s="299"/>
      <c r="J61" s="164"/>
      <c r="K61" s="164"/>
      <c r="L61" s="164"/>
    </row>
    <row r="62" spans="1:12" x14ac:dyDescent="0.35">
      <c r="A62" s="3" t="s">
        <v>33</v>
      </c>
      <c r="B62" s="3"/>
      <c r="C62" s="3"/>
      <c r="I62" s="4"/>
    </row>
    <row r="63" spans="1:12" x14ac:dyDescent="0.35">
      <c r="A63" s="76" t="s">
        <v>179</v>
      </c>
      <c r="B63" s="3"/>
      <c r="C63" s="3"/>
      <c r="I63" s="4"/>
    </row>
    <row r="64" spans="1:12" x14ac:dyDescent="0.35">
      <c r="A64" s="3" t="s">
        <v>53</v>
      </c>
      <c r="B64" s="3"/>
      <c r="C64" s="3"/>
      <c r="I64" s="4"/>
    </row>
    <row r="65" spans="1:13" x14ac:dyDescent="0.35">
      <c r="A65" s="3" t="s">
        <v>180</v>
      </c>
    </row>
    <row r="74" spans="1:13" x14ac:dyDescent="0.35">
      <c r="M74" s="8"/>
    </row>
  </sheetData>
  <mergeCells count="6">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H74"/>
  <sheetViews>
    <sheetView workbookViewId="0"/>
  </sheetViews>
  <sheetFormatPr defaultColWidth="9.1796875" defaultRowHeight="14.5" x14ac:dyDescent="0.35"/>
  <cols>
    <col min="1" max="1" width="54.54296875" style="59" customWidth="1"/>
    <col min="2" max="2" width="14.7265625" style="59" customWidth="1"/>
    <col min="3" max="3" width="15" style="59" customWidth="1"/>
    <col min="4" max="4" width="15.26953125" style="59" customWidth="1"/>
    <col min="5" max="5" width="15.81640625" style="59" customWidth="1"/>
    <col min="6" max="6" width="17.54296875" style="59" customWidth="1"/>
    <col min="7" max="8" width="13.26953125" style="59" customWidth="1"/>
    <col min="9" max="9" width="15.7265625" style="59" customWidth="1"/>
    <col min="10" max="11" width="12.54296875" style="59" bestFit="1" customWidth="1"/>
    <col min="12" max="12" width="14.453125" style="59" customWidth="1"/>
    <col min="13" max="13" width="15" style="59" bestFit="1" customWidth="1"/>
    <col min="14" max="14" width="16.26953125" style="59" bestFit="1" customWidth="1"/>
    <col min="15" max="15" width="16.1796875" style="59" customWidth="1"/>
    <col min="16" max="16" width="17.26953125" style="59" bestFit="1" customWidth="1"/>
    <col min="17" max="17" width="17.453125" style="59" customWidth="1"/>
    <col min="18" max="18" width="15.54296875" style="59" customWidth="1"/>
    <col min="19" max="19" width="13" style="59" customWidth="1"/>
    <col min="20" max="20" width="9.1796875" style="59"/>
    <col min="21" max="21" width="14.26953125" style="59" bestFit="1" customWidth="1"/>
    <col min="22" max="16384" width="9.1796875" style="59"/>
  </cols>
  <sheetData>
    <row r="1" spans="1:34" x14ac:dyDescent="0.35">
      <c r="A1" s="3" t="str">
        <f>+'PPC Cycle 2'!A1</f>
        <v>Evergy Missouri West, Inc. - DSIM Rider Update Filed 06/01/2020</v>
      </c>
      <c r="B1" s="3"/>
      <c r="C1" s="3"/>
    </row>
    <row r="2" spans="1:34" x14ac:dyDescent="0.35">
      <c r="D2" s="3" t="s">
        <v>158</v>
      </c>
    </row>
    <row r="3" spans="1:34" ht="29" x14ac:dyDescent="0.35">
      <c r="D3" s="61" t="s">
        <v>48</v>
      </c>
      <c r="E3" s="61" t="s">
        <v>47</v>
      </c>
      <c r="F3" s="83" t="s">
        <v>2</v>
      </c>
      <c r="G3" s="61" t="s">
        <v>3</v>
      </c>
      <c r="H3" s="83" t="s">
        <v>57</v>
      </c>
      <c r="I3" s="61" t="s">
        <v>11</v>
      </c>
      <c r="J3" s="61" t="s">
        <v>4</v>
      </c>
    </row>
    <row r="4" spans="1:34" x14ac:dyDescent="0.35">
      <c r="A4" s="21" t="s">
        <v>26</v>
      </c>
      <c r="D4" s="23">
        <f>SUM(C26:L26)</f>
        <v>3461552.72</v>
      </c>
      <c r="E4" s="156">
        <f>SUM(C20:L20)</f>
        <v>1341687100.2625</v>
      </c>
      <c r="F4" s="23">
        <f>SUM(C14:K14)</f>
        <v>3973601.26</v>
      </c>
      <c r="G4" s="23">
        <f>F4-D4</f>
        <v>512048.53999999957</v>
      </c>
      <c r="H4" s="23">
        <f>+B40</f>
        <v>0</v>
      </c>
      <c r="I4" s="23">
        <f>SUM(C47:K47)</f>
        <v>8336.0299999999988</v>
      </c>
      <c r="J4" s="35">
        <f>SUM(G4:I4)</f>
        <v>520384.5699999996</v>
      </c>
      <c r="K4" s="60">
        <f>+J4-L40</f>
        <v>0</v>
      </c>
    </row>
    <row r="5" spans="1:34" x14ac:dyDescent="0.35">
      <c r="A5" s="21" t="s">
        <v>121</v>
      </c>
      <c r="D5" s="23">
        <f>SUM(C27:L27)</f>
        <v>644499.53</v>
      </c>
      <c r="E5" s="156">
        <f>SUM(C21:L21)</f>
        <v>405345609.85500002</v>
      </c>
      <c r="F5" s="23">
        <f>SUM(C15:K15)</f>
        <v>741001.9</v>
      </c>
      <c r="G5" s="23">
        <f>F5-D5</f>
        <v>96502.37</v>
      </c>
      <c r="H5" s="23">
        <f>+B41</f>
        <v>0</v>
      </c>
      <c r="I5" s="23">
        <f>SUM(C48:K48)</f>
        <v>1373.82</v>
      </c>
      <c r="J5" s="35">
        <f>SUM(G5:I5)</f>
        <v>97876.19</v>
      </c>
      <c r="K5" s="60">
        <f t="shared" ref="K5:K6" si="0">+J5-L41</f>
        <v>0</v>
      </c>
    </row>
    <row r="6" spans="1:34" x14ac:dyDescent="0.35">
      <c r="A6" s="21" t="s">
        <v>122</v>
      </c>
      <c r="D6" s="23">
        <f>SUM(C28:L28)</f>
        <v>889699.73</v>
      </c>
      <c r="E6" s="156">
        <f>SUM(C22:L22)</f>
        <v>535963691.44550002</v>
      </c>
      <c r="F6" s="23">
        <f>SUM(C16:K16)</f>
        <v>961436.01</v>
      </c>
      <c r="G6" s="23">
        <f>F6-D6</f>
        <v>71736.280000000028</v>
      </c>
      <c r="H6" s="23">
        <f>+B42</f>
        <v>0</v>
      </c>
      <c r="I6" s="23">
        <f>SUM(C49:K49)</f>
        <v>1856.99</v>
      </c>
      <c r="J6" s="35">
        <f>SUM(G6:I6)</f>
        <v>73593.270000000033</v>
      </c>
      <c r="K6" s="60">
        <f t="shared" si="0"/>
        <v>0</v>
      </c>
    </row>
    <row r="7" spans="1:34" ht="15" thickBot="1" x14ac:dyDescent="0.4">
      <c r="A7" s="21" t="s">
        <v>123</v>
      </c>
      <c r="D7" s="23">
        <f>SUM(C29:L29)</f>
        <v>534787.75</v>
      </c>
      <c r="E7" s="156">
        <f>SUM(C23:L23)</f>
        <v>342812667.79479998</v>
      </c>
      <c r="F7" s="23">
        <f>SUM(C17:K17)</f>
        <v>648662.43999999994</v>
      </c>
      <c r="G7" s="23">
        <f>F7-D7</f>
        <v>113874.68999999994</v>
      </c>
      <c r="H7" s="23">
        <f>+B43</f>
        <v>0</v>
      </c>
      <c r="I7" s="23">
        <f>SUM(C50:K50)</f>
        <v>1217.8899999999999</v>
      </c>
      <c r="J7" s="35">
        <f>SUM(G7:I7)</f>
        <v>115092.57999999994</v>
      </c>
      <c r="K7" s="60">
        <f>+J7-L43</f>
        <v>0</v>
      </c>
    </row>
    <row r="8" spans="1:34" ht="15.5" thickTop="1" thickBot="1" x14ac:dyDescent="0.4">
      <c r="D8" s="39">
        <f t="shared" ref="D8:J8" si="1">SUM(D4:D7)</f>
        <v>5530539.7300000004</v>
      </c>
      <c r="E8" s="39">
        <f t="shared" si="1"/>
        <v>2625809069.3578</v>
      </c>
      <c r="F8" s="39">
        <f t="shared" si="1"/>
        <v>6324701.6099999994</v>
      </c>
      <c r="G8" s="39">
        <f t="shared" si="1"/>
        <v>794161.87999999954</v>
      </c>
      <c r="H8" s="39">
        <f t="shared" si="1"/>
        <v>0</v>
      </c>
      <c r="I8" s="39">
        <f t="shared" si="1"/>
        <v>12784.729999999998</v>
      </c>
      <c r="J8" s="39">
        <f t="shared" si="1"/>
        <v>806946.60999999952</v>
      </c>
    </row>
    <row r="9" spans="1:34" ht="15.5" thickTop="1" thickBot="1" x14ac:dyDescent="0.4"/>
    <row r="10" spans="1:34" ht="87.5" thickBot="1" x14ac:dyDescent="0.4">
      <c r="B10" s="136" t="str">
        <f>+'PCR Cycle 2'!B13</f>
        <v>Cumulative Over/Under Carryover From 12/02/2020 Filing</v>
      </c>
      <c r="C10" s="171" t="str">
        <f>+'PCR Cycle 2'!C13</f>
        <v>Reverse November-19 - January 2020  Forecast From 12/02/2020 Filing</v>
      </c>
      <c r="D10" s="300" t="s">
        <v>35</v>
      </c>
      <c r="E10" s="300"/>
      <c r="F10" s="301"/>
      <c r="G10" s="291" t="s">
        <v>35</v>
      </c>
      <c r="H10" s="292"/>
      <c r="I10" s="293"/>
      <c r="J10" s="296" t="s">
        <v>9</v>
      </c>
      <c r="K10" s="297"/>
      <c r="L10" s="298"/>
    </row>
    <row r="11" spans="1:34" x14ac:dyDescent="0.35">
      <c r="C11" s="14"/>
      <c r="D11" s="19">
        <f>+'PCR Cycle 2'!D14</f>
        <v>43799</v>
      </c>
      <c r="E11" s="19">
        <f>+'PCR Cycle 2'!E14</f>
        <v>43830</v>
      </c>
      <c r="F11" s="19">
        <f>+'PCR Cycle 2'!F14</f>
        <v>43861</v>
      </c>
      <c r="G11" s="14">
        <f>+'PCR Cycle 2'!G14</f>
        <v>43890</v>
      </c>
      <c r="H11" s="19">
        <f>+'PCR Cycle 2'!H14</f>
        <v>43921</v>
      </c>
      <c r="I11" s="15">
        <f>+'PCR Cycle 2'!I14</f>
        <v>43951</v>
      </c>
      <c r="J11" s="19">
        <f>+'PCR Cycle 2'!J14</f>
        <v>43982</v>
      </c>
      <c r="K11" s="19">
        <f>+'PCR Cycle 2'!K14</f>
        <v>44012</v>
      </c>
      <c r="L11" s="113">
        <f>+'PCR Cycle 2'!L14</f>
        <v>44043</v>
      </c>
      <c r="Y11" s="1"/>
      <c r="Z11" s="1"/>
      <c r="AA11" s="1"/>
      <c r="AB11" s="1"/>
      <c r="AC11" s="1"/>
      <c r="AD11" s="1"/>
      <c r="AE11" s="1"/>
      <c r="AF11" s="1"/>
      <c r="AG11" s="1"/>
      <c r="AH11" s="1"/>
    </row>
    <row r="12" spans="1:34" x14ac:dyDescent="0.35">
      <c r="C12" s="116"/>
      <c r="D12" s="43"/>
      <c r="E12" s="43"/>
      <c r="F12" s="43"/>
      <c r="G12" s="40"/>
      <c r="H12" s="43"/>
      <c r="I12" s="11"/>
      <c r="J12" s="43"/>
      <c r="K12" s="43"/>
      <c r="L12" s="41"/>
    </row>
    <row r="13" spans="1:34" x14ac:dyDescent="0.35">
      <c r="A13" s="59" t="s">
        <v>159</v>
      </c>
      <c r="C13" s="117"/>
      <c r="D13" s="43"/>
      <c r="E13" s="43"/>
      <c r="F13" s="43"/>
      <c r="G13" s="40"/>
      <c r="H13" s="43"/>
      <c r="I13" s="187"/>
      <c r="J13" s="17"/>
      <c r="K13" s="17"/>
      <c r="L13" s="11"/>
    </row>
    <row r="14" spans="1:34" x14ac:dyDescent="0.35">
      <c r="A14" s="59" t="s">
        <v>26</v>
      </c>
      <c r="C14" s="115">
        <v>0</v>
      </c>
      <c r="D14" s="127">
        <v>0</v>
      </c>
      <c r="E14" s="127">
        <v>0</v>
      </c>
      <c r="F14" s="128">
        <f>ROUND(+[9]Pivot!$R$26,2)</f>
        <v>389335.31</v>
      </c>
      <c r="G14" s="16">
        <f>ROUND([10]Pivot!$R$25,2)</f>
        <v>461157.69</v>
      </c>
      <c r="H14" s="68">
        <f>ROUND([11]Pivot!$R$25,2)</f>
        <v>638805.23</v>
      </c>
      <c r="I14" s="186">
        <f>ROUND([12]Pivot!$R$26,2)</f>
        <v>304216.59999999998</v>
      </c>
      <c r="J14" s="196">
        <f>ROUND(+'[4]Monthly Program Costs'!L277,2)</f>
        <v>1426562.22</v>
      </c>
      <c r="K14" s="158">
        <f>ROUND(+'[4]Monthly Program Costs'!M277,2)</f>
        <v>753524.21</v>
      </c>
      <c r="L14" s="91"/>
    </row>
    <row r="15" spans="1:34" x14ac:dyDescent="0.35">
      <c r="A15" s="59" t="s">
        <v>121</v>
      </c>
      <c r="C15" s="115">
        <v>0</v>
      </c>
      <c r="D15" s="127">
        <v>0</v>
      </c>
      <c r="E15" s="127">
        <v>0</v>
      </c>
      <c r="F15" s="128">
        <f>ROUND(+[9]Pivot!$N$26,2)</f>
        <v>43677.99</v>
      </c>
      <c r="G15" s="16">
        <f>ROUND([10]Pivot!$N$25,2)</f>
        <v>79011.88</v>
      </c>
      <c r="H15" s="68">
        <f>ROUND([11]Pivot!$N$25,2)</f>
        <v>129866.96</v>
      </c>
      <c r="I15" s="186">
        <f>ROUND([12]Pivot!$N$26,2)</f>
        <v>171389.87</v>
      </c>
      <c r="J15" s="196">
        <f>ROUND(+'[4]Monthly Program Costs'!L278,2)</f>
        <v>159126.72</v>
      </c>
      <c r="K15" s="158">
        <f>ROUND(+'[4]Monthly Program Costs'!M278,2)</f>
        <v>157928.48000000001</v>
      </c>
      <c r="L15" s="91"/>
    </row>
    <row r="16" spans="1:34" x14ac:dyDescent="0.35">
      <c r="A16" s="59" t="s">
        <v>122</v>
      </c>
      <c r="C16" s="115">
        <v>0</v>
      </c>
      <c r="D16" s="127">
        <v>0</v>
      </c>
      <c r="E16" s="127">
        <v>0</v>
      </c>
      <c r="F16" s="128">
        <f>ROUND(+[9]Pivot!$P$26,2)</f>
        <v>59524.36</v>
      </c>
      <c r="G16" s="16">
        <f>ROUND([10]Pivot!$P$25,2)</f>
        <v>111315.06</v>
      </c>
      <c r="H16" s="68">
        <f>ROUND([11]Pivot!$P$25,2)</f>
        <v>145682.39000000001</v>
      </c>
      <c r="I16" s="186">
        <f>ROUND([12]Pivot!$P$26,2)</f>
        <v>182422.97</v>
      </c>
      <c r="J16" s="196">
        <f>ROUND(+'[4]Monthly Program Costs'!L280,2)</f>
        <v>232151.23</v>
      </c>
      <c r="K16" s="158">
        <f>ROUND(+'[4]Monthly Program Costs'!M280,2)</f>
        <v>230340</v>
      </c>
      <c r="L16" s="91"/>
    </row>
    <row r="17" spans="1:14" x14ac:dyDescent="0.35">
      <c r="A17" s="59" t="s">
        <v>123</v>
      </c>
      <c r="C17" s="115">
        <v>0</v>
      </c>
      <c r="D17" s="127">
        <v>0</v>
      </c>
      <c r="E17" s="127">
        <v>0</v>
      </c>
      <c r="F17" s="128">
        <f>ROUND(+[9]Pivot!$Q$26,2)</f>
        <v>45790.5</v>
      </c>
      <c r="G17" s="16">
        <f>ROUND([10]Pivot!$Q$25,2)</f>
        <v>85631.71</v>
      </c>
      <c r="H17" s="68">
        <f>ROUND([11]Pivot!$Q$25,2)</f>
        <v>73360.399999999994</v>
      </c>
      <c r="I17" s="186">
        <f>ROUND([12]Pivot!$Q$26,2)</f>
        <v>93098.45</v>
      </c>
      <c r="J17" s="196">
        <f>ROUND(+'[4]Monthly Program Costs'!L281,2)</f>
        <v>176087.36</v>
      </c>
      <c r="K17" s="158">
        <f>ROUND(+'[4]Monthly Program Costs'!M281,2)</f>
        <v>174694.02</v>
      </c>
      <c r="L17" s="91"/>
    </row>
    <row r="18" spans="1:14" x14ac:dyDescent="0.35">
      <c r="C18" s="117"/>
      <c r="D18" s="43"/>
      <c r="E18" s="43"/>
      <c r="F18" s="43"/>
      <c r="G18" s="40"/>
      <c r="H18" s="43"/>
      <c r="I18" s="11"/>
      <c r="J18" s="17"/>
      <c r="K18" s="17"/>
      <c r="L18" s="11"/>
    </row>
    <row r="19" spans="1:14" x14ac:dyDescent="0.35">
      <c r="A19" s="51" t="s">
        <v>49</v>
      </c>
      <c r="B19" s="51"/>
      <c r="C19" s="119"/>
      <c r="D19" s="43"/>
      <c r="E19" s="43"/>
      <c r="F19" s="43"/>
      <c r="G19" s="40"/>
      <c r="H19" s="43"/>
      <c r="I19" s="11"/>
      <c r="J19" s="17"/>
      <c r="K19" s="17"/>
      <c r="L19" s="11"/>
    </row>
    <row r="20" spans="1:14" x14ac:dyDescent="0.35">
      <c r="A20" s="59" t="s">
        <v>26</v>
      </c>
      <c r="C20" s="120">
        <v>0</v>
      </c>
      <c r="D20" s="129">
        <v>0</v>
      </c>
      <c r="E20" s="129">
        <v>0</v>
      </c>
      <c r="F20" s="129">
        <v>0</v>
      </c>
      <c r="G20" s="206">
        <f>+'[7]February 2020'!F108</f>
        <v>2241</v>
      </c>
      <c r="H20" s="209">
        <f>+'[7]March 2020'!F108</f>
        <v>274360072.26540005</v>
      </c>
      <c r="I20" s="201">
        <f>+'[7]April 2020'!F108</f>
        <v>233947944.9971</v>
      </c>
      <c r="J20" s="197">
        <f>+'PCR Cycle 2'!J26</f>
        <v>203890143</v>
      </c>
      <c r="K20" s="159">
        <f>+'PCR Cycle 2'!K26</f>
        <v>263527924</v>
      </c>
      <c r="L20" s="92">
        <f>+'PCR Cycle 2'!L26</f>
        <v>365958775</v>
      </c>
    </row>
    <row r="21" spans="1:14" x14ac:dyDescent="0.35">
      <c r="A21" s="59" t="s">
        <v>121</v>
      </c>
      <c r="C21" s="120">
        <v>0</v>
      </c>
      <c r="D21" s="129">
        <v>0</v>
      </c>
      <c r="E21" s="129">
        <v>0</v>
      </c>
      <c r="F21" s="129">
        <v>0</v>
      </c>
      <c r="G21" s="206">
        <f>+'[7]February 2020'!F109</f>
        <v>0</v>
      </c>
      <c r="H21" s="209">
        <f>+'[7]March 2020'!F109</f>
        <v>88443885.891300008</v>
      </c>
      <c r="I21" s="201">
        <f>+'[7]April 2020'!F109</f>
        <v>71625695.963699982</v>
      </c>
      <c r="J21" s="197">
        <f>+'PCR Cycle 2'!J27</f>
        <v>74829664</v>
      </c>
      <c r="K21" s="159">
        <f>+'PCR Cycle 2'!K27</f>
        <v>80840360</v>
      </c>
      <c r="L21" s="92">
        <f>+'PCR Cycle 2'!L27</f>
        <v>89606004</v>
      </c>
    </row>
    <row r="22" spans="1:14" x14ac:dyDescent="0.35">
      <c r="A22" s="59" t="s">
        <v>122</v>
      </c>
      <c r="C22" s="120">
        <v>0</v>
      </c>
      <c r="D22" s="129">
        <v>0</v>
      </c>
      <c r="E22" s="129">
        <v>0</v>
      </c>
      <c r="F22" s="129">
        <v>0</v>
      </c>
      <c r="G22" s="206">
        <f>+'[7]February 2020'!F110</f>
        <v>0</v>
      </c>
      <c r="H22" s="209">
        <f>+'[7]March 2020'!F110</f>
        <v>87513369.273300007</v>
      </c>
      <c r="I22" s="201">
        <f>+'[7]April 2020'!F110</f>
        <v>76628680.172199994</v>
      </c>
      <c r="J22" s="197">
        <f>+'PCR Cycle 2'!J28</f>
        <v>113436640</v>
      </c>
      <c r="K22" s="159">
        <f>+'PCR Cycle 2'!K28</f>
        <v>122548443</v>
      </c>
      <c r="L22" s="92">
        <f>+'PCR Cycle 2'!L28</f>
        <v>135836559</v>
      </c>
    </row>
    <row r="23" spans="1:14" x14ac:dyDescent="0.35">
      <c r="A23" s="59" t="s">
        <v>123</v>
      </c>
      <c r="C23" s="120">
        <v>0</v>
      </c>
      <c r="D23" s="129">
        <v>0</v>
      </c>
      <c r="E23" s="129">
        <v>0</v>
      </c>
      <c r="F23" s="129">
        <v>0</v>
      </c>
      <c r="G23" s="206">
        <f>+'[7]February 2020'!F111</f>
        <v>0</v>
      </c>
      <c r="H23" s="209">
        <f>+'[7]March 2020'!F111</f>
        <v>62696002.377599992</v>
      </c>
      <c r="I23" s="201">
        <f>+'[7]April 2020'!F111</f>
        <v>63506550.417199999</v>
      </c>
      <c r="J23" s="197">
        <f>+'PCR Cycle 2'!J29</f>
        <v>66084167</v>
      </c>
      <c r="K23" s="159">
        <f>+'PCR Cycle 2'!K29</f>
        <v>71392381</v>
      </c>
      <c r="L23" s="92">
        <f>+'PCR Cycle 2'!L29</f>
        <v>79133567</v>
      </c>
    </row>
    <row r="24" spans="1:14" x14ac:dyDescent="0.35">
      <c r="C24" s="117"/>
      <c r="D24" s="43"/>
      <c r="E24" s="43"/>
      <c r="F24" s="43"/>
      <c r="G24" s="40"/>
      <c r="H24" s="43"/>
      <c r="I24" s="11"/>
      <c r="J24" s="17"/>
      <c r="K24" s="17"/>
      <c r="L24" s="11"/>
    </row>
    <row r="25" spans="1:14" x14ac:dyDescent="0.35">
      <c r="A25" s="59" t="s">
        <v>36</v>
      </c>
      <c r="C25" s="117"/>
      <c r="D25" s="18"/>
      <c r="E25" s="18"/>
      <c r="F25" s="18"/>
      <c r="G25" s="109"/>
      <c r="H25" s="18"/>
      <c r="I25" s="11"/>
      <c r="J25" s="70"/>
      <c r="K25" s="70"/>
      <c r="L25" s="71"/>
      <c r="M25" s="76" t="s">
        <v>52</v>
      </c>
      <c r="N25" s="51"/>
    </row>
    <row r="26" spans="1:14" x14ac:dyDescent="0.35">
      <c r="A26" s="59" t="s">
        <v>26</v>
      </c>
      <c r="C26" s="115">
        <v>0</v>
      </c>
      <c r="D26" s="127">
        <v>0</v>
      </c>
      <c r="E26" s="127">
        <v>0</v>
      </c>
      <c r="F26" s="127">
        <v>0</v>
      </c>
      <c r="G26" s="207">
        <f>ROUND('[7]February 2020'!F68+'[7]February 2020'!F75,2)</f>
        <v>5.78</v>
      </c>
      <c r="H26" s="68">
        <f>ROUND('[7]March 2020'!F68+'[7]March 2020'!F75,2)</f>
        <v>707848.99</v>
      </c>
      <c r="I26" s="199">
        <f>ROUND('[7]April 2020'!F68+'[7]April 2020'!F75,2)</f>
        <v>603585.69999999995</v>
      </c>
      <c r="J26" s="141">
        <f t="shared" ref="J26:L29" si="2">ROUND(J20*$M26,2)</f>
        <v>526036.56999999995</v>
      </c>
      <c r="K26" s="53">
        <f t="shared" si="2"/>
        <v>679902.04</v>
      </c>
      <c r="L26" s="74">
        <f t="shared" si="2"/>
        <v>944173.64</v>
      </c>
      <c r="M26" s="85">
        <v>2.5799999999999998E-3</v>
      </c>
    </row>
    <row r="27" spans="1:14" x14ac:dyDescent="0.35">
      <c r="A27" s="59" t="s">
        <v>121</v>
      </c>
      <c r="C27" s="115">
        <v>0</v>
      </c>
      <c r="D27" s="127">
        <v>0</v>
      </c>
      <c r="E27" s="127">
        <v>0</v>
      </c>
      <c r="F27" s="127">
        <v>0</v>
      </c>
      <c r="G27" s="207">
        <f>ROUND('[7]February 2020'!F69+'[7]February 2020'!F76,2)</f>
        <v>0</v>
      </c>
      <c r="H27" s="68">
        <f>ROUND('[7]March 2020'!F69+'[7]March 2020'!F76,2)</f>
        <v>140625.78</v>
      </c>
      <c r="I27" s="199">
        <f>ROUND('[7]April 2020'!F69+'[7]April 2020'!F76,2)</f>
        <v>113884.86</v>
      </c>
      <c r="J27" s="141">
        <f t="shared" si="2"/>
        <v>118979.17</v>
      </c>
      <c r="K27" s="53">
        <f t="shared" si="2"/>
        <v>128536.17</v>
      </c>
      <c r="L27" s="74">
        <f t="shared" si="2"/>
        <v>142473.54999999999</v>
      </c>
      <c r="M27" s="85">
        <v>1.5900000000000001E-3</v>
      </c>
    </row>
    <row r="28" spans="1:14" x14ac:dyDescent="0.35">
      <c r="A28" s="59" t="s">
        <v>122</v>
      </c>
      <c r="C28" s="115">
        <v>0</v>
      </c>
      <c r="D28" s="127">
        <v>0</v>
      </c>
      <c r="E28" s="127">
        <v>0</v>
      </c>
      <c r="F28" s="127">
        <v>0</v>
      </c>
      <c r="G28" s="207">
        <f>ROUND('[7]February 2020'!F70+'[7]February 2020'!F77,2)</f>
        <v>0</v>
      </c>
      <c r="H28" s="68">
        <f>ROUND('[7]March 2020'!F70+'[7]March 2020'!F77,2)</f>
        <v>145272.19</v>
      </c>
      <c r="I28" s="199">
        <f>ROUND('[7]April 2020'!F70+'[7]April 2020'!F77,2)</f>
        <v>127203.61</v>
      </c>
      <c r="J28" s="141">
        <f t="shared" si="2"/>
        <v>188304.82</v>
      </c>
      <c r="K28" s="53">
        <f t="shared" si="2"/>
        <v>203430.42</v>
      </c>
      <c r="L28" s="74">
        <f t="shared" si="2"/>
        <v>225488.69</v>
      </c>
      <c r="M28" s="85">
        <v>1.66E-3</v>
      </c>
    </row>
    <row r="29" spans="1:14" x14ac:dyDescent="0.35">
      <c r="A29" s="59" t="s">
        <v>123</v>
      </c>
      <c r="C29" s="115">
        <v>0</v>
      </c>
      <c r="D29" s="127">
        <v>0</v>
      </c>
      <c r="E29" s="127">
        <v>0</v>
      </c>
      <c r="F29" s="127">
        <v>0</v>
      </c>
      <c r="G29" s="207">
        <f>ROUND('[7]February 2020'!F71+'[7]February 2020'!F78,2)</f>
        <v>0</v>
      </c>
      <c r="H29" s="68">
        <f>ROUND('[7]March 2020'!F71+'[7]March 2020'!F78,2)</f>
        <v>97805.759999999995</v>
      </c>
      <c r="I29" s="199">
        <f>ROUND('[7]April 2020'!F71+'[7]April 2020'!F78,2)</f>
        <v>99070.22</v>
      </c>
      <c r="J29" s="141">
        <f t="shared" si="2"/>
        <v>103091.3</v>
      </c>
      <c r="K29" s="53">
        <f t="shared" si="2"/>
        <v>111372.11</v>
      </c>
      <c r="L29" s="74">
        <f t="shared" si="2"/>
        <v>123448.36</v>
      </c>
      <c r="M29" s="85">
        <v>1.56E-3</v>
      </c>
    </row>
    <row r="30" spans="1:14" x14ac:dyDescent="0.35">
      <c r="C30" s="80"/>
      <c r="D30" s="18"/>
      <c r="E30" s="18"/>
      <c r="F30" s="18"/>
      <c r="G30" s="109"/>
      <c r="H30" s="18"/>
      <c r="I30" s="11"/>
      <c r="J30" s="69"/>
      <c r="K30" s="69"/>
      <c r="L30" s="13"/>
      <c r="M30" s="4"/>
    </row>
    <row r="31" spans="1:14" ht="15" thickBot="1" x14ac:dyDescent="0.4">
      <c r="A31" s="59" t="s">
        <v>16</v>
      </c>
      <c r="C31" s="121">
        <v>0</v>
      </c>
      <c r="D31" s="130">
        <v>0</v>
      </c>
      <c r="E31" s="130">
        <v>0</v>
      </c>
      <c r="F31" s="131">
        <v>656.12999999999988</v>
      </c>
      <c r="G31" s="38">
        <v>2183.23</v>
      </c>
      <c r="H31" s="140">
        <v>2229.92</v>
      </c>
      <c r="I31" s="200">
        <v>1759.52</v>
      </c>
      <c r="J31" s="198">
        <v>2466.6899999999996</v>
      </c>
      <c r="K31" s="160">
        <v>3489.24</v>
      </c>
      <c r="L31" s="96"/>
    </row>
    <row r="32" spans="1:14" x14ac:dyDescent="0.35">
      <c r="C32" s="117"/>
      <c r="D32" s="43"/>
      <c r="E32" s="43"/>
      <c r="F32" s="43"/>
      <c r="G32" s="40"/>
      <c r="H32" s="43"/>
      <c r="I32" s="11"/>
      <c r="J32" s="17"/>
      <c r="K32" s="17"/>
      <c r="L32" s="11"/>
    </row>
    <row r="33" spans="1:13" x14ac:dyDescent="0.35">
      <c r="A33" s="59" t="s">
        <v>54</v>
      </c>
      <c r="C33" s="117"/>
      <c r="D33" s="43"/>
      <c r="E33" s="43"/>
      <c r="F33" s="43"/>
      <c r="G33" s="40"/>
      <c r="H33" s="43"/>
      <c r="I33" s="11"/>
      <c r="J33" s="17"/>
      <c r="K33" s="17"/>
      <c r="L33" s="11"/>
    </row>
    <row r="34" spans="1:13" x14ac:dyDescent="0.35">
      <c r="A34" s="59" t="s">
        <v>26</v>
      </c>
      <c r="C34" s="52">
        <f t="shared" ref="C34:L34" si="3">C14-C26</f>
        <v>0</v>
      </c>
      <c r="D34" s="53">
        <f t="shared" si="3"/>
        <v>0</v>
      </c>
      <c r="E34" s="53">
        <f t="shared" si="3"/>
        <v>0</v>
      </c>
      <c r="F34" s="126">
        <f t="shared" si="3"/>
        <v>389335.31</v>
      </c>
      <c r="G34" s="52">
        <f t="shared" si="3"/>
        <v>461151.91</v>
      </c>
      <c r="H34" s="53">
        <f t="shared" si="3"/>
        <v>-69043.760000000009</v>
      </c>
      <c r="I34" s="74">
        <f t="shared" si="3"/>
        <v>-299369.09999999998</v>
      </c>
      <c r="J34" s="141">
        <f t="shared" si="3"/>
        <v>900525.65</v>
      </c>
      <c r="K34" s="53">
        <f t="shared" si="3"/>
        <v>73622.169999999925</v>
      </c>
      <c r="L34" s="62">
        <f t="shared" si="3"/>
        <v>-944173.64</v>
      </c>
    </row>
    <row r="35" spans="1:13" x14ac:dyDescent="0.35">
      <c r="A35" s="59" t="s">
        <v>121</v>
      </c>
      <c r="C35" s="52">
        <f t="shared" ref="C35:L35" si="4">C15-C27</f>
        <v>0</v>
      </c>
      <c r="D35" s="53">
        <f t="shared" si="4"/>
        <v>0</v>
      </c>
      <c r="E35" s="53">
        <f t="shared" si="4"/>
        <v>0</v>
      </c>
      <c r="F35" s="126">
        <f t="shared" si="4"/>
        <v>43677.99</v>
      </c>
      <c r="G35" s="52">
        <f t="shared" si="4"/>
        <v>79011.88</v>
      </c>
      <c r="H35" s="53">
        <f t="shared" si="4"/>
        <v>-10758.819999999992</v>
      </c>
      <c r="I35" s="74">
        <f t="shared" si="4"/>
        <v>57505.009999999995</v>
      </c>
      <c r="J35" s="141">
        <f t="shared" si="4"/>
        <v>40147.550000000003</v>
      </c>
      <c r="K35" s="53">
        <f t="shared" si="4"/>
        <v>29392.310000000012</v>
      </c>
      <c r="L35" s="62">
        <f t="shared" si="4"/>
        <v>-142473.54999999999</v>
      </c>
    </row>
    <row r="36" spans="1:13" x14ac:dyDescent="0.35">
      <c r="A36" s="59" t="s">
        <v>122</v>
      </c>
      <c r="C36" s="52">
        <f t="shared" ref="C36:L36" si="5">C16-C28</f>
        <v>0</v>
      </c>
      <c r="D36" s="53">
        <f t="shared" si="5"/>
        <v>0</v>
      </c>
      <c r="E36" s="53">
        <f t="shared" si="5"/>
        <v>0</v>
      </c>
      <c r="F36" s="126">
        <f t="shared" si="5"/>
        <v>59524.36</v>
      </c>
      <c r="G36" s="52">
        <f t="shared" si="5"/>
        <v>111315.06</v>
      </c>
      <c r="H36" s="53">
        <f t="shared" si="5"/>
        <v>410.20000000001164</v>
      </c>
      <c r="I36" s="74">
        <f t="shared" si="5"/>
        <v>55219.360000000001</v>
      </c>
      <c r="J36" s="141">
        <f t="shared" si="5"/>
        <v>43846.41</v>
      </c>
      <c r="K36" s="53">
        <f t="shared" si="5"/>
        <v>26909.579999999987</v>
      </c>
      <c r="L36" s="62">
        <f t="shared" si="5"/>
        <v>-225488.69</v>
      </c>
    </row>
    <row r="37" spans="1:13" x14ac:dyDescent="0.35">
      <c r="A37" s="59" t="s">
        <v>123</v>
      </c>
      <c r="C37" s="52">
        <f t="shared" ref="C37:L37" si="6">C17-C29</f>
        <v>0</v>
      </c>
      <c r="D37" s="53">
        <f t="shared" si="6"/>
        <v>0</v>
      </c>
      <c r="E37" s="53">
        <f t="shared" si="6"/>
        <v>0</v>
      </c>
      <c r="F37" s="126">
        <f t="shared" si="6"/>
        <v>45790.5</v>
      </c>
      <c r="G37" s="52">
        <f t="shared" si="6"/>
        <v>85631.71</v>
      </c>
      <c r="H37" s="53">
        <f t="shared" si="6"/>
        <v>-24445.360000000001</v>
      </c>
      <c r="I37" s="74">
        <f t="shared" si="6"/>
        <v>-5971.7700000000041</v>
      </c>
      <c r="J37" s="141">
        <f t="shared" si="6"/>
        <v>72996.059999999983</v>
      </c>
      <c r="K37" s="53">
        <f t="shared" si="6"/>
        <v>63321.909999999989</v>
      </c>
      <c r="L37" s="62">
        <f t="shared" si="6"/>
        <v>-123448.36</v>
      </c>
    </row>
    <row r="38" spans="1:13" x14ac:dyDescent="0.35">
      <c r="C38" s="117"/>
      <c r="D38" s="43"/>
      <c r="E38" s="43"/>
      <c r="F38" s="43"/>
      <c r="G38" s="40"/>
      <c r="H38" s="43"/>
      <c r="I38" s="11"/>
      <c r="J38" s="17"/>
      <c r="K38" s="17"/>
      <c r="L38" s="11"/>
    </row>
    <row r="39" spans="1:13" ht="15" thickBot="1" x14ac:dyDescent="0.4">
      <c r="A39" s="59" t="s">
        <v>55</v>
      </c>
      <c r="C39" s="122"/>
      <c r="D39" s="43"/>
      <c r="E39" s="43"/>
      <c r="F39" s="43"/>
      <c r="G39" s="40"/>
      <c r="H39" s="43"/>
      <c r="I39" s="11"/>
      <c r="J39" s="17"/>
      <c r="K39" s="17"/>
      <c r="L39" s="11"/>
    </row>
    <row r="40" spans="1:13" x14ac:dyDescent="0.35">
      <c r="A40" s="59" t="s">
        <v>26</v>
      </c>
      <c r="B40" s="134">
        <v>0</v>
      </c>
      <c r="C40" s="53">
        <f t="shared" ref="C40:L40" si="7">B40+C34+B47</f>
        <v>0</v>
      </c>
      <c r="D40" s="53">
        <f t="shared" si="7"/>
        <v>0</v>
      </c>
      <c r="E40" s="53">
        <f t="shared" si="7"/>
        <v>0</v>
      </c>
      <c r="F40" s="126">
        <f t="shared" si="7"/>
        <v>389335.31</v>
      </c>
      <c r="G40" s="52">
        <f t="shared" si="7"/>
        <v>850961.75</v>
      </c>
      <c r="H40" s="53">
        <f t="shared" si="7"/>
        <v>783410.42999999993</v>
      </c>
      <c r="I40" s="74">
        <f t="shared" si="7"/>
        <v>485528.6</v>
      </c>
      <c r="J40" s="141">
        <f t="shared" si="7"/>
        <v>1387088.78</v>
      </c>
      <c r="K40" s="53">
        <f t="shared" si="7"/>
        <v>1462236.7</v>
      </c>
      <c r="L40" s="62">
        <f t="shared" si="7"/>
        <v>520384.56999999995</v>
      </c>
    </row>
    <row r="41" spans="1:13" x14ac:dyDescent="0.35">
      <c r="A41" s="59" t="s">
        <v>121</v>
      </c>
      <c r="B41" s="270">
        <v>0</v>
      </c>
      <c r="C41" s="53">
        <f t="shared" ref="C41:L41" si="8">B41+C35+B48</f>
        <v>0</v>
      </c>
      <c r="D41" s="53">
        <f t="shared" si="8"/>
        <v>0</v>
      </c>
      <c r="E41" s="53">
        <f t="shared" si="8"/>
        <v>0</v>
      </c>
      <c r="F41" s="126">
        <f t="shared" si="8"/>
        <v>43677.99</v>
      </c>
      <c r="G41" s="52">
        <f t="shared" si="8"/>
        <v>122743.11</v>
      </c>
      <c r="H41" s="53">
        <f t="shared" si="8"/>
        <v>112184.53000000001</v>
      </c>
      <c r="I41" s="74">
        <f t="shared" si="8"/>
        <v>169903.31</v>
      </c>
      <c r="J41" s="141">
        <f t="shared" si="8"/>
        <v>210280.74</v>
      </c>
      <c r="K41" s="53">
        <f t="shared" si="8"/>
        <v>239982.83</v>
      </c>
      <c r="L41" s="62">
        <f t="shared" si="8"/>
        <v>97876.19</v>
      </c>
    </row>
    <row r="42" spans="1:13" x14ac:dyDescent="0.35">
      <c r="A42" s="59" t="s">
        <v>122</v>
      </c>
      <c r="B42" s="270">
        <v>0</v>
      </c>
      <c r="C42" s="53">
        <f t="shared" ref="C42:L42" si="9">B42+C36+B49</f>
        <v>0</v>
      </c>
      <c r="D42" s="53">
        <f t="shared" si="9"/>
        <v>0</v>
      </c>
      <c r="E42" s="53">
        <f t="shared" si="9"/>
        <v>0</v>
      </c>
      <c r="F42" s="126">
        <f t="shared" si="9"/>
        <v>59524.36</v>
      </c>
      <c r="G42" s="52">
        <f t="shared" si="9"/>
        <v>170911.96999999997</v>
      </c>
      <c r="H42" s="53">
        <f t="shared" si="9"/>
        <v>171599.43</v>
      </c>
      <c r="I42" s="74">
        <f t="shared" si="9"/>
        <v>227130.43999999997</v>
      </c>
      <c r="J42" s="141">
        <f t="shared" si="9"/>
        <v>271301.8</v>
      </c>
      <c r="K42" s="53">
        <f t="shared" si="9"/>
        <v>298617.53000000003</v>
      </c>
      <c r="L42" s="62">
        <f t="shared" si="9"/>
        <v>73593.270000000019</v>
      </c>
    </row>
    <row r="43" spans="1:13" ht="15" thickBot="1" x14ac:dyDescent="0.4">
      <c r="A43" s="59" t="s">
        <v>123</v>
      </c>
      <c r="B43" s="135">
        <v>0</v>
      </c>
      <c r="C43" s="53">
        <f t="shared" ref="C43:L43" si="10">B43+C37+B50</f>
        <v>0</v>
      </c>
      <c r="D43" s="53">
        <f t="shared" si="10"/>
        <v>0</v>
      </c>
      <c r="E43" s="53">
        <f t="shared" si="10"/>
        <v>0</v>
      </c>
      <c r="F43" s="126">
        <f t="shared" si="10"/>
        <v>45790.5</v>
      </c>
      <c r="G43" s="52">
        <f t="shared" si="10"/>
        <v>131478.02000000002</v>
      </c>
      <c r="H43" s="53">
        <f t="shared" si="10"/>
        <v>107245.95000000001</v>
      </c>
      <c r="I43" s="74">
        <f t="shared" si="10"/>
        <v>101491.41</v>
      </c>
      <c r="J43" s="141">
        <f t="shared" si="10"/>
        <v>174657.62999999998</v>
      </c>
      <c r="K43" s="53">
        <f t="shared" si="10"/>
        <v>238204.55</v>
      </c>
      <c r="L43" s="62">
        <f t="shared" si="10"/>
        <v>115092.57999999999</v>
      </c>
    </row>
    <row r="44" spans="1:13" x14ac:dyDescent="0.35">
      <c r="C44" s="117"/>
      <c r="D44" s="43"/>
      <c r="E44" s="43"/>
      <c r="F44" s="43"/>
      <c r="G44" s="40"/>
      <c r="H44" s="43"/>
      <c r="I44" s="11"/>
      <c r="J44" s="17"/>
      <c r="K44" s="17"/>
      <c r="L44" s="11"/>
    </row>
    <row r="45" spans="1:13" x14ac:dyDescent="0.35">
      <c r="A45" s="51" t="s">
        <v>51</v>
      </c>
      <c r="B45" s="51"/>
      <c r="C45" s="122"/>
      <c r="D45" s="98">
        <f>+'PCR Cycle 2'!D47</f>
        <v>2.4882900000000002E-3</v>
      </c>
      <c r="E45" s="98">
        <f>+'PCR Cycle 2'!E47</f>
        <v>2.5028199999999998E-3</v>
      </c>
      <c r="F45" s="98">
        <f>+'PCR Cycle 2'!F47</f>
        <v>2.43764E-3</v>
      </c>
      <c r="G45" s="99">
        <f>+'PCR Cycle 2'!G47</f>
        <v>2.4056699999999999E-3</v>
      </c>
      <c r="H45" s="98">
        <f>+'PCR Cycle 2'!H47</f>
        <v>1.8183299999999999E-3</v>
      </c>
      <c r="I45" s="110">
        <f>+'PCR Cycle 2'!I47</f>
        <v>1.62864E-3</v>
      </c>
      <c r="J45" s="98">
        <f>+'PCR Cycle 2'!J47</f>
        <v>1.62864E-3</v>
      </c>
      <c r="K45" s="98">
        <f>+'PCR Cycle 2'!K47</f>
        <v>1.62864E-3</v>
      </c>
      <c r="L45" s="110"/>
    </row>
    <row r="46" spans="1:13" x14ac:dyDescent="0.35">
      <c r="A46" s="51" t="s">
        <v>39</v>
      </c>
      <c r="B46" s="51"/>
      <c r="C46" s="117"/>
      <c r="D46" s="43"/>
      <c r="E46" s="43"/>
      <c r="F46" s="43"/>
      <c r="G46" s="40"/>
      <c r="H46" s="43"/>
      <c r="I46" s="11"/>
      <c r="J46" s="17"/>
      <c r="K46" s="17"/>
      <c r="L46" s="11"/>
      <c r="M46" s="84"/>
    </row>
    <row r="47" spans="1:13" x14ac:dyDescent="0.35">
      <c r="A47" s="59" t="s">
        <v>26</v>
      </c>
      <c r="C47" s="52">
        <v>0</v>
      </c>
      <c r="D47" s="53">
        <f t="shared" ref="D47:K50" si="11">ROUND((C40+C47+D34/2)*D$45,2)</f>
        <v>0</v>
      </c>
      <c r="E47" s="53">
        <f t="shared" si="11"/>
        <v>0</v>
      </c>
      <c r="F47" s="126">
        <f t="shared" si="11"/>
        <v>474.53</v>
      </c>
      <c r="G47" s="52">
        <f t="shared" si="11"/>
        <v>1492.44</v>
      </c>
      <c r="H47" s="141">
        <f t="shared" si="11"/>
        <v>1487.27</v>
      </c>
      <c r="I47" s="74">
        <f t="shared" si="11"/>
        <v>1034.53</v>
      </c>
      <c r="J47" s="141">
        <f t="shared" si="11"/>
        <v>1525.75</v>
      </c>
      <c r="K47" s="141">
        <f t="shared" si="11"/>
        <v>2321.5100000000002</v>
      </c>
      <c r="L47" s="62"/>
    </row>
    <row r="48" spans="1:13" x14ac:dyDescent="0.35">
      <c r="A48" s="59" t="s">
        <v>121</v>
      </c>
      <c r="C48" s="271">
        <v>0</v>
      </c>
      <c r="D48" s="53">
        <f t="shared" si="11"/>
        <v>0</v>
      </c>
      <c r="E48" s="53">
        <f t="shared" si="11"/>
        <v>0</v>
      </c>
      <c r="F48" s="126">
        <f t="shared" si="11"/>
        <v>53.24</v>
      </c>
      <c r="G48" s="52">
        <f t="shared" si="11"/>
        <v>200.24</v>
      </c>
      <c r="H48" s="141">
        <f t="shared" si="11"/>
        <v>213.77</v>
      </c>
      <c r="I48" s="74">
        <f t="shared" si="11"/>
        <v>229.88</v>
      </c>
      <c r="J48" s="141">
        <f t="shared" si="11"/>
        <v>309.77999999999997</v>
      </c>
      <c r="K48" s="141">
        <f t="shared" si="11"/>
        <v>366.91</v>
      </c>
      <c r="L48" s="62"/>
    </row>
    <row r="49" spans="1:12" x14ac:dyDescent="0.35">
      <c r="A49" s="59" t="s">
        <v>122</v>
      </c>
      <c r="C49" s="271">
        <v>0</v>
      </c>
      <c r="D49" s="53">
        <f t="shared" si="11"/>
        <v>0</v>
      </c>
      <c r="E49" s="53">
        <f t="shared" si="11"/>
        <v>0</v>
      </c>
      <c r="F49" s="126">
        <f t="shared" si="11"/>
        <v>72.55</v>
      </c>
      <c r="G49" s="52">
        <f t="shared" si="11"/>
        <v>277.26</v>
      </c>
      <c r="H49" s="141">
        <f t="shared" si="11"/>
        <v>311.64999999999998</v>
      </c>
      <c r="I49" s="74">
        <f t="shared" si="11"/>
        <v>324.95</v>
      </c>
      <c r="J49" s="141">
        <f t="shared" si="11"/>
        <v>406.15</v>
      </c>
      <c r="K49" s="141">
        <f t="shared" si="11"/>
        <v>464.43</v>
      </c>
      <c r="L49" s="62"/>
    </row>
    <row r="50" spans="1:12" ht="15" thickBot="1" x14ac:dyDescent="0.4">
      <c r="A50" s="59" t="s">
        <v>123</v>
      </c>
      <c r="C50" s="132">
        <v>0</v>
      </c>
      <c r="D50" s="53">
        <f t="shared" si="11"/>
        <v>0</v>
      </c>
      <c r="E50" s="53">
        <f t="shared" si="11"/>
        <v>0</v>
      </c>
      <c r="F50" s="126">
        <f t="shared" si="11"/>
        <v>55.81</v>
      </c>
      <c r="G50" s="52">
        <f t="shared" si="11"/>
        <v>213.29</v>
      </c>
      <c r="H50" s="141">
        <f t="shared" si="11"/>
        <v>217.23</v>
      </c>
      <c r="I50" s="74">
        <f t="shared" si="11"/>
        <v>170.16</v>
      </c>
      <c r="J50" s="141">
        <f t="shared" si="11"/>
        <v>225.01</v>
      </c>
      <c r="K50" s="141">
        <f t="shared" si="11"/>
        <v>336.39</v>
      </c>
      <c r="L50" s="62"/>
    </row>
    <row r="51" spans="1:12" ht="15.5" thickTop="1" thickBot="1" x14ac:dyDescent="0.4">
      <c r="A51" s="67" t="s">
        <v>24</v>
      </c>
      <c r="B51" s="67"/>
      <c r="C51" s="133">
        <v>0</v>
      </c>
      <c r="D51" s="44">
        <f t="shared" ref="D51:L51" si="12">SUM(D47:D50)+SUM(D40:D43)-D54</f>
        <v>0</v>
      </c>
      <c r="E51" s="44">
        <f t="shared" si="12"/>
        <v>0</v>
      </c>
      <c r="F51" s="63">
        <f t="shared" si="12"/>
        <v>0</v>
      </c>
      <c r="G51" s="142">
        <f t="shared" si="12"/>
        <v>0</v>
      </c>
      <c r="H51" s="44">
        <f t="shared" si="12"/>
        <v>0</v>
      </c>
      <c r="I51" s="75">
        <f t="shared" si="12"/>
        <v>0</v>
      </c>
      <c r="J51" s="185">
        <f t="shared" si="12"/>
        <v>0</v>
      </c>
      <c r="K51" s="44">
        <f t="shared" si="12"/>
        <v>0</v>
      </c>
      <c r="L51" s="114">
        <f t="shared" si="12"/>
        <v>0</v>
      </c>
    </row>
    <row r="52" spans="1:12" ht="15.5" thickTop="1" thickBot="1" x14ac:dyDescent="0.4">
      <c r="A52" s="67" t="s">
        <v>25</v>
      </c>
      <c r="B52" s="67"/>
      <c r="C52" s="125">
        <v>0</v>
      </c>
      <c r="D52" s="44">
        <f t="shared" ref="D52:L52" si="13">SUM(D47:D50)-D31</f>
        <v>0</v>
      </c>
      <c r="E52" s="44">
        <f t="shared" si="13"/>
        <v>0</v>
      </c>
      <c r="F52" s="63">
        <f t="shared" si="13"/>
        <v>0</v>
      </c>
      <c r="G52" s="64">
        <f t="shared" si="13"/>
        <v>0</v>
      </c>
      <c r="H52" s="44">
        <f t="shared" si="13"/>
        <v>0</v>
      </c>
      <c r="I52" s="75">
        <f t="shared" si="13"/>
        <v>0</v>
      </c>
      <c r="J52" s="185">
        <f t="shared" si="13"/>
        <v>0</v>
      </c>
      <c r="K52" s="44">
        <f t="shared" si="13"/>
        <v>0</v>
      </c>
      <c r="L52" s="114">
        <f t="shared" si="13"/>
        <v>0</v>
      </c>
    </row>
    <row r="53" spans="1:12" ht="15.5" thickTop="1" thickBot="1" x14ac:dyDescent="0.4">
      <c r="C53" s="117"/>
      <c r="D53" s="17"/>
      <c r="E53" s="17"/>
      <c r="F53" s="17"/>
      <c r="G53" s="10"/>
      <c r="H53" s="17"/>
      <c r="I53" s="11"/>
      <c r="J53" s="17"/>
      <c r="K53" s="17"/>
      <c r="L53" s="11"/>
    </row>
    <row r="54" spans="1:12" ht="15" thickBot="1" x14ac:dyDescent="0.4">
      <c r="A54" s="59" t="s">
        <v>38</v>
      </c>
      <c r="B54" s="137">
        <f>+B40+B43</f>
        <v>0</v>
      </c>
      <c r="C54" s="52">
        <f t="shared" ref="C54:L54" si="14">(SUM(C14:C17)-SUM(C26:C29))+SUM(C47:C50)+B54</f>
        <v>0</v>
      </c>
      <c r="D54" s="53">
        <f t="shared" si="14"/>
        <v>0</v>
      </c>
      <c r="E54" s="53">
        <f t="shared" si="14"/>
        <v>0</v>
      </c>
      <c r="F54" s="126">
        <f t="shared" si="14"/>
        <v>538984.28999999992</v>
      </c>
      <c r="G54" s="52">
        <f t="shared" si="14"/>
        <v>1278278.08</v>
      </c>
      <c r="H54" s="53">
        <f t="shared" si="14"/>
        <v>1176670.26</v>
      </c>
      <c r="I54" s="74">
        <f t="shared" si="14"/>
        <v>985813.28</v>
      </c>
      <c r="J54" s="141">
        <f t="shared" si="14"/>
        <v>2045795.6399999997</v>
      </c>
      <c r="K54" s="53">
        <f t="shared" si="14"/>
        <v>2242530.8499999996</v>
      </c>
      <c r="L54" s="74">
        <f t="shared" si="14"/>
        <v>806946.60999999964</v>
      </c>
    </row>
    <row r="55" spans="1:12" x14ac:dyDescent="0.35">
      <c r="A55" s="59" t="s">
        <v>14</v>
      </c>
      <c r="C55" s="138"/>
      <c r="D55" s="69"/>
      <c r="E55" s="69"/>
      <c r="F55" s="69"/>
      <c r="G55" s="12"/>
      <c r="H55" s="69"/>
      <c r="I55" s="11"/>
      <c r="J55" s="17"/>
      <c r="K55" s="17"/>
      <c r="L55" s="11"/>
    </row>
    <row r="56" spans="1:12" ht="15" thickBot="1" x14ac:dyDescent="0.4">
      <c r="B56" s="17"/>
      <c r="C56" s="55"/>
      <c r="D56" s="56"/>
      <c r="E56" s="56"/>
      <c r="F56" s="56"/>
      <c r="G56" s="55"/>
      <c r="H56" s="56"/>
      <c r="I56" s="57"/>
      <c r="J56" s="56"/>
      <c r="K56" s="56"/>
      <c r="L56" s="57"/>
    </row>
    <row r="58" spans="1:12" x14ac:dyDescent="0.35">
      <c r="A58" s="82" t="s">
        <v>13</v>
      </c>
      <c r="B58" s="82"/>
      <c r="C58" s="82"/>
    </row>
    <row r="59" spans="1:12" ht="42.75" customHeight="1" x14ac:dyDescent="0.35">
      <c r="A59" s="299" t="s">
        <v>207</v>
      </c>
      <c r="B59" s="299"/>
      <c r="C59" s="299"/>
      <c r="D59" s="299"/>
      <c r="E59" s="299"/>
      <c r="F59" s="299"/>
      <c r="G59" s="299"/>
      <c r="H59" s="299"/>
      <c r="I59" s="299"/>
      <c r="J59" s="259"/>
      <c r="K59" s="259"/>
      <c r="L59" s="259"/>
    </row>
    <row r="60" spans="1:12" ht="33.75" customHeight="1" x14ac:dyDescent="0.35">
      <c r="A60" s="299" t="s">
        <v>191</v>
      </c>
      <c r="B60" s="299"/>
      <c r="C60" s="299"/>
      <c r="D60" s="299"/>
      <c r="E60" s="299"/>
      <c r="F60" s="299"/>
      <c r="G60" s="299"/>
      <c r="H60" s="299"/>
      <c r="I60" s="299"/>
      <c r="J60" s="259"/>
      <c r="K60" s="259"/>
      <c r="L60" s="259"/>
    </row>
    <row r="61" spans="1:12" ht="33.75" customHeight="1" x14ac:dyDescent="0.35">
      <c r="A61" s="299" t="s">
        <v>192</v>
      </c>
      <c r="B61" s="299"/>
      <c r="C61" s="299"/>
      <c r="D61" s="299"/>
      <c r="E61" s="299"/>
      <c r="F61" s="299"/>
      <c r="G61" s="299"/>
      <c r="H61" s="299"/>
      <c r="I61" s="299"/>
      <c r="J61" s="259"/>
      <c r="K61" s="259"/>
      <c r="L61" s="259"/>
    </row>
    <row r="62" spans="1:12" x14ac:dyDescent="0.35">
      <c r="A62" s="3" t="s">
        <v>33</v>
      </c>
      <c r="B62" s="3"/>
      <c r="C62" s="3"/>
      <c r="I62" s="4"/>
    </row>
    <row r="63" spans="1:12" x14ac:dyDescent="0.35">
      <c r="A63" s="76" t="s">
        <v>179</v>
      </c>
      <c r="B63" s="3"/>
      <c r="C63" s="3"/>
      <c r="I63" s="4"/>
    </row>
    <row r="64" spans="1:12" x14ac:dyDescent="0.35">
      <c r="A64" s="3" t="s">
        <v>53</v>
      </c>
      <c r="B64" s="3"/>
      <c r="C64" s="3"/>
      <c r="I64" s="4"/>
    </row>
    <row r="65" spans="1:13" x14ac:dyDescent="0.35">
      <c r="A65" s="3"/>
    </row>
    <row r="74" spans="1:13" x14ac:dyDescent="0.35">
      <c r="M74" s="8"/>
    </row>
  </sheetData>
  <mergeCells count="6">
    <mergeCell ref="A61:I61"/>
    <mergeCell ref="D10:F10"/>
    <mergeCell ref="G10:I10"/>
    <mergeCell ref="J10:L10"/>
    <mergeCell ref="A59:I59"/>
    <mergeCell ref="A60:I60"/>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workbookViewId="0"/>
  </sheetViews>
  <sheetFormatPr defaultRowHeight="14.5" x14ac:dyDescent="0.35"/>
  <cols>
    <col min="1" max="1" width="24.7265625" customWidth="1"/>
    <col min="2" max="2" width="16.1796875" customWidth="1"/>
    <col min="3" max="3" width="15.1796875" customWidth="1"/>
  </cols>
  <sheetData>
    <row r="1" spans="1:23" s="59" customFormat="1" x14ac:dyDescent="0.35">
      <c r="A1" s="3" t="str">
        <f>+'PPC Cycle 2'!A1</f>
        <v>Evergy Missouri West, Inc. - DSIM Rider Update Filed 06/01/2020</v>
      </c>
    </row>
    <row r="2" spans="1:23" x14ac:dyDescent="0.35">
      <c r="A2" s="9" t="str">
        <f>+'PPC Cycle 2'!A2</f>
        <v>Projections for Cycle 2 July 2020 - June 2021 DSIM</v>
      </c>
    </row>
    <row r="3" spans="1:23" s="59" customFormat="1" x14ac:dyDescent="0.35">
      <c r="A3" s="9"/>
    </row>
    <row r="4" spans="1:23" ht="40.5" customHeight="1" x14ac:dyDescent="0.35">
      <c r="B4" s="290" t="s">
        <v>68</v>
      </c>
      <c r="C4" s="290"/>
    </row>
    <row r="5" spans="1:23" ht="29" x14ac:dyDescent="0.35">
      <c r="B5" s="170" t="s">
        <v>69</v>
      </c>
      <c r="C5" s="6" t="s">
        <v>31</v>
      </c>
    </row>
    <row r="6" spans="1:23" x14ac:dyDescent="0.35">
      <c r="A6" s="21" t="s">
        <v>26</v>
      </c>
      <c r="B6" s="33">
        <f>SUM('[3]Monthly TD Calc'!BB285:BM285)</f>
        <v>46547082.605949134</v>
      </c>
      <c r="C6" s="101">
        <f>ROUND(SUM('[3]Monthly TD Calc'!BB326:BM326),2)</f>
        <v>2497785.25</v>
      </c>
    </row>
    <row r="7" spans="1:23" x14ac:dyDescent="0.35">
      <c r="A7" s="42" t="s">
        <v>27</v>
      </c>
      <c r="B7" s="33">
        <f>+B13</f>
        <v>68102749.181800038</v>
      </c>
      <c r="C7" s="101">
        <f>+C13</f>
        <v>2245119.4299999997</v>
      </c>
    </row>
    <row r="8" spans="1:23" x14ac:dyDescent="0.35">
      <c r="A8" s="21" t="s">
        <v>6</v>
      </c>
      <c r="B8" s="34">
        <f>SUM(B6:B7)</f>
        <v>114649831.78774917</v>
      </c>
      <c r="C8" s="23">
        <f>SUM(C6:C7)</f>
        <v>4742904.68</v>
      </c>
    </row>
    <row r="9" spans="1:23" s="59" customFormat="1" x14ac:dyDescent="0.35">
      <c r="A9" s="21"/>
    </row>
    <row r="10" spans="1:23" s="59" customFormat="1" x14ac:dyDescent="0.35">
      <c r="A10" s="21" t="s">
        <v>121</v>
      </c>
      <c r="B10" s="33">
        <f>SUM('[3]Monthly TD Calc'!BB286:BM286)</f>
        <v>22473018.076600101</v>
      </c>
      <c r="C10" s="101">
        <f>ROUND(SUM('[3]Monthly TD Calc'!BB327:BM327),2)</f>
        <v>1085332.69</v>
      </c>
    </row>
    <row r="11" spans="1:23" s="59" customFormat="1" x14ac:dyDescent="0.35">
      <c r="A11" s="21" t="s">
        <v>122</v>
      </c>
      <c r="B11" s="33">
        <f>SUM('[3]Monthly TD Calc'!BB288:BM288)</f>
        <v>33628213.476099931</v>
      </c>
      <c r="C11" s="101">
        <f>ROUND(SUM('[3]Monthly TD Calc'!BB329:BM329),2)</f>
        <v>982268.47</v>
      </c>
    </row>
    <row r="12" spans="1:23" s="59" customFormat="1" x14ac:dyDescent="0.35">
      <c r="A12" s="21" t="s">
        <v>123</v>
      </c>
      <c r="B12" s="33">
        <f>SUM('[3]Monthly TD Calc'!BB289:BM289)</f>
        <v>12001517.629100014</v>
      </c>
      <c r="C12" s="101">
        <f>ROUND(SUM('[3]Monthly TD Calc'!BB330:BM330),2)</f>
        <v>177518.27</v>
      </c>
    </row>
    <row r="13" spans="1:23" x14ac:dyDescent="0.35">
      <c r="A13" s="42" t="s">
        <v>125</v>
      </c>
      <c r="B13" s="34">
        <f>SUM(B10:B12)</f>
        <v>68102749.181800038</v>
      </c>
      <c r="C13" s="23">
        <f>SUM(C10:C12)</f>
        <v>2245119.4299999997</v>
      </c>
    </row>
    <row r="14" spans="1:23" x14ac:dyDescent="0.35">
      <c r="A14" s="59"/>
      <c r="B14" s="59"/>
      <c r="C14" s="59"/>
    </row>
    <row r="15" spans="1:23" x14ac:dyDescent="0.35">
      <c r="A15" s="82" t="s">
        <v>32</v>
      </c>
      <c r="B15" s="21"/>
      <c r="C15" s="22"/>
      <c r="N15" s="1"/>
      <c r="O15" s="1"/>
      <c r="P15" s="1"/>
      <c r="Q15" s="1"/>
      <c r="R15" s="1"/>
      <c r="S15" s="1"/>
      <c r="T15" s="1"/>
      <c r="U15" s="1"/>
      <c r="V15" s="1"/>
      <c r="W15" s="1"/>
    </row>
    <row r="16" spans="1:23" s="51" customFormat="1" x14ac:dyDescent="0.35">
      <c r="A16" s="294" t="s">
        <v>193</v>
      </c>
      <c r="B16" s="294"/>
      <c r="C16" s="294"/>
      <c r="D16" s="294"/>
      <c r="E16" s="294"/>
      <c r="F16" s="294"/>
      <c r="G16" s="294"/>
      <c r="H16" s="294"/>
      <c r="I16" s="294"/>
      <c r="J16" s="294"/>
      <c r="K16" s="294"/>
      <c r="L16" s="294"/>
      <c r="M16" s="294"/>
    </row>
    <row r="17" spans="1:13" s="51" customFormat="1" x14ac:dyDescent="0.35">
      <c r="A17" s="294" t="s">
        <v>194</v>
      </c>
      <c r="B17" s="294"/>
      <c r="C17" s="294"/>
      <c r="D17" s="294"/>
      <c r="E17" s="294"/>
      <c r="F17" s="294"/>
      <c r="G17" s="294"/>
      <c r="H17" s="294"/>
      <c r="I17" s="294"/>
      <c r="J17" s="294"/>
      <c r="K17" s="294"/>
      <c r="L17" s="294"/>
      <c r="M17" s="294"/>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8"/>
  <sheetViews>
    <sheetView workbookViewId="0"/>
  </sheetViews>
  <sheetFormatPr defaultColWidth="9.1796875" defaultRowHeight="14.5" x14ac:dyDescent="0.35"/>
  <cols>
    <col min="1" max="1" width="24.7265625" style="59" customWidth="1"/>
    <col min="2" max="2" width="16.1796875" style="59" customWidth="1"/>
    <col min="3" max="3" width="15.1796875" style="59" customWidth="1"/>
    <col min="4" max="16384" width="9.1796875" style="59"/>
  </cols>
  <sheetData>
    <row r="1" spans="1:23" x14ac:dyDescent="0.35">
      <c r="A1" s="3" t="str">
        <f>+'PPC Cycle 2'!A1</f>
        <v>Evergy Missouri West, Inc. - DSIM Rider Update Filed 06/01/2020</v>
      </c>
    </row>
    <row r="2" spans="1:23" x14ac:dyDescent="0.35">
      <c r="A2" s="9" t="str">
        <f>+'PPC Cycle 3'!A2</f>
        <v>Projections for Cycle 3 July 2020 - June 2021 DSIM</v>
      </c>
    </row>
    <row r="3" spans="1:23" x14ac:dyDescent="0.35">
      <c r="A3" s="9"/>
    </row>
    <row r="4" spans="1:23" ht="40.5" customHeight="1" x14ac:dyDescent="0.35">
      <c r="B4" s="290" t="s">
        <v>127</v>
      </c>
      <c r="C4" s="290"/>
    </row>
    <row r="5" spans="1:23" ht="29" x14ac:dyDescent="0.35">
      <c r="B5" s="170" t="s">
        <v>69</v>
      </c>
      <c r="C5" s="61" t="s">
        <v>31</v>
      </c>
    </row>
    <row r="6" spans="1:23" x14ac:dyDescent="0.35">
      <c r="A6" s="21" t="s">
        <v>26</v>
      </c>
      <c r="B6" s="33">
        <f>SUM('[4]Monthly TD Calc'!K461:V461)</f>
        <v>42233926.473178446</v>
      </c>
      <c r="C6" s="101">
        <f>ROUND(SUM('[4]Monthly TD Calc'!K563:V563),2)</f>
        <v>2486340.7000000002</v>
      </c>
    </row>
    <row r="7" spans="1:23" x14ac:dyDescent="0.35">
      <c r="A7" s="21" t="s">
        <v>121</v>
      </c>
      <c r="B7" s="33">
        <f>SUM('[4]Monthly TD Calc'!K462:V462)</f>
        <v>6391704.8555185189</v>
      </c>
      <c r="C7" s="101">
        <f>ROUND(SUM('[4]Monthly TD Calc'!K564:V564),2)</f>
        <v>314113.59999999998</v>
      </c>
    </row>
    <row r="8" spans="1:23" x14ac:dyDescent="0.35">
      <c r="A8" s="21" t="s">
        <v>122</v>
      </c>
      <c r="B8" s="33">
        <f>SUM('[4]Monthly TD Calc'!K464:V464)</f>
        <v>8988649.9918040466</v>
      </c>
      <c r="C8" s="101">
        <f>ROUND(SUM('[4]Monthly TD Calc'!K566:V566),2)</f>
        <v>273384.89</v>
      </c>
    </row>
    <row r="9" spans="1:23" x14ac:dyDescent="0.35">
      <c r="A9" s="21" t="s">
        <v>123</v>
      </c>
      <c r="B9" s="33">
        <f>SUM('[4]Monthly TD Calc'!K465:V465)</f>
        <v>6272201.2190253008</v>
      </c>
      <c r="C9" s="101">
        <f>ROUND(SUM('[4]Monthly TD Calc'!K567:V567),2)</f>
        <v>82954.320000000007</v>
      </c>
    </row>
    <row r="10" spans="1:23" x14ac:dyDescent="0.35">
      <c r="A10" s="42" t="s">
        <v>6</v>
      </c>
      <c r="B10" s="34">
        <f>SUM(B6:B9)</f>
        <v>63886482.539526314</v>
      </c>
      <c r="C10" s="34">
        <f>SUM(C6:C9)</f>
        <v>3156793.5100000002</v>
      </c>
    </row>
    <row r="12" spans="1:23" x14ac:dyDescent="0.35">
      <c r="A12" s="82" t="s">
        <v>32</v>
      </c>
      <c r="B12" s="21"/>
      <c r="C12" s="22"/>
      <c r="N12" s="1"/>
      <c r="O12" s="1"/>
      <c r="P12" s="1"/>
      <c r="Q12" s="1"/>
      <c r="R12" s="1"/>
      <c r="S12" s="1"/>
      <c r="T12" s="1"/>
      <c r="U12" s="1"/>
      <c r="V12" s="1"/>
      <c r="W12" s="1"/>
    </row>
    <row r="13" spans="1:23" s="51" customFormat="1" x14ac:dyDescent="0.35">
      <c r="A13" s="294" t="s">
        <v>186</v>
      </c>
      <c r="B13" s="294"/>
      <c r="C13" s="294"/>
      <c r="D13" s="294"/>
      <c r="E13" s="294"/>
      <c r="F13" s="294"/>
      <c r="G13" s="294"/>
      <c r="H13" s="294"/>
      <c r="I13" s="294"/>
      <c r="J13" s="294"/>
      <c r="K13" s="294"/>
      <c r="L13" s="294"/>
      <c r="M13" s="294"/>
    </row>
    <row r="14" spans="1:23" s="51" customFormat="1" x14ac:dyDescent="0.35">
      <c r="A14" s="294" t="s">
        <v>187</v>
      </c>
      <c r="B14" s="294"/>
      <c r="C14" s="294"/>
      <c r="D14" s="294"/>
      <c r="E14" s="294"/>
      <c r="F14" s="294"/>
      <c r="G14" s="294"/>
      <c r="H14" s="294"/>
      <c r="I14" s="294"/>
      <c r="J14" s="294"/>
      <c r="K14" s="294"/>
      <c r="L14" s="294"/>
      <c r="M14" s="294"/>
    </row>
    <row r="34" spans="2:3" x14ac:dyDescent="0.35">
      <c r="B34" s="8"/>
      <c r="C34" s="8"/>
    </row>
    <row r="38" spans="2:3" x14ac:dyDescent="0.35">
      <c r="B38" s="8"/>
      <c r="C38" s="8"/>
    </row>
  </sheetData>
  <mergeCells count="3">
    <mergeCell ref="B4:C4"/>
    <mergeCell ref="A13:M13"/>
    <mergeCell ref="A14:M14"/>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3"/>
  <sheetViews>
    <sheetView zoomScaleNormal="100" workbookViewId="0">
      <pane xSplit="1" ySplit="2" topLeftCell="B3" activePane="bottomRight" state="frozen"/>
      <selection activeCell="J8" sqref="J8"/>
      <selection pane="topRight" activeCell="J8" sqref="J8"/>
      <selection pane="bottomLeft" activeCell="J8" sqref="J8"/>
      <selection pane="bottomRight" activeCell="B3" sqref="B3"/>
    </sheetView>
  </sheetViews>
  <sheetFormatPr defaultColWidth="9.1796875" defaultRowHeight="14.5" x14ac:dyDescent="0.35"/>
  <cols>
    <col min="1" max="1" width="61.7265625" style="59" customWidth="1"/>
    <col min="2" max="2" width="12.1796875" style="59" customWidth="1"/>
    <col min="3" max="4" width="12.453125" style="59" customWidth="1"/>
    <col min="5" max="5" width="15.453125" style="59" customWidth="1"/>
    <col min="6" max="6" width="15.81640625" style="59" customWidth="1"/>
    <col min="7" max="7" width="12.26953125" style="59" customWidth="1"/>
    <col min="8" max="9" width="13.26953125" style="59" customWidth="1"/>
    <col min="10" max="10" width="12.26953125" style="59" bestFit="1" customWidth="1"/>
    <col min="11" max="11" width="11.54296875" style="59" bestFit="1" customWidth="1"/>
    <col min="12" max="12" width="12.81640625" style="59" customWidth="1"/>
    <col min="13" max="13" width="16" style="59" customWidth="1"/>
    <col min="14" max="14" width="15" style="59" bestFit="1" customWidth="1"/>
    <col min="15" max="15" width="16" style="59" bestFit="1"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35" x14ac:dyDescent="0.35">
      <c r="A1" s="3" t="str">
        <f>+'PPC Cycle 2'!A1</f>
        <v>Evergy Missouri West, Inc. - DSIM Rider Update Filed 06/01/2020</v>
      </c>
      <c r="B1" s="3"/>
      <c r="C1" s="3"/>
      <c r="D1" s="3"/>
    </row>
    <row r="2" spans="1:35" x14ac:dyDescent="0.35">
      <c r="E2" s="3" t="s">
        <v>64</v>
      </c>
    </row>
    <row r="3" spans="1:35" ht="29" x14ac:dyDescent="0.35">
      <c r="E3" s="61" t="s">
        <v>48</v>
      </c>
      <c r="F3" s="83" t="s">
        <v>75</v>
      </c>
      <c r="G3" s="83" t="s">
        <v>56</v>
      </c>
      <c r="H3" s="61" t="s">
        <v>3</v>
      </c>
      <c r="I3" s="83" t="s">
        <v>57</v>
      </c>
      <c r="J3" s="61" t="s">
        <v>11</v>
      </c>
      <c r="K3" s="61" t="s">
        <v>10</v>
      </c>
      <c r="S3" s="61"/>
    </row>
    <row r="4" spans="1:35" x14ac:dyDescent="0.35">
      <c r="A4" s="21" t="s">
        <v>26</v>
      </c>
      <c r="B4" s="21"/>
      <c r="C4" s="21"/>
      <c r="D4" s="21"/>
      <c r="E4" s="23">
        <f>SUM(C18:M18)</f>
        <v>1334602.4358800002</v>
      </c>
      <c r="F4" s="156">
        <f>N24</f>
        <v>25341611.168915354</v>
      </c>
      <c r="G4" s="23">
        <f>SUM(C30:L30)</f>
        <v>1177725.06</v>
      </c>
      <c r="H4" s="23">
        <f>G4-E4</f>
        <v>-156877.37588000018</v>
      </c>
      <c r="I4" s="23">
        <f>+B42</f>
        <v>677035.14017999987</v>
      </c>
      <c r="J4" s="23">
        <f>SUM(C47:L47)</f>
        <v>9856.619999999999</v>
      </c>
      <c r="K4" s="35">
        <f>SUM(H4:J4)</f>
        <v>530014.38429999969</v>
      </c>
      <c r="L4" s="60">
        <f>+K4-M42</f>
        <v>0</v>
      </c>
    </row>
    <row r="5" spans="1:35" ht="15" thickBot="1" x14ac:dyDescent="0.4">
      <c r="A5" s="21" t="s">
        <v>27</v>
      </c>
      <c r="B5" s="21"/>
      <c r="C5" s="21"/>
      <c r="D5" s="21"/>
      <c r="E5" s="23">
        <f>SUM(C19:M21)</f>
        <v>1220482.3280900002</v>
      </c>
      <c r="F5" s="156">
        <f>SUM(N25:N27)</f>
        <v>33827776.790421948</v>
      </c>
      <c r="G5" s="23">
        <f>SUM(C31:L33)</f>
        <v>1043572.5099999998</v>
      </c>
      <c r="H5" s="23">
        <f>G5-E5</f>
        <v>-176909.81809000042</v>
      </c>
      <c r="I5" s="23">
        <f>+B43</f>
        <v>117668.84977</v>
      </c>
      <c r="J5" s="23">
        <f>SUM(C48:L48)</f>
        <v>-173.29</v>
      </c>
      <c r="K5" s="35">
        <f>SUM(H5:J5)</f>
        <v>-59414.258320000423</v>
      </c>
      <c r="L5" s="60">
        <f>+K5-M43</f>
        <v>-4.1472958400845528E-10</v>
      </c>
    </row>
    <row r="6" spans="1:35" ht="15.5" thickTop="1" thickBot="1" x14ac:dyDescent="0.4">
      <c r="E6" s="39">
        <f t="shared" ref="E6" si="0">SUM(E4:E5)</f>
        <v>2555084.7639700007</v>
      </c>
      <c r="F6" s="157">
        <f t="shared" ref="F6:I6" si="1">SUM(F4:F5)</f>
        <v>59169387.959337302</v>
      </c>
      <c r="G6" s="39">
        <f t="shared" si="1"/>
        <v>2221297.5699999998</v>
      </c>
      <c r="H6" s="39">
        <f t="shared" si="1"/>
        <v>-333787.1939700006</v>
      </c>
      <c r="I6" s="39">
        <f t="shared" si="1"/>
        <v>794703.98994999984</v>
      </c>
      <c r="J6" s="39">
        <f>SUM(J4:J5)</f>
        <v>9683.3299999999981</v>
      </c>
      <c r="K6" s="39">
        <f>SUM(K4:K5)</f>
        <v>470600.12597999925</v>
      </c>
      <c r="T6" s="5"/>
    </row>
    <row r="7" spans="1:35" ht="44" thickTop="1" x14ac:dyDescent="0.35">
      <c r="K7" s="253"/>
      <c r="L7" s="252" t="s">
        <v>140</v>
      </c>
    </row>
    <row r="8" spans="1:35" x14ac:dyDescent="0.35">
      <c r="A8" s="21" t="s">
        <v>121</v>
      </c>
      <c r="K8" s="35">
        <f>ROUND($K$5*L8,2)</f>
        <v>-23295.91</v>
      </c>
      <c r="L8" s="250">
        <f>+'[3]Monthly TD Calc'!$CY$44</f>
        <v>0.39209287804949344</v>
      </c>
    </row>
    <row r="9" spans="1:35" x14ac:dyDescent="0.35">
      <c r="A9" s="21" t="s">
        <v>122</v>
      </c>
      <c r="K9" s="35">
        <f t="shared" ref="K9:K10" si="2">ROUND($K$5*L9,2)</f>
        <v>-26995.41</v>
      </c>
      <c r="L9" s="250">
        <f>+'[3]Monthly TD Calc'!$DA$44</f>
        <v>0.45435908608374953</v>
      </c>
    </row>
    <row r="10" spans="1:35" ht="15" thickBot="1" x14ac:dyDescent="0.4">
      <c r="A10" s="21" t="s">
        <v>123</v>
      </c>
      <c r="J10" s="4"/>
      <c r="K10" s="35">
        <f t="shared" si="2"/>
        <v>-9122.94</v>
      </c>
      <c r="L10" s="250">
        <f>+'[3]Monthly TD Calc'!$DB$44</f>
        <v>0.15354803586675725</v>
      </c>
      <c r="V10" s="4"/>
    </row>
    <row r="11" spans="1:35" ht="15.5" thickTop="1" thickBot="1" x14ac:dyDescent="0.4">
      <c r="A11" s="21" t="s">
        <v>125</v>
      </c>
      <c r="K11" s="39">
        <f>SUM(K8:K10)</f>
        <v>-59414.26</v>
      </c>
      <c r="L11" s="251">
        <f>SUM(L8:L10)</f>
        <v>1.0000000000000002</v>
      </c>
      <c r="V11" s="4"/>
      <c r="W11" s="5"/>
    </row>
    <row r="12" spans="1:35" ht="15.5" thickTop="1" thickBot="1" x14ac:dyDescent="0.4">
      <c r="V12" s="4"/>
      <c r="W12" s="5"/>
    </row>
    <row r="13" spans="1:35" ht="116.5" thickBot="1" x14ac:dyDescent="0.4">
      <c r="B13" s="136" t="str">
        <f>+'PCR Cycle 2'!B13</f>
        <v>Cumulative Over/Under Carryover From 12/02/2020 Filing</v>
      </c>
      <c r="C13" s="171" t="str">
        <f>+'PCR Cycle 2'!C13:F13</f>
        <v>Reverse November-19 - January 2020  Forecast From 12/02/2020 Filing</v>
      </c>
      <c r="D13" s="237"/>
      <c r="E13" s="300" t="s">
        <v>35</v>
      </c>
      <c r="F13" s="300"/>
      <c r="G13" s="301"/>
      <c r="H13" s="302" t="s">
        <v>35</v>
      </c>
      <c r="I13" s="303"/>
      <c r="J13" s="304"/>
      <c r="K13" s="296" t="s">
        <v>9</v>
      </c>
      <c r="L13" s="297"/>
      <c r="M13" s="298"/>
    </row>
    <row r="14" spans="1:35" x14ac:dyDescent="0.35">
      <c r="A14" s="59" t="s">
        <v>66</v>
      </c>
      <c r="C14" s="123"/>
      <c r="D14" s="238"/>
      <c r="E14" s="19">
        <f>+'PCR Cycle 2'!D14</f>
        <v>43799</v>
      </c>
      <c r="F14" s="19">
        <f t="shared" ref="F14:M14" si="3">EOMONTH(E14,1)</f>
        <v>43830</v>
      </c>
      <c r="G14" s="19">
        <f t="shared" si="3"/>
        <v>43861</v>
      </c>
      <c r="H14" s="14">
        <f t="shared" si="3"/>
        <v>43890</v>
      </c>
      <c r="I14" s="19">
        <f t="shared" si="3"/>
        <v>43921</v>
      </c>
      <c r="J14" s="15">
        <f t="shared" si="3"/>
        <v>43951</v>
      </c>
      <c r="K14" s="19">
        <f t="shared" si="3"/>
        <v>43982</v>
      </c>
      <c r="L14" s="19">
        <f t="shared" si="3"/>
        <v>44012</v>
      </c>
      <c r="M14" s="15">
        <f t="shared" si="3"/>
        <v>44043</v>
      </c>
      <c r="Z14" s="1"/>
      <c r="AA14" s="1"/>
      <c r="AB14" s="1"/>
      <c r="AC14" s="1"/>
      <c r="AD14" s="1"/>
      <c r="AE14" s="1"/>
      <c r="AF14" s="1"/>
      <c r="AG14" s="1"/>
      <c r="AH14" s="1"/>
      <c r="AI14" s="1"/>
    </row>
    <row r="15" spans="1:35" x14ac:dyDescent="0.35">
      <c r="A15" s="59" t="s">
        <v>6</v>
      </c>
      <c r="C15" s="218">
        <v>-493994.88</v>
      </c>
      <c r="D15" s="221">
        <f>+D30+D33</f>
        <v>0</v>
      </c>
      <c r="E15" s="127">
        <f t="shared" ref="E15:L15" si="4">SUM(E30:E33)</f>
        <v>278899.47000000003</v>
      </c>
      <c r="F15" s="127">
        <f t="shared" si="4"/>
        <v>332908.77</v>
      </c>
      <c r="G15" s="128">
        <f t="shared" si="4"/>
        <v>304687.56</v>
      </c>
      <c r="H15" s="16">
        <f t="shared" si="4"/>
        <v>288155.11</v>
      </c>
      <c r="I15" s="68">
        <f t="shared" si="4"/>
        <v>314475.29000000004</v>
      </c>
      <c r="J15" s="186">
        <f t="shared" si="4"/>
        <v>305164.83</v>
      </c>
      <c r="K15" s="179">
        <f t="shared" si="4"/>
        <v>348934.06</v>
      </c>
      <c r="L15" s="93">
        <f t="shared" si="4"/>
        <v>542067.36</v>
      </c>
      <c r="M15" s="94"/>
    </row>
    <row r="16" spans="1:35" x14ac:dyDescent="0.35">
      <c r="C16" s="117"/>
      <c r="D16" s="222"/>
      <c r="E16" s="17"/>
      <c r="F16" s="17"/>
      <c r="G16" s="17"/>
      <c r="H16" s="10"/>
      <c r="I16" s="17"/>
      <c r="J16" s="11"/>
      <c r="K16" s="43"/>
      <c r="L16" s="43"/>
      <c r="M16" s="41"/>
    </row>
    <row r="17" spans="1:15" x14ac:dyDescent="0.35">
      <c r="A17" s="59" t="s">
        <v>65</v>
      </c>
      <c r="C17" s="117"/>
      <c r="D17" s="222"/>
      <c r="E17" s="18"/>
      <c r="F17" s="18"/>
      <c r="G17" s="18"/>
      <c r="H17" s="109"/>
      <c r="I17" s="18"/>
      <c r="J17" s="187"/>
      <c r="K17" s="43"/>
      <c r="L17" s="43"/>
      <c r="M17" s="41"/>
      <c r="N17" s="3" t="s">
        <v>72</v>
      </c>
      <c r="O17" s="51"/>
    </row>
    <row r="18" spans="1:15" x14ac:dyDescent="0.35">
      <c r="A18" s="59" t="s">
        <v>26</v>
      </c>
      <c r="C18" s="218">
        <v>-443091.17981999996</v>
      </c>
      <c r="D18" s="221">
        <v>0</v>
      </c>
      <c r="E18" s="154">
        <f>ROUND('[6]November 2019 Combined'!F38,2)</f>
        <v>124612.94</v>
      </c>
      <c r="F18" s="154">
        <f>ROUND('[6]December 2019 Combined'!$F$38,2)</f>
        <v>163627.66</v>
      </c>
      <c r="G18" s="154">
        <f>ROUND('[7]January 2020'!F43,2)</f>
        <v>173573.37</v>
      </c>
      <c r="H18" s="16">
        <f>ROUND('[7]February 2020'!F52,2)</f>
        <v>175441.72</v>
      </c>
      <c r="I18" s="139">
        <f>ROUND('[7]March 2020'!F52,2)</f>
        <v>233190.31</v>
      </c>
      <c r="J18" s="191">
        <f>ROUND('[7]April 2020'!F52,2)</f>
        <v>198877.3</v>
      </c>
      <c r="K18" s="141">
        <f>'PCR Cycle 2'!J26*'TDR Cycle 2'!$N18</f>
        <v>173306.62155000001</v>
      </c>
      <c r="L18" s="53">
        <f>'PCR Cycle 2'!K26*'TDR Cycle 2'!$N18</f>
        <v>223998.73540000001</v>
      </c>
      <c r="M18" s="74">
        <f>'PCR Cycle 2'!L26*'TDR Cycle 2'!$N18</f>
        <v>311064.95875000005</v>
      </c>
      <c r="N18" s="85">
        <v>8.5000000000000006E-4</v>
      </c>
      <c r="O18" s="4"/>
    </row>
    <row r="19" spans="1:15" x14ac:dyDescent="0.35">
      <c r="A19" s="59" t="s">
        <v>121</v>
      </c>
      <c r="C19" s="218"/>
      <c r="D19" s="221"/>
      <c r="E19" s="154"/>
      <c r="F19" s="154"/>
      <c r="G19" s="154"/>
      <c r="H19" s="16">
        <f>ROUND('[7]February 2020'!F53,2)</f>
        <v>35293.24</v>
      </c>
      <c r="I19" s="139">
        <f>ROUND('[7]March 2020'!F53,2)</f>
        <v>92262.44</v>
      </c>
      <c r="J19" s="191">
        <f>ROUND('[7]April 2020'!F53,2)</f>
        <v>74598.55</v>
      </c>
      <c r="K19" s="141">
        <f>'PCR Cycle 2'!J27*'TDR Cycle 2'!$N19</f>
        <v>77822.850559999992</v>
      </c>
      <c r="L19" s="53">
        <f>'PCR Cycle 2'!K27*'TDR Cycle 2'!$N19</f>
        <v>84073.974399999992</v>
      </c>
      <c r="M19" s="74">
        <f>'PCR Cycle 2'!L27*'TDR Cycle 2'!$N19</f>
        <v>93190.244159999987</v>
      </c>
      <c r="N19" s="85">
        <v>1.0399999999999999E-3</v>
      </c>
      <c r="O19" s="4"/>
    </row>
    <row r="20" spans="1:15" x14ac:dyDescent="0.35">
      <c r="A20" s="59" t="s">
        <v>122</v>
      </c>
      <c r="C20" s="218"/>
      <c r="D20" s="221"/>
      <c r="E20" s="154"/>
      <c r="F20" s="154"/>
      <c r="G20" s="154"/>
      <c r="H20" s="16">
        <f>ROUND('[7]February 2020'!F54,2)</f>
        <v>43033.02</v>
      </c>
      <c r="I20" s="139">
        <f>ROUND('[7]March 2020'!F54,2)</f>
        <v>53365.37</v>
      </c>
      <c r="J20" s="191">
        <f>ROUND('[7]April 2020'!F54,2)</f>
        <v>47152.31</v>
      </c>
      <c r="K20" s="141">
        <f>'PCR Cycle 2'!J28*'TDR Cycle 2'!$N20</f>
        <v>69196.350399999996</v>
      </c>
      <c r="L20" s="53">
        <f>'PCR Cycle 2'!K28*'TDR Cycle 2'!$N20</f>
        <v>74754.550229999993</v>
      </c>
      <c r="M20" s="74">
        <f>'PCR Cycle 2'!L28*'TDR Cycle 2'!$N20</f>
        <v>82860.300990000003</v>
      </c>
      <c r="N20" s="85">
        <v>6.0999999999999997E-4</v>
      </c>
      <c r="O20" s="4"/>
    </row>
    <row r="21" spans="1:15" x14ac:dyDescent="0.35">
      <c r="A21" s="59" t="s">
        <v>123</v>
      </c>
      <c r="C21" s="218">
        <v>-120435.74449999997</v>
      </c>
      <c r="D21" s="221">
        <v>0</v>
      </c>
      <c r="E21" s="154">
        <f>ROUND('[6]November 2019 Combined'!$F$39,2)</f>
        <v>128121.85</v>
      </c>
      <c r="F21" s="154">
        <f>ROUND('[6]December 2019 Combined'!$F$39,2)</f>
        <v>137168.5</v>
      </c>
      <c r="G21" s="154">
        <f>ROUND('[7]January 2020'!F44,2)</f>
        <v>127809.33</v>
      </c>
      <c r="H21" s="16">
        <f>ROUND('[7]February 2020'!F55,2)</f>
        <v>54394.81</v>
      </c>
      <c r="I21" s="139">
        <f>ROUND('[7]March 2020'!F55,2)</f>
        <v>12530.56</v>
      </c>
      <c r="J21" s="191">
        <f>ROUND('[7]April 2020'!F55,2)</f>
        <v>12133.9</v>
      </c>
      <c r="K21" s="141">
        <f>'PCR Cycle 2'!J29*'TDR Cycle 2'!$N21</f>
        <v>12555.991730000002</v>
      </c>
      <c r="L21" s="53">
        <f>'PCR Cycle 2'!K29*'TDR Cycle 2'!$N21</f>
        <v>13564.552390000001</v>
      </c>
      <c r="M21" s="74">
        <f>'PCR Cycle 2'!L29*'TDR Cycle 2'!$N21</f>
        <v>15035.37773</v>
      </c>
      <c r="N21" s="85">
        <v>1.9000000000000001E-4</v>
      </c>
      <c r="O21" s="4"/>
    </row>
    <row r="22" spans="1:15" x14ac:dyDescent="0.35">
      <c r="C22" s="80"/>
      <c r="D22" s="223"/>
      <c r="E22" s="81"/>
      <c r="F22" s="81"/>
      <c r="G22" s="81"/>
      <c r="H22" s="80"/>
      <c r="I22" s="81"/>
      <c r="J22" s="189"/>
      <c r="K22" s="69"/>
      <c r="L22" s="69"/>
      <c r="M22" s="13"/>
      <c r="O22" s="4"/>
    </row>
    <row r="23" spans="1:15" x14ac:dyDescent="0.35">
      <c r="A23" s="51" t="s">
        <v>70</v>
      </c>
      <c r="B23" s="51"/>
      <c r="C23" s="80"/>
      <c r="D23" s="223"/>
      <c r="E23" s="69"/>
      <c r="F23" s="69"/>
      <c r="G23" s="69"/>
      <c r="H23" s="12"/>
      <c r="I23" s="69"/>
      <c r="J23" s="190"/>
      <c r="K23" s="69"/>
      <c r="L23" s="69"/>
      <c r="M23" s="13"/>
      <c r="N23" s="7"/>
    </row>
    <row r="24" spans="1:15" x14ac:dyDescent="0.35">
      <c r="A24" s="59" t="s">
        <v>26</v>
      </c>
      <c r="C24" s="219">
        <v>-6004907.3622366181</v>
      </c>
      <c r="D24" s="224"/>
      <c r="E24" s="129">
        <f>+'[3]Monthly TD Calc'!AT285</f>
        <v>3740352.9486547601</v>
      </c>
      <c r="F24" s="129">
        <f>+'[3]Monthly TD Calc'!AU285</f>
        <v>4884389.7404394522</v>
      </c>
      <c r="G24" s="143">
        <f>+'[3]Monthly TD Calc'!AV285</f>
        <v>4044830.6614175304</v>
      </c>
      <c r="H24" s="89">
        <f>+'[3]Monthly TD Calc'!AW285</f>
        <v>3641571.1325322459</v>
      </c>
      <c r="I24" s="90">
        <f>+'[3]Monthly TD Calc'!AX285</f>
        <v>3647119.4277483225</v>
      </c>
      <c r="J24" s="191">
        <f>+'[3]Monthly TD Calc'!AY285</f>
        <v>3503793.3956076419</v>
      </c>
      <c r="K24" s="180">
        <f>+'[3]Monthly TD Calc'!AZ285</f>
        <v>3838707.3119637067</v>
      </c>
      <c r="L24" s="162">
        <f>+'[3]Monthly TD Calc'!BA285</f>
        <v>4045753.912788312</v>
      </c>
      <c r="M24" s="95"/>
      <c r="N24" s="72">
        <f>SUM(C24:L24)</f>
        <v>25341611.168915354</v>
      </c>
    </row>
    <row r="25" spans="1:15" x14ac:dyDescent="0.35">
      <c r="A25" s="59" t="s">
        <v>121</v>
      </c>
      <c r="C25" s="219"/>
      <c r="D25" s="224"/>
      <c r="E25" s="129">
        <f>+'[3]Monthly TD Calc'!AT286</f>
        <v>1187447.6878568572</v>
      </c>
      <c r="F25" s="129">
        <f>+'[3]Monthly TD Calc'!AU286</f>
        <v>1496127.0406286861</v>
      </c>
      <c r="G25" s="143">
        <f>+'[3]Monthly TD Calc'!AV286</f>
        <v>1873468.082475797</v>
      </c>
      <c r="H25" s="89">
        <f>+'[3]Monthly TD Calc'!AW286</f>
        <v>1698368.6225122809</v>
      </c>
      <c r="I25" s="90">
        <f>+'[3]Monthly TD Calc'!AX286</f>
        <v>1918946.0571799164</v>
      </c>
      <c r="J25" s="191">
        <f>+'[3]Monthly TD Calc'!AY286</f>
        <v>1815753.348866856</v>
      </c>
      <c r="K25" s="180">
        <f>+'[3]Monthly TD Calc'!AZ286</f>
        <v>1929862.7740866141</v>
      </c>
      <c r="L25" s="162">
        <f>+'[3]Monthly TD Calc'!BA286</f>
        <v>1927873.9189463556</v>
      </c>
      <c r="M25" s="95"/>
      <c r="N25" s="72">
        <f t="shared" ref="N25:N27" si="5">SUM(C25:L25)</f>
        <v>13847847.532553364</v>
      </c>
    </row>
    <row r="26" spans="1:15" x14ac:dyDescent="0.35">
      <c r="A26" s="59" t="s">
        <v>122</v>
      </c>
      <c r="C26" s="219"/>
      <c r="D26" s="224"/>
      <c r="E26" s="129">
        <f>+'[3]Monthly TD Calc'!AT288</f>
        <v>1786562.8130445483</v>
      </c>
      <c r="F26" s="129">
        <f>+'[3]Monthly TD Calc'!AU288</f>
        <v>2258115.8216459965</v>
      </c>
      <c r="G26" s="143">
        <f>+'[3]Monthly TD Calc'!AV288</f>
        <v>2841181.1069288682</v>
      </c>
      <c r="H26" s="89">
        <f>+'[3]Monthly TD Calc'!AW288</f>
        <v>2578220.7914223112</v>
      </c>
      <c r="I26" s="90">
        <f>+'[3]Monthly TD Calc'!AX288</f>
        <v>2887637.1506296871</v>
      </c>
      <c r="J26" s="191">
        <f>+'[3]Monthly TD Calc'!AY288</f>
        <v>2733410.6486690468</v>
      </c>
      <c r="K26" s="180">
        <f>+'[3]Monthly TD Calc'!AZ288</f>
        <v>2890409.8209900213</v>
      </c>
      <c r="L26" s="162">
        <f>+'[3]Monthly TD Calc'!BA288</f>
        <v>2832087.0570221478</v>
      </c>
      <c r="M26" s="95"/>
      <c r="N26" s="72">
        <f t="shared" si="5"/>
        <v>20807625.210352626</v>
      </c>
    </row>
    <row r="27" spans="1:15" x14ac:dyDescent="0.35">
      <c r="A27" s="59" t="s">
        <v>123</v>
      </c>
      <c r="C27" s="219">
        <v>-8624107.9792826064</v>
      </c>
      <c r="D27" s="224"/>
      <c r="E27" s="129">
        <f>+'[3]Monthly TD Calc'!AT289</f>
        <v>887715.58723482699</v>
      </c>
      <c r="F27" s="129">
        <f>+'[3]Monthly TD Calc'!AU289</f>
        <v>924370.99027055013</v>
      </c>
      <c r="G27" s="143">
        <f>+'[3]Monthly TD Calc'!AV289</f>
        <v>1014350.0561711908</v>
      </c>
      <c r="H27" s="89">
        <f>+'[3]Monthly TD Calc'!AW289</f>
        <v>921159.5160290671</v>
      </c>
      <c r="I27" s="90">
        <f>+'[3]Monthly TD Calc'!AX289</f>
        <v>1031447.2065557569</v>
      </c>
      <c r="J27" s="191">
        <f>+'[3]Monthly TD Calc'!AY289</f>
        <v>975001.98970008059</v>
      </c>
      <c r="K27" s="180">
        <f>+'[3]Monthly TD Calc'!AZ289</f>
        <v>1031776.4605094917</v>
      </c>
      <c r="L27" s="162">
        <f>+'[3]Monthly TD Calc'!BA289</f>
        <v>1010590.2203276039</v>
      </c>
      <c r="M27" s="95"/>
      <c r="N27" s="72">
        <f t="shared" si="5"/>
        <v>-827695.95248403796</v>
      </c>
    </row>
    <row r="28" spans="1:15" x14ac:dyDescent="0.35">
      <c r="C28" s="80"/>
      <c r="D28" s="223"/>
      <c r="E28" s="81"/>
      <c r="F28" s="81"/>
      <c r="G28" s="81"/>
      <c r="H28" s="80"/>
      <c r="I28" s="81"/>
      <c r="J28" s="189"/>
      <c r="K28" s="69"/>
      <c r="L28" s="69"/>
      <c r="M28" s="13"/>
    </row>
    <row r="29" spans="1:15" x14ac:dyDescent="0.35">
      <c r="A29" s="59" t="s">
        <v>73</v>
      </c>
      <c r="C29" s="48"/>
      <c r="D29" s="225"/>
      <c r="E29" s="49"/>
      <c r="F29" s="49"/>
      <c r="G29" s="49"/>
      <c r="H29" s="48"/>
      <c r="I29" s="49"/>
      <c r="J29" s="192"/>
      <c r="K29" s="65"/>
      <c r="L29" s="65"/>
      <c r="M29" s="50"/>
    </row>
    <row r="30" spans="1:15" x14ac:dyDescent="0.35">
      <c r="A30" s="59" t="s">
        <v>26</v>
      </c>
      <c r="C30" s="218">
        <v>-250962.96000000002</v>
      </c>
      <c r="D30" s="221"/>
      <c r="E30" s="127">
        <f>ROUND('[3]Monthly TD Calc'!AT326,2)</f>
        <v>166886.73000000001</v>
      </c>
      <c r="F30" s="127">
        <f>ROUND('[3]Monthly TD Calc'!AU326,2)</f>
        <v>201888.79</v>
      </c>
      <c r="G30" s="128">
        <f>ROUND('[3]Monthly TD Calc'!AV326,2)</f>
        <v>148508.95000000001</v>
      </c>
      <c r="H30" s="16">
        <f>ROUND('[3]Monthly TD Calc'!AW326,2)</f>
        <v>142294.95000000001</v>
      </c>
      <c r="I30" s="68">
        <f>ROUND('[3]Monthly TD Calc'!AX326,2)</f>
        <v>149745.65</v>
      </c>
      <c r="J30" s="191">
        <f>ROUND('[3]Monthly TD Calc'!AY326,2)</f>
        <v>144221.44</v>
      </c>
      <c r="K30" s="181">
        <f>ROUND('[3]Monthly TD Calc'!AZ326,2)</f>
        <v>172528.95</v>
      </c>
      <c r="L30" s="161">
        <f>ROUND('[3]Monthly TD Calc'!BA326,2)</f>
        <v>302612.56</v>
      </c>
      <c r="M30" s="94"/>
    </row>
    <row r="31" spans="1:15" x14ac:dyDescent="0.35">
      <c r="A31" s="59" t="s">
        <v>121</v>
      </c>
      <c r="C31" s="218"/>
      <c r="D31" s="221"/>
      <c r="E31" s="127">
        <f>ROUND('[3]Monthly TD Calc'!AT327,2)</f>
        <v>49787.69</v>
      </c>
      <c r="F31" s="127">
        <f>ROUND('[3]Monthly TD Calc'!AU327,2)</f>
        <v>56907.66</v>
      </c>
      <c r="G31" s="128">
        <f>ROUND('[3]Monthly TD Calc'!AV327,2)</f>
        <v>69815.75</v>
      </c>
      <c r="H31" s="16">
        <f>ROUND('[3]Monthly TD Calc'!AW327,2)</f>
        <v>63745.35</v>
      </c>
      <c r="I31" s="68">
        <f>ROUND('[3]Monthly TD Calc'!AX327,2)</f>
        <v>72373.05</v>
      </c>
      <c r="J31" s="191">
        <f>ROUND('[3]Monthly TD Calc'!AY327,2)</f>
        <v>74630.98</v>
      </c>
      <c r="K31" s="181">
        <f>ROUND('[3]Monthly TD Calc'!AZ327,2)</f>
        <v>80341.75</v>
      </c>
      <c r="L31" s="161">
        <f>ROUND('[3]Monthly TD Calc'!BA327,2)</f>
        <v>126296.86</v>
      </c>
      <c r="M31" s="94"/>
    </row>
    <row r="32" spans="1:15" x14ac:dyDescent="0.35">
      <c r="A32" s="59" t="s">
        <v>122</v>
      </c>
      <c r="C32" s="218"/>
      <c r="D32" s="221"/>
      <c r="E32" s="127">
        <f>ROUND('[3]Monthly TD Calc'!AT329,2)</f>
        <v>50747.22</v>
      </c>
      <c r="F32" s="127">
        <f>ROUND('[3]Monthly TD Calc'!AU329,2)</f>
        <v>61155.96</v>
      </c>
      <c r="G32" s="128">
        <f>ROUND('[3]Monthly TD Calc'!AV329,2)</f>
        <v>72562.78</v>
      </c>
      <c r="H32" s="16">
        <f>ROUND('[3]Monthly TD Calc'!AW329,2)</f>
        <v>69601.08</v>
      </c>
      <c r="I32" s="68">
        <f>ROUND('[3]Monthly TD Calc'!AX329,2)</f>
        <v>78390.83</v>
      </c>
      <c r="J32" s="191">
        <f>ROUND('[3]Monthly TD Calc'!AY329,2)</f>
        <v>73632.95</v>
      </c>
      <c r="K32" s="181">
        <f>ROUND('[3]Monthly TD Calc'!AZ329,2)</f>
        <v>81992.95</v>
      </c>
      <c r="L32" s="161">
        <f>ROUND('[3]Monthly TD Calc'!BA329,2)</f>
        <v>95655.97</v>
      </c>
      <c r="M32" s="94"/>
    </row>
    <row r="33" spans="1:15" x14ac:dyDescent="0.35">
      <c r="A33" s="59" t="s">
        <v>123</v>
      </c>
      <c r="C33" s="218">
        <v>-243031.91999999998</v>
      </c>
      <c r="D33" s="221"/>
      <c r="E33" s="127">
        <f>ROUND('[3]Monthly TD Calc'!AT330,2)</f>
        <v>11477.83</v>
      </c>
      <c r="F33" s="127">
        <f>ROUND('[3]Monthly TD Calc'!AU330,2)</f>
        <v>12956.36</v>
      </c>
      <c r="G33" s="128">
        <f>ROUND('[3]Monthly TD Calc'!AV330,2)</f>
        <v>13800.08</v>
      </c>
      <c r="H33" s="16">
        <f>ROUND('[3]Monthly TD Calc'!AW330,2)</f>
        <v>12513.73</v>
      </c>
      <c r="I33" s="68">
        <f>ROUND('[3]Monthly TD Calc'!AX330,2)</f>
        <v>13965.76</v>
      </c>
      <c r="J33" s="191">
        <f>ROUND('[3]Monthly TD Calc'!AY330,2)</f>
        <v>12679.46</v>
      </c>
      <c r="K33" s="181">
        <f>ROUND('[3]Monthly TD Calc'!AZ330,2)</f>
        <v>14070.41</v>
      </c>
      <c r="L33" s="161">
        <f>ROUND('[3]Monthly TD Calc'!BA330,2)</f>
        <v>17501.97</v>
      </c>
      <c r="M33" s="94"/>
      <c r="O33" s="60"/>
    </row>
    <row r="34" spans="1:15" x14ac:dyDescent="0.35">
      <c r="C34" s="117"/>
      <c r="D34" s="222"/>
      <c r="E34" s="18"/>
      <c r="F34" s="18"/>
      <c r="G34" s="18"/>
      <c r="H34" s="109"/>
      <c r="I34" s="18"/>
      <c r="J34" s="187"/>
      <c r="K34" s="69"/>
      <c r="L34" s="69"/>
      <c r="M34" s="13"/>
    </row>
    <row r="35" spans="1:15" ht="15" thickBot="1" x14ac:dyDescent="0.4">
      <c r="A35" s="3" t="s">
        <v>17</v>
      </c>
      <c r="B35" s="3"/>
      <c r="C35" s="220">
        <v>-4394.1100000000006</v>
      </c>
      <c r="D35" s="226"/>
      <c r="E35" s="154">
        <v>2170.77</v>
      </c>
      <c r="F35" s="154">
        <v>2261.81</v>
      </c>
      <c r="G35" s="155">
        <v>2251.6</v>
      </c>
      <c r="H35" s="38">
        <v>2207.38</v>
      </c>
      <c r="I35" s="140">
        <v>1584.3899999999999</v>
      </c>
      <c r="J35" s="193">
        <v>1336.61</v>
      </c>
      <c r="K35" s="182">
        <v>1329.3899999999999</v>
      </c>
      <c r="L35" s="163">
        <v>1463.26</v>
      </c>
      <c r="M35" s="97"/>
    </row>
    <row r="36" spans="1:15" x14ac:dyDescent="0.35">
      <c r="C36" s="77"/>
      <c r="D36" s="229"/>
      <c r="E36" s="79"/>
      <c r="F36" s="79"/>
      <c r="G36" s="45"/>
      <c r="H36" s="77"/>
      <c r="I36" s="45"/>
      <c r="J36" s="194"/>
      <c r="K36" s="46"/>
      <c r="L36" s="46"/>
      <c r="M36" s="73"/>
    </row>
    <row r="37" spans="1:15" x14ac:dyDescent="0.35">
      <c r="A37" s="59" t="s">
        <v>54</v>
      </c>
      <c r="C37" s="78"/>
      <c r="D37" s="230"/>
      <c r="E37" s="47"/>
      <c r="F37" s="47"/>
      <c r="G37" s="47"/>
      <c r="H37" s="78"/>
      <c r="I37" s="47"/>
      <c r="J37" s="195"/>
      <c r="K37" s="46"/>
      <c r="L37" s="46"/>
      <c r="M37" s="73"/>
    </row>
    <row r="38" spans="1:15" x14ac:dyDescent="0.35">
      <c r="A38" s="59" t="s">
        <v>26</v>
      </c>
      <c r="C38" s="227">
        <f t="shared" ref="C38:M38" si="6">C30-C18</f>
        <v>192128.21981999994</v>
      </c>
      <c r="D38" s="231">
        <f t="shared" si="6"/>
        <v>0</v>
      </c>
      <c r="E38" s="53">
        <f t="shared" si="6"/>
        <v>42273.790000000008</v>
      </c>
      <c r="F38" s="53">
        <f t="shared" si="6"/>
        <v>38261.130000000005</v>
      </c>
      <c r="G38" s="126">
        <f t="shared" si="6"/>
        <v>-25064.419999999984</v>
      </c>
      <c r="H38" s="52">
        <f t="shared" si="6"/>
        <v>-33146.76999999999</v>
      </c>
      <c r="I38" s="53">
        <f t="shared" si="6"/>
        <v>-83444.66</v>
      </c>
      <c r="J38" s="74">
        <f t="shared" si="6"/>
        <v>-54655.859999999986</v>
      </c>
      <c r="K38" s="141">
        <f t="shared" si="6"/>
        <v>-777.67154999999912</v>
      </c>
      <c r="L38" s="53">
        <f t="shared" si="6"/>
        <v>78613.824599999993</v>
      </c>
      <c r="M38" s="74">
        <f t="shared" si="6"/>
        <v>-311064.95875000005</v>
      </c>
    </row>
    <row r="39" spans="1:15" x14ac:dyDescent="0.35">
      <c r="A39" s="59" t="s">
        <v>27</v>
      </c>
      <c r="C39" s="227">
        <f>SUM(C31:C33)-SUM(C19:C21)</f>
        <v>-122596.17550000001</v>
      </c>
      <c r="D39" s="231">
        <f t="shared" ref="D39:M39" si="7">SUM(D31:D33)-SUM(D19:D21)</f>
        <v>0</v>
      </c>
      <c r="E39" s="53">
        <f t="shared" si="7"/>
        <v>-16109.11</v>
      </c>
      <c r="F39" s="53">
        <f t="shared" si="7"/>
        <v>-6148.5200000000041</v>
      </c>
      <c r="G39" s="126">
        <f t="shared" si="7"/>
        <v>28369.279999999984</v>
      </c>
      <c r="H39" s="52">
        <f t="shared" si="7"/>
        <v>13139.089999999997</v>
      </c>
      <c r="I39" s="53">
        <f t="shared" si="7"/>
        <v>6571.2700000000186</v>
      </c>
      <c r="J39" s="74">
        <f t="shared" si="7"/>
        <v>27058.629999999976</v>
      </c>
      <c r="K39" s="141">
        <f t="shared" si="7"/>
        <v>16829.917310000019</v>
      </c>
      <c r="L39" s="53">
        <f t="shared" si="7"/>
        <v>67061.72298000002</v>
      </c>
      <c r="M39" s="74">
        <f t="shared" si="7"/>
        <v>-191085.92288</v>
      </c>
    </row>
    <row r="40" spans="1:15" x14ac:dyDescent="0.35">
      <c r="C40" s="117"/>
      <c r="D40" s="222"/>
      <c r="E40" s="17"/>
      <c r="F40" s="17"/>
      <c r="G40" s="17"/>
      <c r="H40" s="10"/>
      <c r="I40" s="17"/>
      <c r="J40" s="11"/>
      <c r="K40" s="17"/>
      <c r="L40" s="17"/>
      <c r="M40" s="11"/>
    </row>
    <row r="41" spans="1:15" ht="15" thickBot="1" x14ac:dyDescent="0.4">
      <c r="A41" s="59" t="s">
        <v>55</v>
      </c>
      <c r="C41" s="117"/>
      <c r="D41" s="222"/>
      <c r="E41" s="17"/>
      <c r="F41" s="17"/>
      <c r="G41" s="17"/>
      <c r="H41" s="10"/>
      <c r="I41" s="17"/>
      <c r="J41" s="11"/>
      <c r="K41" s="17"/>
      <c r="L41" s="17"/>
      <c r="M41" s="11"/>
    </row>
    <row r="42" spans="1:15" x14ac:dyDescent="0.35">
      <c r="A42" s="59" t="s">
        <v>26</v>
      </c>
      <c r="B42" s="134">
        <v>677035.14017999987</v>
      </c>
      <c r="C42" s="227">
        <f t="shared" ref="C42:E43" si="8">+B42+C38+B47</f>
        <v>869163.35999999987</v>
      </c>
      <c r="D42" s="231">
        <f t="shared" si="8"/>
        <v>864641.58999999985</v>
      </c>
      <c r="E42" s="53">
        <f t="shared" si="8"/>
        <v>906915.37999999989</v>
      </c>
      <c r="F42" s="53">
        <f t="shared" ref="F42:M42" si="9">+E42+F38+E47</f>
        <v>947380.57999999984</v>
      </c>
      <c r="G42" s="126">
        <f t="shared" si="9"/>
        <v>924639.39999999991</v>
      </c>
      <c r="H42" s="52">
        <f t="shared" si="9"/>
        <v>893777.11999999988</v>
      </c>
      <c r="I42" s="53">
        <f t="shared" si="9"/>
        <v>812522.45999999985</v>
      </c>
      <c r="J42" s="74">
        <f t="shared" si="9"/>
        <v>759419.89999999991</v>
      </c>
      <c r="K42" s="141">
        <f t="shared" si="9"/>
        <v>759923.55844999989</v>
      </c>
      <c r="L42" s="53">
        <f t="shared" si="9"/>
        <v>839775.66304999986</v>
      </c>
      <c r="M42" s="74">
        <f t="shared" si="9"/>
        <v>530014.38429999992</v>
      </c>
    </row>
    <row r="43" spans="1:15" ht="15" thickBot="1" x14ac:dyDescent="0.4">
      <c r="A43" s="59" t="s">
        <v>27</v>
      </c>
      <c r="B43" s="135">
        <v>117668.84977</v>
      </c>
      <c r="C43" s="227">
        <f t="shared" si="8"/>
        <v>-4927.3257300000114</v>
      </c>
      <c r="D43" s="231">
        <f t="shared" si="8"/>
        <v>-5327.4257300000118</v>
      </c>
      <c r="E43" s="53">
        <f t="shared" si="8"/>
        <v>-21436.535730000011</v>
      </c>
      <c r="F43" s="53">
        <f t="shared" ref="F43:M43" si="10">+E43+F39+E48</f>
        <v>-27618.355730000014</v>
      </c>
      <c r="G43" s="126">
        <f t="shared" si="10"/>
        <v>689.49426999997047</v>
      </c>
      <c r="H43" s="52">
        <f t="shared" si="10"/>
        <v>13795.684269999967</v>
      </c>
      <c r="I43" s="53">
        <f t="shared" si="10"/>
        <v>20384.334269999988</v>
      </c>
      <c r="J43" s="74">
        <f t="shared" si="10"/>
        <v>47474.054269999964</v>
      </c>
      <c r="K43" s="141">
        <f t="shared" si="10"/>
        <v>64359.251579999982</v>
      </c>
      <c r="L43" s="53">
        <f t="shared" si="10"/>
        <v>131512.08455999999</v>
      </c>
      <c r="M43" s="74">
        <f t="shared" si="10"/>
        <v>-59414.258320000008</v>
      </c>
    </row>
    <row r="44" spans="1:15" x14ac:dyDescent="0.35">
      <c r="C44" s="117"/>
      <c r="D44" s="222"/>
      <c r="E44" s="17"/>
      <c r="F44" s="17"/>
      <c r="G44" s="17"/>
      <c r="H44" s="10"/>
      <c r="I44" s="17"/>
      <c r="J44" s="11"/>
      <c r="K44" s="17"/>
      <c r="L44" s="17"/>
      <c r="M44" s="11"/>
    </row>
    <row r="45" spans="1:15" x14ac:dyDescent="0.35">
      <c r="A45" s="51" t="s">
        <v>139</v>
      </c>
      <c r="B45" s="51"/>
      <c r="C45" s="122"/>
      <c r="D45" s="232"/>
      <c r="E45" s="98">
        <f>+'PCR Cycle 2'!D47</f>
        <v>2.4882900000000002E-3</v>
      </c>
      <c r="F45" s="98">
        <f>+'PCR Cycle 2'!E47</f>
        <v>2.5028199999999998E-3</v>
      </c>
      <c r="G45" s="98">
        <f>+'PCR Cycle 2'!F47</f>
        <v>2.43764E-3</v>
      </c>
      <c r="H45" s="99">
        <f>+'PCR Cycle 2'!G47</f>
        <v>2.4056699999999999E-3</v>
      </c>
      <c r="I45" s="98">
        <f>+'PCR Cycle 2'!H47</f>
        <v>1.8183299999999999E-3</v>
      </c>
      <c r="J45" s="110">
        <f>+'PCR Cycle 2'!I47</f>
        <v>1.62864E-3</v>
      </c>
      <c r="K45" s="98">
        <f>+'PCR Cycle 2'!J47</f>
        <v>1.62864E-3</v>
      </c>
      <c r="L45" s="98">
        <f>+'PCR Cycle 2'!K47</f>
        <v>1.62864E-3</v>
      </c>
      <c r="M45" s="100"/>
    </row>
    <row r="46" spans="1:15" x14ac:dyDescent="0.35">
      <c r="A46" s="51" t="s">
        <v>39</v>
      </c>
      <c r="B46" s="51"/>
      <c r="C46" s="124"/>
      <c r="D46" s="233"/>
      <c r="E46" s="98"/>
      <c r="F46" s="98"/>
      <c r="G46" s="98"/>
      <c r="H46" s="99"/>
      <c r="I46" s="98"/>
      <c r="J46" s="100"/>
      <c r="K46" s="98"/>
      <c r="L46" s="98"/>
      <c r="M46" s="100"/>
    </row>
    <row r="47" spans="1:15" x14ac:dyDescent="0.35">
      <c r="A47" s="59" t="s">
        <v>26</v>
      </c>
      <c r="C47" s="227">
        <v>-4521.7700000000004</v>
      </c>
      <c r="D47" s="231"/>
      <c r="E47" s="53">
        <f>ROUND((D42+D47+E38/2)*E$45,2)</f>
        <v>2204.0700000000002</v>
      </c>
      <c r="F47" s="53">
        <f t="shared" ref="F47:F48" si="11">ROUND((E42+E47+F38/2)*F$45,2)</f>
        <v>2323.2399999999998</v>
      </c>
      <c r="G47" s="126">
        <f t="shared" ref="G47:G48" si="12">ROUND((F42+F47+G38/2)*G$45,2)</f>
        <v>2284.4899999999998</v>
      </c>
      <c r="H47" s="52">
        <f t="shared" ref="H47:H48" si="13">ROUND((G42+G47+H38/2)*H$45,2)</f>
        <v>2190</v>
      </c>
      <c r="I47" s="141">
        <f t="shared" ref="I47:J48" si="14">ROUND((H42+H47+I38/2)*I$45,2)</f>
        <v>1553.3</v>
      </c>
      <c r="J47" s="74">
        <f t="shared" si="14"/>
        <v>1281.33</v>
      </c>
      <c r="K47" s="183">
        <f t="shared" ref="K47:K48" si="15">ROUND((J42+J47+K38/2)*K$45,2)</f>
        <v>1238.28</v>
      </c>
      <c r="L47" s="126">
        <f t="shared" ref="L47:L48" si="16">ROUND((K42+K47+L38/2)*L$45,2)</f>
        <v>1303.68</v>
      </c>
      <c r="M47" s="74">
        <f t="shared" ref="M47:M48" si="17">ROUND((L42+L47+M38/2)*M$45,2)</f>
        <v>0</v>
      </c>
    </row>
    <row r="48" spans="1:15" ht="15" thickBot="1" x14ac:dyDescent="0.4">
      <c r="A48" s="59" t="s">
        <v>27</v>
      </c>
      <c r="C48" s="227">
        <v>-400.1</v>
      </c>
      <c r="D48" s="231"/>
      <c r="E48" s="53">
        <f>ROUND((D43+D48+E39/2)*E$45,2)</f>
        <v>-33.299999999999997</v>
      </c>
      <c r="F48" s="53">
        <f t="shared" si="11"/>
        <v>-61.43</v>
      </c>
      <c r="G48" s="126">
        <f t="shared" si="12"/>
        <v>-32.9</v>
      </c>
      <c r="H48" s="52">
        <f t="shared" si="13"/>
        <v>17.38</v>
      </c>
      <c r="I48" s="141">
        <f t="shared" si="14"/>
        <v>31.09</v>
      </c>
      <c r="J48" s="74">
        <f t="shared" si="14"/>
        <v>55.28</v>
      </c>
      <c r="K48" s="183">
        <f t="shared" si="15"/>
        <v>91.11</v>
      </c>
      <c r="L48" s="126">
        <f t="shared" si="16"/>
        <v>159.58000000000001</v>
      </c>
      <c r="M48" s="74">
        <f t="shared" si="17"/>
        <v>0</v>
      </c>
    </row>
    <row r="49" spans="1:13" ht="15.5" thickTop="1" thickBot="1" x14ac:dyDescent="0.4">
      <c r="A49" s="67" t="s">
        <v>24</v>
      </c>
      <c r="B49" s="67"/>
      <c r="C49" s="228">
        <v>0</v>
      </c>
      <c r="D49" s="234"/>
      <c r="E49" s="54">
        <f>SUM(E47:E48)+SUM(E42:E43)-E52</f>
        <v>0</v>
      </c>
      <c r="F49" s="54">
        <f t="shared" ref="F49:M49" si="18">SUM(F47:F48)+SUM(F42:F43)-F52</f>
        <v>0</v>
      </c>
      <c r="G49" s="63">
        <f t="shared" si="18"/>
        <v>0</v>
      </c>
      <c r="H49" s="64">
        <f t="shared" si="18"/>
        <v>0</v>
      </c>
      <c r="I49" s="54">
        <f t="shared" si="18"/>
        <v>0</v>
      </c>
      <c r="J49" s="75">
        <f t="shared" si="18"/>
        <v>0</v>
      </c>
      <c r="K49" s="184">
        <f t="shared" si="18"/>
        <v>0</v>
      </c>
      <c r="L49" s="63">
        <f t="shared" si="18"/>
        <v>0</v>
      </c>
      <c r="M49" s="75">
        <f t="shared" si="18"/>
        <v>0</v>
      </c>
    </row>
    <row r="50" spans="1:13" ht="15.5" thickTop="1" thickBot="1" x14ac:dyDescent="0.4">
      <c r="A50" s="67" t="s">
        <v>25</v>
      </c>
      <c r="B50" s="67"/>
      <c r="C50" s="228">
        <v>0</v>
      </c>
      <c r="D50" s="234"/>
      <c r="E50" s="54">
        <f>SUM(E47:E48)-E35</f>
        <v>0</v>
      </c>
      <c r="F50" s="54">
        <f t="shared" ref="F50:J50" si="19">SUM(F47:F48)-F35</f>
        <v>0</v>
      </c>
      <c r="G50" s="63">
        <f t="shared" ref="G50:I50" si="20">SUM(G47:G48)-G35</f>
        <v>-1.0000000000218279E-2</v>
      </c>
      <c r="H50" s="64">
        <f t="shared" si="20"/>
        <v>0</v>
      </c>
      <c r="I50" s="54">
        <f t="shared" si="20"/>
        <v>0</v>
      </c>
      <c r="J50" s="75">
        <f t="shared" si="19"/>
        <v>0</v>
      </c>
      <c r="K50" s="185">
        <f t="shared" ref="K50:M50" si="21">SUM(K47:K48)-K35</f>
        <v>0</v>
      </c>
      <c r="L50" s="54">
        <f t="shared" si="21"/>
        <v>0</v>
      </c>
      <c r="M50" s="54">
        <f t="shared" si="21"/>
        <v>0</v>
      </c>
    </row>
    <row r="51" spans="1:13" ht="15.5" thickTop="1" thickBot="1" x14ac:dyDescent="0.4">
      <c r="C51" s="117"/>
      <c r="D51" s="222"/>
      <c r="E51" s="17"/>
      <c r="F51" s="17"/>
      <c r="G51" s="17"/>
      <c r="H51" s="10"/>
      <c r="I51" s="17"/>
      <c r="J51" s="11"/>
      <c r="K51" s="17"/>
      <c r="L51" s="17"/>
      <c r="M51" s="11"/>
    </row>
    <row r="52" spans="1:13" ht="15" thickBot="1" x14ac:dyDescent="0.4">
      <c r="A52" s="59" t="s">
        <v>38</v>
      </c>
      <c r="B52" s="137">
        <f>+B42+B43</f>
        <v>794703.98994999984</v>
      </c>
      <c r="C52" s="227">
        <f t="shared" ref="C52:M52" si="22">(C15-SUM(C18:C21))+SUM(C47:C48)+B52</f>
        <v>859314.16426999983</v>
      </c>
      <c r="D52" s="231">
        <f t="shared" si="22"/>
        <v>859314.16426999983</v>
      </c>
      <c r="E52" s="53">
        <f t="shared" si="22"/>
        <v>887649.6142699999</v>
      </c>
      <c r="F52" s="53">
        <f t="shared" si="22"/>
        <v>922024.03426999995</v>
      </c>
      <c r="G52" s="126">
        <f t="shared" si="22"/>
        <v>927580.4842699999</v>
      </c>
      <c r="H52" s="52">
        <f t="shared" si="22"/>
        <v>909780.18426999985</v>
      </c>
      <c r="I52" s="53">
        <f t="shared" si="22"/>
        <v>834491.18426999985</v>
      </c>
      <c r="J52" s="74">
        <f t="shared" si="22"/>
        <v>808230.56426999986</v>
      </c>
      <c r="K52" s="183">
        <f t="shared" si="22"/>
        <v>825612.20002999983</v>
      </c>
      <c r="L52" s="126">
        <f t="shared" si="22"/>
        <v>972751.00760999974</v>
      </c>
      <c r="M52" s="74">
        <f t="shared" si="22"/>
        <v>470600.12597999966</v>
      </c>
    </row>
    <row r="53" spans="1:13" x14ac:dyDescent="0.35">
      <c r="A53" s="59" t="s">
        <v>14</v>
      </c>
      <c r="C53" s="138"/>
      <c r="D53" s="235"/>
      <c r="E53" s="17"/>
      <c r="F53" s="17"/>
      <c r="G53" s="17"/>
      <c r="H53" s="10"/>
      <c r="I53" s="17"/>
      <c r="J53" s="11"/>
      <c r="K53" s="17"/>
      <c r="L53" s="17"/>
      <c r="M53" s="11"/>
    </row>
    <row r="54" spans="1:13" ht="15" thickBot="1" x14ac:dyDescent="0.4">
      <c r="A54" s="49"/>
      <c r="B54" s="49"/>
      <c r="C54" s="166"/>
      <c r="D54" s="236"/>
      <c r="E54" s="56"/>
      <c r="F54" s="56"/>
      <c r="G54" s="56"/>
      <c r="H54" s="55"/>
      <c r="I54" s="56"/>
      <c r="J54" s="57"/>
      <c r="K54" s="56"/>
      <c r="L54" s="56"/>
      <c r="M54" s="57"/>
    </row>
    <row r="56" spans="1:13" x14ac:dyDescent="0.35">
      <c r="A56" s="82" t="s">
        <v>13</v>
      </c>
      <c r="B56" s="82"/>
      <c r="C56" s="82"/>
      <c r="D56" s="82"/>
    </row>
    <row r="57" spans="1:13" ht="34.5" customHeight="1" x14ac:dyDescent="0.35">
      <c r="A57" s="299" t="s">
        <v>195</v>
      </c>
      <c r="B57" s="299"/>
      <c r="C57" s="299"/>
      <c r="D57" s="299"/>
      <c r="E57" s="299"/>
      <c r="F57" s="299"/>
      <c r="G57" s="299"/>
      <c r="H57" s="299"/>
      <c r="I57" s="299"/>
      <c r="J57" s="299"/>
      <c r="K57" s="215"/>
      <c r="L57" s="164"/>
      <c r="M57" s="164"/>
    </row>
    <row r="58" spans="1:13" ht="42.75" customHeight="1" x14ac:dyDescent="0.35">
      <c r="A58" s="299" t="s">
        <v>196</v>
      </c>
      <c r="B58" s="299"/>
      <c r="C58" s="299"/>
      <c r="D58" s="299"/>
      <c r="E58" s="299"/>
      <c r="F58" s="299"/>
      <c r="G58" s="299"/>
      <c r="H58" s="299"/>
      <c r="I58" s="299"/>
      <c r="J58" s="299"/>
      <c r="K58" s="299"/>
      <c r="L58" s="164"/>
      <c r="M58" s="164"/>
    </row>
    <row r="59" spans="1:13" ht="33.75" customHeight="1" x14ac:dyDescent="0.35">
      <c r="A59" s="299" t="s">
        <v>197</v>
      </c>
      <c r="B59" s="299"/>
      <c r="C59" s="299"/>
      <c r="D59" s="299"/>
      <c r="E59" s="299"/>
      <c r="F59" s="299"/>
      <c r="G59" s="299"/>
      <c r="H59" s="299"/>
      <c r="I59" s="299"/>
      <c r="J59" s="299"/>
      <c r="K59" s="215"/>
      <c r="L59" s="164"/>
      <c r="M59" s="164"/>
    </row>
    <row r="60" spans="1:13" x14ac:dyDescent="0.35">
      <c r="A60" s="3" t="s">
        <v>71</v>
      </c>
      <c r="B60" s="3"/>
      <c r="C60" s="3"/>
      <c r="D60" s="3"/>
    </row>
    <row r="61" spans="1:13" x14ac:dyDescent="0.35">
      <c r="A61" s="76" t="s">
        <v>198</v>
      </c>
      <c r="B61" s="3"/>
      <c r="C61" s="3"/>
      <c r="D61" s="3"/>
    </row>
    <row r="62" spans="1:13" x14ac:dyDescent="0.35">
      <c r="A62" s="3" t="s">
        <v>74</v>
      </c>
      <c r="B62" s="3"/>
      <c r="C62" s="3"/>
      <c r="D62" s="3"/>
    </row>
    <row r="63" spans="1:13" x14ac:dyDescent="0.35">
      <c r="A63" s="3" t="s">
        <v>199</v>
      </c>
      <c r="B63" s="3"/>
      <c r="C63" s="3"/>
      <c r="D63" s="3"/>
    </row>
  </sheetData>
  <mergeCells count="6">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1A6497F0A034408B121D2E9E1ADC67" ma:contentTypeVersion="" ma:contentTypeDescription="Create a new document." ma:contentTypeScope="" ma:versionID="33410187fa11445242c709c55f188682">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FA9A9A38-EC67-40E8-A11C-D8E6F539B18B}"/>
</file>

<file path=customXml/itemProps2.xml><?xml version="1.0" encoding="utf-8"?>
<ds:datastoreItem xmlns:ds="http://schemas.openxmlformats.org/officeDocument/2006/customXml" ds:itemID="{4FE36353-2D23-4413-BFF3-128FB6002D9C}"/>
</file>

<file path=customXml/itemProps3.xml><?xml version="1.0" encoding="utf-8"?>
<ds:datastoreItem xmlns:ds="http://schemas.openxmlformats.org/officeDocument/2006/customXml" ds:itemID="{BBE680F6-EEBC-41A4-AEB5-0B773B5EAC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tariff tables</vt:lpstr>
      <vt:lpstr>DSIM Cycle Tables</vt:lpstr>
      <vt:lpstr>PPC Cycle 2</vt:lpstr>
      <vt:lpstr>PPC Cycle 3</vt:lpstr>
      <vt:lpstr>PCR Cycle 2</vt:lpstr>
      <vt:lpstr>PCR Cycle 3</vt:lpstr>
      <vt:lpstr>PTD Cycle 2</vt:lpstr>
      <vt:lpstr>PTD Cycle 3</vt:lpstr>
      <vt:lpstr>TDR Cycle 2</vt:lpstr>
      <vt:lpstr>TDR Cycle 3</vt:lpstr>
      <vt:lpstr>EO Cycle 2</vt:lpstr>
      <vt:lpstr>EOR Cycle 1</vt:lpstr>
      <vt:lpstr>EOR Cycle 2</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2020-05-27T23:04:45Z</cp:lastPrinted>
  <dcterms:created xsi:type="dcterms:W3CDTF">2013-08-12T19:20:10Z</dcterms:created>
  <dcterms:modified xsi:type="dcterms:W3CDTF">2020-05-27T23:05:44Z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0x010100011A6497F0A034408B121D2E9E1ADC67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iteId">
    <vt:lpwstr>9ef58ab0-3510-4d99-8d3e-3c9e02ebab7f</vt:lpwstr>
  </property>
  <property fmtid="{D5CDD505-2E9C-101B-9397-08002B2CF9AE}" pid="7" name="MSIP_Label_d275ac46-98b9-4d64-949f-e82ee8dc823c_Owner">
    <vt:lpwstr>Mark.Foltz@kcpl.com</vt:lpwstr>
  </property>
  <property fmtid="{D5CDD505-2E9C-101B-9397-08002B2CF9AE}" pid="8" name="MSIP_Label_d275ac46-98b9-4d64-949f-e82ee8dc823c_SetDate">
    <vt:lpwstr>2018-11-14T16:29:38.6736549Z</vt:lpwstr>
  </property>
  <property fmtid="{D5CDD505-2E9C-101B-9397-08002B2CF9AE}" pid="9" name="MSIP_Label_d275ac46-98b9-4d64-949f-e82ee8dc823c_Name">
    <vt:lpwstr>Internal Use Only</vt:lpwstr>
  </property>
  <property fmtid="{D5CDD505-2E9C-101B-9397-08002B2CF9AE}" pid="10" name="MSIP_Label_d275ac46-98b9-4d64-949f-e82ee8dc823c_Application">
    <vt:lpwstr>Microsoft Azure Information Protection</vt:lpwstr>
  </property>
  <property fmtid="{D5CDD505-2E9C-101B-9397-08002B2CF9AE}" pid="11" name="MSIP_Label_d275ac46-98b9-4d64-949f-e82ee8dc823c_Extended_MSFT_Method">
    <vt:lpwstr>Automatic</vt:lpwstr>
  </property>
  <property fmtid="{D5CDD505-2E9C-101B-9397-08002B2CF9AE}" pid="12" name="Sensitivity">
    <vt:lpwstr>Internal Use Only</vt:lpwstr>
  </property>
</Properties>
</file>