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MPSC Cases\ER-2020-____ RESRAM AP\"/>
    </mc:Choice>
  </mc:AlternateContent>
  <bookViews>
    <workbookView xWindow="0" yWindow="0" windowWidth="20490" windowHeight="6120"/>
  </bookViews>
  <sheets>
    <sheet name="Monthly Cost Tracker" sheetId="4" r:id="rId1"/>
    <sheet name="Rate Schedule" sheetId="2" r:id="rId2"/>
    <sheet name="RRR" sheetId="9" r:id="rId3"/>
    <sheet name="SRP" sheetId="10" r:id="rId4"/>
    <sheet name="RAC" sheetId="11" r:id="rId5"/>
    <sheet name="Jan 19 int" sheetId="12" r:id="rId6"/>
    <sheet name="Feb 19 int" sheetId="15" r:id="rId7"/>
    <sheet name="Mar 19 int" sheetId="16" r:id="rId8"/>
    <sheet name="Apr 19 int" sheetId="14" r:id="rId9"/>
    <sheet name="May 19 int" sheetId="13" r:id="rId10"/>
    <sheet name="June 19 int" sheetId="18" r:id="rId11"/>
    <sheet name="July 19 int" sheetId="17"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MISO_Hrly_Spec_Gross_Purchases_01" hidden="1">[1]pcQueryData!$A$3</definedName>
    <definedName name="__MISO_Hrly_Spec_Gross_Sales_01" hidden="1">[1]pcQueryData!$A$4</definedName>
    <definedName name="__ORIG_COST_TRAN_MW_AVG_ORG_PURCH_PRICE_for_01" hidden="1">[2]pcQueryData!$A$5</definedName>
    <definedName name="__ORIG_COST_TRAN_MW_AVG_ORG_PURCH_PRICE_for_02" hidden="1">[3]pcQueryData!$A$3</definedName>
    <definedName name="__ORIG_COST_TRAN_MW_AVG_ORG_PURCH_PRICE_for_MISO_01" hidden="1">[4]pcQueryData!$A$5</definedName>
    <definedName name="__REVENUE_TRAN_MW_AVG_ORG_SALES_PRICE_for_April_02" hidden="1">[3]pcQueryData!$A$4</definedName>
    <definedName name="__REVENUE_TRAN_MW_AVG_ORG_SALES_PRICE_for_MISO_01" hidden="1">[4]pcQueryData!$A$6</definedName>
    <definedName name="_Key1" localSheetId="0" hidden="1">#REF!</definedName>
    <definedName name="_Key1" hidden="1">#REF!</definedName>
    <definedName name="_Order1" hidden="1">255</definedName>
    <definedName name="_ORIG_COST_TRAN_MW_AVG_ORG_PURCH_PRICE_for_MISO_00" hidden="1">[5]pcQueryData!$A$3</definedName>
    <definedName name="_pcSlicerSheet_Slicer1" localSheetId="0" hidden="1">#REF!</definedName>
    <definedName name="_pcSlicerSheet_Slicer1" hidden="1">#REF!</definedName>
    <definedName name="_pcSlicerSheet1_Slicer1" localSheetId="0" hidden="1">#REF!</definedName>
    <definedName name="_pcSlicerSheet1_Slicer1" hidden="1">#REF!</definedName>
    <definedName name="_pcSlicerSheet2_Slicer1" hidden="1">[4]_pcSlicerSheet2!$A$2:$A$7</definedName>
    <definedName name="_pcSlicerSheet3_Slicer1" hidden="1">[4]_pcSlicerSheet3!$A$2:$A$7</definedName>
    <definedName name="_pcSlicerSheet4_Slicer1" hidden="1">[6]_pcSlicerSheet4!$A$2:$A$7</definedName>
    <definedName name="_pcSlicerSheet5_Slicer1" hidden="1">[6]_pcSlicerSheet5!$A$2:$A$7</definedName>
    <definedName name="_pcSlicerSheet6_Slicer1" hidden="1">[7]_pcSlicerSheet6!$A$2:$A$23</definedName>
    <definedName name="_pcSlicerSheet7_Slicer1" hidden="1">[7]_pcSlicerSheet7!$A$2:$A$23</definedName>
    <definedName name="_pcSlicerSheet8_Slicer1" hidden="1">[8]_pcSlicerSheet8!$A$2:$A$26</definedName>
    <definedName name="_pcSlicerSheet9_Slicer1" hidden="1">[8]_pcSlicerSheet9!$A$2:$A$26</definedName>
    <definedName name="_pg1" localSheetId="0">#REF!</definedName>
    <definedName name="_pg1">#REF!</definedName>
    <definedName name="_PG2" localSheetId="0">#REF!</definedName>
    <definedName name="_PG2">#REF!</definedName>
    <definedName name="_REVENUE_TRAN_MW_AVG_ORG_SALES_PRICE_for_April_00" hidden="1">[2]pcQueryData!$A$6</definedName>
    <definedName name="_REVENUE_TRAN_MW_AVG_ORG_SALES_PRICE_for_MISO_00" hidden="1">[5]pcQueryData!$A$4</definedName>
    <definedName name="_Sort" localSheetId="0" hidden="1">#REF!</definedName>
    <definedName name="_Sort" hidden="1">#REF!</definedName>
    <definedName name="a" localSheetId="0" hidden="1">#REF!</definedName>
    <definedName name="a" hidden="1">#REF!</definedName>
    <definedName name="cosales" localSheetId="0">#REF!</definedName>
    <definedName name="cosales">#REF!</definedName>
    <definedName name="d" hidden="1">[6]_pcSlicerSheet5!$A$2:$A$7</definedName>
    <definedName name="p" localSheetId="0">[9]ACCOUNTING!#REF!</definedName>
    <definedName name="p">[9]ACCOUNTING!#REF!</definedName>
    <definedName name="POOL" localSheetId="0">#REF!</definedName>
    <definedName name="POOL">#REF!</definedName>
    <definedName name="_xlnm.Print_Area" localSheetId="1">'Rate Schedule'!$A$1:$C$25</definedName>
    <definedName name="PUR" localSheetId="0">#REF!</definedName>
    <definedName name="PUR">#REF!</definedName>
    <definedName name="q" localSheetId="0">[10]ACCOUNTING!#REF!</definedName>
    <definedName name="q">[10]ACCOUNTING!#REF!</definedName>
    <definedName name="rr" localSheetId="0">[9]ACCOUNTING!#REF!</definedName>
    <definedName name="rr">[9]ACCOUNTING!#REF!</definedName>
    <definedName name="rrr">[9]Purchase!$A$1:$E$120</definedName>
    <definedName name="SALES" localSheetId="0">#REF!</definedName>
    <definedName name="SALES">#REF!</definedName>
    <definedName name="SPA" localSheetId="0">#REF!</definedName>
    <definedName name="SPA">#REF!</definedName>
    <definedName name="UL" localSheetId="0">#REF!</definedName>
    <definedName name="UL">#REF!</definedName>
    <definedName name="ULOAD">#N/A</definedName>
    <definedName name="upload" localSheetId="0">#REF!</definedName>
    <definedName name="upload">#REF!</definedName>
    <definedName name="z" localSheetId="0" hidden="1">[9]ACCOUNTING!#REF!</definedName>
    <definedName name="z" hidden="1">[9]ACCOUNTING!#REF!</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4" l="1"/>
  <c r="G27" i="4"/>
  <c r="F27" i="4"/>
  <c r="E27" i="4"/>
  <c r="D27" i="4"/>
  <c r="C27" i="4"/>
  <c r="B27" i="4"/>
  <c r="EL40" i="18"/>
  <c r="EG40" i="18"/>
  <c r="EI40" i="18" s="1"/>
  <c r="DW40" i="18"/>
  <c r="DT40" i="18"/>
  <c r="DQ40" i="18"/>
  <c r="DN40" i="18"/>
  <c r="EM40" i="18" s="1"/>
  <c r="DK40" i="18"/>
  <c r="DH40" i="18"/>
  <c r="DE40" i="18"/>
  <c r="DB40" i="18"/>
  <c r="CY40" i="18"/>
  <c r="CV40" i="18"/>
  <c r="CS40" i="18"/>
  <c r="CP40" i="18"/>
  <c r="CM40" i="18"/>
  <c r="CJ40" i="18"/>
  <c r="CG40" i="18"/>
  <c r="CD40" i="18"/>
  <c r="CA40" i="18"/>
  <c r="BX40" i="18"/>
  <c r="BU40" i="18"/>
  <c r="BR40" i="18"/>
  <c r="BO40" i="18"/>
  <c r="BL40" i="18"/>
  <c r="BI40" i="18"/>
  <c r="BF40" i="18"/>
  <c r="BC40" i="18"/>
  <c r="AZ40" i="18"/>
  <c r="AW40" i="18"/>
  <c r="AT40" i="18"/>
  <c r="AR40" i="18"/>
  <c r="AQ40" i="18"/>
  <c r="AL40" i="18"/>
  <c r="AN40" i="18" s="1"/>
  <c r="AI40" i="18"/>
  <c r="AK40" i="18" s="1"/>
  <c r="AB40" i="18"/>
  <c r="Y40" i="18"/>
  <c r="V40" i="18"/>
  <c r="S40" i="18"/>
  <c r="EH40" i="18" s="1"/>
  <c r="P40" i="18"/>
  <c r="M40" i="18"/>
  <c r="J40" i="18"/>
  <c r="G40" i="18"/>
  <c r="D40" i="18"/>
  <c r="EL39" i="18"/>
  <c r="EI39" i="18"/>
  <c r="EG39" i="18"/>
  <c r="DW39" i="18"/>
  <c r="DT39" i="18"/>
  <c r="DQ39" i="18"/>
  <c r="DN39" i="18"/>
  <c r="DK39" i="18"/>
  <c r="DH39" i="18"/>
  <c r="DE39" i="18"/>
  <c r="DB39" i="18"/>
  <c r="CY39" i="18"/>
  <c r="CV39" i="18"/>
  <c r="CS39" i="18"/>
  <c r="CP39" i="18"/>
  <c r="CM39" i="18"/>
  <c r="CJ39" i="18"/>
  <c r="CG39" i="18"/>
  <c r="CD39" i="18"/>
  <c r="CA39" i="18"/>
  <c r="BX39" i="18"/>
  <c r="BU39" i="18"/>
  <c r="BR39" i="18"/>
  <c r="BO39" i="18"/>
  <c r="BL39" i="18"/>
  <c r="BI39" i="18"/>
  <c r="BF39" i="18"/>
  <c r="BC39" i="18"/>
  <c r="AZ39" i="18"/>
  <c r="AW39" i="18"/>
  <c r="AR39" i="18"/>
  <c r="AT39" i="18" s="1"/>
  <c r="AQ39" i="18"/>
  <c r="AN39" i="18"/>
  <c r="AL39" i="18"/>
  <c r="AI39" i="18"/>
  <c r="AK39" i="18" s="1"/>
  <c r="AB39" i="18"/>
  <c r="Y39" i="18"/>
  <c r="V39" i="18"/>
  <c r="S39" i="18"/>
  <c r="P39" i="18"/>
  <c r="M39" i="18"/>
  <c r="ED39" i="18" s="1"/>
  <c r="J39" i="18"/>
  <c r="G39" i="18"/>
  <c r="D39" i="18"/>
  <c r="EL38" i="18"/>
  <c r="EI38" i="18"/>
  <c r="EG38" i="18"/>
  <c r="DW38" i="18"/>
  <c r="DT38" i="18"/>
  <c r="DQ38" i="18"/>
  <c r="DN38" i="18"/>
  <c r="DK38" i="18"/>
  <c r="DH38" i="18"/>
  <c r="DE38" i="18"/>
  <c r="DB38" i="18"/>
  <c r="CY38" i="18"/>
  <c r="CV38" i="18"/>
  <c r="CS38" i="18"/>
  <c r="CP38" i="18"/>
  <c r="CM38" i="18"/>
  <c r="CJ38" i="18"/>
  <c r="CG38" i="18"/>
  <c r="CD38" i="18"/>
  <c r="CA38" i="18"/>
  <c r="BX38" i="18"/>
  <c r="BU38" i="18"/>
  <c r="BR38" i="18"/>
  <c r="BO38" i="18"/>
  <c r="BL38" i="18"/>
  <c r="BI38" i="18"/>
  <c r="BF38" i="18"/>
  <c r="BC38" i="18"/>
  <c r="AZ38" i="18"/>
  <c r="AW38" i="18"/>
  <c r="AR38" i="18"/>
  <c r="AT38" i="18" s="1"/>
  <c r="AQ38" i="18"/>
  <c r="AN38" i="18"/>
  <c r="AL38" i="18"/>
  <c r="AI38" i="18"/>
  <c r="AK38" i="18" s="1"/>
  <c r="AB38" i="18"/>
  <c r="Y38" i="18"/>
  <c r="V38" i="18"/>
  <c r="S38" i="18"/>
  <c r="P38" i="18"/>
  <c r="M38" i="18"/>
  <c r="J38" i="18"/>
  <c r="G38" i="18"/>
  <c r="D38" i="18"/>
  <c r="EL37" i="18"/>
  <c r="EG37" i="18"/>
  <c r="EI37" i="18" s="1"/>
  <c r="DW37" i="18"/>
  <c r="DT37" i="18"/>
  <c r="DQ37" i="18"/>
  <c r="DN37" i="18"/>
  <c r="DK37" i="18"/>
  <c r="DH37" i="18"/>
  <c r="DE37" i="18"/>
  <c r="DB37" i="18"/>
  <c r="CY37" i="18"/>
  <c r="CV37" i="18"/>
  <c r="CS37" i="18"/>
  <c r="CP37" i="18"/>
  <c r="CM37" i="18"/>
  <c r="CJ37" i="18"/>
  <c r="CG37" i="18"/>
  <c r="CD37" i="18"/>
  <c r="CA37" i="18"/>
  <c r="BX37" i="18"/>
  <c r="BU37" i="18"/>
  <c r="BR37" i="18"/>
  <c r="BO37" i="18"/>
  <c r="BL37" i="18"/>
  <c r="BI37" i="18"/>
  <c r="BF37" i="18"/>
  <c r="BC37" i="18"/>
  <c r="AZ37" i="18"/>
  <c r="AW37" i="18"/>
  <c r="AR37" i="18"/>
  <c r="AT37" i="18" s="1"/>
  <c r="AQ37" i="18"/>
  <c r="AL37" i="18"/>
  <c r="AK37" i="18"/>
  <c r="AI37" i="18"/>
  <c r="AB37" i="18"/>
  <c r="Y37" i="18"/>
  <c r="V37" i="18"/>
  <c r="S37" i="18"/>
  <c r="EH37" i="18" s="1"/>
  <c r="P37" i="18"/>
  <c r="M37" i="18"/>
  <c r="J37" i="18"/>
  <c r="G37" i="18"/>
  <c r="D37" i="18"/>
  <c r="EL36" i="18"/>
  <c r="EG36" i="18"/>
  <c r="EI36" i="18" s="1"/>
  <c r="EB36" i="18"/>
  <c r="DW36" i="18"/>
  <c r="DT36" i="18"/>
  <c r="DQ36" i="18"/>
  <c r="DN36" i="18"/>
  <c r="DK36" i="18"/>
  <c r="DH36" i="18"/>
  <c r="DE36" i="18"/>
  <c r="DB36" i="18"/>
  <c r="CY36" i="18"/>
  <c r="CV36" i="18"/>
  <c r="CS36" i="18"/>
  <c r="CP36" i="18"/>
  <c r="CM36" i="18"/>
  <c r="CJ36" i="18"/>
  <c r="CG36" i="18"/>
  <c r="CD36" i="18"/>
  <c r="CA36" i="18"/>
  <c r="BX36" i="18"/>
  <c r="BU36" i="18"/>
  <c r="BR36" i="18"/>
  <c r="BO36" i="18"/>
  <c r="BL36" i="18"/>
  <c r="BI36" i="18"/>
  <c r="BF36" i="18"/>
  <c r="BC36" i="18"/>
  <c r="AZ36" i="18"/>
  <c r="AW36" i="18"/>
  <c r="AT36" i="18"/>
  <c r="AR36" i="18"/>
  <c r="AQ36" i="18"/>
  <c r="AL36" i="18"/>
  <c r="AN36" i="18" s="1"/>
  <c r="AK36" i="18"/>
  <c r="AI36" i="18"/>
  <c r="AB36" i="18"/>
  <c r="Y36" i="18"/>
  <c r="V36" i="18"/>
  <c r="S36" i="18"/>
  <c r="EH36" i="18" s="1"/>
  <c r="P36" i="18"/>
  <c r="M36" i="18"/>
  <c r="J36" i="18"/>
  <c r="G36" i="18"/>
  <c r="D36" i="18"/>
  <c r="ED36" i="18" s="1"/>
  <c r="EL35" i="18"/>
  <c r="EI35" i="18"/>
  <c r="EG35" i="18"/>
  <c r="DW35" i="18"/>
  <c r="DT35" i="18"/>
  <c r="DQ35" i="18"/>
  <c r="DN35" i="18"/>
  <c r="DK35" i="18"/>
  <c r="DH35" i="18"/>
  <c r="DE35" i="18"/>
  <c r="DB35" i="18"/>
  <c r="CY35" i="18"/>
  <c r="CV35" i="18"/>
  <c r="CS35" i="18"/>
  <c r="CP35" i="18"/>
  <c r="CM35" i="18"/>
  <c r="CJ35" i="18"/>
  <c r="CG35" i="18"/>
  <c r="CD35" i="18"/>
  <c r="CA35" i="18"/>
  <c r="BX35" i="18"/>
  <c r="BU35" i="18"/>
  <c r="BR35" i="18"/>
  <c r="BO35" i="18"/>
  <c r="BL35" i="18"/>
  <c r="BI35" i="18"/>
  <c r="BF35" i="18"/>
  <c r="BC35" i="18"/>
  <c r="AZ35" i="18"/>
  <c r="AW35" i="18"/>
  <c r="AT35" i="18"/>
  <c r="AR35" i="18"/>
  <c r="AQ35" i="18"/>
  <c r="AN35" i="18"/>
  <c r="ED35" i="18" s="1"/>
  <c r="AL35" i="18"/>
  <c r="EB35" i="18" s="1"/>
  <c r="AI35" i="18"/>
  <c r="AK35" i="18" s="1"/>
  <c r="AB35" i="18"/>
  <c r="Y35" i="18"/>
  <c r="V35" i="18"/>
  <c r="EH35" i="18" s="1"/>
  <c r="S35" i="18"/>
  <c r="P35" i="18"/>
  <c r="M35" i="18"/>
  <c r="J35" i="18"/>
  <c r="G35" i="18"/>
  <c r="D35" i="18"/>
  <c r="EL34" i="18"/>
  <c r="EI34" i="18"/>
  <c r="EG34" i="18"/>
  <c r="DW34" i="18"/>
  <c r="DT34" i="18"/>
  <c r="DQ34" i="18"/>
  <c r="DN34" i="18"/>
  <c r="DK34" i="18"/>
  <c r="DH34" i="18"/>
  <c r="DE34" i="18"/>
  <c r="DB34" i="18"/>
  <c r="CY34" i="18"/>
  <c r="CV34" i="18"/>
  <c r="CS34" i="18"/>
  <c r="CP34" i="18"/>
  <c r="CM34" i="18"/>
  <c r="CJ34" i="18"/>
  <c r="CG34" i="18"/>
  <c r="CD34" i="18"/>
  <c r="CA34" i="18"/>
  <c r="BX34" i="18"/>
  <c r="BU34" i="18"/>
  <c r="BR34" i="18"/>
  <c r="BO34" i="18"/>
  <c r="BL34" i="18"/>
  <c r="BI34" i="18"/>
  <c r="BF34" i="18"/>
  <c r="BC34" i="18"/>
  <c r="AZ34" i="18"/>
  <c r="AW34" i="18"/>
  <c r="AR34" i="18"/>
  <c r="AT34" i="18" s="1"/>
  <c r="AQ34" i="18"/>
  <c r="AN34" i="18"/>
  <c r="AL34" i="18"/>
  <c r="AK34" i="18"/>
  <c r="AI34" i="18"/>
  <c r="AB34" i="18"/>
  <c r="Y34" i="18"/>
  <c r="V34" i="18"/>
  <c r="S34" i="18"/>
  <c r="P34" i="18"/>
  <c r="M34" i="18"/>
  <c r="J34" i="18"/>
  <c r="G34" i="18"/>
  <c r="D34" i="18"/>
  <c r="ED34" i="18" s="1"/>
  <c r="EL33" i="18"/>
  <c r="EG33" i="18"/>
  <c r="EI33" i="18" s="1"/>
  <c r="DW33" i="18"/>
  <c r="DT33" i="18"/>
  <c r="DQ33" i="18"/>
  <c r="DN33" i="18"/>
  <c r="DK33" i="18"/>
  <c r="DH33" i="18"/>
  <c r="DE33" i="18"/>
  <c r="DB33" i="18"/>
  <c r="CY33" i="18"/>
  <c r="CV33" i="18"/>
  <c r="CS33" i="18"/>
  <c r="CP33" i="18"/>
  <c r="CM33" i="18"/>
  <c r="CJ33" i="18"/>
  <c r="CG33" i="18"/>
  <c r="CD33" i="18"/>
  <c r="CA33" i="18"/>
  <c r="BX33" i="18"/>
  <c r="BU33" i="18"/>
  <c r="BR33" i="18"/>
  <c r="BO33" i="18"/>
  <c r="BL33" i="18"/>
  <c r="BI33" i="18"/>
  <c r="BF33" i="18"/>
  <c r="BC33" i="18"/>
  <c r="AZ33" i="18"/>
  <c r="AW33" i="18"/>
  <c r="AR33" i="18"/>
  <c r="AQ33" i="18"/>
  <c r="AL33" i="18"/>
  <c r="AN33" i="18" s="1"/>
  <c r="AK33" i="18"/>
  <c r="AI33" i="18"/>
  <c r="AB33" i="18"/>
  <c r="Y33" i="18"/>
  <c r="V33" i="18"/>
  <c r="S33" i="18"/>
  <c r="P33" i="18"/>
  <c r="M33" i="18"/>
  <c r="J33" i="18"/>
  <c r="G33" i="18"/>
  <c r="D33" i="18"/>
  <c r="EL32" i="18"/>
  <c r="EG32" i="18"/>
  <c r="EI32" i="18" s="1"/>
  <c r="DW32" i="18"/>
  <c r="DT32" i="18"/>
  <c r="DQ32" i="18"/>
  <c r="DN32" i="18"/>
  <c r="EM32" i="18" s="1"/>
  <c r="DK32" i="18"/>
  <c r="DH32" i="18"/>
  <c r="DE32" i="18"/>
  <c r="DB32" i="18"/>
  <c r="CY32" i="18"/>
  <c r="CV32" i="18"/>
  <c r="CS32" i="18"/>
  <c r="CP32" i="18"/>
  <c r="CM32" i="18"/>
  <c r="CJ32" i="18"/>
  <c r="CG32" i="18"/>
  <c r="CD32" i="18"/>
  <c r="CA32" i="18"/>
  <c r="BX32" i="18"/>
  <c r="BU32" i="18"/>
  <c r="BR32" i="18"/>
  <c r="BO32" i="18"/>
  <c r="BL32" i="18"/>
  <c r="BI32" i="18"/>
  <c r="BF32" i="18"/>
  <c r="BC32" i="18"/>
  <c r="AZ32" i="18"/>
  <c r="AW32" i="18"/>
  <c r="AT32" i="18"/>
  <c r="AR32" i="18"/>
  <c r="AQ32" i="18"/>
  <c r="AL32" i="18"/>
  <c r="AN32" i="18" s="1"/>
  <c r="AK32" i="18"/>
  <c r="AI32" i="18"/>
  <c r="AB32" i="18"/>
  <c r="Y32" i="18"/>
  <c r="V32" i="18"/>
  <c r="S32" i="18"/>
  <c r="EH32" i="18" s="1"/>
  <c r="P32" i="18"/>
  <c r="M32" i="18"/>
  <c r="J32" i="18"/>
  <c r="G32" i="18"/>
  <c r="D32" i="18"/>
  <c r="EM31" i="18"/>
  <c r="EL31" i="18"/>
  <c r="EI31" i="18"/>
  <c r="EG31" i="18"/>
  <c r="ED31" i="18"/>
  <c r="DW31" i="18"/>
  <c r="DT31" i="18"/>
  <c r="DQ31" i="18"/>
  <c r="DN31" i="18"/>
  <c r="DK31" i="18"/>
  <c r="DH31" i="18"/>
  <c r="DE31" i="18"/>
  <c r="DB31" i="18"/>
  <c r="CY31" i="18"/>
  <c r="CV31" i="18"/>
  <c r="CS31" i="18"/>
  <c r="CP31" i="18"/>
  <c r="CM31" i="18"/>
  <c r="CJ31" i="18"/>
  <c r="CG31" i="18"/>
  <c r="CD31" i="18"/>
  <c r="CA31" i="18"/>
  <c r="BX31" i="18"/>
  <c r="BU31" i="18"/>
  <c r="BR31" i="18"/>
  <c r="BO31" i="18"/>
  <c r="BL31" i="18"/>
  <c r="BI31" i="18"/>
  <c r="BF31" i="18"/>
  <c r="BC31" i="18"/>
  <c r="AZ31" i="18"/>
  <c r="AW31" i="18"/>
  <c r="AT31" i="18"/>
  <c r="AR31" i="18"/>
  <c r="AQ31" i="18"/>
  <c r="AN31" i="18"/>
  <c r="AL31" i="18"/>
  <c r="AI31" i="18"/>
  <c r="AK31" i="18" s="1"/>
  <c r="AB31" i="18"/>
  <c r="Y31" i="18"/>
  <c r="V31" i="18"/>
  <c r="EH31" i="18" s="1"/>
  <c r="S31" i="18"/>
  <c r="P31" i="18"/>
  <c r="M31" i="18"/>
  <c r="J31" i="18"/>
  <c r="G31" i="18"/>
  <c r="D31" i="18"/>
  <c r="EL30" i="18"/>
  <c r="EI30" i="18"/>
  <c r="EG30" i="18"/>
  <c r="DW30" i="18"/>
  <c r="DT30" i="18"/>
  <c r="DQ30" i="18"/>
  <c r="DN30" i="18"/>
  <c r="DK30" i="18"/>
  <c r="DH30" i="18"/>
  <c r="DE30" i="18"/>
  <c r="DB30" i="18"/>
  <c r="CY30" i="18"/>
  <c r="CV30" i="18"/>
  <c r="CS30" i="18"/>
  <c r="CP30" i="18"/>
  <c r="CM30" i="18"/>
  <c r="CJ30" i="18"/>
  <c r="CG30" i="18"/>
  <c r="CD30" i="18"/>
  <c r="CA30" i="18"/>
  <c r="BX30" i="18"/>
  <c r="BU30" i="18"/>
  <c r="BR30" i="18"/>
  <c r="BO30" i="18"/>
  <c r="BL30" i="18"/>
  <c r="BI30" i="18"/>
  <c r="BF30" i="18"/>
  <c r="BC30" i="18"/>
  <c r="AZ30" i="18"/>
  <c r="AW30" i="18"/>
  <c r="AR30" i="18"/>
  <c r="AT30" i="18" s="1"/>
  <c r="AQ30" i="18"/>
  <c r="AN30" i="18"/>
  <c r="AL30" i="18"/>
  <c r="EB30" i="18" s="1"/>
  <c r="AI30" i="18"/>
  <c r="AK30" i="18" s="1"/>
  <c r="AB30" i="18"/>
  <c r="Y30" i="18"/>
  <c r="V30" i="18"/>
  <c r="S30" i="18"/>
  <c r="EH30" i="18" s="1"/>
  <c r="P30" i="18"/>
  <c r="M30" i="18"/>
  <c r="J30" i="18"/>
  <c r="G30" i="18"/>
  <c r="D30" i="18"/>
  <c r="ED30" i="18" s="1"/>
  <c r="EL29" i="18"/>
  <c r="EK29" i="18"/>
  <c r="EG29" i="18"/>
  <c r="EI29" i="18" s="1"/>
  <c r="EB29" i="18"/>
  <c r="DW29" i="18"/>
  <c r="DT29" i="18"/>
  <c r="DQ29" i="18"/>
  <c r="DN29" i="18"/>
  <c r="DK29" i="18"/>
  <c r="DH29" i="18"/>
  <c r="DE29" i="18"/>
  <c r="DB29" i="18"/>
  <c r="CY29" i="18"/>
  <c r="CV29" i="18"/>
  <c r="CS29" i="18"/>
  <c r="CP29" i="18"/>
  <c r="CM29" i="18"/>
  <c r="CJ29" i="18"/>
  <c r="CG29" i="18"/>
  <c r="CD29" i="18"/>
  <c r="CA29" i="18"/>
  <c r="BX29" i="18"/>
  <c r="BU29" i="18"/>
  <c r="BR29" i="18"/>
  <c r="BO29" i="18"/>
  <c r="BL29" i="18"/>
  <c r="BI29" i="18"/>
  <c r="BF29" i="18"/>
  <c r="BC29" i="18"/>
  <c r="AZ29" i="18"/>
  <c r="AW29" i="18"/>
  <c r="AT29" i="18"/>
  <c r="AR29" i="18"/>
  <c r="AQ29" i="18"/>
  <c r="AL29" i="18"/>
  <c r="AN29" i="18" s="1"/>
  <c r="AK29" i="18"/>
  <c r="AI29" i="18"/>
  <c r="AB29" i="18"/>
  <c r="Y29" i="18"/>
  <c r="V29" i="18"/>
  <c r="S29" i="18"/>
  <c r="P29" i="18"/>
  <c r="M29" i="18"/>
  <c r="J29" i="18"/>
  <c r="G29" i="18"/>
  <c r="D29" i="18"/>
  <c r="ED29" i="18" s="1"/>
  <c r="EL28" i="18"/>
  <c r="EG28" i="18"/>
  <c r="EI28" i="18" s="1"/>
  <c r="DW28" i="18"/>
  <c r="DT28" i="18"/>
  <c r="DQ28" i="18"/>
  <c r="EM28" i="18" s="1"/>
  <c r="DN28" i="18"/>
  <c r="DK28" i="18"/>
  <c r="DH28" i="18"/>
  <c r="DE28" i="18"/>
  <c r="DB28" i="18"/>
  <c r="CY28" i="18"/>
  <c r="CV28" i="18"/>
  <c r="CS28" i="18"/>
  <c r="CP28" i="18"/>
  <c r="CM28" i="18"/>
  <c r="CJ28" i="18"/>
  <c r="CG28" i="18"/>
  <c r="CD28" i="18"/>
  <c r="CA28" i="18"/>
  <c r="BX28" i="18"/>
  <c r="BU28" i="18"/>
  <c r="BR28" i="18"/>
  <c r="BO28" i="18"/>
  <c r="BL28" i="18"/>
  <c r="BI28" i="18"/>
  <c r="BF28" i="18"/>
  <c r="BC28" i="18"/>
  <c r="AZ28" i="18"/>
  <c r="AW28" i="18"/>
  <c r="AT28" i="18"/>
  <c r="AR28" i="18"/>
  <c r="EK28" i="18" s="1"/>
  <c r="AQ28" i="18"/>
  <c r="AN28" i="18"/>
  <c r="AL28" i="18"/>
  <c r="EB28" i="18" s="1"/>
  <c r="AK28" i="18"/>
  <c r="AI28" i="18"/>
  <c r="AB28" i="18"/>
  <c r="Y28" i="18"/>
  <c r="V28" i="18"/>
  <c r="EH28" i="18" s="1"/>
  <c r="S28" i="18"/>
  <c r="P28" i="18"/>
  <c r="M28" i="18"/>
  <c r="J28" i="18"/>
  <c r="G28" i="18"/>
  <c r="D28" i="18"/>
  <c r="EL27" i="18"/>
  <c r="EI27" i="18"/>
  <c r="EG27" i="18"/>
  <c r="DW27" i="18"/>
  <c r="DT27" i="18"/>
  <c r="DQ27" i="18"/>
  <c r="DN27" i="18"/>
  <c r="DK27" i="18"/>
  <c r="DH27" i="18"/>
  <c r="DE27" i="18"/>
  <c r="DB27" i="18"/>
  <c r="CY27" i="18"/>
  <c r="CV27" i="18"/>
  <c r="CS27" i="18"/>
  <c r="CP27" i="18"/>
  <c r="CM27" i="18"/>
  <c r="CJ27" i="18"/>
  <c r="CG27" i="18"/>
  <c r="CD27" i="18"/>
  <c r="CA27" i="18"/>
  <c r="BX27" i="18"/>
  <c r="BU27" i="18"/>
  <c r="BR27" i="18"/>
  <c r="BO27" i="18"/>
  <c r="BL27" i="18"/>
  <c r="BI27" i="18"/>
  <c r="BF27" i="18"/>
  <c r="BC27" i="18"/>
  <c r="AZ27" i="18"/>
  <c r="AW27" i="18"/>
  <c r="AT27" i="18"/>
  <c r="AR27" i="18"/>
  <c r="AQ27" i="18"/>
  <c r="AN27" i="18"/>
  <c r="AL27" i="18"/>
  <c r="AI27" i="18"/>
  <c r="AK27" i="18" s="1"/>
  <c r="EM27" i="18" s="1"/>
  <c r="AB27" i="18"/>
  <c r="Y27" i="18"/>
  <c r="EH27" i="18" s="1"/>
  <c r="V27" i="18"/>
  <c r="S27" i="18"/>
  <c r="P27" i="18"/>
  <c r="M27" i="18"/>
  <c r="J27" i="18"/>
  <c r="G27" i="18"/>
  <c r="D27" i="18"/>
  <c r="EL26" i="18"/>
  <c r="EI26" i="18"/>
  <c r="EG26" i="18"/>
  <c r="DW26" i="18"/>
  <c r="DT26" i="18"/>
  <c r="DQ26" i="18"/>
  <c r="DN26" i="18"/>
  <c r="DK26" i="18"/>
  <c r="DH26" i="18"/>
  <c r="DE26" i="18"/>
  <c r="DB26" i="18"/>
  <c r="CY26" i="18"/>
  <c r="CV26" i="18"/>
  <c r="CS26" i="18"/>
  <c r="CP26" i="18"/>
  <c r="CM26" i="18"/>
  <c r="CJ26" i="18"/>
  <c r="CG26" i="18"/>
  <c r="CD26" i="18"/>
  <c r="CA26" i="18"/>
  <c r="BX26" i="18"/>
  <c r="BU26" i="18"/>
  <c r="BR26" i="18"/>
  <c r="BO26" i="18"/>
  <c r="BL26" i="18"/>
  <c r="BI26" i="18"/>
  <c r="BF26" i="18"/>
  <c r="BC26" i="18"/>
  <c r="AZ26" i="18"/>
  <c r="AW26" i="18"/>
  <c r="AR26" i="18"/>
  <c r="AT26" i="18" s="1"/>
  <c r="AQ26" i="18"/>
  <c r="AN26" i="18"/>
  <c r="AL26" i="18"/>
  <c r="AI26" i="18"/>
  <c r="AK26" i="18" s="1"/>
  <c r="AB26" i="18"/>
  <c r="Y26" i="18"/>
  <c r="V26" i="18"/>
  <c r="S26" i="18"/>
  <c r="P26" i="18"/>
  <c r="M26" i="18"/>
  <c r="J26" i="18"/>
  <c r="G26" i="18"/>
  <c r="D26" i="18"/>
  <c r="EL25" i="18"/>
  <c r="EG25" i="18"/>
  <c r="EI25" i="18" s="1"/>
  <c r="EB25" i="18"/>
  <c r="DW25" i="18"/>
  <c r="DT25" i="18"/>
  <c r="DQ25" i="18"/>
  <c r="DN25" i="18"/>
  <c r="DK25" i="18"/>
  <c r="DH25" i="18"/>
  <c r="DE25" i="18"/>
  <c r="DB25" i="18"/>
  <c r="CY25" i="18"/>
  <c r="CV25" i="18"/>
  <c r="CS25" i="18"/>
  <c r="CP25" i="18"/>
  <c r="CM25" i="18"/>
  <c r="CJ25" i="18"/>
  <c r="CG25" i="18"/>
  <c r="CD25" i="18"/>
  <c r="CA25" i="18"/>
  <c r="BX25" i="18"/>
  <c r="BU25" i="18"/>
  <c r="BR25" i="18"/>
  <c r="BO25" i="18"/>
  <c r="BL25" i="18"/>
  <c r="BI25" i="18"/>
  <c r="BF25" i="18"/>
  <c r="BC25" i="18"/>
  <c r="AZ25" i="18"/>
  <c r="AW25" i="18"/>
  <c r="AT25" i="18"/>
  <c r="AR25" i="18"/>
  <c r="AQ25" i="18"/>
  <c r="AL25" i="18"/>
  <c r="AN25" i="18" s="1"/>
  <c r="AK25" i="18"/>
  <c r="AI25" i="18"/>
  <c r="AB25" i="18"/>
  <c r="Y25" i="18"/>
  <c r="V25" i="18"/>
  <c r="S25" i="18"/>
  <c r="P25" i="18"/>
  <c r="M25" i="18"/>
  <c r="J25" i="18"/>
  <c r="G25" i="18"/>
  <c r="D25" i="18"/>
  <c r="ED25" i="18" s="1"/>
  <c r="EL24" i="18"/>
  <c r="EH24" i="18"/>
  <c r="EG24" i="18"/>
  <c r="EI24" i="18" s="1"/>
  <c r="DW24" i="18"/>
  <c r="DT24" i="18"/>
  <c r="DQ24" i="18"/>
  <c r="DN24" i="18"/>
  <c r="DK24" i="18"/>
  <c r="DH24" i="18"/>
  <c r="DE24" i="18"/>
  <c r="DB24" i="18"/>
  <c r="CY24" i="18"/>
  <c r="CV24" i="18"/>
  <c r="CS24" i="18"/>
  <c r="CP24" i="18"/>
  <c r="CM24" i="18"/>
  <c r="CJ24" i="18"/>
  <c r="CG24" i="18"/>
  <c r="CD24" i="18"/>
  <c r="CA24" i="18"/>
  <c r="BX24" i="18"/>
  <c r="BU24" i="18"/>
  <c r="BR24" i="18"/>
  <c r="BO24" i="18"/>
  <c r="BL24" i="18"/>
  <c r="BI24" i="18"/>
  <c r="BF24" i="18"/>
  <c r="BC24" i="18"/>
  <c r="AZ24" i="18"/>
  <c r="AW24" i="18"/>
  <c r="AT24" i="18"/>
  <c r="AR24" i="18"/>
  <c r="EK24" i="18" s="1"/>
  <c r="AQ24" i="18"/>
  <c r="AL24" i="18"/>
  <c r="AN24" i="18" s="1"/>
  <c r="AK24" i="18"/>
  <c r="AI24" i="18"/>
  <c r="AB24" i="18"/>
  <c r="Y24" i="18"/>
  <c r="V24" i="18"/>
  <c r="S24" i="18"/>
  <c r="P24" i="18"/>
  <c r="M24" i="18"/>
  <c r="J24" i="18"/>
  <c r="G24" i="18"/>
  <c r="D24" i="18"/>
  <c r="ED24" i="18" s="1"/>
  <c r="EL23" i="18"/>
  <c r="EI23" i="18"/>
  <c r="EH23" i="18"/>
  <c r="EG23" i="18"/>
  <c r="DW23" i="18"/>
  <c r="DT23" i="18"/>
  <c r="DQ23" i="18"/>
  <c r="DN23" i="18"/>
  <c r="DK23" i="18"/>
  <c r="DH23" i="18"/>
  <c r="DE23" i="18"/>
  <c r="DB23" i="18"/>
  <c r="CY23" i="18"/>
  <c r="CV23" i="18"/>
  <c r="CS23" i="18"/>
  <c r="CP23" i="18"/>
  <c r="CM23" i="18"/>
  <c r="CJ23" i="18"/>
  <c r="CG23" i="18"/>
  <c r="CD23" i="18"/>
  <c r="CA23" i="18"/>
  <c r="BX23" i="18"/>
  <c r="BU23" i="18"/>
  <c r="BR23" i="18"/>
  <c r="BO23" i="18"/>
  <c r="BL23" i="18"/>
  <c r="BI23" i="18"/>
  <c r="BF23" i="18"/>
  <c r="BC23" i="18"/>
  <c r="AZ23" i="18"/>
  <c r="AW23" i="18"/>
  <c r="AT23" i="18"/>
  <c r="AR23" i="18"/>
  <c r="EK23" i="18" s="1"/>
  <c r="AO23" i="18"/>
  <c r="AQ23" i="18" s="1"/>
  <c r="AN23" i="18"/>
  <c r="AL23" i="18"/>
  <c r="EB23" i="18" s="1"/>
  <c r="AI23" i="18"/>
  <c r="AK23" i="18" s="1"/>
  <c r="AB23" i="18"/>
  <c r="Y23" i="18"/>
  <c r="V23" i="18"/>
  <c r="S23" i="18"/>
  <c r="P23" i="18"/>
  <c r="M23" i="18"/>
  <c r="J23" i="18"/>
  <c r="G23" i="18"/>
  <c r="D23" i="18"/>
  <c r="EL22" i="18"/>
  <c r="EK22" i="18"/>
  <c r="EG22" i="18"/>
  <c r="EI22" i="18" s="1"/>
  <c r="DW22" i="18"/>
  <c r="DT22" i="18"/>
  <c r="DQ22" i="18"/>
  <c r="DN22" i="18"/>
  <c r="DK22" i="18"/>
  <c r="DH22" i="18"/>
  <c r="DE22" i="18"/>
  <c r="DB22" i="18"/>
  <c r="CY22" i="18"/>
  <c r="CV22" i="18"/>
  <c r="CS22" i="18"/>
  <c r="CP22" i="18"/>
  <c r="CM22" i="18"/>
  <c r="CJ22" i="18"/>
  <c r="CG22" i="18"/>
  <c r="CD22" i="18"/>
  <c r="CA22" i="18"/>
  <c r="BX22" i="18"/>
  <c r="BU22" i="18"/>
  <c r="BR22" i="18"/>
  <c r="BO22" i="18"/>
  <c r="BL22" i="18"/>
  <c r="BI22" i="18"/>
  <c r="BF22" i="18"/>
  <c r="BC22" i="18"/>
  <c r="AZ22" i="18"/>
  <c r="AW22" i="18"/>
  <c r="AR22" i="18"/>
  <c r="AT22" i="18" s="1"/>
  <c r="AQ22" i="18"/>
  <c r="AO22" i="18"/>
  <c r="AL22" i="18"/>
  <c r="EB22" i="18" s="1"/>
  <c r="AK22" i="18"/>
  <c r="AI22" i="18"/>
  <c r="AB22" i="18"/>
  <c r="Y22" i="18"/>
  <c r="V22" i="18"/>
  <c r="S22" i="18"/>
  <c r="EH22" i="18" s="1"/>
  <c r="P22" i="18"/>
  <c r="M22" i="18"/>
  <c r="J22" i="18"/>
  <c r="G22" i="18"/>
  <c r="D22" i="18"/>
  <c r="EL21" i="18"/>
  <c r="EI21" i="18"/>
  <c r="EG21" i="18"/>
  <c r="DW21" i="18"/>
  <c r="DT21" i="18"/>
  <c r="DQ21" i="18"/>
  <c r="DN21" i="18"/>
  <c r="DK21" i="18"/>
  <c r="DH21" i="18"/>
  <c r="DE21" i="18"/>
  <c r="DB21" i="18"/>
  <c r="CY21" i="18"/>
  <c r="CV21" i="18"/>
  <c r="CS21" i="18"/>
  <c r="CP21" i="18"/>
  <c r="CM21" i="18"/>
  <c r="CJ21" i="18"/>
  <c r="CG21" i="18"/>
  <c r="CD21" i="18"/>
  <c r="CA21" i="18"/>
  <c r="BX21" i="18"/>
  <c r="BU21" i="18"/>
  <c r="BR21" i="18"/>
  <c r="BO21" i="18"/>
  <c r="BL21" i="18"/>
  <c r="BI21" i="18"/>
  <c r="BF21" i="18"/>
  <c r="BC21" i="18"/>
  <c r="AZ21" i="18"/>
  <c r="AW21" i="18"/>
  <c r="AT21" i="18"/>
  <c r="AR21" i="18"/>
  <c r="AO21" i="18"/>
  <c r="AQ21" i="18" s="1"/>
  <c r="EM21" i="18" s="1"/>
  <c r="AN21" i="18"/>
  <c r="AL21" i="18"/>
  <c r="AI21" i="18"/>
  <c r="AK21" i="18" s="1"/>
  <c r="AB21" i="18"/>
  <c r="Y21" i="18"/>
  <c r="EH21" i="18" s="1"/>
  <c r="V21" i="18"/>
  <c r="S21" i="18"/>
  <c r="P21" i="18"/>
  <c r="M21" i="18"/>
  <c r="J21" i="18"/>
  <c r="G21" i="18"/>
  <c r="D21" i="18"/>
  <c r="EL20" i="18"/>
  <c r="EG20" i="18"/>
  <c r="EI20" i="18" s="1"/>
  <c r="DW20" i="18"/>
  <c r="DT20" i="18"/>
  <c r="DQ20" i="18"/>
  <c r="DN20" i="18"/>
  <c r="DK20" i="18"/>
  <c r="DH20" i="18"/>
  <c r="DE20" i="18"/>
  <c r="DB20" i="18"/>
  <c r="CY20" i="18"/>
  <c r="CV20" i="18"/>
  <c r="CS20" i="18"/>
  <c r="CP20" i="18"/>
  <c r="CM20" i="18"/>
  <c r="CJ20" i="18"/>
  <c r="CG20" i="18"/>
  <c r="CD20" i="18"/>
  <c r="CA20" i="18"/>
  <c r="BX20" i="18"/>
  <c r="BU20" i="18"/>
  <c r="BR20" i="18"/>
  <c r="BO20" i="18"/>
  <c r="BL20" i="18"/>
  <c r="BI20" i="18"/>
  <c r="BF20" i="18"/>
  <c r="BC20" i="18"/>
  <c r="AZ20" i="18"/>
  <c r="AW20" i="18"/>
  <c r="AR20" i="18"/>
  <c r="AT20" i="18" s="1"/>
  <c r="AQ20" i="18"/>
  <c r="AO20" i="18"/>
  <c r="AL20" i="18"/>
  <c r="EB20" i="18" s="1"/>
  <c r="AK20" i="18"/>
  <c r="AI20" i="18"/>
  <c r="AB20" i="18"/>
  <c r="Y20" i="18"/>
  <c r="V20" i="18"/>
  <c r="S20" i="18"/>
  <c r="EH20" i="18" s="1"/>
  <c r="P20" i="18"/>
  <c r="M20" i="18"/>
  <c r="J20" i="18"/>
  <c r="G20" i="18"/>
  <c r="D20" i="18"/>
  <c r="EL19" i="18"/>
  <c r="EI19" i="18"/>
  <c r="EH19" i="18"/>
  <c r="EG19" i="18"/>
  <c r="DW19" i="18"/>
  <c r="DT19" i="18"/>
  <c r="DQ19" i="18"/>
  <c r="DN19" i="18"/>
  <c r="DK19" i="18"/>
  <c r="DH19" i="18"/>
  <c r="DE19" i="18"/>
  <c r="DB19" i="18"/>
  <c r="CY19" i="18"/>
  <c r="CV19" i="18"/>
  <c r="CS19" i="18"/>
  <c r="CP19" i="18"/>
  <c r="CM19" i="18"/>
  <c r="CJ19" i="18"/>
  <c r="CG19" i="18"/>
  <c r="CD19" i="18"/>
  <c r="CA19" i="18"/>
  <c r="BX19" i="18"/>
  <c r="BU19" i="18"/>
  <c r="BR19" i="18"/>
  <c r="BO19" i="18"/>
  <c r="BL19" i="18"/>
  <c r="BI19" i="18"/>
  <c r="BF19" i="18"/>
  <c r="BC19" i="18"/>
  <c r="AZ19" i="18"/>
  <c r="AW19" i="18"/>
  <c r="AT19" i="18"/>
  <c r="AR19" i="18"/>
  <c r="EK19" i="18" s="1"/>
  <c r="AO19" i="18"/>
  <c r="AQ19" i="18" s="1"/>
  <c r="AN19" i="18"/>
  <c r="AL19" i="18"/>
  <c r="EB19" i="18" s="1"/>
  <c r="AI19" i="18"/>
  <c r="AK19" i="18" s="1"/>
  <c r="AB19" i="18"/>
  <c r="Y19" i="18"/>
  <c r="V19" i="18"/>
  <c r="S19" i="18"/>
  <c r="P19" i="18"/>
  <c r="M19" i="18"/>
  <c r="J19" i="18"/>
  <c r="G19" i="18"/>
  <c r="D19" i="18"/>
  <c r="EL18" i="18"/>
  <c r="EK18" i="18"/>
  <c r="EG18" i="18"/>
  <c r="EI18" i="18" s="1"/>
  <c r="EB18" i="18"/>
  <c r="DW18" i="18"/>
  <c r="DT18" i="18"/>
  <c r="DQ18" i="18"/>
  <c r="DN18" i="18"/>
  <c r="DK18" i="18"/>
  <c r="DH18" i="18"/>
  <c r="DE18" i="18"/>
  <c r="DB18" i="18"/>
  <c r="CY18" i="18"/>
  <c r="CV18" i="18"/>
  <c r="CS18" i="18"/>
  <c r="CP18" i="18"/>
  <c r="CM18" i="18"/>
  <c r="CJ18" i="18"/>
  <c r="CG18" i="18"/>
  <c r="CD18" i="18"/>
  <c r="CA18" i="18"/>
  <c r="BX18" i="18"/>
  <c r="BU18" i="18"/>
  <c r="BR18" i="18"/>
  <c r="BO18" i="18"/>
  <c r="BL18" i="18"/>
  <c r="BI18" i="18"/>
  <c r="BF18" i="18"/>
  <c r="BC18" i="18"/>
  <c r="AZ18" i="18"/>
  <c r="AW18" i="18"/>
  <c r="AT18" i="18"/>
  <c r="AR18" i="18"/>
  <c r="AQ18" i="18"/>
  <c r="AO18" i="18"/>
  <c r="AN18" i="18"/>
  <c r="AL18" i="18"/>
  <c r="AK18" i="18"/>
  <c r="AI18" i="18"/>
  <c r="AB18" i="18"/>
  <c r="Y18" i="18"/>
  <c r="V18" i="18"/>
  <c r="S18" i="18"/>
  <c r="P18" i="18"/>
  <c r="M18" i="18"/>
  <c r="J18" i="18"/>
  <c r="G18" i="18"/>
  <c r="D18" i="18"/>
  <c r="EL17" i="18"/>
  <c r="EG17" i="18"/>
  <c r="EI17" i="18" s="1"/>
  <c r="EB17" i="18"/>
  <c r="DW17" i="18"/>
  <c r="DT17" i="18"/>
  <c r="DQ17" i="18"/>
  <c r="EM17" i="18" s="1"/>
  <c r="DN17" i="18"/>
  <c r="DK17" i="18"/>
  <c r="DH17" i="18"/>
  <c r="DE17" i="18"/>
  <c r="DB17" i="18"/>
  <c r="CY17" i="18"/>
  <c r="CV17" i="18"/>
  <c r="CS17" i="18"/>
  <c r="CP17" i="18"/>
  <c r="CM17" i="18"/>
  <c r="CJ17" i="18"/>
  <c r="CG17" i="18"/>
  <c r="CD17" i="18"/>
  <c r="CA17" i="18"/>
  <c r="BX17" i="18"/>
  <c r="BU17" i="18"/>
  <c r="BR17" i="18"/>
  <c r="BO17" i="18"/>
  <c r="BL17" i="18"/>
  <c r="BI17" i="18"/>
  <c r="BF17" i="18"/>
  <c r="BC17" i="18"/>
  <c r="AZ17" i="18"/>
  <c r="AW17" i="18"/>
  <c r="AT17" i="18"/>
  <c r="AR17" i="18"/>
  <c r="AO17" i="18"/>
  <c r="AQ17" i="18" s="1"/>
  <c r="AN17" i="18"/>
  <c r="AL17" i="18"/>
  <c r="AI17" i="18"/>
  <c r="AK17" i="18" s="1"/>
  <c r="AB17" i="18"/>
  <c r="Y17" i="18"/>
  <c r="V17" i="18"/>
  <c r="EH17" i="18" s="1"/>
  <c r="S17" i="18"/>
  <c r="P17" i="18"/>
  <c r="M17" i="18"/>
  <c r="J17" i="18"/>
  <c r="G17" i="18"/>
  <c r="D17" i="18"/>
  <c r="ED17" i="18" s="1"/>
  <c r="EL16" i="18"/>
  <c r="EI16" i="18"/>
  <c r="EG16" i="18"/>
  <c r="DW16" i="18"/>
  <c r="DT16" i="18"/>
  <c r="DQ16" i="18"/>
  <c r="DN16" i="18"/>
  <c r="DK16" i="18"/>
  <c r="DH16" i="18"/>
  <c r="DE16" i="18"/>
  <c r="DB16" i="18"/>
  <c r="CY16" i="18"/>
  <c r="CV16" i="18"/>
  <c r="CS16" i="18"/>
  <c r="CP16" i="18"/>
  <c r="CM16" i="18"/>
  <c r="CJ16" i="18"/>
  <c r="CG16" i="18"/>
  <c r="CD16" i="18"/>
  <c r="CA16" i="18"/>
  <c r="BX16" i="18"/>
  <c r="BU16" i="18"/>
  <c r="BR16" i="18"/>
  <c r="BO16" i="18"/>
  <c r="BL16" i="18"/>
  <c r="BI16" i="18"/>
  <c r="BF16" i="18"/>
  <c r="BC16" i="18"/>
  <c r="AZ16" i="18"/>
  <c r="AW16" i="18"/>
  <c r="AR16" i="18"/>
  <c r="AT16" i="18" s="1"/>
  <c r="AQ16" i="18"/>
  <c r="AO16" i="18"/>
  <c r="AL16" i="18"/>
  <c r="AK16" i="18"/>
  <c r="AI16" i="18"/>
  <c r="AB16" i="18"/>
  <c r="Y16" i="18"/>
  <c r="V16" i="18"/>
  <c r="S16" i="18"/>
  <c r="P16" i="18"/>
  <c r="M16" i="18"/>
  <c r="J16" i="18"/>
  <c r="G16" i="18"/>
  <c r="D16" i="18"/>
  <c r="EL15" i="18"/>
  <c r="EG15" i="18"/>
  <c r="EI15" i="18" s="1"/>
  <c r="DW15" i="18"/>
  <c r="DT15" i="18"/>
  <c r="DQ15" i="18"/>
  <c r="EM15" i="18" s="1"/>
  <c r="DN15" i="18"/>
  <c r="DK15" i="18"/>
  <c r="DH15" i="18"/>
  <c r="DE15" i="18"/>
  <c r="DB15" i="18"/>
  <c r="CY15" i="18"/>
  <c r="CV15" i="18"/>
  <c r="CS15" i="18"/>
  <c r="CP15" i="18"/>
  <c r="CM15" i="18"/>
  <c r="CJ15" i="18"/>
  <c r="CG15" i="18"/>
  <c r="CD15" i="18"/>
  <c r="CA15" i="18"/>
  <c r="BX15" i="18"/>
  <c r="BU15" i="18"/>
  <c r="BR15" i="18"/>
  <c r="BO15" i="18"/>
  <c r="BL15" i="18"/>
  <c r="BI15" i="18"/>
  <c r="BF15" i="18"/>
  <c r="BC15" i="18"/>
  <c r="AZ15" i="18"/>
  <c r="AW15" i="18"/>
  <c r="AT15" i="18"/>
  <c r="AR15" i="18"/>
  <c r="AO15" i="18"/>
  <c r="AQ15" i="18" s="1"/>
  <c r="AN15" i="18"/>
  <c r="AL15" i="18"/>
  <c r="AI15" i="18"/>
  <c r="AK15" i="18" s="1"/>
  <c r="AB15" i="18"/>
  <c r="Y15" i="18"/>
  <c r="V15" i="18"/>
  <c r="EH15" i="18" s="1"/>
  <c r="S15" i="18"/>
  <c r="P15" i="18"/>
  <c r="M15" i="18"/>
  <c r="J15" i="18"/>
  <c r="G15" i="18"/>
  <c r="D15" i="18"/>
  <c r="EL14" i="18"/>
  <c r="EI14" i="18"/>
  <c r="EG14" i="18"/>
  <c r="DW14" i="18"/>
  <c r="DT14" i="18"/>
  <c r="DQ14" i="18"/>
  <c r="DN14" i="18"/>
  <c r="DK14" i="18"/>
  <c r="DH14" i="18"/>
  <c r="DE14" i="18"/>
  <c r="DB14" i="18"/>
  <c r="CY14" i="18"/>
  <c r="CV14" i="18"/>
  <c r="CS14" i="18"/>
  <c r="CP14" i="18"/>
  <c r="CM14" i="18"/>
  <c r="CJ14" i="18"/>
  <c r="CG14" i="18"/>
  <c r="CD14" i="18"/>
  <c r="CA14" i="18"/>
  <c r="BX14" i="18"/>
  <c r="BU14" i="18"/>
  <c r="BR14" i="18"/>
  <c r="BO14" i="18"/>
  <c r="BL14" i="18"/>
  <c r="BI14" i="18"/>
  <c r="BF14" i="18"/>
  <c r="BC14" i="18"/>
  <c r="AZ14" i="18"/>
  <c r="AW14" i="18"/>
  <c r="AR14" i="18"/>
  <c r="AT14" i="18" s="1"/>
  <c r="AQ14" i="18"/>
  <c r="AO14" i="18"/>
  <c r="AL14" i="18"/>
  <c r="AK14" i="18"/>
  <c r="AI14" i="18"/>
  <c r="AB14" i="18"/>
  <c r="Y14" i="18"/>
  <c r="V14" i="18"/>
  <c r="S14" i="18"/>
  <c r="P14" i="18"/>
  <c r="M14" i="18"/>
  <c r="J14" i="18"/>
  <c r="G14" i="18"/>
  <c r="D14" i="18"/>
  <c r="EL13" i="18"/>
  <c r="EG13" i="18"/>
  <c r="EI13" i="18" s="1"/>
  <c r="EB13" i="18"/>
  <c r="DW13" i="18"/>
  <c r="DT13" i="18"/>
  <c r="DQ13" i="18"/>
  <c r="DN13" i="18"/>
  <c r="DK13" i="18"/>
  <c r="DH13" i="18"/>
  <c r="DE13" i="18"/>
  <c r="DB13" i="18"/>
  <c r="CY13" i="18"/>
  <c r="CV13" i="18"/>
  <c r="CS13" i="18"/>
  <c r="CP13" i="18"/>
  <c r="CM13" i="18"/>
  <c r="CJ13" i="18"/>
  <c r="CG13" i="18"/>
  <c r="CD13" i="18"/>
  <c r="CA13" i="18"/>
  <c r="BX13" i="18"/>
  <c r="BU13" i="18"/>
  <c r="BR13" i="18"/>
  <c r="BO13" i="18"/>
  <c r="BL13" i="18"/>
  <c r="BI13" i="18"/>
  <c r="BF13" i="18"/>
  <c r="BC13" i="18"/>
  <c r="AZ13" i="18"/>
  <c r="AW13" i="18"/>
  <c r="AT13" i="18"/>
  <c r="AR13" i="18"/>
  <c r="AO13" i="18"/>
  <c r="AQ13" i="18" s="1"/>
  <c r="AN13" i="18"/>
  <c r="AL13" i="18"/>
  <c r="AI13" i="18"/>
  <c r="AK13" i="18" s="1"/>
  <c r="AB13" i="18"/>
  <c r="Y13" i="18"/>
  <c r="V13" i="18"/>
  <c r="EH13" i="18" s="1"/>
  <c r="S13" i="18"/>
  <c r="P13" i="18"/>
  <c r="M13" i="18"/>
  <c r="J13" i="18"/>
  <c r="G13" i="18"/>
  <c r="D13" i="18"/>
  <c r="EL12" i="18"/>
  <c r="EG12" i="18"/>
  <c r="EI12" i="18" s="1"/>
  <c r="DW12" i="18"/>
  <c r="DT12" i="18"/>
  <c r="DQ12" i="18"/>
  <c r="DN12" i="18"/>
  <c r="DK12" i="18"/>
  <c r="DH12" i="18"/>
  <c r="DE12" i="18"/>
  <c r="DB12" i="18"/>
  <c r="CY12" i="18"/>
  <c r="CV12" i="18"/>
  <c r="CS12" i="18"/>
  <c r="CP12" i="18"/>
  <c r="CM12" i="18"/>
  <c r="CJ12" i="18"/>
  <c r="CG12" i="18"/>
  <c r="CD12" i="18"/>
  <c r="CA12" i="18"/>
  <c r="BX12" i="18"/>
  <c r="BU12" i="18"/>
  <c r="BR12" i="18"/>
  <c r="BO12" i="18"/>
  <c r="BL12" i="18"/>
  <c r="BI12" i="18"/>
  <c r="BF12" i="18"/>
  <c r="BC12" i="18"/>
  <c r="AZ12" i="18"/>
  <c r="AW12" i="18"/>
  <c r="AT12" i="18"/>
  <c r="AO12" i="18"/>
  <c r="EK12" i="18" s="1"/>
  <c r="AL12" i="18"/>
  <c r="AN12" i="18" s="1"/>
  <c r="AI12" i="18"/>
  <c r="AK12" i="18" s="1"/>
  <c r="AB12" i="18"/>
  <c r="Y12" i="18"/>
  <c r="V12" i="18"/>
  <c r="S12" i="18"/>
  <c r="P12" i="18"/>
  <c r="M12" i="18"/>
  <c r="J12" i="18"/>
  <c r="G12" i="18"/>
  <c r="D12" i="18"/>
  <c r="A12" i="18"/>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EL11" i="18"/>
  <c r="EG11" i="18"/>
  <c r="EI11" i="18" s="1"/>
  <c r="DW11" i="18"/>
  <c r="DW41" i="18" s="1"/>
  <c r="DT11" i="18"/>
  <c r="DQ11" i="18"/>
  <c r="DN11" i="18"/>
  <c r="DN41" i="18" s="1"/>
  <c r="DK11" i="18"/>
  <c r="DK41" i="18" s="1"/>
  <c r="DH11" i="18"/>
  <c r="DE11" i="18"/>
  <c r="DB11" i="18"/>
  <c r="CY11" i="18"/>
  <c r="CY41" i="18" s="1"/>
  <c r="CV11" i="18"/>
  <c r="CS11" i="18"/>
  <c r="CP11" i="18"/>
  <c r="CP41" i="18" s="1"/>
  <c r="CM11" i="18"/>
  <c r="CM41" i="18" s="1"/>
  <c r="CJ11" i="18"/>
  <c r="CG11" i="18"/>
  <c r="CD11" i="18"/>
  <c r="CA11" i="18"/>
  <c r="CA41" i="18" s="1"/>
  <c r="BX11" i="18"/>
  <c r="BU11" i="18"/>
  <c r="BR11" i="18"/>
  <c r="BR41" i="18" s="1"/>
  <c r="BO11" i="18"/>
  <c r="BO41" i="18" s="1"/>
  <c r="BL11" i="18"/>
  <c r="BI11" i="18"/>
  <c r="BF11" i="18"/>
  <c r="BC11" i="18"/>
  <c r="BC41" i="18" s="1"/>
  <c r="AZ11" i="18"/>
  <c r="AW11" i="18"/>
  <c r="AT11" i="18"/>
  <c r="AQ11" i="18"/>
  <c r="AO11" i="18"/>
  <c r="AL11" i="18"/>
  <c r="EB11" i="18" s="1"/>
  <c r="AK11" i="18"/>
  <c r="AI11" i="18"/>
  <c r="AE41" i="18"/>
  <c r="AB11" i="18"/>
  <c r="AB41" i="18" s="1"/>
  <c r="Y11" i="18"/>
  <c r="V11" i="18"/>
  <c r="V41" i="18" s="1"/>
  <c r="S11" i="18"/>
  <c r="EH11" i="18" s="1"/>
  <c r="P11" i="18"/>
  <c r="P41" i="18" s="1"/>
  <c r="M11" i="18"/>
  <c r="J11" i="18"/>
  <c r="G11" i="18"/>
  <c r="G41" i="18" s="1"/>
  <c r="D11" i="18"/>
  <c r="EI2" i="18"/>
  <c r="EL41" i="17"/>
  <c r="EG41" i="17"/>
  <c r="EI41" i="17" s="1"/>
  <c r="EB41" i="17"/>
  <c r="DW41" i="17"/>
  <c r="DT41" i="17"/>
  <c r="DQ41" i="17"/>
  <c r="DN41" i="17"/>
  <c r="DK41" i="17"/>
  <c r="DH41" i="17"/>
  <c r="DE41" i="17"/>
  <c r="DB41" i="17"/>
  <c r="CY41" i="17"/>
  <c r="CV41" i="17"/>
  <c r="CS41" i="17"/>
  <c r="CP41" i="17"/>
  <c r="CM41" i="17"/>
  <c r="CJ41" i="17"/>
  <c r="CG41" i="17"/>
  <c r="CD41" i="17"/>
  <c r="CA41" i="17"/>
  <c r="BX41" i="17"/>
  <c r="BU41" i="17"/>
  <c r="BR41" i="17"/>
  <c r="BO41" i="17"/>
  <c r="BL41" i="17"/>
  <c r="BI41" i="17"/>
  <c r="BF41" i="17"/>
  <c r="BC41" i="17"/>
  <c r="AZ41" i="17"/>
  <c r="AW41" i="17"/>
  <c r="AT41" i="17"/>
  <c r="AR41" i="17"/>
  <c r="EK41" i="17" s="1"/>
  <c r="AQ41" i="17"/>
  <c r="AN41" i="17"/>
  <c r="AK41" i="17"/>
  <c r="AI41" i="17"/>
  <c r="AB41" i="17"/>
  <c r="Y41" i="17"/>
  <c r="V41" i="17"/>
  <c r="S41" i="17"/>
  <c r="P41" i="17"/>
  <c r="M41" i="17"/>
  <c r="J41" i="17"/>
  <c r="G41" i="17"/>
  <c r="D41" i="17"/>
  <c r="ED41" i="17" s="1"/>
  <c r="EL40" i="17"/>
  <c r="EG40" i="17"/>
  <c r="EI40" i="17" s="1"/>
  <c r="EB40" i="17"/>
  <c r="DW40" i="17"/>
  <c r="DT40" i="17"/>
  <c r="EM40" i="17" s="1"/>
  <c r="DQ40" i="17"/>
  <c r="DN40" i="17"/>
  <c r="DK40" i="17"/>
  <c r="DH40" i="17"/>
  <c r="DE40" i="17"/>
  <c r="DB40" i="17"/>
  <c r="CY40" i="17"/>
  <c r="CV40" i="17"/>
  <c r="CS40" i="17"/>
  <c r="CP40" i="17"/>
  <c r="CM40" i="17"/>
  <c r="CJ40" i="17"/>
  <c r="CG40" i="17"/>
  <c r="CD40" i="17"/>
  <c r="CA40" i="17"/>
  <c r="BX40" i="17"/>
  <c r="BU40" i="17"/>
  <c r="BR40" i="17"/>
  <c r="BO40" i="17"/>
  <c r="BL40" i="17"/>
  <c r="BI40" i="17"/>
  <c r="BF40" i="17"/>
  <c r="BC40" i="17"/>
  <c r="AZ40" i="17"/>
  <c r="AW40" i="17"/>
  <c r="AT40" i="17"/>
  <c r="AR40" i="17"/>
  <c r="EK40" i="17" s="1"/>
  <c r="EN40" i="17" s="1"/>
  <c r="AQ40" i="17"/>
  <c r="AN40" i="17"/>
  <c r="AK40" i="17"/>
  <c r="AI40" i="17"/>
  <c r="AB40" i="17"/>
  <c r="Y40" i="17"/>
  <c r="V40" i="17"/>
  <c r="S40" i="17"/>
  <c r="EH40" i="17" s="1"/>
  <c r="P40" i="17"/>
  <c r="M40" i="17"/>
  <c r="J40" i="17"/>
  <c r="G40" i="17"/>
  <c r="D40" i="17"/>
  <c r="ED40" i="17" s="1"/>
  <c r="EL39" i="17"/>
  <c r="EG39" i="17"/>
  <c r="EI39" i="17" s="1"/>
  <c r="EB39" i="17"/>
  <c r="DW39" i="17"/>
  <c r="DT39" i="17"/>
  <c r="DQ39" i="17"/>
  <c r="DN39" i="17"/>
  <c r="DK39" i="17"/>
  <c r="DH39" i="17"/>
  <c r="DE39" i="17"/>
  <c r="DB39" i="17"/>
  <c r="CY39" i="17"/>
  <c r="CV39" i="17"/>
  <c r="CS39" i="17"/>
  <c r="CP39" i="17"/>
  <c r="CM39" i="17"/>
  <c r="CJ39" i="17"/>
  <c r="CG39" i="17"/>
  <c r="CD39" i="17"/>
  <c r="CA39" i="17"/>
  <c r="BX39" i="17"/>
  <c r="BU39" i="17"/>
  <c r="BR39" i="17"/>
  <c r="BO39" i="17"/>
  <c r="BL39" i="17"/>
  <c r="BI39" i="17"/>
  <c r="BF39" i="17"/>
  <c r="BC39" i="17"/>
  <c r="AZ39" i="17"/>
  <c r="AW39" i="17"/>
  <c r="AT39" i="17"/>
  <c r="AR39" i="17"/>
  <c r="EK39" i="17" s="1"/>
  <c r="AQ39" i="17"/>
  <c r="AN39" i="17"/>
  <c r="AK39" i="17"/>
  <c r="AI39" i="17"/>
  <c r="AB39" i="17"/>
  <c r="Y39" i="17"/>
  <c r="V39" i="17"/>
  <c r="S39" i="17"/>
  <c r="P39" i="17"/>
  <c r="M39" i="17"/>
  <c r="J39" i="17"/>
  <c r="G39" i="17"/>
  <c r="D39" i="17"/>
  <c r="ED39" i="17" s="1"/>
  <c r="EL38" i="17"/>
  <c r="EG38" i="17"/>
  <c r="EI38" i="17" s="1"/>
  <c r="EB38" i="17"/>
  <c r="DW38" i="17"/>
  <c r="DT38" i="17"/>
  <c r="DQ38" i="17"/>
  <c r="DN38" i="17"/>
  <c r="DK38" i="17"/>
  <c r="DH38" i="17"/>
  <c r="DE38" i="17"/>
  <c r="DB38" i="17"/>
  <c r="CY38" i="17"/>
  <c r="CV38" i="17"/>
  <c r="CS38" i="17"/>
  <c r="CP38" i="17"/>
  <c r="CM38" i="17"/>
  <c r="CJ38" i="17"/>
  <c r="CG38" i="17"/>
  <c r="CD38" i="17"/>
  <c r="CA38" i="17"/>
  <c r="BX38" i="17"/>
  <c r="BU38" i="17"/>
  <c r="BR38" i="17"/>
  <c r="BO38" i="17"/>
  <c r="BL38" i="17"/>
  <c r="BI38" i="17"/>
  <c r="BF38" i="17"/>
  <c r="BC38" i="17"/>
  <c r="AZ38" i="17"/>
  <c r="AW38" i="17"/>
  <c r="AT38" i="17"/>
  <c r="AR38" i="17"/>
  <c r="EK38" i="17" s="1"/>
  <c r="AQ38" i="17"/>
  <c r="AN38" i="17"/>
  <c r="AK38" i="17"/>
  <c r="AI38" i="17"/>
  <c r="AB38" i="17"/>
  <c r="Y38" i="17"/>
  <c r="V38" i="17"/>
  <c r="S38" i="17"/>
  <c r="P38" i="17"/>
  <c r="M38" i="17"/>
  <c r="J38" i="17"/>
  <c r="G38" i="17"/>
  <c r="D38" i="17"/>
  <c r="ED38" i="17" s="1"/>
  <c r="EL37" i="17"/>
  <c r="EG37" i="17"/>
  <c r="EI37" i="17" s="1"/>
  <c r="EB37" i="17"/>
  <c r="DW37" i="17"/>
  <c r="DT37" i="17"/>
  <c r="DQ37" i="17"/>
  <c r="DN37" i="17"/>
  <c r="DK37" i="17"/>
  <c r="DH37" i="17"/>
  <c r="DE37" i="17"/>
  <c r="DB37" i="17"/>
  <c r="CY37" i="17"/>
  <c r="CV37" i="17"/>
  <c r="CS37" i="17"/>
  <c r="CP37" i="17"/>
  <c r="CM37" i="17"/>
  <c r="CJ37" i="17"/>
  <c r="CG37" i="17"/>
  <c r="CD37" i="17"/>
  <c r="CA37" i="17"/>
  <c r="BX37" i="17"/>
  <c r="BU37" i="17"/>
  <c r="BR37" i="17"/>
  <c r="BO37" i="17"/>
  <c r="BL37" i="17"/>
  <c r="BI37" i="17"/>
  <c r="BF37" i="17"/>
  <c r="BC37" i="17"/>
  <c r="AZ37" i="17"/>
  <c r="AW37" i="17"/>
  <c r="AT37" i="17"/>
  <c r="AR37" i="17"/>
  <c r="EK37" i="17" s="1"/>
  <c r="AQ37" i="17"/>
  <c r="AN37" i="17"/>
  <c r="AK37" i="17"/>
  <c r="AI37" i="17"/>
  <c r="AB37" i="17"/>
  <c r="Y37" i="17"/>
  <c r="V37" i="17"/>
  <c r="S37" i="17"/>
  <c r="P37" i="17"/>
  <c r="M37" i="17"/>
  <c r="J37" i="17"/>
  <c r="G37" i="17"/>
  <c r="D37" i="17"/>
  <c r="ED37" i="17" s="1"/>
  <c r="EL36" i="17"/>
  <c r="EG36" i="17"/>
  <c r="EI36" i="17" s="1"/>
  <c r="EB36" i="17"/>
  <c r="DW36" i="17"/>
  <c r="DT36" i="17"/>
  <c r="DQ36" i="17"/>
  <c r="EM36" i="17" s="1"/>
  <c r="DN36" i="17"/>
  <c r="DK36" i="17"/>
  <c r="DH36" i="17"/>
  <c r="DE36" i="17"/>
  <c r="DB36" i="17"/>
  <c r="CY36" i="17"/>
  <c r="CV36" i="17"/>
  <c r="CS36" i="17"/>
  <c r="CP36" i="17"/>
  <c r="CM36" i="17"/>
  <c r="CJ36" i="17"/>
  <c r="CG36" i="17"/>
  <c r="CD36" i="17"/>
  <c r="CA36" i="17"/>
  <c r="BX36" i="17"/>
  <c r="BU36" i="17"/>
  <c r="BR36" i="17"/>
  <c r="BO36" i="17"/>
  <c r="BL36" i="17"/>
  <c r="BI36" i="17"/>
  <c r="BF36" i="17"/>
  <c r="BC36" i="17"/>
  <c r="AZ36" i="17"/>
  <c r="AW36" i="17"/>
  <c r="AT36" i="17"/>
  <c r="AR36" i="17"/>
  <c r="EK36" i="17" s="1"/>
  <c r="AQ36" i="17"/>
  <c r="AN36" i="17"/>
  <c r="AK36" i="17"/>
  <c r="AI36" i="17"/>
  <c r="AB36" i="17"/>
  <c r="Y36" i="17"/>
  <c r="V36" i="17"/>
  <c r="S36" i="17"/>
  <c r="EH36" i="17" s="1"/>
  <c r="P36" i="17"/>
  <c r="M36" i="17"/>
  <c r="J36" i="17"/>
  <c r="G36" i="17"/>
  <c r="D36" i="17"/>
  <c r="ED36" i="17" s="1"/>
  <c r="EL35" i="17"/>
  <c r="EG35" i="17"/>
  <c r="EI35" i="17" s="1"/>
  <c r="EB35" i="17"/>
  <c r="DW35" i="17"/>
  <c r="DT35" i="17"/>
  <c r="DQ35" i="17"/>
  <c r="DN35" i="17"/>
  <c r="DK35" i="17"/>
  <c r="DH35" i="17"/>
  <c r="DE35" i="17"/>
  <c r="DB35" i="17"/>
  <c r="CY35" i="17"/>
  <c r="CV35" i="17"/>
  <c r="CS35" i="17"/>
  <c r="CP35" i="17"/>
  <c r="CM35" i="17"/>
  <c r="CJ35" i="17"/>
  <c r="CG35" i="17"/>
  <c r="CD35" i="17"/>
  <c r="CA35" i="17"/>
  <c r="BX35" i="17"/>
  <c r="BU35" i="17"/>
  <c r="BR35" i="17"/>
  <c r="BO35" i="17"/>
  <c r="BL35" i="17"/>
  <c r="BI35" i="17"/>
  <c r="BF35" i="17"/>
  <c r="BC35" i="17"/>
  <c r="AZ35" i="17"/>
  <c r="AW35" i="17"/>
  <c r="AT35" i="17"/>
  <c r="AR35" i="17"/>
  <c r="EK35" i="17" s="1"/>
  <c r="AQ35" i="17"/>
  <c r="AN35" i="17"/>
  <c r="AK35" i="17"/>
  <c r="AI35" i="17"/>
  <c r="AB35" i="17"/>
  <c r="Y35" i="17"/>
  <c r="V35" i="17"/>
  <c r="S35" i="17"/>
  <c r="P35" i="17"/>
  <c r="M35" i="17"/>
  <c r="J35" i="17"/>
  <c r="G35" i="17"/>
  <c r="D35" i="17"/>
  <c r="ED35" i="17" s="1"/>
  <c r="EL34" i="17"/>
  <c r="EG34" i="17"/>
  <c r="EI34" i="17" s="1"/>
  <c r="EB34" i="17"/>
  <c r="DW34" i="17"/>
  <c r="DT34" i="17"/>
  <c r="DQ34" i="17"/>
  <c r="DN34" i="17"/>
  <c r="DK34" i="17"/>
  <c r="DH34" i="17"/>
  <c r="DE34" i="17"/>
  <c r="DB34" i="17"/>
  <c r="CY34" i="17"/>
  <c r="CV34" i="17"/>
  <c r="CS34" i="17"/>
  <c r="CP34" i="17"/>
  <c r="CM34" i="17"/>
  <c r="CJ34" i="17"/>
  <c r="CG34" i="17"/>
  <c r="CD34" i="17"/>
  <c r="CA34" i="17"/>
  <c r="BX34" i="17"/>
  <c r="BU34" i="17"/>
  <c r="BR34" i="17"/>
  <c r="BO34" i="17"/>
  <c r="BL34" i="17"/>
  <c r="BI34" i="17"/>
  <c r="BF34" i="17"/>
  <c r="BC34" i="17"/>
  <c r="AZ34" i="17"/>
  <c r="AW34" i="17"/>
  <c r="AT34" i="17"/>
  <c r="AR34" i="17"/>
  <c r="EK34" i="17" s="1"/>
  <c r="AQ34" i="17"/>
  <c r="AN34" i="17"/>
  <c r="AK34" i="17"/>
  <c r="AI34" i="17"/>
  <c r="AB34" i="17"/>
  <c r="Y34" i="17"/>
  <c r="V34" i="17"/>
  <c r="S34" i="17"/>
  <c r="P34" i="17"/>
  <c r="M34" i="17"/>
  <c r="J34" i="17"/>
  <c r="G34" i="17"/>
  <c r="D34" i="17"/>
  <c r="ED34" i="17" s="1"/>
  <c r="EL33" i="17"/>
  <c r="EG33" i="17"/>
  <c r="EI33" i="17" s="1"/>
  <c r="EB33" i="17"/>
  <c r="DW33" i="17"/>
  <c r="DT33" i="17"/>
  <c r="DQ33" i="17"/>
  <c r="DN33" i="17"/>
  <c r="DK33" i="17"/>
  <c r="DH33" i="17"/>
  <c r="DE33" i="17"/>
  <c r="DB33" i="17"/>
  <c r="CY33" i="17"/>
  <c r="CV33" i="17"/>
  <c r="CS33" i="17"/>
  <c r="CP33" i="17"/>
  <c r="CM33" i="17"/>
  <c r="CJ33" i="17"/>
  <c r="CG33" i="17"/>
  <c r="CD33" i="17"/>
  <c r="CA33" i="17"/>
  <c r="BX33" i="17"/>
  <c r="BU33" i="17"/>
  <c r="BR33" i="17"/>
  <c r="BO33" i="17"/>
  <c r="BL33" i="17"/>
  <c r="BI33" i="17"/>
  <c r="BF33" i="17"/>
  <c r="BC33" i="17"/>
  <c r="AZ33" i="17"/>
  <c r="AW33" i="17"/>
  <c r="AT33" i="17"/>
  <c r="AR33" i="17"/>
  <c r="EK33" i="17" s="1"/>
  <c r="AQ33" i="17"/>
  <c r="AN33" i="17"/>
  <c r="AK33" i="17"/>
  <c r="AI33" i="17"/>
  <c r="AB33" i="17"/>
  <c r="Y33" i="17"/>
  <c r="V33" i="17"/>
  <c r="S33" i="17"/>
  <c r="P33" i="17"/>
  <c r="M33" i="17"/>
  <c r="J33" i="17"/>
  <c r="G33" i="17"/>
  <c r="D33" i="17"/>
  <c r="ED33" i="17" s="1"/>
  <c r="EL32" i="17"/>
  <c r="EG32" i="17"/>
  <c r="EI32" i="17" s="1"/>
  <c r="EB32" i="17"/>
  <c r="DW32" i="17"/>
  <c r="DT32" i="17"/>
  <c r="DQ32" i="17"/>
  <c r="EM32" i="17" s="1"/>
  <c r="DN32" i="17"/>
  <c r="DK32" i="17"/>
  <c r="DH32" i="17"/>
  <c r="DE32" i="17"/>
  <c r="DB32" i="17"/>
  <c r="CY32" i="17"/>
  <c r="CV32" i="17"/>
  <c r="CS32" i="17"/>
  <c r="CP32" i="17"/>
  <c r="CM32" i="17"/>
  <c r="CJ32" i="17"/>
  <c r="CG32" i="17"/>
  <c r="CD32" i="17"/>
  <c r="CA32" i="17"/>
  <c r="BX32" i="17"/>
  <c r="BU32" i="17"/>
  <c r="BR32" i="17"/>
  <c r="BO32" i="17"/>
  <c r="BL32" i="17"/>
  <c r="BI32" i="17"/>
  <c r="BF32" i="17"/>
  <c r="BC32" i="17"/>
  <c r="AZ32" i="17"/>
  <c r="AW32" i="17"/>
  <c r="AT32" i="17"/>
  <c r="AR32" i="17"/>
  <c r="EK32" i="17" s="1"/>
  <c r="AQ32" i="17"/>
  <c r="AN32" i="17"/>
  <c r="AK32" i="17"/>
  <c r="AI32" i="17"/>
  <c r="AB32" i="17"/>
  <c r="Y32" i="17"/>
  <c r="V32" i="17"/>
  <c r="S32" i="17"/>
  <c r="EH32" i="17" s="1"/>
  <c r="P32" i="17"/>
  <c r="M32" i="17"/>
  <c r="J32" i="17"/>
  <c r="G32" i="17"/>
  <c r="D32" i="17"/>
  <c r="ED32" i="17" s="1"/>
  <c r="EL31" i="17"/>
  <c r="EG31" i="17"/>
  <c r="EI31" i="17" s="1"/>
  <c r="EB31" i="17"/>
  <c r="DW31" i="17"/>
  <c r="DT31" i="17"/>
  <c r="DQ31" i="17"/>
  <c r="DN31" i="17"/>
  <c r="DK31" i="17"/>
  <c r="DH31" i="17"/>
  <c r="DE31" i="17"/>
  <c r="DB31" i="17"/>
  <c r="CY31" i="17"/>
  <c r="CV31" i="17"/>
  <c r="CS31" i="17"/>
  <c r="CP31" i="17"/>
  <c r="CM31" i="17"/>
  <c r="CJ31" i="17"/>
  <c r="CG31" i="17"/>
  <c r="CD31" i="17"/>
  <c r="CA31" i="17"/>
  <c r="BX31" i="17"/>
  <c r="BU31" i="17"/>
  <c r="BR31" i="17"/>
  <c r="BO31" i="17"/>
  <c r="BL31" i="17"/>
  <c r="BI31" i="17"/>
  <c r="BF31" i="17"/>
  <c r="BC31" i="17"/>
  <c r="AZ31" i="17"/>
  <c r="AW31" i="17"/>
  <c r="AT31" i="17"/>
  <c r="AR31" i="17"/>
  <c r="EK31" i="17" s="1"/>
  <c r="AQ31" i="17"/>
  <c r="AN31" i="17"/>
  <c r="AK31" i="17"/>
  <c r="AI31" i="17"/>
  <c r="AB31" i="17"/>
  <c r="Y31" i="17"/>
  <c r="V31" i="17"/>
  <c r="S31" i="17"/>
  <c r="P31" i="17"/>
  <c r="M31" i="17"/>
  <c r="J31" i="17"/>
  <c r="G31" i="17"/>
  <c r="D31" i="17"/>
  <c r="ED31" i="17" s="1"/>
  <c r="EL30" i="17"/>
  <c r="EG30" i="17"/>
  <c r="EI30" i="17" s="1"/>
  <c r="EB30" i="17"/>
  <c r="DW30" i="17"/>
  <c r="DT30" i="17"/>
  <c r="DQ30" i="17"/>
  <c r="DN30" i="17"/>
  <c r="DK30" i="17"/>
  <c r="DH30" i="17"/>
  <c r="DE30" i="17"/>
  <c r="DB30" i="17"/>
  <c r="CY30" i="17"/>
  <c r="CV30" i="17"/>
  <c r="CS30" i="17"/>
  <c r="CP30" i="17"/>
  <c r="CM30" i="17"/>
  <c r="CJ30" i="17"/>
  <c r="CG30" i="17"/>
  <c r="CD30" i="17"/>
  <c r="CA30" i="17"/>
  <c r="BX30" i="17"/>
  <c r="BU30" i="17"/>
  <c r="BR30" i="17"/>
  <c r="BO30" i="17"/>
  <c r="BL30" i="17"/>
  <c r="BI30" i="17"/>
  <c r="BF30" i="17"/>
  <c r="BC30" i="17"/>
  <c r="AZ30" i="17"/>
  <c r="AW30" i="17"/>
  <c r="AT30" i="17"/>
  <c r="AR30" i="17"/>
  <c r="EK30" i="17" s="1"/>
  <c r="AQ30" i="17"/>
  <c r="AN30" i="17"/>
  <c r="AK30" i="17"/>
  <c r="AI30" i="17"/>
  <c r="AB30" i="17"/>
  <c r="Y30" i="17"/>
  <c r="V30" i="17"/>
  <c r="S30" i="17"/>
  <c r="P30" i="17"/>
  <c r="M30" i="17"/>
  <c r="J30" i="17"/>
  <c r="G30" i="17"/>
  <c r="D30" i="17"/>
  <c r="ED30" i="17" s="1"/>
  <c r="EL29" i="17"/>
  <c r="EG29" i="17"/>
  <c r="EI29" i="17" s="1"/>
  <c r="EB29" i="17"/>
  <c r="DW29" i="17"/>
  <c r="DT29" i="17"/>
  <c r="DQ29" i="17"/>
  <c r="DN29" i="17"/>
  <c r="DK29" i="17"/>
  <c r="DH29" i="17"/>
  <c r="DE29" i="17"/>
  <c r="DB29" i="17"/>
  <c r="CY29" i="17"/>
  <c r="CV29" i="17"/>
  <c r="CS29" i="17"/>
  <c r="CP29" i="17"/>
  <c r="CM29" i="17"/>
  <c r="CJ29" i="17"/>
  <c r="CG29" i="17"/>
  <c r="CD29" i="17"/>
  <c r="CA29" i="17"/>
  <c r="BX29" i="17"/>
  <c r="BU29" i="17"/>
  <c r="BR29" i="17"/>
  <c r="BO29" i="17"/>
  <c r="BL29" i="17"/>
  <c r="BI29" i="17"/>
  <c r="BF29" i="17"/>
  <c r="BC29" i="17"/>
  <c r="AZ29" i="17"/>
  <c r="AW29" i="17"/>
  <c r="AT29" i="17"/>
  <c r="AR29" i="17"/>
  <c r="EK29" i="17" s="1"/>
  <c r="AQ29" i="17"/>
  <c r="AN29" i="17"/>
  <c r="AK29" i="17"/>
  <c r="AI29" i="17"/>
  <c r="AB29" i="17"/>
  <c r="Y29" i="17"/>
  <c r="V29" i="17"/>
  <c r="S29" i="17"/>
  <c r="P29" i="17"/>
  <c r="M29" i="17"/>
  <c r="J29" i="17"/>
  <c r="G29" i="17"/>
  <c r="D29" i="17"/>
  <c r="ED29" i="17" s="1"/>
  <c r="EL28" i="17"/>
  <c r="EG28" i="17"/>
  <c r="EI28" i="17" s="1"/>
  <c r="EB28" i="17"/>
  <c r="DW28" i="17"/>
  <c r="DT28" i="17"/>
  <c r="DQ28" i="17"/>
  <c r="EM28" i="17" s="1"/>
  <c r="DN28" i="17"/>
  <c r="DK28" i="17"/>
  <c r="DH28" i="17"/>
  <c r="DE28" i="17"/>
  <c r="DB28" i="17"/>
  <c r="CY28" i="17"/>
  <c r="CV28" i="17"/>
  <c r="CS28" i="17"/>
  <c r="CP28" i="17"/>
  <c r="CM28" i="17"/>
  <c r="CJ28" i="17"/>
  <c r="CG28" i="17"/>
  <c r="CD28" i="17"/>
  <c r="CA28" i="17"/>
  <c r="BX28" i="17"/>
  <c r="BU28" i="17"/>
  <c r="BR28" i="17"/>
  <c r="BO28" i="17"/>
  <c r="BL28" i="17"/>
  <c r="BI28" i="17"/>
  <c r="BF28" i="17"/>
  <c r="BC28" i="17"/>
  <c r="AZ28" i="17"/>
  <c r="AW28" i="17"/>
  <c r="AT28" i="17"/>
  <c r="AR28" i="17"/>
  <c r="EK28" i="17" s="1"/>
  <c r="AQ28" i="17"/>
  <c r="AN28" i="17"/>
  <c r="AK28" i="17"/>
  <c r="AI28" i="17"/>
  <c r="AB28" i="17"/>
  <c r="Y28" i="17"/>
  <c r="V28" i="17"/>
  <c r="S28" i="17"/>
  <c r="EH28" i="17" s="1"/>
  <c r="P28" i="17"/>
  <c r="M28" i="17"/>
  <c r="J28" i="17"/>
  <c r="G28" i="17"/>
  <c r="D28" i="17"/>
  <c r="ED28" i="17" s="1"/>
  <c r="EL27" i="17"/>
  <c r="EG27" i="17"/>
  <c r="EI27" i="17" s="1"/>
  <c r="EB27" i="17"/>
  <c r="DW27" i="17"/>
  <c r="DT27" i="17"/>
  <c r="DQ27" i="17"/>
  <c r="DN27" i="17"/>
  <c r="DK27" i="17"/>
  <c r="DH27" i="17"/>
  <c r="DE27" i="17"/>
  <c r="DB27" i="17"/>
  <c r="CY27" i="17"/>
  <c r="CV27" i="17"/>
  <c r="CS27" i="17"/>
  <c r="CP27" i="17"/>
  <c r="CM27" i="17"/>
  <c r="CJ27" i="17"/>
  <c r="CG27" i="17"/>
  <c r="CD27" i="17"/>
  <c r="CA27" i="17"/>
  <c r="BX27" i="17"/>
  <c r="BU27" i="17"/>
  <c r="BR27" i="17"/>
  <c r="BO27" i="17"/>
  <c r="BL27" i="17"/>
  <c r="BI27" i="17"/>
  <c r="BF27" i="17"/>
  <c r="BC27" i="17"/>
  <c r="AZ27" i="17"/>
  <c r="AW27" i="17"/>
  <c r="AT27" i="17"/>
  <c r="AR27" i="17"/>
  <c r="EK27" i="17" s="1"/>
  <c r="AQ27" i="17"/>
  <c r="AN27" i="17"/>
  <c r="AK27" i="17"/>
  <c r="AI27" i="17"/>
  <c r="AB27" i="17"/>
  <c r="Y27" i="17"/>
  <c r="V27" i="17"/>
  <c r="S27" i="17"/>
  <c r="P27" i="17"/>
  <c r="M27" i="17"/>
  <c r="J27" i="17"/>
  <c r="G27" i="17"/>
  <c r="D27" i="17"/>
  <c r="ED27" i="17" s="1"/>
  <c r="EL26" i="17"/>
  <c r="EG26" i="17"/>
  <c r="EI26" i="17" s="1"/>
  <c r="EB26" i="17"/>
  <c r="DW26" i="17"/>
  <c r="DT26" i="17"/>
  <c r="DQ26" i="17"/>
  <c r="DN26" i="17"/>
  <c r="DK26" i="17"/>
  <c r="DH26" i="17"/>
  <c r="DE26" i="17"/>
  <c r="DB26" i="17"/>
  <c r="CY26" i="17"/>
  <c r="CV26" i="17"/>
  <c r="CS26" i="17"/>
  <c r="CP26" i="17"/>
  <c r="CM26" i="17"/>
  <c r="CJ26" i="17"/>
  <c r="CG26" i="17"/>
  <c r="CD26" i="17"/>
  <c r="CA26" i="17"/>
  <c r="BX26" i="17"/>
  <c r="BU26" i="17"/>
  <c r="BR26" i="17"/>
  <c r="BO26" i="17"/>
  <c r="BL26" i="17"/>
  <c r="BI26" i="17"/>
  <c r="BF26" i="17"/>
  <c r="BC26" i="17"/>
  <c r="AZ26" i="17"/>
  <c r="AW26" i="17"/>
  <c r="AT26" i="17"/>
  <c r="AR26" i="17"/>
  <c r="EK26" i="17" s="1"/>
  <c r="AQ26" i="17"/>
  <c r="AN26" i="17"/>
  <c r="AK26" i="17"/>
  <c r="AI26" i="17"/>
  <c r="AB26" i="17"/>
  <c r="Y26" i="17"/>
  <c r="V26" i="17"/>
  <c r="S26" i="17"/>
  <c r="P26" i="17"/>
  <c r="M26" i="17"/>
  <c r="J26" i="17"/>
  <c r="G26" i="17"/>
  <c r="D26" i="17"/>
  <c r="ED26" i="17" s="1"/>
  <c r="EL25" i="17"/>
  <c r="EG25" i="17"/>
  <c r="EI25" i="17" s="1"/>
  <c r="EB25" i="17"/>
  <c r="DW25" i="17"/>
  <c r="DT25" i="17"/>
  <c r="DQ25" i="17"/>
  <c r="DN25" i="17"/>
  <c r="DK25" i="17"/>
  <c r="DH25" i="17"/>
  <c r="DE25" i="17"/>
  <c r="DB25" i="17"/>
  <c r="CY25" i="17"/>
  <c r="CV25" i="17"/>
  <c r="CS25" i="17"/>
  <c r="CP25" i="17"/>
  <c r="CM25" i="17"/>
  <c r="CJ25" i="17"/>
  <c r="CG25" i="17"/>
  <c r="CD25" i="17"/>
  <c r="CA25" i="17"/>
  <c r="BX25" i="17"/>
  <c r="BU25" i="17"/>
  <c r="BR25" i="17"/>
  <c r="BO25" i="17"/>
  <c r="BL25" i="17"/>
  <c r="BI25" i="17"/>
  <c r="BF25" i="17"/>
  <c r="BC25" i="17"/>
  <c r="AZ25" i="17"/>
  <c r="AW25" i="17"/>
  <c r="AT25" i="17"/>
  <c r="AR25" i="17"/>
  <c r="EK25" i="17" s="1"/>
  <c r="AQ25" i="17"/>
  <c r="AN25" i="17"/>
  <c r="AK25" i="17"/>
  <c r="AI25" i="17"/>
  <c r="AB25" i="17"/>
  <c r="Y25" i="17"/>
  <c r="V25" i="17"/>
  <c r="S25" i="17"/>
  <c r="P25" i="17"/>
  <c r="M25" i="17"/>
  <c r="J25" i="17"/>
  <c r="G25" i="17"/>
  <c r="D25" i="17"/>
  <c r="ED25" i="17" s="1"/>
  <c r="EL24" i="17"/>
  <c r="EG24" i="17"/>
  <c r="EI24" i="17" s="1"/>
  <c r="EB24" i="17"/>
  <c r="DW24" i="17"/>
  <c r="DT24" i="17"/>
  <c r="DQ24" i="17"/>
  <c r="EM24" i="17" s="1"/>
  <c r="DN24" i="17"/>
  <c r="DK24" i="17"/>
  <c r="DH24" i="17"/>
  <c r="DE24" i="17"/>
  <c r="DB24" i="17"/>
  <c r="CY24" i="17"/>
  <c r="CV24" i="17"/>
  <c r="CS24" i="17"/>
  <c r="CP24" i="17"/>
  <c r="CM24" i="17"/>
  <c r="CJ24" i="17"/>
  <c r="CG24" i="17"/>
  <c r="CD24" i="17"/>
  <c r="CA24" i="17"/>
  <c r="BX24" i="17"/>
  <c r="BU24" i="17"/>
  <c r="BR24" i="17"/>
  <c r="BO24" i="17"/>
  <c r="BL24" i="17"/>
  <c r="BI24" i="17"/>
  <c r="BF24" i="17"/>
  <c r="BC24" i="17"/>
  <c r="AZ24" i="17"/>
  <c r="AW24" i="17"/>
  <c r="AT24" i="17"/>
  <c r="AR24" i="17"/>
  <c r="EK24" i="17" s="1"/>
  <c r="AQ24" i="17"/>
  <c r="AN24" i="17"/>
  <c r="AK24" i="17"/>
  <c r="AI24" i="17"/>
  <c r="AB24" i="17"/>
  <c r="Y24" i="17"/>
  <c r="V24" i="17"/>
  <c r="S24" i="17"/>
  <c r="EH24" i="17" s="1"/>
  <c r="P24" i="17"/>
  <c r="M24" i="17"/>
  <c r="J24" i="17"/>
  <c r="G24" i="17"/>
  <c r="D24" i="17"/>
  <c r="ED24" i="17" s="1"/>
  <c r="EL23" i="17"/>
  <c r="EG23" i="17"/>
  <c r="EI23" i="17" s="1"/>
  <c r="EB23" i="17"/>
  <c r="DW23" i="17"/>
  <c r="DT23" i="17"/>
  <c r="DQ23" i="17"/>
  <c r="DN23" i="17"/>
  <c r="DK23" i="17"/>
  <c r="DH23" i="17"/>
  <c r="DE23" i="17"/>
  <c r="DB23" i="17"/>
  <c r="CY23" i="17"/>
  <c r="CV23" i="17"/>
  <c r="CS23" i="17"/>
  <c r="CP23" i="17"/>
  <c r="CM23" i="17"/>
  <c r="CJ23" i="17"/>
  <c r="CG23" i="17"/>
  <c r="CD23" i="17"/>
  <c r="CA23" i="17"/>
  <c r="BX23" i="17"/>
  <c r="BU23" i="17"/>
  <c r="BR23" i="17"/>
  <c r="BO23" i="17"/>
  <c r="BL23" i="17"/>
  <c r="BI23" i="17"/>
  <c r="BF23" i="17"/>
  <c r="BC23" i="17"/>
  <c r="AZ23" i="17"/>
  <c r="AW23" i="17"/>
  <c r="AT23" i="17"/>
  <c r="AR23" i="17"/>
  <c r="EK23" i="17" s="1"/>
  <c r="AQ23" i="17"/>
  <c r="AN23" i="17"/>
  <c r="AK23" i="17"/>
  <c r="AI23" i="17"/>
  <c r="AB23" i="17"/>
  <c r="Y23" i="17"/>
  <c r="V23" i="17"/>
  <c r="S23" i="17"/>
  <c r="P23" i="17"/>
  <c r="M23" i="17"/>
  <c r="J23" i="17"/>
  <c r="G23" i="17"/>
  <c r="D23" i="17"/>
  <c r="ED23" i="17" s="1"/>
  <c r="EL22" i="17"/>
  <c r="EG22" i="17"/>
  <c r="EI22" i="17" s="1"/>
  <c r="EB22" i="17"/>
  <c r="DW22" i="17"/>
  <c r="DT22" i="17"/>
  <c r="DQ22" i="17"/>
  <c r="DN22" i="17"/>
  <c r="DK22" i="17"/>
  <c r="DH22" i="17"/>
  <c r="DE22" i="17"/>
  <c r="DB22" i="17"/>
  <c r="CY22" i="17"/>
  <c r="CV22" i="17"/>
  <c r="CS22" i="17"/>
  <c r="CP22" i="17"/>
  <c r="CM22" i="17"/>
  <c r="CJ22" i="17"/>
  <c r="CG22" i="17"/>
  <c r="CD22" i="17"/>
  <c r="CA22" i="17"/>
  <c r="BX22" i="17"/>
  <c r="BU22" i="17"/>
  <c r="BR22" i="17"/>
  <c r="BO22" i="17"/>
  <c r="BL22" i="17"/>
  <c r="BI22" i="17"/>
  <c r="BF22" i="17"/>
  <c r="BC22" i="17"/>
  <c r="AZ22" i="17"/>
  <c r="AW22" i="17"/>
  <c r="AT22" i="17"/>
  <c r="AR22" i="17"/>
  <c r="EK22" i="17" s="1"/>
  <c r="AQ22" i="17"/>
  <c r="AN22" i="17"/>
  <c r="AK22" i="17"/>
  <c r="AI22" i="17"/>
  <c r="AB22" i="17"/>
  <c r="Y22" i="17"/>
  <c r="V22" i="17"/>
  <c r="S22" i="17"/>
  <c r="P22" i="17"/>
  <c r="M22" i="17"/>
  <c r="J22" i="17"/>
  <c r="G22" i="17"/>
  <c r="D22" i="17"/>
  <c r="ED22" i="17" s="1"/>
  <c r="EL21" i="17"/>
  <c r="EG21" i="17"/>
  <c r="EI21" i="17" s="1"/>
  <c r="EB21" i="17"/>
  <c r="DW21" i="17"/>
  <c r="DT21" i="17"/>
  <c r="DQ21" i="17"/>
  <c r="DN21" i="17"/>
  <c r="DK21" i="17"/>
  <c r="DH21" i="17"/>
  <c r="DE21" i="17"/>
  <c r="DB21" i="17"/>
  <c r="CY21" i="17"/>
  <c r="CV21" i="17"/>
  <c r="CS21" i="17"/>
  <c r="CP21" i="17"/>
  <c r="CM21" i="17"/>
  <c r="CJ21" i="17"/>
  <c r="CG21" i="17"/>
  <c r="CD21" i="17"/>
  <c r="CA21" i="17"/>
  <c r="BX21" i="17"/>
  <c r="BU21" i="17"/>
  <c r="BR21" i="17"/>
  <c r="BO21" i="17"/>
  <c r="BL21" i="17"/>
  <c r="BI21" i="17"/>
  <c r="BF21" i="17"/>
  <c r="BC21" i="17"/>
  <c r="AZ21" i="17"/>
  <c r="AW21" i="17"/>
  <c r="AT21" i="17"/>
  <c r="AR21" i="17"/>
  <c r="EK21" i="17" s="1"/>
  <c r="AQ21" i="17"/>
  <c r="AN21" i="17"/>
  <c r="AK21" i="17"/>
  <c r="AI21" i="17"/>
  <c r="AB21" i="17"/>
  <c r="Y21" i="17"/>
  <c r="V21" i="17"/>
  <c r="S21" i="17"/>
  <c r="P21" i="17"/>
  <c r="M21" i="17"/>
  <c r="J21" i="17"/>
  <c r="G21" i="17"/>
  <c r="D21" i="17"/>
  <c r="ED21" i="17" s="1"/>
  <c r="EL20" i="17"/>
  <c r="EG20" i="17"/>
  <c r="EI20" i="17" s="1"/>
  <c r="EB20" i="17"/>
  <c r="DW20" i="17"/>
  <c r="DT20" i="17"/>
  <c r="EM20" i="17" s="1"/>
  <c r="DQ20" i="17"/>
  <c r="DN20" i="17"/>
  <c r="DK20" i="17"/>
  <c r="DH20" i="17"/>
  <c r="DE20" i="17"/>
  <c r="DB20" i="17"/>
  <c r="CY20" i="17"/>
  <c r="CV20" i="17"/>
  <c r="CS20" i="17"/>
  <c r="CP20" i="17"/>
  <c r="CM20" i="17"/>
  <c r="CJ20" i="17"/>
  <c r="CG20" i="17"/>
  <c r="CD20" i="17"/>
  <c r="CA20" i="17"/>
  <c r="BX20" i="17"/>
  <c r="BU20" i="17"/>
  <c r="BR20" i="17"/>
  <c r="BO20" i="17"/>
  <c r="BL20" i="17"/>
  <c r="BI20" i="17"/>
  <c r="BF20" i="17"/>
  <c r="BC20" i="17"/>
  <c r="AZ20" i="17"/>
  <c r="AW20" i="17"/>
  <c r="AT20" i="17"/>
  <c r="AR20" i="17"/>
  <c r="EK20" i="17" s="1"/>
  <c r="EN20" i="17" s="1"/>
  <c r="AQ20" i="17"/>
  <c r="AN20" i="17"/>
  <c r="AK20" i="17"/>
  <c r="AI20" i="17"/>
  <c r="AB20" i="17"/>
  <c r="Y20" i="17"/>
  <c r="V20" i="17"/>
  <c r="S20" i="17"/>
  <c r="EH20" i="17" s="1"/>
  <c r="P20" i="17"/>
  <c r="M20" i="17"/>
  <c r="J20" i="17"/>
  <c r="G20" i="17"/>
  <c r="D20" i="17"/>
  <c r="ED20" i="17" s="1"/>
  <c r="EL19" i="17"/>
  <c r="EG19" i="17"/>
  <c r="EI19" i="17" s="1"/>
  <c r="EB19" i="17"/>
  <c r="DW19" i="17"/>
  <c r="DT19" i="17"/>
  <c r="DQ19" i="17"/>
  <c r="DN19" i="17"/>
  <c r="DK19" i="17"/>
  <c r="DH19" i="17"/>
  <c r="DE19" i="17"/>
  <c r="DB19" i="17"/>
  <c r="CY19" i="17"/>
  <c r="CV19" i="17"/>
  <c r="CS19" i="17"/>
  <c r="CP19" i="17"/>
  <c r="CM19" i="17"/>
  <c r="CJ19" i="17"/>
  <c r="CG19" i="17"/>
  <c r="CD19" i="17"/>
  <c r="CA19" i="17"/>
  <c r="BX19" i="17"/>
  <c r="BU19" i="17"/>
  <c r="BR19" i="17"/>
  <c r="BO19" i="17"/>
  <c r="BL19" i="17"/>
  <c r="BI19" i="17"/>
  <c r="BF19" i="17"/>
  <c r="BC19" i="17"/>
  <c r="AZ19" i="17"/>
  <c r="AW19" i="17"/>
  <c r="AT19" i="17"/>
  <c r="AR19" i="17"/>
  <c r="EK19" i="17" s="1"/>
  <c r="AQ19" i="17"/>
  <c r="AN19" i="17"/>
  <c r="AK19" i="17"/>
  <c r="AI19" i="17"/>
  <c r="AB19" i="17"/>
  <c r="Y19" i="17"/>
  <c r="V19" i="17"/>
  <c r="S19" i="17"/>
  <c r="P19" i="17"/>
  <c r="M19" i="17"/>
  <c r="J19" i="17"/>
  <c r="G19" i="17"/>
  <c r="D19" i="17"/>
  <c r="ED19" i="17" s="1"/>
  <c r="EL18" i="17"/>
  <c r="EG18" i="17"/>
  <c r="EI18" i="17" s="1"/>
  <c r="EB18" i="17"/>
  <c r="DW18" i="17"/>
  <c r="DT18" i="17"/>
  <c r="DQ18" i="17"/>
  <c r="DN18" i="17"/>
  <c r="DK18" i="17"/>
  <c r="DH18" i="17"/>
  <c r="DE18" i="17"/>
  <c r="DB18" i="17"/>
  <c r="CY18" i="17"/>
  <c r="CV18" i="17"/>
  <c r="CS18" i="17"/>
  <c r="CP18" i="17"/>
  <c r="CM18" i="17"/>
  <c r="CJ18" i="17"/>
  <c r="CG18" i="17"/>
  <c r="CD18" i="17"/>
  <c r="CA18" i="17"/>
  <c r="BX18" i="17"/>
  <c r="BU18" i="17"/>
  <c r="BR18" i="17"/>
  <c r="BO18" i="17"/>
  <c r="BL18" i="17"/>
  <c r="BI18" i="17"/>
  <c r="BF18" i="17"/>
  <c r="BC18" i="17"/>
  <c r="AZ18" i="17"/>
  <c r="AW18" i="17"/>
  <c r="AT18" i="17"/>
  <c r="AR18" i="17"/>
  <c r="EK18" i="17" s="1"/>
  <c r="AQ18" i="17"/>
  <c r="AN18" i="17"/>
  <c r="AK18" i="17"/>
  <c r="AI18" i="17"/>
  <c r="AB18" i="17"/>
  <c r="Y18" i="17"/>
  <c r="V18" i="17"/>
  <c r="S18" i="17"/>
  <c r="P18" i="17"/>
  <c r="M18" i="17"/>
  <c r="J18" i="17"/>
  <c r="G18" i="17"/>
  <c r="D18" i="17"/>
  <c r="ED18" i="17" s="1"/>
  <c r="EL17" i="17"/>
  <c r="EG17" i="17"/>
  <c r="EI17" i="17" s="1"/>
  <c r="DW17" i="17"/>
  <c r="DT17" i="17"/>
  <c r="DQ17" i="17"/>
  <c r="DN17" i="17"/>
  <c r="DK17" i="17"/>
  <c r="DH17" i="17"/>
  <c r="DE17" i="17"/>
  <c r="DB17" i="17"/>
  <c r="CY17" i="17"/>
  <c r="CV17" i="17"/>
  <c r="CS17" i="17"/>
  <c r="CP17" i="17"/>
  <c r="CM17" i="17"/>
  <c r="CJ17" i="17"/>
  <c r="CG17" i="17"/>
  <c r="CD17" i="17"/>
  <c r="CA17" i="17"/>
  <c r="BX17" i="17"/>
  <c r="BU17" i="17"/>
  <c r="BR17" i="17"/>
  <c r="BO17" i="17"/>
  <c r="BL17" i="17"/>
  <c r="BI17" i="17"/>
  <c r="BF17" i="17"/>
  <c r="BC17" i="17"/>
  <c r="AZ17" i="17"/>
  <c r="AW17" i="17"/>
  <c r="AT17" i="17"/>
  <c r="AR17" i="17"/>
  <c r="AQ17" i="17"/>
  <c r="AL17" i="17"/>
  <c r="EK17" i="17" s="1"/>
  <c r="AI17" i="17"/>
  <c r="AK17" i="17" s="1"/>
  <c r="AB17" i="17"/>
  <c r="Y17" i="17"/>
  <c r="V17" i="17"/>
  <c r="S17" i="17"/>
  <c r="EH17" i="17" s="1"/>
  <c r="P17" i="17"/>
  <c r="M17" i="17"/>
  <c r="J17" i="17"/>
  <c r="G17" i="17"/>
  <c r="D17" i="17"/>
  <c r="EL16" i="17"/>
  <c r="EI16" i="17"/>
  <c r="EG16" i="17"/>
  <c r="DW16" i="17"/>
  <c r="DT16" i="17"/>
  <c r="DQ16" i="17"/>
  <c r="DN16" i="17"/>
  <c r="DK16" i="17"/>
  <c r="DH16" i="17"/>
  <c r="DE16" i="17"/>
  <c r="DB16" i="17"/>
  <c r="CY16" i="17"/>
  <c r="CV16" i="17"/>
  <c r="CS16" i="17"/>
  <c r="CP16" i="17"/>
  <c r="CM16" i="17"/>
  <c r="CJ16" i="17"/>
  <c r="CG16" i="17"/>
  <c r="CD16" i="17"/>
  <c r="CA16" i="17"/>
  <c r="BX16" i="17"/>
  <c r="BU16" i="17"/>
  <c r="BR16" i="17"/>
  <c r="BO16" i="17"/>
  <c r="BL16" i="17"/>
  <c r="BI16" i="17"/>
  <c r="BF16" i="17"/>
  <c r="BC16" i="17"/>
  <c r="AZ16" i="17"/>
  <c r="AW16" i="17"/>
  <c r="AR16" i="17"/>
  <c r="AT16" i="17" s="1"/>
  <c r="AQ16" i="17"/>
  <c r="AN16" i="17"/>
  <c r="AL16" i="17"/>
  <c r="EB16" i="17" s="1"/>
  <c r="AI16" i="17"/>
  <c r="AK16" i="17" s="1"/>
  <c r="AB16" i="17"/>
  <c r="Y16" i="17"/>
  <c r="V16" i="17"/>
  <c r="EH16" i="17" s="1"/>
  <c r="S16" i="17"/>
  <c r="P16" i="17"/>
  <c r="M16" i="17"/>
  <c r="J16" i="17"/>
  <c r="G16" i="17"/>
  <c r="D16" i="17"/>
  <c r="EL15" i="17"/>
  <c r="EI15" i="17"/>
  <c r="EG15" i="17"/>
  <c r="DW15" i="17"/>
  <c r="DT15" i="17"/>
  <c r="DQ15" i="17"/>
  <c r="DN15" i="17"/>
  <c r="DK15" i="17"/>
  <c r="DH15" i="17"/>
  <c r="DE15" i="17"/>
  <c r="DB15" i="17"/>
  <c r="CY15" i="17"/>
  <c r="CV15" i="17"/>
  <c r="CS15" i="17"/>
  <c r="CP15" i="17"/>
  <c r="CM15" i="17"/>
  <c r="CJ15" i="17"/>
  <c r="CG15" i="17"/>
  <c r="CD15" i="17"/>
  <c r="CA15" i="17"/>
  <c r="BX15" i="17"/>
  <c r="BU15" i="17"/>
  <c r="BR15" i="17"/>
  <c r="BO15" i="17"/>
  <c r="BL15" i="17"/>
  <c r="BI15" i="17"/>
  <c r="BF15" i="17"/>
  <c r="BC15" i="17"/>
  <c r="AZ15" i="17"/>
  <c r="AW15" i="17"/>
  <c r="AR15" i="17"/>
  <c r="AT15" i="17" s="1"/>
  <c r="AQ15" i="17"/>
  <c r="AL15" i="17"/>
  <c r="AN15" i="17" s="1"/>
  <c r="AI15" i="17"/>
  <c r="AK15" i="17" s="1"/>
  <c r="AB15" i="17"/>
  <c r="Y15" i="17"/>
  <c r="V15" i="17"/>
  <c r="S15" i="17"/>
  <c r="EH15" i="17" s="1"/>
  <c r="P15" i="17"/>
  <c r="M15" i="17"/>
  <c r="J15" i="17"/>
  <c r="G15" i="17"/>
  <c r="D15" i="17"/>
  <c r="EL14" i="17"/>
  <c r="EG14" i="17"/>
  <c r="EI14" i="17" s="1"/>
  <c r="DW14" i="17"/>
  <c r="DT14" i="17"/>
  <c r="DQ14" i="17"/>
  <c r="DN14" i="17"/>
  <c r="DK14" i="17"/>
  <c r="DH14" i="17"/>
  <c r="DE14" i="17"/>
  <c r="DB14" i="17"/>
  <c r="CY14" i="17"/>
  <c r="CV14" i="17"/>
  <c r="CS14" i="17"/>
  <c r="CP14" i="17"/>
  <c r="CM14" i="17"/>
  <c r="CM42" i="17" s="1"/>
  <c r="CJ14" i="17"/>
  <c r="CG14" i="17"/>
  <c r="CD14" i="17"/>
  <c r="CA14" i="17"/>
  <c r="BX14" i="17"/>
  <c r="BU14" i="17"/>
  <c r="BR14" i="17"/>
  <c r="BO14" i="17"/>
  <c r="BL14" i="17"/>
  <c r="BI14" i="17"/>
  <c r="BF14" i="17"/>
  <c r="BC14" i="17"/>
  <c r="AZ14" i="17"/>
  <c r="AW14" i="17"/>
  <c r="AR14" i="17"/>
  <c r="AT14" i="17" s="1"/>
  <c r="AQ14" i="17"/>
  <c r="AL14" i="17"/>
  <c r="AN14" i="17" s="1"/>
  <c r="AK14" i="17"/>
  <c r="AI14" i="17"/>
  <c r="AB14" i="17"/>
  <c r="Y14" i="17"/>
  <c r="V14" i="17"/>
  <c r="S14" i="17"/>
  <c r="EH14" i="17" s="1"/>
  <c r="P14" i="17"/>
  <c r="M14" i="17"/>
  <c r="J14" i="17"/>
  <c r="G14" i="17"/>
  <c r="D14" i="17"/>
  <c r="EL13" i="17"/>
  <c r="EG13" i="17"/>
  <c r="EI13" i="17" s="1"/>
  <c r="DW13" i="17"/>
  <c r="DT13" i="17"/>
  <c r="DQ13" i="17"/>
  <c r="DN13" i="17"/>
  <c r="DK13" i="17"/>
  <c r="DH13" i="17"/>
  <c r="DE13" i="17"/>
  <c r="DB13" i="17"/>
  <c r="CY13" i="17"/>
  <c r="CV13" i="17"/>
  <c r="CS13" i="17"/>
  <c r="CP13" i="17"/>
  <c r="CM13" i="17"/>
  <c r="CJ13" i="17"/>
  <c r="CG13" i="17"/>
  <c r="CD13" i="17"/>
  <c r="CA13" i="17"/>
  <c r="BX13" i="17"/>
  <c r="BU13" i="17"/>
  <c r="BR13" i="17"/>
  <c r="BO13" i="17"/>
  <c r="BL13" i="17"/>
  <c r="BI13" i="17"/>
  <c r="BF13" i="17"/>
  <c r="BC13" i="17"/>
  <c r="AZ13" i="17"/>
  <c r="AW13" i="17"/>
  <c r="AT13" i="17"/>
  <c r="AR13" i="17"/>
  <c r="EK13" i="17" s="1"/>
  <c r="AQ13" i="17"/>
  <c r="AL13" i="17"/>
  <c r="AN13" i="17" s="1"/>
  <c r="AI13" i="17"/>
  <c r="AK13" i="17" s="1"/>
  <c r="AB13" i="17"/>
  <c r="Y13" i="17"/>
  <c r="V13" i="17"/>
  <c r="S13" i="17"/>
  <c r="EH13" i="17" s="1"/>
  <c r="P13" i="17"/>
  <c r="M13" i="17"/>
  <c r="J13" i="17"/>
  <c r="G13" i="17"/>
  <c r="D13" i="17"/>
  <c r="EL12" i="17"/>
  <c r="EI12" i="17"/>
  <c r="EG12" i="17"/>
  <c r="DW12" i="17"/>
  <c r="DT12" i="17"/>
  <c r="DQ12" i="17"/>
  <c r="EM12" i="17" s="1"/>
  <c r="DN12" i="17"/>
  <c r="DK12" i="17"/>
  <c r="DH12" i="17"/>
  <c r="DE12" i="17"/>
  <c r="DB12" i="17"/>
  <c r="CY12" i="17"/>
  <c r="CV12" i="17"/>
  <c r="CS12" i="17"/>
  <c r="CP12" i="17"/>
  <c r="CM12" i="17"/>
  <c r="CJ12" i="17"/>
  <c r="CG12" i="17"/>
  <c r="CD12" i="17"/>
  <c r="CA12" i="17"/>
  <c r="BX12" i="17"/>
  <c r="BU12" i="17"/>
  <c r="BR12" i="17"/>
  <c r="BO12" i="17"/>
  <c r="BL12" i="17"/>
  <c r="BI12" i="17"/>
  <c r="BF12" i="17"/>
  <c r="BC12" i="17"/>
  <c r="AZ12" i="17"/>
  <c r="AW12" i="17"/>
  <c r="AR12" i="17"/>
  <c r="AT12" i="17" s="1"/>
  <c r="AQ12" i="17"/>
  <c r="AN12" i="17"/>
  <c r="AL12" i="17"/>
  <c r="EB12" i="17" s="1"/>
  <c r="AI12" i="17"/>
  <c r="AK12" i="17" s="1"/>
  <c r="AB12" i="17"/>
  <c r="Y12" i="17"/>
  <c r="V12" i="17"/>
  <c r="EH12" i="17" s="1"/>
  <c r="S12" i="17"/>
  <c r="P12" i="17"/>
  <c r="M12" i="17"/>
  <c r="J12" i="17"/>
  <c r="G12" i="17"/>
  <c r="D12" i="17"/>
  <c r="A12" i="17"/>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EL11" i="17"/>
  <c r="EI11" i="17"/>
  <c r="EG11" i="17"/>
  <c r="DW11" i="17"/>
  <c r="DW42" i="17" s="1"/>
  <c r="DT11" i="17"/>
  <c r="DT42" i="17" s="1"/>
  <c r="DQ11" i="17"/>
  <c r="DN11" i="17"/>
  <c r="DK11" i="17"/>
  <c r="DK42" i="17" s="1"/>
  <c r="DH11" i="17"/>
  <c r="DH42" i="17" s="1"/>
  <c r="DE11" i="17"/>
  <c r="DB11" i="17"/>
  <c r="CY11" i="17"/>
  <c r="CY42" i="17" s="1"/>
  <c r="CV11" i="17"/>
  <c r="CV42" i="17" s="1"/>
  <c r="CS11" i="17"/>
  <c r="CP11" i="17"/>
  <c r="CM11" i="17"/>
  <c r="CJ11" i="17"/>
  <c r="CJ42" i="17" s="1"/>
  <c r="CG11" i="17"/>
  <c r="CD11" i="17"/>
  <c r="CA11" i="17"/>
  <c r="CA42" i="17" s="1"/>
  <c r="BX11" i="17"/>
  <c r="BX42" i="17" s="1"/>
  <c r="BU11" i="17"/>
  <c r="BR11" i="17"/>
  <c r="BO11" i="17"/>
  <c r="BO42" i="17" s="1"/>
  <c r="BL11" i="17"/>
  <c r="BL42" i="17" s="1"/>
  <c r="BI11" i="17"/>
  <c r="BF11" i="17"/>
  <c r="BC11" i="17"/>
  <c r="BC42" i="17" s="1"/>
  <c r="AZ11" i="17"/>
  <c r="AZ42" i="17" s="1"/>
  <c r="AW11" i="17"/>
  <c r="AR11" i="17"/>
  <c r="AT11" i="17" s="1"/>
  <c r="AT42" i="17" s="1"/>
  <c r="AQ11" i="17"/>
  <c r="AQ42" i="17" s="1"/>
  <c r="AO11" i="17"/>
  <c r="AL11" i="17"/>
  <c r="EB11" i="17" s="1"/>
  <c r="AK11" i="17"/>
  <c r="AI11" i="17"/>
  <c r="AE42" i="17"/>
  <c r="AB11" i="17"/>
  <c r="AB42" i="17" s="1"/>
  <c r="Y11" i="17"/>
  <c r="V11" i="17"/>
  <c r="S11" i="17"/>
  <c r="EH11" i="17" s="1"/>
  <c r="P11" i="17"/>
  <c r="P42" i="17" s="1"/>
  <c r="M11" i="17"/>
  <c r="J11" i="17"/>
  <c r="G11" i="17"/>
  <c r="G42" i="17" s="1"/>
  <c r="D11" i="17"/>
  <c r="D42" i="17" s="1"/>
  <c r="EI5" i="17"/>
  <c r="EI3" i="17"/>
  <c r="EI4" i="17" s="1"/>
  <c r="EN2" i="17"/>
  <c r="EP2" i="17" s="1"/>
  <c r="EE2" i="17"/>
  <c r="EQ2" i="17" s="1"/>
  <c r="G4" i="17" s="1"/>
  <c r="EC13" i="18" l="1"/>
  <c r="ED16" i="18"/>
  <c r="EM13" i="18"/>
  <c r="ED21" i="18"/>
  <c r="EC11" i="18"/>
  <c r="EC22" i="18"/>
  <c r="EE22" i="18"/>
  <c r="ED38" i="18"/>
  <c r="D41" i="18"/>
  <c r="ED11" i="18"/>
  <c r="EM11" i="18"/>
  <c r="EK16" i="18"/>
  <c r="EE17" i="18"/>
  <c r="EC18" i="18"/>
  <c r="EC25" i="18"/>
  <c r="EC28" i="18"/>
  <c r="EC29" i="18"/>
  <c r="EE29" i="18"/>
  <c r="EE36" i="18"/>
  <c r="EI3" i="18"/>
  <c r="EI4" i="18" s="1"/>
  <c r="EI5" i="18"/>
  <c r="BF41" i="18"/>
  <c r="CD41" i="18"/>
  <c r="EH16" i="18"/>
  <c r="EB16" i="18"/>
  <c r="AN16" i="18"/>
  <c r="EC17" i="18"/>
  <c r="EN22" i="18"/>
  <c r="EM23" i="18"/>
  <c r="EN23" i="18" s="1"/>
  <c r="ED26" i="18"/>
  <c r="EK34" i="18"/>
  <c r="EN34" i="18" s="1"/>
  <c r="EM35" i="18"/>
  <c r="EM36" i="18"/>
  <c r="AN37" i="18"/>
  <c r="EB37" i="18"/>
  <c r="EB39" i="18"/>
  <c r="ED40" i="18"/>
  <c r="EB40" i="18"/>
  <c r="J41" i="18"/>
  <c r="AH41" i="18"/>
  <c r="AN11" i="18"/>
  <c r="AW41" i="18"/>
  <c r="BI41" i="18"/>
  <c r="BU41" i="18"/>
  <c r="CG41" i="18"/>
  <c r="CS41" i="18"/>
  <c r="DE41" i="18"/>
  <c r="DQ41" i="18"/>
  <c r="EK11" i="18"/>
  <c r="EB12" i="18"/>
  <c r="EK14" i="18"/>
  <c r="ED15" i="18"/>
  <c r="EB15" i="18"/>
  <c r="EM16" i="18"/>
  <c r="EM19" i="18"/>
  <c r="EN19" i="18" s="1"/>
  <c r="ED23" i="18"/>
  <c r="EM24" i="18"/>
  <c r="EN24" i="18" s="1"/>
  <c r="EM26" i="18"/>
  <c r="EB32" i="18"/>
  <c r="EB33" i="18"/>
  <c r="AT33" i="18"/>
  <c r="AT41" i="18" s="1"/>
  <c r="EH34" i="18"/>
  <c r="EB34" i="18"/>
  <c r="EK38" i="18"/>
  <c r="EN38" i="18" s="1"/>
  <c r="EM39" i="18"/>
  <c r="S41" i="18"/>
  <c r="AK41" i="18"/>
  <c r="EE13" i="18"/>
  <c r="EM14" i="18"/>
  <c r="EC19" i="18"/>
  <c r="EK27" i="18"/>
  <c r="EN27" i="18" s="1"/>
  <c r="EM33" i="18"/>
  <c r="DB41" i="18"/>
  <c r="AQ12" i="18"/>
  <c r="AQ41" i="18" s="1"/>
  <c r="EK15" i="18"/>
  <c r="EN15" i="18" s="1"/>
  <c r="EH25" i="18"/>
  <c r="EE25" i="18"/>
  <c r="EM30" i="18"/>
  <c r="EM37" i="18"/>
  <c r="EH12" i="18"/>
  <c r="EH41" i="18" s="1"/>
  <c r="ED13" i="18"/>
  <c r="EK13" i="18"/>
  <c r="EH14" i="18"/>
  <c r="EB14" i="18"/>
  <c r="AN14" i="18"/>
  <c r="ED14" i="18" s="1"/>
  <c r="EK17" i="18"/>
  <c r="EN17" i="18" s="1"/>
  <c r="EH18" i="18"/>
  <c r="ED19" i="18"/>
  <c r="EE19" i="18" s="1"/>
  <c r="AN22" i="18"/>
  <c r="EE23" i="18"/>
  <c r="EC23" i="18"/>
  <c r="EK25" i="18"/>
  <c r="ED27" i="18"/>
  <c r="EE30" i="18"/>
  <c r="EK33" i="18"/>
  <c r="EN33" i="18" s="1"/>
  <c r="EE35" i="18"/>
  <c r="EK36" i="18"/>
  <c r="EN36" i="18" s="1"/>
  <c r="EH39" i="18"/>
  <c r="EK20" i="18"/>
  <c r="EB21" i="18"/>
  <c r="EK21" i="18"/>
  <c r="EN21" i="18" s="1"/>
  <c r="EB24" i="18"/>
  <c r="EM25" i="18"/>
  <c r="EK26" i="18"/>
  <c r="EB27" i="18"/>
  <c r="ED28" i="18"/>
  <c r="EE28" i="18" s="1"/>
  <c r="EN28" i="18"/>
  <c r="EH29" i="18"/>
  <c r="EK31" i="18"/>
  <c r="EN31" i="18" s="1"/>
  <c r="ED33" i="18"/>
  <c r="EM34" i="18"/>
  <c r="EK37" i="18"/>
  <c r="EH38" i="18"/>
  <c r="EB38" i="18"/>
  <c r="M41" i="18"/>
  <c r="Y41" i="18"/>
  <c r="AZ41" i="18"/>
  <c r="BL41" i="18"/>
  <c r="BX41" i="18"/>
  <c r="CJ41" i="18"/>
  <c r="CV41" i="18"/>
  <c r="DH41" i="18"/>
  <c r="DT41" i="18"/>
  <c r="ED18" i="18"/>
  <c r="EE18" i="18" s="1"/>
  <c r="EM18" i="18"/>
  <c r="EN18" i="18" s="1"/>
  <c r="AN20" i="18"/>
  <c r="ED20" i="18" s="1"/>
  <c r="EE20" i="18" s="1"/>
  <c r="ED22" i="18"/>
  <c r="EM22" i="18"/>
  <c r="EH26" i="18"/>
  <c r="EB26" i="18"/>
  <c r="EM29" i="18"/>
  <c r="EN29" i="18" s="1"/>
  <c r="EK30" i="18"/>
  <c r="EN30" i="18" s="1"/>
  <c r="EB31" i="18"/>
  <c r="ED32" i="18"/>
  <c r="EK32" i="18"/>
  <c r="EN32" i="18" s="1"/>
  <c r="EH33" i="18"/>
  <c r="EK35" i="18"/>
  <c r="ED37" i="18"/>
  <c r="EM38" i="18"/>
  <c r="EK40" i="18"/>
  <c r="EK39" i="18"/>
  <c r="EM16" i="17"/>
  <c r="EM15" i="17"/>
  <c r="ED12" i="17"/>
  <c r="EE12" i="17" s="1"/>
  <c r="EM13" i="17"/>
  <c r="EN13" i="17" s="1"/>
  <c r="ED17" i="17"/>
  <c r="ED13" i="17"/>
  <c r="ED14" i="17"/>
  <c r="EM14" i="17"/>
  <c r="ED15" i="17"/>
  <c r="ED16" i="17"/>
  <c r="EE16" i="17" s="1"/>
  <c r="AK42" i="17"/>
  <c r="EB13" i="17"/>
  <c r="EK14" i="17"/>
  <c r="EN14" i="17" s="1"/>
  <c r="EK11" i="17"/>
  <c r="EB14" i="17"/>
  <c r="EK15" i="17"/>
  <c r="EN15" i="17" s="1"/>
  <c r="AN17" i="17"/>
  <c r="EE18" i="17"/>
  <c r="EC18" i="17"/>
  <c r="EH19" i="17"/>
  <c r="EE22" i="17"/>
  <c r="EC22" i="17"/>
  <c r="EH23" i="17"/>
  <c r="EM23" i="17"/>
  <c r="EE26" i="17"/>
  <c r="EC26" i="17"/>
  <c r="EH27" i="17"/>
  <c r="EM27" i="17"/>
  <c r="EN29" i="17"/>
  <c r="EE30" i="17"/>
  <c r="EC30" i="17"/>
  <c r="EH31" i="17"/>
  <c r="EM31" i="17"/>
  <c r="EE34" i="17"/>
  <c r="EC34" i="17"/>
  <c r="EH35" i="17"/>
  <c r="EM35" i="17"/>
  <c r="EE38" i="17"/>
  <c r="EC38" i="17"/>
  <c r="EH39" i="17"/>
  <c r="EM39" i="17"/>
  <c r="EB17" i="17"/>
  <c r="EE19" i="17"/>
  <c r="EC19" i="17"/>
  <c r="EE23" i="17"/>
  <c r="EC23" i="17"/>
  <c r="EE27" i="17"/>
  <c r="EC27" i="17"/>
  <c r="EE35" i="17"/>
  <c r="EC35" i="17"/>
  <c r="J42" i="17"/>
  <c r="V42" i="17"/>
  <c r="AH42" i="17"/>
  <c r="AN11" i="17"/>
  <c r="AN42" i="17" s="1"/>
  <c r="BF42" i="17"/>
  <c r="BR42" i="17"/>
  <c r="CD42" i="17"/>
  <c r="CP42" i="17"/>
  <c r="DB42" i="17"/>
  <c r="DN42" i="17"/>
  <c r="EK12" i="17"/>
  <c r="EN12" i="17" s="1"/>
  <c r="EB15" i="17"/>
  <c r="EK16" i="17"/>
  <c r="EM17" i="17"/>
  <c r="EN17" i="17" s="1"/>
  <c r="EH18" i="17"/>
  <c r="EM19" i="17"/>
  <c r="EE21" i="17"/>
  <c r="EC21" i="17"/>
  <c r="EH22" i="17"/>
  <c r="EM22" i="17"/>
  <c r="EN22" i="17" s="1"/>
  <c r="EN24" i="17"/>
  <c r="EE25" i="17"/>
  <c r="EC25" i="17"/>
  <c r="EH26" i="17"/>
  <c r="EM26" i="17"/>
  <c r="EN28" i="17"/>
  <c r="EE29" i="17"/>
  <c r="EC29" i="17"/>
  <c r="EH30" i="17"/>
  <c r="EM30" i="17"/>
  <c r="EN30" i="17" s="1"/>
  <c r="EN32" i="17"/>
  <c r="EE33" i="17"/>
  <c r="EC33" i="17"/>
  <c r="EH34" i="17"/>
  <c r="EM34" i="17"/>
  <c r="EN36" i="17"/>
  <c r="EE37" i="17"/>
  <c r="EC37" i="17"/>
  <c r="EH38" i="17"/>
  <c r="EM38" i="17"/>
  <c r="EN38" i="17" s="1"/>
  <c r="EE41" i="17"/>
  <c r="EC41" i="17"/>
  <c r="S42" i="17"/>
  <c r="EN26" i="17"/>
  <c r="EE31" i="17"/>
  <c r="EC31" i="17"/>
  <c r="EN34" i="17"/>
  <c r="EE39" i="17"/>
  <c r="EC39" i="17"/>
  <c r="EI2" i="17"/>
  <c r="M42" i="17"/>
  <c r="Y42" i="17"/>
  <c r="AW42" i="17"/>
  <c r="BI42" i="17"/>
  <c r="BU42" i="17"/>
  <c r="CG42" i="17"/>
  <c r="CS42" i="17"/>
  <c r="DE42" i="17"/>
  <c r="DQ42" i="17"/>
  <c r="EM11" i="17"/>
  <c r="EM18" i="17"/>
  <c r="EN18" i="17" s="1"/>
  <c r="EN19" i="17"/>
  <c r="EE20" i="17"/>
  <c r="EC20" i="17"/>
  <c r="EH21" i="17"/>
  <c r="EH42" i="17" s="1"/>
  <c r="EM21" i="17"/>
  <c r="EN21" i="17" s="1"/>
  <c r="EN23" i="17"/>
  <c r="EE24" i="17"/>
  <c r="EC24" i="17"/>
  <c r="EH25" i="17"/>
  <c r="EM25" i="17"/>
  <c r="EN25" i="17" s="1"/>
  <c r="EN27" i="17"/>
  <c r="EE28" i="17"/>
  <c r="EC28" i="17"/>
  <c r="EH29" i="17"/>
  <c r="EM29" i="17"/>
  <c r="EN31" i="17"/>
  <c r="EE32" i="17"/>
  <c r="EC32" i="17"/>
  <c r="EH33" i="17"/>
  <c r="EM33" i="17"/>
  <c r="EN33" i="17" s="1"/>
  <c r="EN35" i="17"/>
  <c r="EE36" i="17"/>
  <c r="EC36" i="17"/>
  <c r="EH37" i="17"/>
  <c r="EM37" i="17"/>
  <c r="EN37" i="17" s="1"/>
  <c r="EN39" i="17"/>
  <c r="EE40" i="17"/>
  <c r="EC40" i="17"/>
  <c r="EH41" i="17"/>
  <c r="EM41" i="17"/>
  <c r="EN41" i="17" s="1"/>
  <c r="EC26" i="18" l="1"/>
  <c r="EE26" i="18"/>
  <c r="EE24" i="18"/>
  <c r="EC24" i="18"/>
  <c r="EC14" i="18"/>
  <c r="EE14" i="18"/>
  <c r="EE39" i="18"/>
  <c r="EC39" i="18"/>
  <c r="EN35" i="18"/>
  <c r="EE27" i="18"/>
  <c r="EC27" i="18"/>
  <c r="EC37" i="18"/>
  <c r="EE37" i="18"/>
  <c r="EE11" i="18"/>
  <c r="EN40" i="18"/>
  <c r="EN2" i="18"/>
  <c r="EP2" i="18" s="1"/>
  <c r="EN37" i="18"/>
  <c r="EN26" i="18"/>
  <c r="EE21" i="18"/>
  <c r="EC21" i="18"/>
  <c r="EC35" i="18"/>
  <c r="EN13" i="18"/>
  <c r="EC34" i="18"/>
  <c r="EE34" i="18"/>
  <c r="EE32" i="18"/>
  <c r="EC32" i="18"/>
  <c r="EC12" i="18"/>
  <c r="EE40" i="18"/>
  <c r="EE2" i="18"/>
  <c r="EQ2" i="18" s="1"/>
  <c r="G4" i="18" s="1"/>
  <c r="EC40" i="18"/>
  <c r="EM20" i="18"/>
  <c r="EN16" i="18"/>
  <c r="EE3" i="18"/>
  <c r="ED12" i="18"/>
  <c r="EE12" i="18" s="1"/>
  <c r="EC38" i="18"/>
  <c r="EE38" i="18"/>
  <c r="EN39" i="18"/>
  <c r="EE31" i="18"/>
  <c r="EC31" i="18"/>
  <c r="EC33" i="18"/>
  <c r="EE33" i="18"/>
  <c r="EN14" i="18"/>
  <c r="EC36" i="18"/>
  <c r="EN20" i="18"/>
  <c r="EN25" i="18"/>
  <c r="EC20" i="18"/>
  <c r="EE15" i="18"/>
  <c r="EC15" i="18"/>
  <c r="EN11" i="18"/>
  <c r="EN5" i="18"/>
  <c r="EN3" i="18"/>
  <c r="AN41" i="18"/>
  <c r="EC16" i="18"/>
  <c r="EE16" i="18"/>
  <c r="EC30" i="18"/>
  <c r="EM12" i="18"/>
  <c r="EN12" i="18" s="1"/>
  <c r="EE5" i="18"/>
  <c r="G7" i="18" s="1"/>
  <c r="EE17" i="17"/>
  <c r="EC17" i="17"/>
  <c r="EE13" i="17"/>
  <c r="EC13" i="17"/>
  <c r="EE3" i="17"/>
  <c r="EM42" i="17"/>
  <c r="EN16" i="17"/>
  <c r="EN3" i="17"/>
  <c r="EN4" i="17" s="1"/>
  <c r="EN5" i="17"/>
  <c r="EN11" i="17"/>
  <c r="ED11" i="17"/>
  <c r="EC16" i="17"/>
  <c r="EE5" i="17"/>
  <c r="G7" i="17" s="1"/>
  <c r="EC15" i="17"/>
  <c r="EE15" i="17"/>
  <c r="EC12" i="17"/>
  <c r="EC11" i="17"/>
  <c r="EE14" i="17"/>
  <c r="EC14" i="17"/>
  <c r="EM41" i="18" l="1"/>
  <c r="G5" i="18"/>
  <c r="EE4" i="18"/>
  <c r="G6" i="18" s="1"/>
  <c r="EN4" i="18"/>
  <c r="ED41" i="18"/>
  <c r="ED42" i="17"/>
  <c r="EE11" i="17"/>
  <c r="EE4" i="17"/>
  <c r="G6" i="17" s="1"/>
  <c r="G5" i="17"/>
  <c r="EL41" i="16" l="1"/>
  <c r="EG41" i="16"/>
  <c r="EI41" i="16" s="1"/>
  <c r="EB41" i="16"/>
  <c r="DW41" i="16"/>
  <c r="DT41" i="16"/>
  <c r="DQ41" i="16"/>
  <c r="DN41" i="16"/>
  <c r="DK41" i="16"/>
  <c r="DH41" i="16"/>
  <c r="DE41" i="16"/>
  <c r="DB41" i="16"/>
  <c r="CY41" i="16"/>
  <c r="CV41" i="16"/>
  <c r="CS41" i="16"/>
  <c r="CP41" i="16"/>
  <c r="CM41" i="16"/>
  <c r="CJ41" i="16"/>
  <c r="CG41" i="16"/>
  <c r="CD41" i="16"/>
  <c r="CA41" i="16"/>
  <c r="BX41" i="16"/>
  <c r="BU41" i="16"/>
  <c r="BR41" i="16"/>
  <c r="BO41" i="16"/>
  <c r="BL41" i="16"/>
  <c r="BI41" i="16"/>
  <c r="BF41" i="16"/>
  <c r="BC41" i="16"/>
  <c r="AZ41" i="16"/>
  <c r="AW41" i="16"/>
  <c r="AT41" i="16"/>
  <c r="AQ41" i="16"/>
  <c r="AN41" i="16"/>
  <c r="AI41" i="16"/>
  <c r="AB41" i="16"/>
  <c r="Y41" i="16"/>
  <c r="V41" i="16"/>
  <c r="S41" i="16"/>
  <c r="EH41" i="16" s="1"/>
  <c r="P41" i="16"/>
  <c r="M41" i="16"/>
  <c r="J41" i="16"/>
  <c r="G41" i="16"/>
  <c r="D41" i="16"/>
  <c r="EL40" i="16"/>
  <c r="EK40" i="16"/>
  <c r="EI40" i="16"/>
  <c r="EG40" i="16"/>
  <c r="DW40" i="16"/>
  <c r="DT40" i="16"/>
  <c r="EM40" i="16" s="1"/>
  <c r="DQ40" i="16"/>
  <c r="DN40" i="16"/>
  <c r="DK40" i="16"/>
  <c r="DH40" i="16"/>
  <c r="DE40" i="16"/>
  <c r="DB40" i="16"/>
  <c r="CY40" i="16"/>
  <c r="CV40" i="16"/>
  <c r="CS40" i="16"/>
  <c r="CP40" i="16"/>
  <c r="CM40" i="16"/>
  <c r="CJ40" i="16"/>
  <c r="CG40" i="16"/>
  <c r="CD40" i="16"/>
  <c r="CA40" i="16"/>
  <c r="BX40" i="16"/>
  <c r="BU40" i="16"/>
  <c r="BR40" i="16"/>
  <c r="BO40" i="16"/>
  <c r="BL40" i="16"/>
  <c r="BI40" i="16"/>
  <c r="BF40" i="16"/>
  <c r="BC40" i="16"/>
  <c r="AZ40" i="16"/>
  <c r="AW40" i="16"/>
  <c r="AT40" i="16"/>
  <c r="AQ40" i="16"/>
  <c r="AN40" i="16"/>
  <c r="AK40" i="16"/>
  <c r="AI40" i="16"/>
  <c r="EB40" i="16" s="1"/>
  <c r="AB40" i="16"/>
  <c r="Y40" i="16"/>
  <c r="V40" i="16"/>
  <c r="S40" i="16"/>
  <c r="EH40" i="16" s="1"/>
  <c r="P40" i="16"/>
  <c r="M40" i="16"/>
  <c r="J40" i="16"/>
  <c r="G40" i="16"/>
  <c r="D40" i="16"/>
  <c r="EL39" i="16"/>
  <c r="EI39" i="16"/>
  <c r="EG39" i="16"/>
  <c r="DW39" i="16"/>
  <c r="DT39" i="16"/>
  <c r="DQ39" i="16"/>
  <c r="DN39" i="16"/>
  <c r="DK39" i="16"/>
  <c r="DH39" i="16"/>
  <c r="DE39" i="16"/>
  <c r="DB39" i="16"/>
  <c r="CY39" i="16"/>
  <c r="CV39" i="16"/>
  <c r="CS39" i="16"/>
  <c r="CP39" i="16"/>
  <c r="CM39" i="16"/>
  <c r="CJ39" i="16"/>
  <c r="CG39" i="16"/>
  <c r="CD39" i="16"/>
  <c r="CA39" i="16"/>
  <c r="BX39" i="16"/>
  <c r="BU39" i="16"/>
  <c r="BR39" i="16"/>
  <c r="BO39" i="16"/>
  <c r="BL39" i="16"/>
  <c r="BI39" i="16"/>
  <c r="BF39" i="16"/>
  <c r="BC39" i="16"/>
  <c r="AZ39" i="16"/>
  <c r="AW39" i="16"/>
  <c r="AT39" i="16"/>
  <c r="AQ39" i="16"/>
  <c r="AN39" i="16"/>
  <c r="AI39" i="16"/>
  <c r="AK39" i="16" s="1"/>
  <c r="AB39" i="16"/>
  <c r="Y39" i="16"/>
  <c r="V39" i="16"/>
  <c r="S39" i="16"/>
  <c r="EH39" i="16" s="1"/>
  <c r="P39" i="16"/>
  <c r="M39" i="16"/>
  <c r="J39" i="16"/>
  <c r="G39" i="16"/>
  <c r="ED39" i="16" s="1"/>
  <c r="D39" i="16"/>
  <c r="EL38" i="16"/>
  <c r="EG38" i="16"/>
  <c r="EI38" i="16" s="1"/>
  <c r="DW38" i="16"/>
  <c r="DT38" i="16"/>
  <c r="DQ38" i="16"/>
  <c r="EM38" i="16" s="1"/>
  <c r="DN38" i="16"/>
  <c r="DK38" i="16"/>
  <c r="DH38" i="16"/>
  <c r="DE38" i="16"/>
  <c r="DB38" i="16"/>
  <c r="CY38" i="16"/>
  <c r="CV38" i="16"/>
  <c r="CS38" i="16"/>
  <c r="CP38" i="16"/>
  <c r="CM38" i="16"/>
  <c r="CJ38" i="16"/>
  <c r="CG38" i="16"/>
  <c r="CD38" i="16"/>
  <c r="CA38" i="16"/>
  <c r="BX38" i="16"/>
  <c r="BU38" i="16"/>
  <c r="BR38" i="16"/>
  <c r="BO38" i="16"/>
  <c r="BL38" i="16"/>
  <c r="BI38" i="16"/>
  <c r="BF38" i="16"/>
  <c r="BC38" i="16"/>
  <c r="AZ38" i="16"/>
  <c r="AW38" i="16"/>
  <c r="AT38" i="16"/>
  <c r="AQ38" i="16"/>
  <c r="AN38" i="16"/>
  <c r="AK38" i="16"/>
  <c r="AI38" i="16"/>
  <c r="EB38" i="16" s="1"/>
  <c r="AB38" i="16"/>
  <c r="EH38" i="16" s="1"/>
  <c r="Y38" i="16"/>
  <c r="V38" i="16"/>
  <c r="S38" i="16"/>
  <c r="P38" i="16"/>
  <c r="M38" i="16"/>
  <c r="J38" i="16"/>
  <c r="G38" i="16"/>
  <c r="D38" i="16"/>
  <c r="ED38" i="16" s="1"/>
  <c r="EL37" i="16"/>
  <c r="EG37" i="16"/>
  <c r="EI37" i="16" s="1"/>
  <c r="EB37" i="16"/>
  <c r="DW37" i="16"/>
  <c r="DT37" i="16"/>
  <c r="DQ37" i="16"/>
  <c r="DN37" i="16"/>
  <c r="DK37" i="16"/>
  <c r="DH37" i="16"/>
  <c r="DE37" i="16"/>
  <c r="DB37" i="16"/>
  <c r="CY37" i="16"/>
  <c r="CV37" i="16"/>
  <c r="CS37" i="16"/>
  <c r="CP37" i="16"/>
  <c r="CM37" i="16"/>
  <c r="CJ37" i="16"/>
  <c r="CG37" i="16"/>
  <c r="CD37" i="16"/>
  <c r="CA37" i="16"/>
  <c r="BX37" i="16"/>
  <c r="BU37" i="16"/>
  <c r="BR37" i="16"/>
  <c r="BO37" i="16"/>
  <c r="BL37" i="16"/>
  <c r="BI37" i="16"/>
  <c r="BF37" i="16"/>
  <c r="BC37" i="16"/>
  <c r="AZ37" i="16"/>
  <c r="AW37" i="16"/>
  <c r="AT37" i="16"/>
  <c r="AQ37" i="16"/>
  <c r="AN37" i="16"/>
  <c r="AI37" i="16"/>
  <c r="AB37" i="16"/>
  <c r="Y37" i="16"/>
  <c r="V37" i="16"/>
  <c r="S37" i="16"/>
  <c r="EH37" i="16" s="1"/>
  <c r="P37" i="16"/>
  <c r="M37" i="16"/>
  <c r="J37" i="16"/>
  <c r="G37" i="16"/>
  <c r="D37" i="16"/>
  <c r="EL36" i="16"/>
  <c r="EK36" i="16"/>
  <c r="EI36" i="16"/>
  <c r="EG36" i="16"/>
  <c r="DW36" i="16"/>
  <c r="DT36" i="16"/>
  <c r="DQ36" i="16"/>
  <c r="DN36" i="16"/>
  <c r="DK36" i="16"/>
  <c r="DH36" i="16"/>
  <c r="DE36" i="16"/>
  <c r="DB36" i="16"/>
  <c r="CY36" i="16"/>
  <c r="CV36" i="16"/>
  <c r="CS36" i="16"/>
  <c r="CP36" i="16"/>
  <c r="CM36" i="16"/>
  <c r="CJ36" i="16"/>
  <c r="CG36" i="16"/>
  <c r="CD36" i="16"/>
  <c r="CA36" i="16"/>
  <c r="BX36" i="16"/>
  <c r="BU36" i="16"/>
  <c r="BR36" i="16"/>
  <c r="BO36" i="16"/>
  <c r="BL36" i="16"/>
  <c r="BI36" i="16"/>
  <c r="BF36" i="16"/>
  <c r="BC36" i="16"/>
  <c r="AZ36" i="16"/>
  <c r="AW36" i="16"/>
  <c r="AT36" i="16"/>
  <c r="AQ36" i="16"/>
  <c r="AN36" i="16"/>
  <c r="AI36" i="16"/>
  <c r="AK36" i="16" s="1"/>
  <c r="AB36" i="16"/>
  <c r="Y36" i="16"/>
  <c r="V36" i="16"/>
  <c r="S36" i="16"/>
  <c r="EH36" i="16" s="1"/>
  <c r="P36" i="16"/>
  <c r="M36" i="16"/>
  <c r="J36" i="16"/>
  <c r="G36" i="16"/>
  <c r="D36" i="16"/>
  <c r="EL35" i="16"/>
  <c r="EI35" i="16"/>
  <c r="EG35" i="16"/>
  <c r="DW35" i="16"/>
  <c r="DT35" i="16"/>
  <c r="DQ35" i="16"/>
  <c r="DN35" i="16"/>
  <c r="DK35" i="16"/>
  <c r="DH35" i="16"/>
  <c r="DE35" i="16"/>
  <c r="DB35" i="16"/>
  <c r="CY35" i="16"/>
  <c r="CV35" i="16"/>
  <c r="CS35" i="16"/>
  <c r="CP35" i="16"/>
  <c r="CM35" i="16"/>
  <c r="CJ35" i="16"/>
  <c r="CG35" i="16"/>
  <c r="CD35" i="16"/>
  <c r="CA35" i="16"/>
  <c r="BX35" i="16"/>
  <c r="BU35" i="16"/>
  <c r="BR35" i="16"/>
  <c r="BO35" i="16"/>
  <c r="BL35" i="16"/>
  <c r="BI35" i="16"/>
  <c r="BF35" i="16"/>
  <c r="BC35" i="16"/>
  <c r="AZ35" i="16"/>
  <c r="AW35" i="16"/>
  <c r="AT35" i="16"/>
  <c r="AQ35" i="16"/>
  <c r="AN35" i="16"/>
  <c r="AK35" i="16"/>
  <c r="AI35" i="16"/>
  <c r="EB35" i="16" s="1"/>
  <c r="AB35" i="16"/>
  <c r="Y35" i="16"/>
  <c r="V35" i="16"/>
  <c r="S35" i="16"/>
  <c r="P35" i="16"/>
  <c r="M35" i="16"/>
  <c r="J35" i="16"/>
  <c r="G35" i="16"/>
  <c r="ED35" i="16" s="1"/>
  <c r="D35" i="16"/>
  <c r="EM34" i="16"/>
  <c r="EL34" i="16"/>
  <c r="EH34" i="16"/>
  <c r="EG34" i="16"/>
  <c r="EI34" i="16" s="1"/>
  <c r="DW34" i="16"/>
  <c r="DT34" i="16"/>
  <c r="DQ34" i="16"/>
  <c r="DN34" i="16"/>
  <c r="DK34" i="16"/>
  <c r="DH34" i="16"/>
  <c r="DE34" i="16"/>
  <c r="DB34" i="16"/>
  <c r="CY34" i="16"/>
  <c r="CV34" i="16"/>
  <c r="CS34" i="16"/>
  <c r="CP34" i="16"/>
  <c r="CM34" i="16"/>
  <c r="CJ34" i="16"/>
  <c r="CG34" i="16"/>
  <c r="CD34" i="16"/>
  <c r="CA34" i="16"/>
  <c r="BX34" i="16"/>
  <c r="BU34" i="16"/>
  <c r="BR34" i="16"/>
  <c r="BO34" i="16"/>
  <c r="BL34" i="16"/>
  <c r="BI34" i="16"/>
  <c r="BF34" i="16"/>
  <c r="BC34" i="16"/>
  <c r="AZ34" i="16"/>
  <c r="AW34" i="16"/>
  <c r="AT34" i="16"/>
  <c r="AQ34" i="16"/>
  <c r="AN34" i="16"/>
  <c r="AK34" i="16"/>
  <c r="AI34" i="16"/>
  <c r="EB34" i="16" s="1"/>
  <c r="EE34" i="16" s="1"/>
  <c r="AB34" i="16"/>
  <c r="Y34" i="16"/>
  <c r="V34" i="16"/>
  <c r="S34" i="16"/>
  <c r="P34" i="16"/>
  <c r="M34" i="16"/>
  <c r="J34" i="16"/>
  <c r="G34" i="16"/>
  <c r="D34" i="16"/>
  <c r="ED34" i="16" s="1"/>
  <c r="EL33" i="16"/>
  <c r="EG33" i="16"/>
  <c r="EI33" i="16" s="1"/>
  <c r="EB33" i="16"/>
  <c r="DW33" i="16"/>
  <c r="DT33" i="16"/>
  <c r="DQ33" i="16"/>
  <c r="DN33" i="16"/>
  <c r="DK33" i="16"/>
  <c r="DH33" i="16"/>
  <c r="DE33" i="16"/>
  <c r="DB33" i="16"/>
  <c r="CY33" i="16"/>
  <c r="CV33" i="16"/>
  <c r="CS33" i="16"/>
  <c r="CP33" i="16"/>
  <c r="CM33" i="16"/>
  <c r="CJ33" i="16"/>
  <c r="CG33" i="16"/>
  <c r="CD33" i="16"/>
  <c r="CA33" i="16"/>
  <c r="BX33" i="16"/>
  <c r="BU33" i="16"/>
  <c r="BR33" i="16"/>
  <c r="BO33" i="16"/>
  <c r="BL33" i="16"/>
  <c r="BI33" i="16"/>
  <c r="BF33" i="16"/>
  <c r="BC33" i="16"/>
  <c r="AZ33" i="16"/>
  <c r="AW33" i="16"/>
  <c r="AT33" i="16"/>
  <c r="AQ33" i="16"/>
  <c r="AN33" i="16"/>
  <c r="AI33" i="16"/>
  <c r="AB33" i="16"/>
  <c r="Y33" i="16"/>
  <c r="V33" i="16"/>
  <c r="S33" i="16"/>
  <c r="P33" i="16"/>
  <c r="M33" i="16"/>
  <c r="J33" i="16"/>
  <c r="G33" i="16"/>
  <c r="D33" i="16"/>
  <c r="EL32" i="16"/>
  <c r="EK32" i="16"/>
  <c r="EG32" i="16"/>
  <c r="EI32" i="16" s="1"/>
  <c r="DW32" i="16"/>
  <c r="DT32" i="16"/>
  <c r="DQ32" i="16"/>
  <c r="DN32" i="16"/>
  <c r="DK32" i="16"/>
  <c r="DH32" i="16"/>
  <c r="DE32" i="16"/>
  <c r="DB32" i="16"/>
  <c r="CY32" i="16"/>
  <c r="CV32" i="16"/>
  <c r="CS32" i="16"/>
  <c r="CP32" i="16"/>
  <c r="CM32" i="16"/>
  <c r="CM42" i="16" s="1"/>
  <c r="CJ32" i="16"/>
  <c r="CG32" i="16"/>
  <c r="CD32" i="16"/>
  <c r="CA32" i="16"/>
  <c r="BX32" i="16"/>
  <c r="BU32" i="16"/>
  <c r="BR32" i="16"/>
  <c r="BO32" i="16"/>
  <c r="BL32" i="16"/>
  <c r="BI32" i="16"/>
  <c r="BF32" i="16"/>
  <c r="BC32" i="16"/>
  <c r="AZ32" i="16"/>
  <c r="AW32" i="16"/>
  <c r="AT32" i="16"/>
  <c r="AQ32" i="16"/>
  <c r="AN32" i="16"/>
  <c r="AI32" i="16"/>
  <c r="AK32" i="16" s="1"/>
  <c r="AB32" i="16"/>
  <c r="Y32" i="16"/>
  <c r="V32" i="16"/>
  <c r="S32" i="16"/>
  <c r="EH32" i="16" s="1"/>
  <c r="P32" i="16"/>
  <c r="M32" i="16"/>
  <c r="J32" i="16"/>
  <c r="G32" i="16"/>
  <c r="D32" i="16"/>
  <c r="EL31" i="16"/>
  <c r="EI31" i="16"/>
  <c r="EG31" i="16"/>
  <c r="DW31" i="16"/>
  <c r="DT31" i="16"/>
  <c r="DQ31" i="16"/>
  <c r="DN31" i="16"/>
  <c r="DK31" i="16"/>
  <c r="DH31" i="16"/>
  <c r="DE31" i="16"/>
  <c r="DB31" i="16"/>
  <c r="CY31" i="16"/>
  <c r="CV31" i="16"/>
  <c r="CS31" i="16"/>
  <c r="CP31" i="16"/>
  <c r="CM31" i="16"/>
  <c r="CJ31" i="16"/>
  <c r="CG31" i="16"/>
  <c r="CD31" i="16"/>
  <c r="CA31" i="16"/>
  <c r="BX31" i="16"/>
  <c r="BU31" i="16"/>
  <c r="BR31" i="16"/>
  <c r="BO31" i="16"/>
  <c r="BL31" i="16"/>
  <c r="BI31" i="16"/>
  <c r="BF31" i="16"/>
  <c r="BC31" i="16"/>
  <c r="AZ31" i="16"/>
  <c r="AW31" i="16"/>
  <c r="AT31" i="16"/>
  <c r="AQ31" i="16"/>
  <c r="AN31" i="16"/>
  <c r="AK31" i="16"/>
  <c r="AI31" i="16"/>
  <c r="EB31" i="16" s="1"/>
  <c r="AB31" i="16"/>
  <c r="Y31" i="16"/>
  <c r="V31" i="16"/>
  <c r="S31" i="16"/>
  <c r="P31" i="16"/>
  <c r="M31" i="16"/>
  <c r="J31" i="16"/>
  <c r="G31" i="16"/>
  <c r="ED31" i="16" s="1"/>
  <c r="D31" i="16"/>
  <c r="EM30" i="16"/>
  <c r="EL30" i="16"/>
  <c r="EH30" i="16"/>
  <c r="EG30" i="16"/>
  <c r="EI30" i="16" s="1"/>
  <c r="DW30" i="16"/>
  <c r="DT30" i="16"/>
  <c r="DQ30" i="16"/>
  <c r="DN30" i="16"/>
  <c r="DK30" i="16"/>
  <c r="DH30" i="16"/>
  <c r="DE30" i="16"/>
  <c r="DB30" i="16"/>
  <c r="CY30" i="16"/>
  <c r="CV30" i="16"/>
  <c r="CS30" i="16"/>
  <c r="CP30" i="16"/>
  <c r="CM30" i="16"/>
  <c r="CJ30" i="16"/>
  <c r="CG30" i="16"/>
  <c r="CD30" i="16"/>
  <c r="CA30" i="16"/>
  <c r="BX30" i="16"/>
  <c r="BU30" i="16"/>
  <c r="BR30" i="16"/>
  <c r="BO30" i="16"/>
  <c r="BL30" i="16"/>
  <c r="BI30" i="16"/>
  <c r="BF30" i="16"/>
  <c r="BC30" i="16"/>
  <c r="AZ30" i="16"/>
  <c r="AW30" i="16"/>
  <c r="AT30" i="16"/>
  <c r="AQ30" i="16"/>
  <c r="AN30" i="16"/>
  <c r="AK30" i="16"/>
  <c r="AI30" i="16"/>
  <c r="EB30" i="16" s="1"/>
  <c r="EE30" i="16" s="1"/>
  <c r="AB30" i="16"/>
  <c r="Y30" i="16"/>
  <c r="V30" i="16"/>
  <c r="S30" i="16"/>
  <c r="P30" i="16"/>
  <c r="M30" i="16"/>
  <c r="J30" i="16"/>
  <c r="G30" i="16"/>
  <c r="D30" i="16"/>
  <c r="ED30" i="16" s="1"/>
  <c r="EL29" i="16"/>
  <c r="EG29" i="16"/>
  <c r="EI29" i="16" s="1"/>
  <c r="EB29" i="16"/>
  <c r="DW29" i="16"/>
  <c r="DT29" i="16"/>
  <c r="DQ29" i="16"/>
  <c r="DN29" i="16"/>
  <c r="DK29" i="16"/>
  <c r="DH29" i="16"/>
  <c r="DE29" i="16"/>
  <c r="DB29" i="16"/>
  <c r="CY29" i="16"/>
  <c r="CV29" i="16"/>
  <c r="CS29" i="16"/>
  <c r="CP29" i="16"/>
  <c r="CM29" i="16"/>
  <c r="CJ29" i="16"/>
  <c r="CG29" i="16"/>
  <c r="CD29" i="16"/>
  <c r="CA29" i="16"/>
  <c r="BX29" i="16"/>
  <c r="BU29" i="16"/>
  <c r="BR29" i="16"/>
  <c r="BO29" i="16"/>
  <c r="BL29" i="16"/>
  <c r="BI29" i="16"/>
  <c r="BF29" i="16"/>
  <c r="BC29" i="16"/>
  <c r="AZ29" i="16"/>
  <c r="AW29" i="16"/>
  <c r="AT29" i="16"/>
  <c r="AQ29" i="16"/>
  <c r="AN29" i="16"/>
  <c r="AI29" i="16"/>
  <c r="AB29" i="16"/>
  <c r="Y29" i="16"/>
  <c r="V29" i="16"/>
  <c r="S29" i="16"/>
  <c r="P29" i="16"/>
  <c r="M29" i="16"/>
  <c r="J29" i="16"/>
  <c r="G29" i="16"/>
  <c r="D29" i="16"/>
  <c r="EL28" i="16"/>
  <c r="EK28" i="16"/>
  <c r="EI28" i="16"/>
  <c r="EG28" i="16"/>
  <c r="DW28" i="16"/>
  <c r="DT28" i="16"/>
  <c r="EM28" i="16" s="1"/>
  <c r="DQ28" i="16"/>
  <c r="DN28" i="16"/>
  <c r="DK28" i="16"/>
  <c r="DH28" i="16"/>
  <c r="DE28" i="16"/>
  <c r="DB28" i="16"/>
  <c r="CY28" i="16"/>
  <c r="CV28" i="16"/>
  <c r="CS28" i="16"/>
  <c r="CP28" i="16"/>
  <c r="CM28" i="16"/>
  <c r="CJ28" i="16"/>
  <c r="CG28" i="16"/>
  <c r="CD28" i="16"/>
  <c r="CA28" i="16"/>
  <c r="BX28" i="16"/>
  <c r="BU28" i="16"/>
  <c r="BR28" i="16"/>
  <c r="BO28" i="16"/>
  <c r="BL28" i="16"/>
  <c r="BI28" i="16"/>
  <c r="BF28" i="16"/>
  <c r="BC28" i="16"/>
  <c r="AZ28" i="16"/>
  <c r="AW28" i="16"/>
  <c r="AT28" i="16"/>
  <c r="AQ28" i="16"/>
  <c r="AN28" i="16"/>
  <c r="AK28" i="16"/>
  <c r="AI28" i="16"/>
  <c r="EB28" i="16" s="1"/>
  <c r="EC28" i="16" s="1"/>
  <c r="AB28" i="16"/>
  <c r="Y28" i="16"/>
  <c r="V28" i="16"/>
  <c r="S28" i="16"/>
  <c r="EH28" i="16" s="1"/>
  <c r="P28" i="16"/>
  <c r="M28" i="16"/>
  <c r="J28" i="16"/>
  <c r="G28" i="16"/>
  <c r="D28" i="16"/>
  <c r="EL27" i="16"/>
  <c r="EI27" i="16"/>
  <c r="EG27" i="16"/>
  <c r="ED27" i="16"/>
  <c r="DW27" i="16"/>
  <c r="DT27" i="16"/>
  <c r="DQ27" i="16"/>
  <c r="DN27" i="16"/>
  <c r="DK27" i="16"/>
  <c r="DH27" i="16"/>
  <c r="DE27" i="16"/>
  <c r="DB27" i="16"/>
  <c r="CY27" i="16"/>
  <c r="CV27" i="16"/>
  <c r="CS27" i="16"/>
  <c r="CP27" i="16"/>
  <c r="CM27" i="16"/>
  <c r="CJ27" i="16"/>
  <c r="CG27" i="16"/>
  <c r="CD27" i="16"/>
  <c r="CA27" i="16"/>
  <c r="BX27" i="16"/>
  <c r="BU27" i="16"/>
  <c r="BR27" i="16"/>
  <c r="BO27" i="16"/>
  <c r="BL27" i="16"/>
  <c r="BI27" i="16"/>
  <c r="BF27" i="16"/>
  <c r="BC27" i="16"/>
  <c r="AZ27" i="16"/>
  <c r="AW27" i="16"/>
  <c r="AT27" i="16"/>
  <c r="AQ27" i="16"/>
  <c r="AN27" i="16"/>
  <c r="AI27" i="16"/>
  <c r="AK27" i="16" s="1"/>
  <c r="AB27" i="16"/>
  <c r="Y27" i="16"/>
  <c r="V27" i="16"/>
  <c r="S27" i="16"/>
  <c r="EH27" i="16" s="1"/>
  <c r="P27" i="16"/>
  <c r="M27" i="16"/>
  <c r="J27" i="16"/>
  <c r="G27" i="16"/>
  <c r="D27" i="16"/>
  <c r="EL26" i="16"/>
  <c r="EI26" i="16"/>
  <c r="EH26" i="16"/>
  <c r="EG26" i="16"/>
  <c r="DW26" i="16"/>
  <c r="DT26" i="16"/>
  <c r="DQ26" i="16"/>
  <c r="EM26" i="16" s="1"/>
  <c r="DN26" i="16"/>
  <c r="DK26" i="16"/>
  <c r="DH26" i="16"/>
  <c r="DE26" i="16"/>
  <c r="DB26" i="16"/>
  <c r="CY26" i="16"/>
  <c r="CV26" i="16"/>
  <c r="CS26" i="16"/>
  <c r="CP26" i="16"/>
  <c r="CM26" i="16"/>
  <c r="CJ26" i="16"/>
  <c r="CG26" i="16"/>
  <c r="CD26" i="16"/>
  <c r="CA26" i="16"/>
  <c r="BX26" i="16"/>
  <c r="BU26" i="16"/>
  <c r="BR26" i="16"/>
  <c r="BO26" i="16"/>
  <c r="BL26" i="16"/>
  <c r="BI26" i="16"/>
  <c r="BF26" i="16"/>
  <c r="BC26" i="16"/>
  <c r="AZ26" i="16"/>
  <c r="AW26" i="16"/>
  <c r="AT26" i="16"/>
  <c r="AQ26" i="16"/>
  <c r="AN26" i="16"/>
  <c r="AK26" i="16"/>
  <c r="AI26" i="16"/>
  <c r="EB26" i="16" s="1"/>
  <c r="EE26" i="16" s="1"/>
  <c r="AB26" i="16"/>
  <c r="Y26" i="16"/>
  <c r="V26" i="16"/>
  <c r="S26" i="16"/>
  <c r="P26" i="16"/>
  <c r="M26" i="16"/>
  <c r="J26" i="16"/>
  <c r="G26" i="16"/>
  <c r="D26" i="16"/>
  <c r="ED26" i="16" s="1"/>
  <c r="EL25" i="16"/>
  <c r="EG25" i="16"/>
  <c r="EI25" i="16" s="1"/>
  <c r="EB25" i="16"/>
  <c r="DW25" i="16"/>
  <c r="DT25" i="16"/>
  <c r="DQ25" i="16"/>
  <c r="DN25" i="16"/>
  <c r="DK25" i="16"/>
  <c r="DH25" i="16"/>
  <c r="DE25" i="16"/>
  <c r="DB25" i="16"/>
  <c r="CY25" i="16"/>
  <c r="CV25" i="16"/>
  <c r="CS25" i="16"/>
  <c r="CP25" i="16"/>
  <c r="CM25" i="16"/>
  <c r="CJ25" i="16"/>
  <c r="CG25" i="16"/>
  <c r="CD25" i="16"/>
  <c r="CA25" i="16"/>
  <c r="BX25" i="16"/>
  <c r="BU25" i="16"/>
  <c r="BR25" i="16"/>
  <c r="BO25" i="16"/>
  <c r="BL25" i="16"/>
  <c r="BI25" i="16"/>
  <c r="BF25" i="16"/>
  <c r="BC25" i="16"/>
  <c r="AZ25" i="16"/>
  <c r="AW25" i="16"/>
  <c r="AT25" i="16"/>
  <c r="AQ25" i="16"/>
  <c r="AN25" i="16"/>
  <c r="AI25" i="16"/>
  <c r="AB25" i="16"/>
  <c r="Y25" i="16"/>
  <c r="V25" i="16"/>
  <c r="S25" i="16"/>
  <c r="EH25" i="16" s="1"/>
  <c r="P25" i="16"/>
  <c r="M25" i="16"/>
  <c r="J25" i="16"/>
  <c r="G25" i="16"/>
  <c r="D25" i="16"/>
  <c r="EL24" i="16"/>
  <c r="EK24" i="16"/>
  <c r="EG24" i="16"/>
  <c r="EI24" i="16" s="1"/>
  <c r="DW24" i="16"/>
  <c r="DT24" i="16"/>
  <c r="DQ24" i="16"/>
  <c r="EM24" i="16" s="1"/>
  <c r="DN24" i="16"/>
  <c r="DK24" i="16"/>
  <c r="DH24" i="16"/>
  <c r="DE24" i="16"/>
  <c r="DB24" i="16"/>
  <c r="CY24" i="16"/>
  <c r="CV24" i="16"/>
  <c r="CS24" i="16"/>
  <c r="CP24" i="16"/>
  <c r="CM24" i="16"/>
  <c r="CJ24" i="16"/>
  <c r="CG24" i="16"/>
  <c r="CD24" i="16"/>
  <c r="CA24" i="16"/>
  <c r="BX24" i="16"/>
  <c r="BU24" i="16"/>
  <c r="BR24" i="16"/>
  <c r="BO24" i="16"/>
  <c r="BL24" i="16"/>
  <c r="BI24" i="16"/>
  <c r="BF24" i="16"/>
  <c r="BC24" i="16"/>
  <c r="AZ24" i="16"/>
  <c r="AW24" i="16"/>
  <c r="AT24" i="16"/>
  <c r="AQ24" i="16"/>
  <c r="AN24" i="16"/>
  <c r="AK24" i="16"/>
  <c r="AI24" i="16"/>
  <c r="EB24" i="16" s="1"/>
  <c r="EC24" i="16" s="1"/>
  <c r="AB24" i="16"/>
  <c r="Y24" i="16"/>
  <c r="V24" i="16"/>
  <c r="S24" i="16"/>
  <c r="P24" i="16"/>
  <c r="M24" i="16"/>
  <c r="J24" i="16"/>
  <c r="G24" i="16"/>
  <c r="D24" i="16"/>
  <c r="ED24" i="16" s="1"/>
  <c r="EL23" i="16"/>
  <c r="EI23" i="16"/>
  <c r="EG23" i="16"/>
  <c r="DW23" i="16"/>
  <c r="DT23" i="16"/>
  <c r="DQ23" i="16"/>
  <c r="DN23" i="16"/>
  <c r="DK23" i="16"/>
  <c r="DH23" i="16"/>
  <c r="DE23" i="16"/>
  <c r="DB23" i="16"/>
  <c r="CY23" i="16"/>
  <c r="CV23" i="16"/>
  <c r="CS23" i="16"/>
  <c r="CP23" i="16"/>
  <c r="CM23" i="16"/>
  <c r="CJ23" i="16"/>
  <c r="CG23" i="16"/>
  <c r="CD23" i="16"/>
  <c r="CA23" i="16"/>
  <c r="BX23" i="16"/>
  <c r="BU23" i="16"/>
  <c r="BR23" i="16"/>
  <c r="BO23" i="16"/>
  <c r="BL23" i="16"/>
  <c r="BI23" i="16"/>
  <c r="BF23" i="16"/>
  <c r="BC23" i="16"/>
  <c r="AZ23" i="16"/>
  <c r="AW23" i="16"/>
  <c r="AT23" i="16"/>
  <c r="AQ23" i="16"/>
  <c r="AN23" i="16"/>
  <c r="AI23" i="16"/>
  <c r="AK23" i="16" s="1"/>
  <c r="AB23" i="16"/>
  <c r="Y23" i="16"/>
  <c r="V23" i="16"/>
  <c r="S23" i="16"/>
  <c r="EH23" i="16" s="1"/>
  <c r="P23" i="16"/>
  <c r="M23" i="16"/>
  <c r="J23" i="16"/>
  <c r="G23" i="16"/>
  <c r="ED23" i="16" s="1"/>
  <c r="D23" i="16"/>
  <c r="EL22" i="16"/>
  <c r="EI22" i="16"/>
  <c r="EG22" i="16"/>
  <c r="DW22" i="16"/>
  <c r="DT22" i="16"/>
  <c r="DQ22" i="16"/>
  <c r="EM22" i="16" s="1"/>
  <c r="DN22" i="16"/>
  <c r="DK22" i="16"/>
  <c r="DH22" i="16"/>
  <c r="DE22" i="16"/>
  <c r="DB22" i="16"/>
  <c r="CY22" i="16"/>
  <c r="CV22" i="16"/>
  <c r="CS22" i="16"/>
  <c r="CP22" i="16"/>
  <c r="CM22" i="16"/>
  <c r="CJ22" i="16"/>
  <c r="CG22" i="16"/>
  <c r="CD22" i="16"/>
  <c r="CA22" i="16"/>
  <c r="BX22" i="16"/>
  <c r="BU22" i="16"/>
  <c r="BR22" i="16"/>
  <c r="BO22" i="16"/>
  <c r="BL22" i="16"/>
  <c r="BI22" i="16"/>
  <c r="BF22" i="16"/>
  <c r="BC22" i="16"/>
  <c r="AZ22" i="16"/>
  <c r="AW22" i="16"/>
  <c r="AT22" i="16"/>
  <c r="AQ22" i="16"/>
  <c r="AN22" i="16"/>
  <c r="AK22" i="16"/>
  <c r="AI22" i="16"/>
  <c r="EB22" i="16" s="1"/>
  <c r="AB22" i="16"/>
  <c r="EH22" i="16" s="1"/>
  <c r="Y22" i="16"/>
  <c r="V22" i="16"/>
  <c r="S22" i="16"/>
  <c r="P22" i="16"/>
  <c r="M22" i="16"/>
  <c r="J22" i="16"/>
  <c r="G22" i="16"/>
  <c r="D22" i="16"/>
  <c r="ED22" i="16" s="1"/>
  <c r="EL21" i="16"/>
  <c r="EG21" i="16"/>
  <c r="EI21" i="16" s="1"/>
  <c r="DW21" i="16"/>
  <c r="DT21" i="16"/>
  <c r="DQ21" i="16"/>
  <c r="DN21" i="16"/>
  <c r="DK21" i="16"/>
  <c r="DH21" i="16"/>
  <c r="DE21" i="16"/>
  <c r="DB21" i="16"/>
  <c r="CY21" i="16"/>
  <c r="CV21" i="16"/>
  <c r="CS21" i="16"/>
  <c r="CP21" i="16"/>
  <c r="CM21" i="16"/>
  <c r="CJ21" i="16"/>
  <c r="CG21" i="16"/>
  <c r="CD21" i="16"/>
  <c r="CA21" i="16"/>
  <c r="BX21" i="16"/>
  <c r="BU21" i="16"/>
  <c r="BR21" i="16"/>
  <c r="BO21" i="16"/>
  <c r="BL21" i="16"/>
  <c r="BI21" i="16"/>
  <c r="BF21" i="16"/>
  <c r="BC21" i="16"/>
  <c r="AZ21" i="16"/>
  <c r="AW21" i="16"/>
  <c r="AT21" i="16"/>
  <c r="AQ21" i="16"/>
  <c r="AN21" i="16"/>
  <c r="AI21" i="16"/>
  <c r="EB21" i="16" s="1"/>
  <c r="AB21" i="16"/>
  <c r="Y21" i="16"/>
  <c r="V21" i="16"/>
  <c r="S21" i="16"/>
  <c r="EH21" i="16" s="1"/>
  <c r="P21" i="16"/>
  <c r="M21" i="16"/>
  <c r="J21" i="16"/>
  <c r="G21" i="16"/>
  <c r="D21" i="16"/>
  <c r="EL20" i="16"/>
  <c r="EK20" i="16"/>
  <c r="EG20" i="16"/>
  <c r="EI20" i="16" s="1"/>
  <c r="DW20" i="16"/>
  <c r="DT20" i="16"/>
  <c r="EM20" i="16" s="1"/>
  <c r="DQ20" i="16"/>
  <c r="DN20" i="16"/>
  <c r="DK20" i="16"/>
  <c r="DH20" i="16"/>
  <c r="DE20" i="16"/>
  <c r="DB20" i="16"/>
  <c r="CY20" i="16"/>
  <c r="CV20" i="16"/>
  <c r="CS20" i="16"/>
  <c r="CP20" i="16"/>
  <c r="CM20" i="16"/>
  <c r="CJ20" i="16"/>
  <c r="CG20" i="16"/>
  <c r="CD20" i="16"/>
  <c r="CA20" i="16"/>
  <c r="BX20" i="16"/>
  <c r="BU20" i="16"/>
  <c r="BR20" i="16"/>
  <c r="BO20" i="16"/>
  <c r="BL20" i="16"/>
  <c r="BI20" i="16"/>
  <c r="BF20" i="16"/>
  <c r="BC20" i="16"/>
  <c r="AZ20" i="16"/>
  <c r="AW20" i="16"/>
  <c r="AT20" i="16"/>
  <c r="AQ20" i="16"/>
  <c r="AN20" i="16"/>
  <c r="AI20" i="16"/>
  <c r="AK20" i="16" s="1"/>
  <c r="AB20" i="16"/>
  <c r="Y20" i="16"/>
  <c r="V20" i="16"/>
  <c r="S20" i="16"/>
  <c r="P20" i="16"/>
  <c r="M20" i="16"/>
  <c r="J20" i="16"/>
  <c r="G20" i="16"/>
  <c r="D20" i="16"/>
  <c r="ED20" i="16" s="1"/>
  <c r="EL19" i="16"/>
  <c r="EI19" i="16"/>
  <c r="EG19" i="16"/>
  <c r="DW19" i="16"/>
  <c r="DT19" i="16"/>
  <c r="DQ19" i="16"/>
  <c r="DN19" i="16"/>
  <c r="DK19" i="16"/>
  <c r="DH19" i="16"/>
  <c r="DE19" i="16"/>
  <c r="DB19" i="16"/>
  <c r="CY19" i="16"/>
  <c r="CV19" i="16"/>
  <c r="CS19" i="16"/>
  <c r="CP19" i="16"/>
  <c r="CM19" i="16"/>
  <c r="CJ19" i="16"/>
  <c r="CG19" i="16"/>
  <c r="CD19" i="16"/>
  <c r="CA19" i="16"/>
  <c r="BX19" i="16"/>
  <c r="BU19" i="16"/>
  <c r="BR19" i="16"/>
  <c r="BO19" i="16"/>
  <c r="BL19" i="16"/>
  <c r="BI19" i="16"/>
  <c r="BF19" i="16"/>
  <c r="BC19" i="16"/>
  <c r="AZ19" i="16"/>
  <c r="AW19" i="16"/>
  <c r="AT19" i="16"/>
  <c r="AQ19" i="16"/>
  <c r="AN19" i="16"/>
  <c r="AI19" i="16"/>
  <c r="AK19" i="16" s="1"/>
  <c r="AB19" i="16"/>
  <c r="Y19" i="16"/>
  <c r="V19" i="16"/>
  <c r="S19" i="16"/>
  <c r="EH19" i="16" s="1"/>
  <c r="P19" i="16"/>
  <c r="M19" i="16"/>
  <c r="J19" i="16"/>
  <c r="G19" i="16"/>
  <c r="ED19" i="16" s="1"/>
  <c r="D19" i="16"/>
  <c r="EM18" i="16"/>
  <c r="EL18" i="16"/>
  <c r="EH18" i="16"/>
  <c r="EG18" i="16"/>
  <c r="EI18" i="16" s="1"/>
  <c r="DW18" i="16"/>
  <c r="DT18" i="16"/>
  <c r="DQ18" i="16"/>
  <c r="DN18" i="16"/>
  <c r="DK18" i="16"/>
  <c r="DH18" i="16"/>
  <c r="DE18" i="16"/>
  <c r="DB18" i="16"/>
  <c r="CY18" i="16"/>
  <c r="CV18" i="16"/>
  <c r="CS18" i="16"/>
  <c r="CP18" i="16"/>
  <c r="CM18" i="16"/>
  <c r="CJ18" i="16"/>
  <c r="CG18" i="16"/>
  <c r="CD18" i="16"/>
  <c r="CA18" i="16"/>
  <c r="BX18" i="16"/>
  <c r="BU18" i="16"/>
  <c r="BR18" i="16"/>
  <c r="BO18" i="16"/>
  <c r="BL18" i="16"/>
  <c r="BI18" i="16"/>
  <c r="BF18" i="16"/>
  <c r="BC18" i="16"/>
  <c r="AZ18" i="16"/>
  <c r="AW18" i="16"/>
  <c r="AT18" i="16"/>
  <c r="AQ18" i="16"/>
  <c r="AN18" i="16"/>
  <c r="AK18" i="16"/>
  <c r="AI18" i="16"/>
  <c r="EB18" i="16" s="1"/>
  <c r="EE18" i="16" s="1"/>
  <c r="AB18" i="16"/>
  <c r="Y18" i="16"/>
  <c r="V18" i="16"/>
  <c r="S18" i="16"/>
  <c r="P18" i="16"/>
  <c r="M18" i="16"/>
  <c r="J18" i="16"/>
  <c r="G18" i="16"/>
  <c r="D18" i="16"/>
  <c r="ED18" i="16" s="1"/>
  <c r="EL17" i="16"/>
  <c r="EG17" i="16"/>
  <c r="EI17" i="16" s="1"/>
  <c r="EB17" i="16"/>
  <c r="DW17" i="16"/>
  <c r="DT17" i="16"/>
  <c r="DQ17" i="16"/>
  <c r="DN17" i="16"/>
  <c r="DK17" i="16"/>
  <c r="DH17" i="16"/>
  <c r="DE17" i="16"/>
  <c r="DB17" i="16"/>
  <c r="CY17" i="16"/>
  <c r="CV17" i="16"/>
  <c r="CS17" i="16"/>
  <c r="CP17" i="16"/>
  <c r="CM17" i="16"/>
  <c r="CJ17" i="16"/>
  <c r="CG17" i="16"/>
  <c r="CD17" i="16"/>
  <c r="CA17" i="16"/>
  <c r="BX17" i="16"/>
  <c r="BU17" i="16"/>
  <c r="BR17" i="16"/>
  <c r="BO17" i="16"/>
  <c r="BL17" i="16"/>
  <c r="BI17" i="16"/>
  <c r="BF17" i="16"/>
  <c r="BC17" i="16"/>
  <c r="AZ17" i="16"/>
  <c r="AW17" i="16"/>
  <c r="AT17" i="16"/>
  <c r="AQ17" i="16"/>
  <c r="AN17" i="16"/>
  <c r="AI17" i="16"/>
  <c r="AB17" i="16"/>
  <c r="Y17" i="16"/>
  <c r="V17" i="16"/>
  <c r="S17" i="16"/>
  <c r="EH17" i="16" s="1"/>
  <c r="P17" i="16"/>
  <c r="M17" i="16"/>
  <c r="J17" i="16"/>
  <c r="G17" i="16"/>
  <c r="D17" i="16"/>
  <c r="EL16" i="16"/>
  <c r="EK16" i="16"/>
  <c r="EI16" i="16"/>
  <c r="EG16" i="16"/>
  <c r="DW16" i="16"/>
  <c r="DT16" i="16"/>
  <c r="EM16" i="16" s="1"/>
  <c r="DQ16" i="16"/>
  <c r="DN16" i="16"/>
  <c r="DK16" i="16"/>
  <c r="DH16" i="16"/>
  <c r="DE16" i="16"/>
  <c r="DB16" i="16"/>
  <c r="CY16" i="16"/>
  <c r="CV16" i="16"/>
  <c r="CS16" i="16"/>
  <c r="CP16" i="16"/>
  <c r="CM16" i="16"/>
  <c r="CJ16" i="16"/>
  <c r="CG16" i="16"/>
  <c r="CD16" i="16"/>
  <c r="CA16" i="16"/>
  <c r="BX16" i="16"/>
  <c r="BU16" i="16"/>
  <c r="BR16" i="16"/>
  <c r="BO16" i="16"/>
  <c r="BL16" i="16"/>
  <c r="BI16" i="16"/>
  <c r="BF16" i="16"/>
  <c r="BC16" i="16"/>
  <c r="AZ16" i="16"/>
  <c r="AW16" i="16"/>
  <c r="AT16" i="16"/>
  <c r="AQ16" i="16"/>
  <c r="AN16" i="16"/>
  <c r="AK16" i="16"/>
  <c r="AI16" i="16"/>
  <c r="EB16" i="16" s="1"/>
  <c r="EC16" i="16" s="1"/>
  <c r="AB16" i="16"/>
  <c r="Y16" i="16"/>
  <c r="V16" i="16"/>
  <c r="S16" i="16"/>
  <c r="EH16" i="16" s="1"/>
  <c r="P16" i="16"/>
  <c r="M16" i="16"/>
  <c r="J16" i="16"/>
  <c r="G16" i="16"/>
  <c r="D16" i="16"/>
  <c r="EL15" i="16"/>
  <c r="EI15" i="16"/>
  <c r="EG15" i="16"/>
  <c r="DW15" i="16"/>
  <c r="DT15" i="16"/>
  <c r="DQ15" i="16"/>
  <c r="DN15" i="16"/>
  <c r="DK15" i="16"/>
  <c r="DH15" i="16"/>
  <c r="DE15" i="16"/>
  <c r="DB15" i="16"/>
  <c r="CY15" i="16"/>
  <c r="CV15" i="16"/>
  <c r="CS15" i="16"/>
  <c r="CP15" i="16"/>
  <c r="CM15" i="16"/>
  <c r="CJ15" i="16"/>
  <c r="CG15" i="16"/>
  <c r="CD15" i="16"/>
  <c r="CA15" i="16"/>
  <c r="BX15" i="16"/>
  <c r="BU15" i="16"/>
  <c r="BR15" i="16"/>
  <c r="BO15" i="16"/>
  <c r="BL15" i="16"/>
  <c r="BI15" i="16"/>
  <c r="BF15" i="16"/>
  <c r="BC15" i="16"/>
  <c r="AZ15" i="16"/>
  <c r="AW15" i="16"/>
  <c r="AR15" i="16"/>
  <c r="AT15" i="16" s="1"/>
  <c r="AQ15" i="16"/>
  <c r="AO15" i="16"/>
  <c r="AL15" i="16"/>
  <c r="EB15" i="16" s="1"/>
  <c r="AK15" i="16"/>
  <c r="AI15" i="16"/>
  <c r="AB15" i="16"/>
  <c r="Y15" i="16"/>
  <c r="V15" i="16"/>
  <c r="S15" i="16"/>
  <c r="P15" i="16"/>
  <c r="M15" i="16"/>
  <c r="J15" i="16"/>
  <c r="G15" i="16"/>
  <c r="D15" i="16"/>
  <c r="EL14" i="16"/>
  <c r="EG14" i="16"/>
  <c r="EI14" i="16" s="1"/>
  <c r="EB14" i="16"/>
  <c r="DW14" i="16"/>
  <c r="DT14" i="16"/>
  <c r="EM14" i="16" s="1"/>
  <c r="DQ14" i="16"/>
  <c r="DN14" i="16"/>
  <c r="DK14" i="16"/>
  <c r="DH14" i="16"/>
  <c r="DE14" i="16"/>
  <c r="DB14" i="16"/>
  <c r="CY14" i="16"/>
  <c r="CV14" i="16"/>
  <c r="CS14" i="16"/>
  <c r="CP14" i="16"/>
  <c r="CM14" i="16"/>
  <c r="CJ14" i="16"/>
  <c r="CG14" i="16"/>
  <c r="CD14" i="16"/>
  <c r="CA14" i="16"/>
  <c r="BX14" i="16"/>
  <c r="BU14" i="16"/>
  <c r="BR14" i="16"/>
  <c r="BO14" i="16"/>
  <c r="BL14" i="16"/>
  <c r="BI14" i="16"/>
  <c r="BF14" i="16"/>
  <c r="BC14" i="16"/>
  <c r="AZ14" i="16"/>
  <c r="AW14" i="16"/>
  <c r="AT14" i="16"/>
  <c r="AR14" i="16"/>
  <c r="AQ14" i="16"/>
  <c r="AO14" i="16"/>
  <c r="AN14" i="16"/>
  <c r="AL14" i="16"/>
  <c r="AK14" i="16"/>
  <c r="AI14" i="16"/>
  <c r="AB14" i="16"/>
  <c r="Y14" i="16"/>
  <c r="V14" i="16"/>
  <c r="S14" i="16"/>
  <c r="EH14" i="16" s="1"/>
  <c r="P14" i="16"/>
  <c r="M14" i="16"/>
  <c r="J14" i="16"/>
  <c r="G14" i="16"/>
  <c r="D14" i="16"/>
  <c r="ED14" i="16" s="1"/>
  <c r="EL13" i="16"/>
  <c r="EG13" i="16"/>
  <c r="EI13" i="16" s="1"/>
  <c r="EB13" i="16"/>
  <c r="EE13" i="16" s="1"/>
  <c r="DW13" i="16"/>
  <c r="DT13" i="16"/>
  <c r="EM13" i="16" s="1"/>
  <c r="DQ13" i="16"/>
  <c r="DN13" i="16"/>
  <c r="DK13" i="16"/>
  <c r="DH13" i="16"/>
  <c r="DE13" i="16"/>
  <c r="DB13" i="16"/>
  <c r="CY13" i="16"/>
  <c r="CV13" i="16"/>
  <c r="CS13" i="16"/>
  <c r="CP13" i="16"/>
  <c r="CM13" i="16"/>
  <c r="CJ13" i="16"/>
  <c r="CG13" i="16"/>
  <c r="CD13" i="16"/>
  <c r="CA13" i="16"/>
  <c r="BX13" i="16"/>
  <c r="BU13" i="16"/>
  <c r="BR13" i="16"/>
  <c r="BO13" i="16"/>
  <c r="BL13" i="16"/>
  <c r="BI13" i="16"/>
  <c r="BF13" i="16"/>
  <c r="BC13" i="16"/>
  <c r="AZ13" i="16"/>
  <c r="AW13" i="16"/>
  <c r="AT13" i="16"/>
  <c r="AR13" i="16"/>
  <c r="EK13" i="16" s="1"/>
  <c r="EN13" i="16" s="1"/>
  <c r="AQ13" i="16"/>
  <c r="AO13" i="16"/>
  <c r="AN13" i="16"/>
  <c r="AL13" i="16"/>
  <c r="AK13" i="16"/>
  <c r="AI13" i="16"/>
  <c r="AB13" i="16"/>
  <c r="Y13" i="16"/>
  <c r="V13" i="16"/>
  <c r="EH13" i="16" s="1"/>
  <c r="S13" i="16"/>
  <c r="P13" i="16"/>
  <c r="M13" i="16"/>
  <c r="J13" i="16"/>
  <c r="G13" i="16"/>
  <c r="D13" i="16"/>
  <c r="ED13" i="16" s="1"/>
  <c r="A13" i="16"/>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EL12" i="16"/>
  <c r="EI12" i="16"/>
  <c r="EG12" i="16"/>
  <c r="EB12" i="16"/>
  <c r="DW12" i="16"/>
  <c r="DT12" i="16"/>
  <c r="EM12" i="16" s="1"/>
  <c r="DQ12" i="16"/>
  <c r="DN12" i="16"/>
  <c r="DK12" i="16"/>
  <c r="DH12" i="16"/>
  <c r="DE12" i="16"/>
  <c r="DB12" i="16"/>
  <c r="CY12" i="16"/>
  <c r="CV12" i="16"/>
  <c r="CS12" i="16"/>
  <c r="CP12" i="16"/>
  <c r="CM12" i="16"/>
  <c r="CJ12" i="16"/>
  <c r="CG12" i="16"/>
  <c r="CD12" i="16"/>
  <c r="CA12" i="16"/>
  <c r="BX12" i="16"/>
  <c r="BU12" i="16"/>
  <c r="BR12" i="16"/>
  <c r="BO12" i="16"/>
  <c r="BL12" i="16"/>
  <c r="BI12" i="16"/>
  <c r="BF12" i="16"/>
  <c r="BC12" i="16"/>
  <c r="AZ12" i="16"/>
  <c r="AW12" i="16"/>
  <c r="AT12" i="16"/>
  <c r="AR12" i="16"/>
  <c r="EK12" i="16" s="1"/>
  <c r="EN12" i="16" s="1"/>
  <c r="AQ12" i="16"/>
  <c r="AQ42" i="16" s="1"/>
  <c r="AO12" i="16"/>
  <c r="AN12" i="16"/>
  <c r="AL12" i="16"/>
  <c r="AK12" i="16"/>
  <c r="AI12" i="16"/>
  <c r="AB12" i="16"/>
  <c r="Y12" i="16"/>
  <c r="V12" i="16"/>
  <c r="S12" i="16"/>
  <c r="EH12" i="16" s="1"/>
  <c r="P12" i="16"/>
  <c r="M12" i="16"/>
  <c r="J12" i="16"/>
  <c r="G12" i="16"/>
  <c r="D12" i="16"/>
  <c r="ED12" i="16" s="1"/>
  <c r="A12" i="16"/>
  <c r="EL11" i="16"/>
  <c r="EG11" i="16"/>
  <c r="EI11" i="16" s="1"/>
  <c r="EB11" i="16"/>
  <c r="DW11" i="16"/>
  <c r="DW42" i="16" s="1"/>
  <c r="DT11" i="16"/>
  <c r="EM11" i="16" s="1"/>
  <c r="DQ11" i="16"/>
  <c r="DN11" i="16"/>
  <c r="DN42" i="16" s="1"/>
  <c r="DK11" i="16"/>
  <c r="DK42" i="16" s="1"/>
  <c r="DH11" i="16"/>
  <c r="DE11" i="16"/>
  <c r="DB11" i="16"/>
  <c r="DB42" i="16" s="1"/>
  <c r="CY11" i="16"/>
  <c r="CY42" i="16" s="1"/>
  <c r="CV11" i="16"/>
  <c r="CS11" i="16"/>
  <c r="CP11" i="16"/>
  <c r="CP42" i="16" s="1"/>
  <c r="CM11" i="16"/>
  <c r="CJ11" i="16"/>
  <c r="CG11" i="16"/>
  <c r="CD11" i="16"/>
  <c r="CD42" i="16" s="1"/>
  <c r="CA11" i="16"/>
  <c r="CA42" i="16" s="1"/>
  <c r="BX11" i="16"/>
  <c r="BU11" i="16"/>
  <c r="BR11" i="16"/>
  <c r="BR42" i="16" s="1"/>
  <c r="BO11" i="16"/>
  <c r="BO42" i="16" s="1"/>
  <c r="BL11" i="16"/>
  <c r="BI11" i="16"/>
  <c r="BF11" i="16"/>
  <c r="BF42" i="16" s="1"/>
  <c r="BC11" i="16"/>
  <c r="BC42" i="16" s="1"/>
  <c r="AZ11" i="16"/>
  <c r="AW11" i="16"/>
  <c r="AT11" i="16"/>
  <c r="AT42" i="16" s="1"/>
  <c r="AR11" i="16"/>
  <c r="EK11" i="16" s="1"/>
  <c r="AQ11" i="16"/>
  <c r="AO11" i="16"/>
  <c r="AN11" i="16"/>
  <c r="AL11" i="16"/>
  <c r="AK11" i="16"/>
  <c r="AI11" i="16"/>
  <c r="AH42" i="16"/>
  <c r="AE42" i="16"/>
  <c r="AB11" i="16"/>
  <c r="Y11" i="16"/>
  <c r="Y42" i="16" s="1"/>
  <c r="V11" i="16"/>
  <c r="V42" i="16" s="1"/>
  <c r="S11" i="16"/>
  <c r="S42" i="16" s="1"/>
  <c r="P11" i="16"/>
  <c r="M11" i="16"/>
  <c r="M42" i="16" s="1"/>
  <c r="J11" i="16"/>
  <c r="J42" i="16" s="1"/>
  <c r="G11" i="16"/>
  <c r="G42" i="16" s="1"/>
  <c r="D11" i="16"/>
  <c r="EQ2" i="16"/>
  <c r="G4" i="16" s="1"/>
  <c r="EI2" i="16"/>
  <c r="EE2" i="16"/>
  <c r="EL38" i="15"/>
  <c r="EG38" i="15"/>
  <c r="EI38" i="15" s="1"/>
  <c r="EB38" i="15"/>
  <c r="DW38" i="15"/>
  <c r="DT38" i="15"/>
  <c r="DQ38" i="15"/>
  <c r="DN38" i="15"/>
  <c r="DK38" i="15"/>
  <c r="DH38" i="15"/>
  <c r="DE38" i="15"/>
  <c r="DB38" i="15"/>
  <c r="CY38" i="15"/>
  <c r="CV38" i="15"/>
  <c r="CS38" i="15"/>
  <c r="CP38" i="15"/>
  <c r="CM38" i="15"/>
  <c r="CJ38" i="15"/>
  <c r="CG38" i="15"/>
  <c r="CD38" i="15"/>
  <c r="CA38" i="15"/>
  <c r="BX38" i="15"/>
  <c r="BU38" i="15"/>
  <c r="BR38" i="15"/>
  <c r="BO38" i="15"/>
  <c r="BL38" i="15"/>
  <c r="BI38" i="15"/>
  <c r="BF38" i="15"/>
  <c r="BC38" i="15"/>
  <c r="AX38" i="15"/>
  <c r="EK38" i="15" s="1"/>
  <c r="AW38" i="15"/>
  <c r="AU38" i="15"/>
  <c r="AR38" i="15"/>
  <c r="AT38" i="15" s="1"/>
  <c r="AQ38" i="15"/>
  <c r="AN38" i="15"/>
  <c r="AI38" i="15"/>
  <c r="AK38" i="15" s="1"/>
  <c r="AB38" i="15"/>
  <c r="Y38" i="15"/>
  <c r="V38" i="15"/>
  <c r="S38" i="15"/>
  <c r="EH38" i="15" s="1"/>
  <c r="P38" i="15"/>
  <c r="M38" i="15"/>
  <c r="J38" i="15"/>
  <c r="G38" i="15"/>
  <c r="D38" i="15"/>
  <c r="EL37" i="15"/>
  <c r="EI37" i="15"/>
  <c r="EG37" i="15"/>
  <c r="DW37" i="15"/>
  <c r="DT37" i="15"/>
  <c r="DQ37" i="15"/>
  <c r="DN37" i="15"/>
  <c r="DK37" i="15"/>
  <c r="DH37" i="15"/>
  <c r="DE37" i="15"/>
  <c r="DB37" i="15"/>
  <c r="CY37" i="15"/>
  <c r="CV37" i="15"/>
  <c r="CS37" i="15"/>
  <c r="CP37" i="15"/>
  <c r="CM37" i="15"/>
  <c r="CJ37" i="15"/>
  <c r="CG37" i="15"/>
  <c r="CD37" i="15"/>
  <c r="CA37" i="15"/>
  <c r="BX37" i="15"/>
  <c r="BU37" i="15"/>
  <c r="BR37" i="15"/>
  <c r="BO37" i="15"/>
  <c r="BL37" i="15"/>
  <c r="BI37" i="15"/>
  <c r="BF37" i="15"/>
  <c r="BC37" i="15"/>
  <c r="AZ37" i="15"/>
  <c r="AX37" i="15"/>
  <c r="EK37" i="15" s="1"/>
  <c r="AU37" i="15"/>
  <c r="AW37" i="15" s="1"/>
  <c r="AT37" i="15"/>
  <c r="AR37" i="15"/>
  <c r="EB37" i="15" s="1"/>
  <c r="AQ37" i="15"/>
  <c r="AN37" i="15"/>
  <c r="AK37" i="15"/>
  <c r="AI37" i="15"/>
  <c r="AB37" i="15"/>
  <c r="Y37" i="15"/>
  <c r="V37" i="15"/>
  <c r="S37" i="15"/>
  <c r="P37" i="15"/>
  <c r="M37" i="15"/>
  <c r="J37" i="15"/>
  <c r="G37" i="15"/>
  <c r="D37" i="15"/>
  <c r="ED37" i="15" s="1"/>
  <c r="EL36" i="15"/>
  <c r="EG36" i="15"/>
  <c r="EI36" i="15" s="1"/>
  <c r="EB36" i="15"/>
  <c r="DW36" i="15"/>
  <c r="DT36" i="15"/>
  <c r="DQ36" i="15"/>
  <c r="DN36" i="15"/>
  <c r="DK36" i="15"/>
  <c r="DH36" i="15"/>
  <c r="DE36" i="15"/>
  <c r="DB36" i="15"/>
  <c r="CY36" i="15"/>
  <c r="CV36" i="15"/>
  <c r="CS36" i="15"/>
  <c r="CP36" i="15"/>
  <c r="CM36" i="15"/>
  <c r="CJ36" i="15"/>
  <c r="CG36" i="15"/>
  <c r="CD36" i="15"/>
  <c r="CA36" i="15"/>
  <c r="BX36" i="15"/>
  <c r="BU36" i="15"/>
  <c r="BR36" i="15"/>
  <c r="BO36" i="15"/>
  <c r="BL36" i="15"/>
  <c r="BI36" i="15"/>
  <c r="BF36" i="15"/>
  <c r="BC36" i="15"/>
  <c r="AX36" i="15"/>
  <c r="EK36" i="15" s="1"/>
  <c r="AW36" i="15"/>
  <c r="AU36" i="15"/>
  <c r="AR36" i="15"/>
  <c r="AT36" i="15" s="1"/>
  <c r="AQ36" i="15"/>
  <c r="AN36" i="15"/>
  <c r="AI36" i="15"/>
  <c r="AK36" i="15" s="1"/>
  <c r="AB36" i="15"/>
  <c r="Y36" i="15"/>
  <c r="V36" i="15"/>
  <c r="S36" i="15"/>
  <c r="EH36" i="15" s="1"/>
  <c r="P36" i="15"/>
  <c r="M36" i="15"/>
  <c r="J36" i="15"/>
  <c r="G36" i="15"/>
  <c r="D36" i="15"/>
  <c r="EL35" i="15"/>
  <c r="EI35" i="15"/>
  <c r="EG35" i="15"/>
  <c r="DW35" i="15"/>
  <c r="DT35" i="15"/>
  <c r="DQ35" i="15"/>
  <c r="DN35" i="15"/>
  <c r="DK35" i="15"/>
  <c r="DH35" i="15"/>
  <c r="DE35" i="15"/>
  <c r="DB35" i="15"/>
  <c r="CY35" i="15"/>
  <c r="CV35" i="15"/>
  <c r="CS35" i="15"/>
  <c r="CP35" i="15"/>
  <c r="CM35" i="15"/>
  <c r="CJ35" i="15"/>
  <c r="CG35" i="15"/>
  <c r="CD35" i="15"/>
  <c r="CA35" i="15"/>
  <c r="BX35" i="15"/>
  <c r="BU35" i="15"/>
  <c r="BR35" i="15"/>
  <c r="BO35" i="15"/>
  <c r="BL35" i="15"/>
  <c r="BI35" i="15"/>
  <c r="BF35" i="15"/>
  <c r="BC35" i="15"/>
  <c r="AZ35" i="15"/>
  <c r="AX35" i="15"/>
  <c r="EK35" i="15" s="1"/>
  <c r="AU35" i="15"/>
  <c r="AW35" i="15" s="1"/>
  <c r="AT35" i="15"/>
  <c r="AR35" i="15"/>
  <c r="EB35" i="15" s="1"/>
  <c r="AQ35" i="15"/>
  <c r="AN35" i="15"/>
  <c r="AK35" i="15"/>
  <c r="AI35" i="15"/>
  <c r="AB35" i="15"/>
  <c r="Y35" i="15"/>
  <c r="V35" i="15"/>
  <c r="S35" i="15"/>
  <c r="P35" i="15"/>
  <c r="M35" i="15"/>
  <c r="J35" i="15"/>
  <c r="G35" i="15"/>
  <c r="D35" i="15"/>
  <c r="ED35" i="15" s="1"/>
  <c r="EL34" i="15"/>
  <c r="EG34" i="15"/>
  <c r="EI34" i="15" s="1"/>
  <c r="EB34" i="15"/>
  <c r="DW34" i="15"/>
  <c r="DT34" i="15"/>
  <c r="DQ34" i="15"/>
  <c r="DN34" i="15"/>
  <c r="DK34" i="15"/>
  <c r="DH34" i="15"/>
  <c r="DE34" i="15"/>
  <c r="DB34" i="15"/>
  <c r="CY34" i="15"/>
  <c r="CV34" i="15"/>
  <c r="CS34" i="15"/>
  <c r="CP34" i="15"/>
  <c r="CM34" i="15"/>
  <c r="CJ34" i="15"/>
  <c r="CG34" i="15"/>
  <c r="CD34" i="15"/>
  <c r="CA34" i="15"/>
  <c r="BX34" i="15"/>
  <c r="BU34" i="15"/>
  <c r="BR34" i="15"/>
  <c r="BO34" i="15"/>
  <c r="BL34" i="15"/>
  <c r="BI34" i="15"/>
  <c r="BF34" i="15"/>
  <c r="BC34" i="15"/>
  <c r="AX34" i="15"/>
  <c r="EK34" i="15" s="1"/>
  <c r="AW34" i="15"/>
  <c r="AU34" i="15"/>
  <c r="AR34" i="15"/>
  <c r="AT34" i="15" s="1"/>
  <c r="AQ34" i="15"/>
  <c r="AN34" i="15"/>
  <c r="AI34" i="15"/>
  <c r="AK34" i="15" s="1"/>
  <c r="AB34" i="15"/>
  <c r="Y34" i="15"/>
  <c r="V34" i="15"/>
  <c r="S34" i="15"/>
  <c r="EH34" i="15" s="1"/>
  <c r="P34" i="15"/>
  <c r="M34" i="15"/>
  <c r="J34" i="15"/>
  <c r="G34" i="15"/>
  <c r="D34" i="15"/>
  <c r="EL33" i="15"/>
  <c r="EI33" i="15"/>
  <c r="EG33" i="15"/>
  <c r="DW33" i="15"/>
  <c r="DT33" i="15"/>
  <c r="DQ33" i="15"/>
  <c r="DN33" i="15"/>
  <c r="DK33" i="15"/>
  <c r="DH33" i="15"/>
  <c r="DE33" i="15"/>
  <c r="DB33" i="15"/>
  <c r="CY33" i="15"/>
  <c r="CV33" i="15"/>
  <c r="CS33" i="15"/>
  <c r="CP33" i="15"/>
  <c r="CM33" i="15"/>
  <c r="CJ33" i="15"/>
  <c r="CG33" i="15"/>
  <c r="CD33" i="15"/>
  <c r="CA33" i="15"/>
  <c r="BX33" i="15"/>
  <c r="BU33" i="15"/>
  <c r="BR33" i="15"/>
  <c r="BO33" i="15"/>
  <c r="BL33" i="15"/>
  <c r="BI33" i="15"/>
  <c r="BF33" i="15"/>
  <c r="BC33" i="15"/>
  <c r="AZ33" i="15"/>
  <c r="AX33" i="15"/>
  <c r="EK33" i="15" s="1"/>
  <c r="AU33" i="15"/>
  <c r="AW33" i="15" s="1"/>
  <c r="ED33" i="15" s="1"/>
  <c r="AT33" i="15"/>
  <c r="AR33" i="15"/>
  <c r="EB33" i="15" s="1"/>
  <c r="AQ33" i="15"/>
  <c r="AN33" i="15"/>
  <c r="AK33" i="15"/>
  <c r="AI33" i="15"/>
  <c r="AB33" i="15"/>
  <c r="Y33" i="15"/>
  <c r="V33" i="15"/>
  <c r="S33" i="15"/>
  <c r="EH33" i="15" s="1"/>
  <c r="P33" i="15"/>
  <c r="M33" i="15"/>
  <c r="J33" i="15"/>
  <c r="G33" i="15"/>
  <c r="D33" i="15"/>
  <c r="EL32" i="15"/>
  <c r="EG32" i="15"/>
  <c r="EI32" i="15" s="1"/>
  <c r="EB32" i="15"/>
  <c r="DW32" i="15"/>
  <c r="DT32" i="15"/>
  <c r="DQ32" i="15"/>
  <c r="DN32" i="15"/>
  <c r="DK32" i="15"/>
  <c r="DH32" i="15"/>
  <c r="DE32" i="15"/>
  <c r="DB32" i="15"/>
  <c r="CY32" i="15"/>
  <c r="CV32" i="15"/>
  <c r="CS32" i="15"/>
  <c r="CP32" i="15"/>
  <c r="CM32" i="15"/>
  <c r="CJ32" i="15"/>
  <c r="CG32" i="15"/>
  <c r="CD32" i="15"/>
  <c r="CA32" i="15"/>
  <c r="BX32" i="15"/>
  <c r="BU32" i="15"/>
  <c r="BR32" i="15"/>
  <c r="BO32" i="15"/>
  <c r="BL32" i="15"/>
  <c r="BI32" i="15"/>
  <c r="BF32" i="15"/>
  <c r="BC32" i="15"/>
  <c r="AX32" i="15"/>
  <c r="EK32" i="15" s="1"/>
  <c r="AW32" i="15"/>
  <c r="AU32" i="15"/>
  <c r="AR32" i="15"/>
  <c r="AT32" i="15" s="1"/>
  <c r="AQ32" i="15"/>
  <c r="AN32" i="15"/>
  <c r="AI32" i="15"/>
  <c r="AK32" i="15" s="1"/>
  <c r="AB32" i="15"/>
  <c r="Y32" i="15"/>
  <c r="V32" i="15"/>
  <c r="S32" i="15"/>
  <c r="EH32" i="15" s="1"/>
  <c r="P32" i="15"/>
  <c r="M32" i="15"/>
  <c r="J32" i="15"/>
  <c r="G32" i="15"/>
  <c r="D32" i="15"/>
  <c r="EL31" i="15"/>
  <c r="EI31" i="15"/>
  <c r="EG31" i="15"/>
  <c r="DW31" i="15"/>
  <c r="DT31" i="15"/>
  <c r="DQ31" i="15"/>
  <c r="DN31" i="15"/>
  <c r="DK31" i="15"/>
  <c r="DH31" i="15"/>
  <c r="DE31" i="15"/>
  <c r="DB31" i="15"/>
  <c r="CY31" i="15"/>
  <c r="CV31" i="15"/>
  <c r="CS31" i="15"/>
  <c r="CP31" i="15"/>
  <c r="CM31" i="15"/>
  <c r="CJ31" i="15"/>
  <c r="CG31" i="15"/>
  <c r="CD31" i="15"/>
  <c r="CA31" i="15"/>
  <c r="BX31" i="15"/>
  <c r="BU31" i="15"/>
  <c r="BR31" i="15"/>
  <c r="BO31" i="15"/>
  <c r="BL31" i="15"/>
  <c r="BI31" i="15"/>
  <c r="BF31" i="15"/>
  <c r="BC31" i="15"/>
  <c r="AZ31" i="15"/>
  <c r="AX31" i="15"/>
  <c r="EK31" i="15" s="1"/>
  <c r="AU31" i="15"/>
  <c r="AW31" i="15" s="1"/>
  <c r="ED31" i="15" s="1"/>
  <c r="AT31" i="15"/>
  <c r="AR31" i="15"/>
  <c r="EB31" i="15" s="1"/>
  <c r="AQ31" i="15"/>
  <c r="AN31" i="15"/>
  <c r="AK31" i="15"/>
  <c r="AI31" i="15"/>
  <c r="AB31" i="15"/>
  <c r="Y31" i="15"/>
  <c r="V31" i="15"/>
  <c r="S31" i="15"/>
  <c r="EH31" i="15" s="1"/>
  <c r="P31" i="15"/>
  <c r="M31" i="15"/>
  <c r="J31" i="15"/>
  <c r="G31" i="15"/>
  <c r="D31" i="15"/>
  <c r="EL30" i="15"/>
  <c r="EG30" i="15"/>
  <c r="EI30" i="15" s="1"/>
  <c r="EB30" i="15"/>
  <c r="DW30" i="15"/>
  <c r="DT30" i="15"/>
  <c r="DQ30" i="15"/>
  <c r="DN30" i="15"/>
  <c r="DK30" i="15"/>
  <c r="DH30" i="15"/>
  <c r="DE30" i="15"/>
  <c r="DB30" i="15"/>
  <c r="CY30" i="15"/>
  <c r="CV30" i="15"/>
  <c r="CS30" i="15"/>
  <c r="CP30" i="15"/>
  <c r="CM30" i="15"/>
  <c r="CJ30" i="15"/>
  <c r="CG30" i="15"/>
  <c r="CD30" i="15"/>
  <c r="CA30" i="15"/>
  <c r="BX30" i="15"/>
  <c r="BU30" i="15"/>
  <c r="BR30" i="15"/>
  <c r="BO30" i="15"/>
  <c r="BL30" i="15"/>
  <c r="BI30" i="15"/>
  <c r="BF30" i="15"/>
  <c r="BC30" i="15"/>
  <c r="AX30" i="15"/>
  <c r="EK30" i="15" s="1"/>
  <c r="AW30" i="15"/>
  <c r="AU30" i="15"/>
  <c r="AR30" i="15"/>
  <c r="AT30" i="15" s="1"/>
  <c r="AQ30" i="15"/>
  <c r="AN30" i="15"/>
  <c r="AI30" i="15"/>
  <c r="AK30" i="15" s="1"/>
  <c r="AB30" i="15"/>
  <c r="Y30" i="15"/>
  <c r="V30" i="15"/>
  <c r="S30" i="15"/>
  <c r="EH30" i="15" s="1"/>
  <c r="P30" i="15"/>
  <c r="M30" i="15"/>
  <c r="J30" i="15"/>
  <c r="G30" i="15"/>
  <c r="D30" i="15"/>
  <c r="EL29" i="15"/>
  <c r="EI29" i="15"/>
  <c r="EG29" i="15"/>
  <c r="DW29" i="15"/>
  <c r="DT29" i="15"/>
  <c r="DQ29" i="15"/>
  <c r="DN29" i="15"/>
  <c r="DK29" i="15"/>
  <c r="DH29" i="15"/>
  <c r="DE29" i="15"/>
  <c r="DB29" i="15"/>
  <c r="CY29" i="15"/>
  <c r="CV29" i="15"/>
  <c r="CS29" i="15"/>
  <c r="CP29" i="15"/>
  <c r="CM29" i="15"/>
  <c r="CJ29" i="15"/>
  <c r="CG29" i="15"/>
  <c r="CD29" i="15"/>
  <c r="CA29" i="15"/>
  <c r="BX29" i="15"/>
  <c r="BU29" i="15"/>
  <c r="BR29" i="15"/>
  <c r="BO29" i="15"/>
  <c r="BL29" i="15"/>
  <c r="BI29" i="15"/>
  <c r="BF29" i="15"/>
  <c r="BC29" i="15"/>
  <c r="AZ29" i="15"/>
  <c r="AX29" i="15"/>
  <c r="EK29" i="15" s="1"/>
  <c r="AU29" i="15"/>
  <c r="AW29" i="15" s="1"/>
  <c r="ED29" i="15" s="1"/>
  <c r="AT29" i="15"/>
  <c r="AR29" i="15"/>
  <c r="EB29" i="15" s="1"/>
  <c r="AQ29" i="15"/>
  <c r="AN29" i="15"/>
  <c r="AK29" i="15"/>
  <c r="AI29" i="15"/>
  <c r="AB29" i="15"/>
  <c r="Y29" i="15"/>
  <c r="V29" i="15"/>
  <c r="S29" i="15"/>
  <c r="EH29" i="15" s="1"/>
  <c r="P29" i="15"/>
  <c r="M29" i="15"/>
  <c r="J29" i="15"/>
  <c r="G29" i="15"/>
  <c r="D29" i="15"/>
  <c r="EL28" i="15"/>
  <c r="EG28" i="15"/>
  <c r="EI28" i="15" s="1"/>
  <c r="EB28" i="15"/>
  <c r="DW28" i="15"/>
  <c r="DT28" i="15"/>
  <c r="DQ28" i="15"/>
  <c r="DN28" i="15"/>
  <c r="DK28" i="15"/>
  <c r="DH28" i="15"/>
  <c r="DE28" i="15"/>
  <c r="DB28" i="15"/>
  <c r="CY28" i="15"/>
  <c r="CV28" i="15"/>
  <c r="CS28" i="15"/>
  <c r="CP28" i="15"/>
  <c r="CM28" i="15"/>
  <c r="CJ28" i="15"/>
  <c r="CG28" i="15"/>
  <c r="CD28" i="15"/>
  <c r="CA28" i="15"/>
  <c r="BX28" i="15"/>
  <c r="BU28" i="15"/>
  <c r="BR28" i="15"/>
  <c r="BO28" i="15"/>
  <c r="BL28" i="15"/>
  <c r="BI28" i="15"/>
  <c r="BF28" i="15"/>
  <c r="BC28" i="15"/>
  <c r="AX28" i="15"/>
  <c r="EK28" i="15" s="1"/>
  <c r="AW28" i="15"/>
  <c r="AU28" i="15"/>
  <c r="AR28" i="15"/>
  <c r="AT28" i="15" s="1"/>
  <c r="AQ28" i="15"/>
  <c r="AN28" i="15"/>
  <c r="AI28" i="15"/>
  <c r="AK28" i="15" s="1"/>
  <c r="AB28" i="15"/>
  <c r="Y28" i="15"/>
  <c r="V28" i="15"/>
  <c r="S28" i="15"/>
  <c r="EH28" i="15" s="1"/>
  <c r="P28" i="15"/>
  <c r="M28" i="15"/>
  <c r="J28" i="15"/>
  <c r="G28" i="15"/>
  <c r="D28" i="15"/>
  <c r="EL27" i="15"/>
  <c r="EI27" i="15"/>
  <c r="EG27" i="15"/>
  <c r="DW27" i="15"/>
  <c r="DT27" i="15"/>
  <c r="DQ27" i="15"/>
  <c r="DN27" i="15"/>
  <c r="DK27" i="15"/>
  <c r="DH27" i="15"/>
  <c r="DE27" i="15"/>
  <c r="DB27" i="15"/>
  <c r="CY27" i="15"/>
  <c r="CV27" i="15"/>
  <c r="CS27" i="15"/>
  <c r="CP27" i="15"/>
  <c r="CM27" i="15"/>
  <c r="CJ27" i="15"/>
  <c r="CG27" i="15"/>
  <c r="CD27" i="15"/>
  <c r="CA27" i="15"/>
  <c r="BX27" i="15"/>
  <c r="BU27" i="15"/>
  <c r="BR27" i="15"/>
  <c r="BO27" i="15"/>
  <c r="BL27" i="15"/>
  <c r="BI27" i="15"/>
  <c r="BF27" i="15"/>
  <c r="BC27" i="15"/>
  <c r="AZ27" i="15"/>
  <c r="AX27" i="15"/>
  <c r="EK27" i="15" s="1"/>
  <c r="AU27" i="15"/>
  <c r="AW27" i="15" s="1"/>
  <c r="ED27" i="15" s="1"/>
  <c r="AT27" i="15"/>
  <c r="AR27" i="15"/>
  <c r="EB27" i="15" s="1"/>
  <c r="AQ27" i="15"/>
  <c r="AN27" i="15"/>
  <c r="AK27" i="15"/>
  <c r="AI27" i="15"/>
  <c r="AB27" i="15"/>
  <c r="Y27" i="15"/>
  <c r="V27" i="15"/>
  <c r="S27" i="15"/>
  <c r="EH27" i="15" s="1"/>
  <c r="P27" i="15"/>
  <c r="M27" i="15"/>
  <c r="J27" i="15"/>
  <c r="G27" i="15"/>
  <c r="D27" i="15"/>
  <c r="EL26" i="15"/>
  <c r="EG26" i="15"/>
  <c r="EI26" i="15" s="1"/>
  <c r="EB26" i="15"/>
  <c r="DW26" i="15"/>
  <c r="DT26" i="15"/>
  <c r="DQ26" i="15"/>
  <c r="DN26" i="15"/>
  <c r="DK26" i="15"/>
  <c r="DH26" i="15"/>
  <c r="DE26" i="15"/>
  <c r="DB26" i="15"/>
  <c r="CY26" i="15"/>
  <c r="CV26" i="15"/>
  <c r="CS26" i="15"/>
  <c r="CP26" i="15"/>
  <c r="CM26" i="15"/>
  <c r="CJ26" i="15"/>
  <c r="CG26" i="15"/>
  <c r="CD26" i="15"/>
  <c r="CA26" i="15"/>
  <c r="BX26" i="15"/>
  <c r="BU26" i="15"/>
  <c r="BR26" i="15"/>
  <c r="BO26" i="15"/>
  <c r="BL26" i="15"/>
  <c r="BI26" i="15"/>
  <c r="BF26" i="15"/>
  <c r="BC26" i="15"/>
  <c r="AX26" i="15"/>
  <c r="EK26" i="15" s="1"/>
  <c r="AW26" i="15"/>
  <c r="AU26" i="15"/>
  <c r="AR26" i="15"/>
  <c r="AT26" i="15" s="1"/>
  <c r="AQ26" i="15"/>
  <c r="AN26" i="15"/>
  <c r="AI26" i="15"/>
  <c r="AK26" i="15" s="1"/>
  <c r="AB26" i="15"/>
  <c r="Y26" i="15"/>
  <c r="V26" i="15"/>
  <c r="S26" i="15"/>
  <c r="EH26" i="15" s="1"/>
  <c r="P26" i="15"/>
  <c r="M26" i="15"/>
  <c r="J26" i="15"/>
  <c r="G26" i="15"/>
  <c r="D26" i="15"/>
  <c r="EL25" i="15"/>
  <c r="EI25" i="15"/>
  <c r="EG25" i="15"/>
  <c r="DW25" i="15"/>
  <c r="DT25" i="15"/>
  <c r="DQ25" i="15"/>
  <c r="DN25" i="15"/>
  <c r="DK25" i="15"/>
  <c r="DH25" i="15"/>
  <c r="DE25" i="15"/>
  <c r="DB25" i="15"/>
  <c r="CY25" i="15"/>
  <c r="CV25" i="15"/>
  <c r="CS25" i="15"/>
  <c r="CP25" i="15"/>
  <c r="CM25" i="15"/>
  <c r="CJ25" i="15"/>
  <c r="CG25" i="15"/>
  <c r="CD25" i="15"/>
  <c r="CA25" i="15"/>
  <c r="BX25" i="15"/>
  <c r="BU25" i="15"/>
  <c r="BR25" i="15"/>
  <c r="BO25" i="15"/>
  <c r="BL25" i="15"/>
  <c r="BI25" i="15"/>
  <c r="BF25" i="15"/>
  <c r="BC25" i="15"/>
  <c r="AZ25" i="15"/>
  <c r="AX25" i="15"/>
  <c r="EK25" i="15" s="1"/>
  <c r="AU25" i="15"/>
  <c r="AW25" i="15" s="1"/>
  <c r="ED25" i="15" s="1"/>
  <c r="AT25" i="15"/>
  <c r="AR25" i="15"/>
  <c r="EB25" i="15" s="1"/>
  <c r="AQ25" i="15"/>
  <c r="AN25" i="15"/>
  <c r="AK25" i="15"/>
  <c r="AI25" i="15"/>
  <c r="AB25" i="15"/>
  <c r="Y25" i="15"/>
  <c r="V25" i="15"/>
  <c r="S25" i="15"/>
  <c r="EH25" i="15" s="1"/>
  <c r="P25" i="15"/>
  <c r="M25" i="15"/>
  <c r="J25" i="15"/>
  <c r="G25" i="15"/>
  <c r="D25" i="15"/>
  <c r="EL24" i="15"/>
  <c r="EG24" i="15"/>
  <c r="EI24" i="15" s="1"/>
  <c r="EB24" i="15"/>
  <c r="DW24" i="15"/>
  <c r="DT24" i="15"/>
  <c r="DQ24" i="15"/>
  <c r="DN24" i="15"/>
  <c r="DK24" i="15"/>
  <c r="DH24" i="15"/>
  <c r="DE24" i="15"/>
  <c r="DB24" i="15"/>
  <c r="CY24" i="15"/>
  <c r="CV24" i="15"/>
  <c r="CS24" i="15"/>
  <c r="CP24" i="15"/>
  <c r="CM24" i="15"/>
  <c r="CJ24" i="15"/>
  <c r="CG24" i="15"/>
  <c r="CD24" i="15"/>
  <c r="CA24" i="15"/>
  <c r="BX24" i="15"/>
  <c r="BU24" i="15"/>
  <c r="BR24" i="15"/>
  <c r="BO24" i="15"/>
  <c r="BL24" i="15"/>
  <c r="BI24" i="15"/>
  <c r="BF24" i="15"/>
  <c r="BC24" i="15"/>
  <c r="AX24" i="15"/>
  <c r="EK24" i="15" s="1"/>
  <c r="AW24" i="15"/>
  <c r="AU24" i="15"/>
  <c r="AR24" i="15"/>
  <c r="AT24" i="15" s="1"/>
  <c r="AQ24" i="15"/>
  <c r="AN24" i="15"/>
  <c r="AL24" i="15"/>
  <c r="AI24" i="15"/>
  <c r="AK24" i="15" s="1"/>
  <c r="AB24" i="15"/>
  <c r="Y24" i="15"/>
  <c r="V24" i="15"/>
  <c r="EH24" i="15" s="1"/>
  <c r="S24" i="15"/>
  <c r="P24" i="15"/>
  <c r="M24" i="15"/>
  <c r="J24" i="15"/>
  <c r="G24" i="15"/>
  <c r="D24" i="15"/>
  <c r="EL23" i="15"/>
  <c r="EK23" i="15"/>
  <c r="EG23" i="15"/>
  <c r="EI23" i="15" s="1"/>
  <c r="DW23" i="15"/>
  <c r="DT23" i="15"/>
  <c r="DQ23" i="15"/>
  <c r="DN23" i="15"/>
  <c r="DK23" i="15"/>
  <c r="DH23" i="15"/>
  <c r="DE23" i="15"/>
  <c r="DB23" i="15"/>
  <c r="CY23" i="15"/>
  <c r="CV23" i="15"/>
  <c r="CS23" i="15"/>
  <c r="CP23" i="15"/>
  <c r="CM23" i="15"/>
  <c r="CJ23" i="15"/>
  <c r="CG23" i="15"/>
  <c r="CD23" i="15"/>
  <c r="CA23" i="15"/>
  <c r="BX23" i="15"/>
  <c r="BU23" i="15"/>
  <c r="BR23" i="15"/>
  <c r="BO23" i="15"/>
  <c r="BL23" i="15"/>
  <c r="BI23" i="15"/>
  <c r="BF23" i="15"/>
  <c r="BC23" i="15"/>
  <c r="AZ23" i="15"/>
  <c r="AU23" i="15"/>
  <c r="AW23" i="15" s="1"/>
  <c r="AT23" i="15"/>
  <c r="AR23" i="15"/>
  <c r="AO23" i="15"/>
  <c r="AQ23" i="15" s="1"/>
  <c r="AN23" i="15"/>
  <c r="AL23" i="15"/>
  <c r="EB23" i="15" s="1"/>
  <c r="EC23" i="15" s="1"/>
  <c r="AI23" i="15"/>
  <c r="AK23" i="15" s="1"/>
  <c r="AB23" i="15"/>
  <c r="Y23" i="15"/>
  <c r="V23" i="15"/>
  <c r="S23" i="15"/>
  <c r="EH23" i="15" s="1"/>
  <c r="P23" i="15"/>
  <c r="M23" i="15"/>
  <c r="J23" i="15"/>
  <c r="G23" i="15"/>
  <c r="D23" i="15"/>
  <c r="EL22" i="15"/>
  <c r="EI22" i="15"/>
  <c r="EG22" i="15"/>
  <c r="DW22" i="15"/>
  <c r="DT22" i="15"/>
  <c r="DQ22" i="15"/>
  <c r="DN22" i="15"/>
  <c r="DK22" i="15"/>
  <c r="DH22" i="15"/>
  <c r="DE22" i="15"/>
  <c r="DB22" i="15"/>
  <c r="CY22" i="15"/>
  <c r="CV22" i="15"/>
  <c r="CS22" i="15"/>
  <c r="CP22" i="15"/>
  <c r="CM22" i="15"/>
  <c r="CJ22" i="15"/>
  <c r="CG22" i="15"/>
  <c r="CD22" i="15"/>
  <c r="CA22" i="15"/>
  <c r="BX22" i="15"/>
  <c r="BU22" i="15"/>
  <c r="BR22" i="15"/>
  <c r="BO22" i="15"/>
  <c r="BL22" i="15"/>
  <c r="BI22" i="15"/>
  <c r="BF22" i="15"/>
  <c r="BC22" i="15"/>
  <c r="AZ22" i="15"/>
  <c r="AW22" i="15"/>
  <c r="AU22" i="15"/>
  <c r="AR22" i="15"/>
  <c r="AQ22" i="15"/>
  <c r="AO22" i="15"/>
  <c r="AL22" i="15"/>
  <c r="AK22" i="15"/>
  <c r="AI22" i="15"/>
  <c r="AB22" i="15"/>
  <c r="Y22" i="15"/>
  <c r="V22" i="15"/>
  <c r="S22" i="15"/>
  <c r="P22" i="15"/>
  <c r="M22" i="15"/>
  <c r="J22" i="15"/>
  <c r="G22" i="15"/>
  <c r="D22" i="15"/>
  <c r="EL21" i="15"/>
  <c r="EI21" i="15"/>
  <c r="EG21" i="15"/>
  <c r="DW21" i="15"/>
  <c r="DT21" i="15"/>
  <c r="DQ21" i="15"/>
  <c r="DN21" i="15"/>
  <c r="DK21" i="15"/>
  <c r="DH21" i="15"/>
  <c r="DE21" i="15"/>
  <c r="DB21" i="15"/>
  <c r="CY21" i="15"/>
  <c r="CV21" i="15"/>
  <c r="CS21" i="15"/>
  <c r="CP21" i="15"/>
  <c r="CM21" i="15"/>
  <c r="CJ21" i="15"/>
  <c r="CG21" i="15"/>
  <c r="CD21" i="15"/>
  <c r="CA21" i="15"/>
  <c r="BX21" i="15"/>
  <c r="BU21" i="15"/>
  <c r="BR21" i="15"/>
  <c r="BO21" i="15"/>
  <c r="BL21" i="15"/>
  <c r="BI21" i="15"/>
  <c r="BF21" i="15"/>
  <c r="BC21" i="15"/>
  <c r="AZ21" i="15"/>
  <c r="AU21" i="15"/>
  <c r="AR21" i="15"/>
  <c r="AT21" i="15" s="1"/>
  <c r="AQ21" i="15"/>
  <c r="AO21" i="15"/>
  <c r="AL21" i="15"/>
  <c r="AN21" i="15" s="1"/>
  <c r="AI21" i="15"/>
  <c r="AK21" i="15" s="1"/>
  <c r="AB21" i="15"/>
  <c r="Y21" i="15"/>
  <c r="V21" i="15"/>
  <c r="S21" i="15"/>
  <c r="EH21" i="15" s="1"/>
  <c r="P21" i="15"/>
  <c r="M21" i="15"/>
  <c r="J21" i="15"/>
  <c r="G21" i="15"/>
  <c r="D21" i="15"/>
  <c r="EL20" i="15"/>
  <c r="EI20" i="15"/>
  <c r="EG20" i="15"/>
  <c r="DW20" i="15"/>
  <c r="DT20" i="15"/>
  <c r="DQ20" i="15"/>
  <c r="DN20" i="15"/>
  <c r="DK20" i="15"/>
  <c r="DH20" i="15"/>
  <c r="DE20" i="15"/>
  <c r="DB20" i="15"/>
  <c r="CY20" i="15"/>
  <c r="CV20" i="15"/>
  <c r="CS20" i="15"/>
  <c r="CP20" i="15"/>
  <c r="CM20" i="15"/>
  <c r="CJ20" i="15"/>
  <c r="CG20" i="15"/>
  <c r="CD20" i="15"/>
  <c r="CA20" i="15"/>
  <c r="BX20" i="15"/>
  <c r="BU20" i="15"/>
  <c r="BR20" i="15"/>
  <c r="BO20" i="15"/>
  <c r="BL20" i="15"/>
  <c r="BI20" i="15"/>
  <c r="BF20" i="15"/>
  <c r="BC20" i="15"/>
  <c r="AZ20" i="15"/>
  <c r="AU20" i="15"/>
  <c r="AW20" i="15" s="1"/>
  <c r="AR20" i="15"/>
  <c r="AT20" i="15" s="1"/>
  <c r="AO20" i="15"/>
  <c r="AQ20" i="15" s="1"/>
  <c r="AL20" i="15"/>
  <c r="EB20" i="15" s="1"/>
  <c r="AI20" i="15"/>
  <c r="AK20" i="15" s="1"/>
  <c r="AB20" i="15"/>
  <c r="Y20" i="15"/>
  <c r="V20" i="15"/>
  <c r="S20" i="15"/>
  <c r="EH20" i="15" s="1"/>
  <c r="P20" i="15"/>
  <c r="M20" i="15"/>
  <c r="J20" i="15"/>
  <c r="G20" i="15"/>
  <c r="D20" i="15"/>
  <c r="EL19" i="15"/>
  <c r="EK19" i="15"/>
  <c r="EG19" i="15"/>
  <c r="EI19" i="15" s="1"/>
  <c r="DW19" i="15"/>
  <c r="DT19" i="15"/>
  <c r="DQ19" i="15"/>
  <c r="EM19" i="15" s="1"/>
  <c r="DN19" i="15"/>
  <c r="DK19" i="15"/>
  <c r="DH19" i="15"/>
  <c r="DE19" i="15"/>
  <c r="DB19" i="15"/>
  <c r="CY19" i="15"/>
  <c r="CV19" i="15"/>
  <c r="CS19" i="15"/>
  <c r="CP19" i="15"/>
  <c r="CM19" i="15"/>
  <c r="CJ19" i="15"/>
  <c r="CG19" i="15"/>
  <c r="CD19" i="15"/>
  <c r="CA19" i="15"/>
  <c r="BX19" i="15"/>
  <c r="BU19" i="15"/>
  <c r="BR19" i="15"/>
  <c r="BO19" i="15"/>
  <c r="BL19" i="15"/>
  <c r="BI19" i="15"/>
  <c r="BF19" i="15"/>
  <c r="BC19" i="15"/>
  <c r="AZ19" i="15"/>
  <c r="AW19" i="15"/>
  <c r="AU19" i="15"/>
  <c r="AT19" i="15"/>
  <c r="AR19" i="15"/>
  <c r="AQ19" i="15"/>
  <c r="AO19" i="15"/>
  <c r="AN19" i="15"/>
  <c r="AL19" i="15"/>
  <c r="EB19" i="15" s="1"/>
  <c r="AK19" i="15"/>
  <c r="AI19" i="15"/>
  <c r="AB19" i="15"/>
  <c r="EH19" i="15" s="1"/>
  <c r="Y19" i="15"/>
  <c r="V19" i="15"/>
  <c r="S19" i="15"/>
  <c r="P19" i="15"/>
  <c r="M19" i="15"/>
  <c r="J19" i="15"/>
  <c r="G19" i="15"/>
  <c r="D19" i="15"/>
  <c r="ED19" i="15" s="1"/>
  <c r="EL18" i="15"/>
  <c r="EG18" i="15"/>
  <c r="EI18" i="15" s="1"/>
  <c r="DW18" i="15"/>
  <c r="DT18" i="15"/>
  <c r="DQ18" i="15"/>
  <c r="DN18" i="15"/>
  <c r="DK18" i="15"/>
  <c r="DH18" i="15"/>
  <c r="DE18" i="15"/>
  <c r="DB18" i="15"/>
  <c r="CY18" i="15"/>
  <c r="CV18" i="15"/>
  <c r="CS18" i="15"/>
  <c r="CP18" i="15"/>
  <c r="CM18" i="15"/>
  <c r="CJ18" i="15"/>
  <c r="CG18" i="15"/>
  <c r="CD18" i="15"/>
  <c r="CA18" i="15"/>
  <c r="BX18" i="15"/>
  <c r="BU18" i="15"/>
  <c r="BR18" i="15"/>
  <c r="BO18" i="15"/>
  <c r="BL18" i="15"/>
  <c r="BI18" i="15"/>
  <c r="BF18" i="15"/>
  <c r="BC18" i="15"/>
  <c r="AZ18" i="15"/>
  <c r="AU18" i="15"/>
  <c r="EK18" i="15" s="1"/>
  <c r="AR18" i="15"/>
  <c r="AT18" i="15" s="1"/>
  <c r="AO18" i="15"/>
  <c r="EB18" i="15" s="1"/>
  <c r="AL18" i="15"/>
  <c r="AN18" i="15" s="1"/>
  <c r="AI18" i="15"/>
  <c r="AK18" i="15" s="1"/>
  <c r="AB18" i="15"/>
  <c r="Y18" i="15"/>
  <c r="V18" i="15"/>
  <c r="S18" i="15"/>
  <c r="EH18" i="15" s="1"/>
  <c r="P18" i="15"/>
  <c r="M18" i="15"/>
  <c r="J18" i="15"/>
  <c r="G18" i="15"/>
  <c r="D18" i="15"/>
  <c r="EL17" i="15"/>
  <c r="EK17" i="15"/>
  <c r="EI17" i="15"/>
  <c r="EG17" i="15"/>
  <c r="DW17" i="15"/>
  <c r="DT17" i="15"/>
  <c r="DQ17" i="15"/>
  <c r="EM17" i="15" s="1"/>
  <c r="DN17" i="15"/>
  <c r="DK17" i="15"/>
  <c r="DH17" i="15"/>
  <c r="DE17" i="15"/>
  <c r="DB17" i="15"/>
  <c r="CY17" i="15"/>
  <c r="CV17" i="15"/>
  <c r="CS17" i="15"/>
  <c r="CP17" i="15"/>
  <c r="CM17" i="15"/>
  <c r="CJ17" i="15"/>
  <c r="CG17" i="15"/>
  <c r="CD17" i="15"/>
  <c r="CA17" i="15"/>
  <c r="BX17" i="15"/>
  <c r="BU17" i="15"/>
  <c r="BR17" i="15"/>
  <c r="BO17" i="15"/>
  <c r="BL17" i="15"/>
  <c r="BI17" i="15"/>
  <c r="BF17" i="15"/>
  <c r="BC17" i="15"/>
  <c r="AZ17" i="15"/>
  <c r="AW17" i="15"/>
  <c r="AU17" i="15"/>
  <c r="AT17" i="15"/>
  <c r="AR17" i="15"/>
  <c r="AQ17" i="15"/>
  <c r="AO17" i="15"/>
  <c r="AN17" i="15"/>
  <c r="AL17" i="15"/>
  <c r="EB17" i="15" s="1"/>
  <c r="AK17" i="15"/>
  <c r="AB17" i="15"/>
  <c r="Y17" i="15"/>
  <c r="V17" i="15"/>
  <c r="S17" i="15"/>
  <c r="EH17" i="15" s="1"/>
  <c r="P17" i="15"/>
  <c r="M17" i="15"/>
  <c r="J17" i="15"/>
  <c r="G17" i="15"/>
  <c r="D17" i="15"/>
  <c r="ED17" i="15" s="1"/>
  <c r="EL16" i="15"/>
  <c r="EK16" i="15"/>
  <c r="EG16" i="15"/>
  <c r="EI16" i="15" s="1"/>
  <c r="DW16" i="15"/>
  <c r="DT16" i="15"/>
  <c r="DQ16" i="15"/>
  <c r="EM16" i="15" s="1"/>
  <c r="DN16" i="15"/>
  <c r="DK16" i="15"/>
  <c r="DH16" i="15"/>
  <c r="DE16" i="15"/>
  <c r="DB16" i="15"/>
  <c r="CY16" i="15"/>
  <c r="CV16" i="15"/>
  <c r="CS16" i="15"/>
  <c r="CP16" i="15"/>
  <c r="CM16" i="15"/>
  <c r="CJ16" i="15"/>
  <c r="CG16" i="15"/>
  <c r="CD16" i="15"/>
  <c r="CA16" i="15"/>
  <c r="BX16" i="15"/>
  <c r="BU16" i="15"/>
  <c r="BR16" i="15"/>
  <c r="BO16" i="15"/>
  <c r="BL16" i="15"/>
  <c r="BI16" i="15"/>
  <c r="BF16" i="15"/>
  <c r="BC16" i="15"/>
  <c r="AZ16" i="15"/>
  <c r="AW16" i="15"/>
  <c r="AU16" i="15"/>
  <c r="AT16" i="15"/>
  <c r="AR16" i="15"/>
  <c r="AQ16" i="15"/>
  <c r="AO16" i="15"/>
  <c r="AN16" i="15"/>
  <c r="AL16" i="15"/>
  <c r="EB16" i="15" s="1"/>
  <c r="AK16" i="15"/>
  <c r="AI16" i="15"/>
  <c r="AB16" i="15"/>
  <c r="EH16" i="15" s="1"/>
  <c r="Y16" i="15"/>
  <c r="V16" i="15"/>
  <c r="S16" i="15"/>
  <c r="P16" i="15"/>
  <c r="M16" i="15"/>
  <c r="J16" i="15"/>
  <c r="G16" i="15"/>
  <c r="D16" i="15"/>
  <c r="ED16" i="15" s="1"/>
  <c r="EL15" i="15"/>
  <c r="EG15" i="15"/>
  <c r="EI15" i="15" s="1"/>
  <c r="DW15" i="15"/>
  <c r="DT15" i="15"/>
  <c r="DQ15" i="15"/>
  <c r="DN15" i="15"/>
  <c r="DK15" i="15"/>
  <c r="DH15" i="15"/>
  <c r="DE15" i="15"/>
  <c r="DB15" i="15"/>
  <c r="CY15" i="15"/>
  <c r="CV15" i="15"/>
  <c r="CS15" i="15"/>
  <c r="CP15" i="15"/>
  <c r="CM15" i="15"/>
  <c r="CJ15" i="15"/>
  <c r="CG15" i="15"/>
  <c r="CD15" i="15"/>
  <c r="CA15" i="15"/>
  <c r="BX15" i="15"/>
  <c r="BU15" i="15"/>
  <c r="BR15" i="15"/>
  <c r="BO15" i="15"/>
  <c r="BL15" i="15"/>
  <c r="BI15" i="15"/>
  <c r="BF15" i="15"/>
  <c r="BC15" i="15"/>
  <c r="AZ15" i="15"/>
  <c r="AU15" i="15"/>
  <c r="EK15" i="15" s="1"/>
  <c r="AR15" i="15"/>
  <c r="AT15" i="15" s="1"/>
  <c r="AO15" i="15"/>
  <c r="EB15" i="15" s="1"/>
  <c r="AL15" i="15"/>
  <c r="AN15" i="15" s="1"/>
  <c r="AI15" i="15"/>
  <c r="AK15" i="15" s="1"/>
  <c r="AB15" i="15"/>
  <c r="Y15" i="15"/>
  <c r="V15" i="15"/>
  <c r="S15" i="15"/>
  <c r="EH15" i="15" s="1"/>
  <c r="P15" i="15"/>
  <c r="M15" i="15"/>
  <c r="J15" i="15"/>
  <c r="G15" i="15"/>
  <c r="D15" i="15"/>
  <c r="EL14" i="15"/>
  <c r="EI14" i="15"/>
  <c r="EG14" i="15"/>
  <c r="DW14" i="15"/>
  <c r="DT14" i="15"/>
  <c r="DQ14" i="15"/>
  <c r="DN14" i="15"/>
  <c r="DK14" i="15"/>
  <c r="DH14" i="15"/>
  <c r="DE14" i="15"/>
  <c r="DB14" i="15"/>
  <c r="CY14" i="15"/>
  <c r="CV14" i="15"/>
  <c r="CS14" i="15"/>
  <c r="CP14" i="15"/>
  <c r="CM14" i="15"/>
  <c r="CJ14" i="15"/>
  <c r="CG14" i="15"/>
  <c r="CD14" i="15"/>
  <c r="CA14" i="15"/>
  <c r="BX14" i="15"/>
  <c r="BU14" i="15"/>
  <c r="BR14" i="15"/>
  <c r="BO14" i="15"/>
  <c r="BL14" i="15"/>
  <c r="BI14" i="15"/>
  <c r="BF14" i="15"/>
  <c r="BC14" i="15"/>
  <c r="AZ14" i="15"/>
  <c r="AW14" i="15"/>
  <c r="AU14" i="15"/>
  <c r="AT14" i="15"/>
  <c r="AO14" i="15"/>
  <c r="AQ14" i="15" s="1"/>
  <c r="AL14" i="15"/>
  <c r="EB14" i="15" s="1"/>
  <c r="AI14" i="15"/>
  <c r="AK14" i="15" s="1"/>
  <c r="AB14" i="15"/>
  <c r="Y14" i="15"/>
  <c r="V14" i="15"/>
  <c r="S14" i="15"/>
  <c r="EH14" i="15" s="1"/>
  <c r="P14" i="15"/>
  <c r="M14" i="15"/>
  <c r="J14" i="15"/>
  <c r="G14" i="15"/>
  <c r="D14" i="15"/>
  <c r="EL13" i="15"/>
  <c r="EK13" i="15"/>
  <c r="EG13" i="15"/>
  <c r="EI13" i="15" s="1"/>
  <c r="DW13" i="15"/>
  <c r="DT13" i="15"/>
  <c r="DQ13" i="15"/>
  <c r="EM13" i="15" s="1"/>
  <c r="DN13" i="15"/>
  <c r="DK13" i="15"/>
  <c r="DH13" i="15"/>
  <c r="DE13" i="15"/>
  <c r="DB13" i="15"/>
  <c r="CY13" i="15"/>
  <c r="CV13" i="15"/>
  <c r="CS13" i="15"/>
  <c r="CP13" i="15"/>
  <c r="CM13" i="15"/>
  <c r="CJ13" i="15"/>
  <c r="CG13" i="15"/>
  <c r="CD13" i="15"/>
  <c r="CA13" i="15"/>
  <c r="BX13" i="15"/>
  <c r="BU13" i="15"/>
  <c r="BR13" i="15"/>
  <c r="BO13" i="15"/>
  <c r="BL13" i="15"/>
  <c r="BI13" i="15"/>
  <c r="BF13" i="15"/>
  <c r="BC13" i="15"/>
  <c r="AZ13" i="15"/>
  <c r="AW13" i="15"/>
  <c r="AU13" i="15"/>
  <c r="AT13" i="15"/>
  <c r="AR13" i="15"/>
  <c r="AQ13" i="15"/>
  <c r="AO13" i="15"/>
  <c r="EB13" i="15" s="1"/>
  <c r="AN13" i="15"/>
  <c r="AL13" i="15"/>
  <c r="AK13" i="15"/>
  <c r="AI13" i="15"/>
  <c r="AB13" i="15"/>
  <c r="EH13" i="15" s="1"/>
  <c r="Y13" i="15"/>
  <c r="V13" i="15"/>
  <c r="S13" i="15"/>
  <c r="P13" i="15"/>
  <c r="M13" i="15"/>
  <c r="J13" i="15"/>
  <c r="G13" i="15"/>
  <c r="D13" i="15"/>
  <c r="ED13" i="15" s="1"/>
  <c r="EL12" i="15"/>
  <c r="EG12" i="15"/>
  <c r="EI12" i="15" s="1"/>
  <c r="DW12" i="15"/>
  <c r="DT12" i="15"/>
  <c r="DQ12" i="15"/>
  <c r="DN12" i="15"/>
  <c r="DK12" i="15"/>
  <c r="DH12" i="15"/>
  <c r="DE12" i="15"/>
  <c r="DB12" i="15"/>
  <c r="CY12" i="15"/>
  <c r="CV12" i="15"/>
  <c r="CS12" i="15"/>
  <c r="CP12" i="15"/>
  <c r="CM12" i="15"/>
  <c r="CJ12" i="15"/>
  <c r="CG12" i="15"/>
  <c r="CD12" i="15"/>
  <c r="CA12" i="15"/>
  <c r="BX12" i="15"/>
  <c r="BU12" i="15"/>
  <c r="BR12" i="15"/>
  <c r="BO12" i="15"/>
  <c r="BL12" i="15"/>
  <c r="BI12" i="15"/>
  <c r="BF12" i="15"/>
  <c r="BC12" i="15"/>
  <c r="AZ12" i="15"/>
  <c r="AU12" i="15"/>
  <c r="EK12" i="15" s="1"/>
  <c r="AR12" i="15"/>
  <c r="AT12" i="15" s="1"/>
  <c r="AO12" i="15"/>
  <c r="EB12" i="15" s="1"/>
  <c r="AL12" i="15"/>
  <c r="AN12" i="15" s="1"/>
  <c r="AI12" i="15"/>
  <c r="AK12" i="15" s="1"/>
  <c r="AB12" i="15"/>
  <c r="Y12" i="15"/>
  <c r="V12" i="15"/>
  <c r="S12" i="15"/>
  <c r="EH12" i="15" s="1"/>
  <c r="P12" i="15"/>
  <c r="M12" i="15"/>
  <c r="J12" i="15"/>
  <c r="G12" i="15"/>
  <c r="D12" i="15"/>
  <c r="A12" i="15"/>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EL11" i="15"/>
  <c r="EK11" i="15"/>
  <c r="EI11" i="15"/>
  <c r="EG11" i="15"/>
  <c r="DW11" i="15"/>
  <c r="DW39" i="15" s="1"/>
  <c r="DT11" i="15"/>
  <c r="DQ11" i="15"/>
  <c r="DN11" i="15"/>
  <c r="DK11" i="15"/>
  <c r="DK39" i="15" s="1"/>
  <c r="DH11" i="15"/>
  <c r="DE11" i="15"/>
  <c r="DB11" i="15"/>
  <c r="CY11" i="15"/>
  <c r="CY39" i="15" s="1"/>
  <c r="CV11" i="15"/>
  <c r="CS11" i="15"/>
  <c r="CP11" i="15"/>
  <c r="CM11" i="15"/>
  <c r="CM39" i="15" s="1"/>
  <c r="CJ11" i="15"/>
  <c r="CG11" i="15"/>
  <c r="CD11" i="15"/>
  <c r="CA11" i="15"/>
  <c r="CA39" i="15" s="1"/>
  <c r="BX11" i="15"/>
  <c r="BU11" i="15"/>
  <c r="BR11" i="15"/>
  <c r="BO11" i="15"/>
  <c r="BO39" i="15" s="1"/>
  <c r="BL11" i="15"/>
  <c r="BI11" i="15"/>
  <c r="BF11" i="15"/>
  <c r="BC11" i="15"/>
  <c r="BC39" i="15" s="1"/>
  <c r="AZ11" i="15"/>
  <c r="AW11" i="15"/>
  <c r="AU11" i="15"/>
  <c r="AT11" i="15"/>
  <c r="AR11" i="15"/>
  <c r="AQ11" i="15"/>
  <c r="AO11" i="15"/>
  <c r="AN11" i="15"/>
  <c r="AL11" i="15"/>
  <c r="EB11" i="15" s="1"/>
  <c r="AK11" i="15"/>
  <c r="AI11" i="15"/>
  <c r="AH39" i="15"/>
  <c r="AE39" i="15"/>
  <c r="AB11" i="15"/>
  <c r="Y11" i="15"/>
  <c r="V11" i="15"/>
  <c r="V39" i="15" s="1"/>
  <c r="S11" i="15"/>
  <c r="S39" i="15" s="1"/>
  <c r="P11" i="15"/>
  <c r="M11" i="15"/>
  <c r="J11" i="15"/>
  <c r="J39" i="15" s="1"/>
  <c r="G11" i="15"/>
  <c r="G39" i="15" s="1"/>
  <c r="D11" i="15"/>
  <c r="EQ2" i="15"/>
  <c r="G4" i="15" s="1"/>
  <c r="EI2" i="15"/>
  <c r="EE2" i="15"/>
  <c r="EL40" i="14"/>
  <c r="EG40" i="14"/>
  <c r="EI40" i="14" s="1"/>
  <c r="EB40" i="14"/>
  <c r="DW40" i="14"/>
  <c r="DT40" i="14"/>
  <c r="DQ40" i="14"/>
  <c r="DN40" i="14"/>
  <c r="DK40" i="14"/>
  <c r="DH40" i="14"/>
  <c r="DE40" i="14"/>
  <c r="DB40" i="14"/>
  <c r="CY40" i="14"/>
  <c r="CV40" i="14"/>
  <c r="CS40" i="14"/>
  <c r="CP40" i="14"/>
  <c r="CM40" i="14"/>
  <c r="CJ40" i="14"/>
  <c r="CG40" i="14"/>
  <c r="CD40" i="14"/>
  <c r="CA40" i="14"/>
  <c r="BX40" i="14"/>
  <c r="BU40" i="14"/>
  <c r="BR40" i="14"/>
  <c r="BO40" i="14"/>
  <c r="BL40" i="14"/>
  <c r="BI40" i="14"/>
  <c r="BF40" i="14"/>
  <c r="BC40" i="14"/>
  <c r="AZ40" i="14"/>
  <c r="AW40" i="14"/>
  <c r="AT40" i="14"/>
  <c r="AQ40" i="14"/>
  <c r="AN40" i="14"/>
  <c r="AI40" i="14"/>
  <c r="AB40" i="14"/>
  <c r="Y40" i="14"/>
  <c r="EH40" i="14" s="1"/>
  <c r="V40" i="14"/>
  <c r="S40" i="14"/>
  <c r="P40" i="14"/>
  <c r="M40" i="14"/>
  <c r="J40" i="14"/>
  <c r="G40" i="14"/>
  <c r="D40" i="14"/>
  <c r="EL39" i="14"/>
  <c r="EK39" i="14"/>
  <c r="EG39" i="14"/>
  <c r="EI39" i="14" s="1"/>
  <c r="DW39" i="14"/>
  <c r="DT39" i="14"/>
  <c r="DQ39" i="14"/>
  <c r="EM39" i="14" s="1"/>
  <c r="DN39" i="14"/>
  <c r="DK39" i="14"/>
  <c r="DH39" i="14"/>
  <c r="DE39" i="14"/>
  <c r="DB39" i="14"/>
  <c r="CY39" i="14"/>
  <c r="CV39" i="14"/>
  <c r="CS39" i="14"/>
  <c r="CP39" i="14"/>
  <c r="CM39" i="14"/>
  <c r="CJ39" i="14"/>
  <c r="CG39" i="14"/>
  <c r="CD39" i="14"/>
  <c r="CA39" i="14"/>
  <c r="BX39" i="14"/>
  <c r="BU39" i="14"/>
  <c r="BR39" i="14"/>
  <c r="BO39" i="14"/>
  <c r="BL39" i="14"/>
  <c r="BI39" i="14"/>
  <c r="BF39" i="14"/>
  <c r="BC39" i="14"/>
  <c r="AZ39" i="14"/>
  <c r="AW39" i="14"/>
  <c r="AT39" i="14"/>
  <c r="AQ39" i="14"/>
  <c r="AN39" i="14"/>
  <c r="AI39" i="14"/>
  <c r="AK39" i="14" s="1"/>
  <c r="AB39" i="14"/>
  <c r="Y39" i="14"/>
  <c r="V39" i="14"/>
  <c r="EH39" i="14" s="1"/>
  <c r="S39" i="14"/>
  <c r="P39" i="14"/>
  <c r="M39" i="14"/>
  <c r="J39" i="14"/>
  <c r="G39" i="14"/>
  <c r="D39" i="14"/>
  <c r="EL38" i="14"/>
  <c r="EK38" i="14"/>
  <c r="EI38" i="14"/>
  <c r="EG38" i="14"/>
  <c r="DW38" i="14"/>
  <c r="DT38" i="14"/>
  <c r="DQ38" i="14"/>
  <c r="DN38" i="14"/>
  <c r="DK38" i="14"/>
  <c r="DH38" i="14"/>
  <c r="DE38" i="14"/>
  <c r="DB38" i="14"/>
  <c r="CY38" i="14"/>
  <c r="CV38" i="14"/>
  <c r="CS38" i="14"/>
  <c r="CP38" i="14"/>
  <c r="CM38" i="14"/>
  <c r="CJ38" i="14"/>
  <c r="CG38" i="14"/>
  <c r="CD38" i="14"/>
  <c r="CA38" i="14"/>
  <c r="BX38" i="14"/>
  <c r="BU38" i="14"/>
  <c r="BR38" i="14"/>
  <c r="BO38" i="14"/>
  <c r="BL38" i="14"/>
  <c r="BI38" i="14"/>
  <c r="BF38" i="14"/>
  <c r="BC38" i="14"/>
  <c r="AZ38" i="14"/>
  <c r="AW38" i="14"/>
  <c r="AT38" i="14"/>
  <c r="AQ38" i="14"/>
  <c r="AN38" i="14"/>
  <c r="AI38" i="14"/>
  <c r="AK38" i="14" s="1"/>
  <c r="AB38" i="14"/>
  <c r="Y38" i="14"/>
  <c r="V38" i="14"/>
  <c r="S38" i="14"/>
  <c r="EH38" i="14" s="1"/>
  <c r="P38" i="14"/>
  <c r="M38" i="14"/>
  <c r="J38" i="14"/>
  <c r="G38" i="14"/>
  <c r="ED38" i="14" s="1"/>
  <c r="D38" i="14"/>
  <c r="EL37" i="14"/>
  <c r="EI37" i="14"/>
  <c r="EG37" i="14"/>
  <c r="DW37" i="14"/>
  <c r="DT37" i="14"/>
  <c r="DQ37" i="14"/>
  <c r="EM37" i="14" s="1"/>
  <c r="DN37" i="14"/>
  <c r="DK37" i="14"/>
  <c r="DH37" i="14"/>
  <c r="DE37" i="14"/>
  <c r="DB37" i="14"/>
  <c r="CY37" i="14"/>
  <c r="CV37" i="14"/>
  <c r="CS37" i="14"/>
  <c r="CP37" i="14"/>
  <c r="CM37" i="14"/>
  <c r="CJ37" i="14"/>
  <c r="CG37" i="14"/>
  <c r="CD37" i="14"/>
  <c r="CA37" i="14"/>
  <c r="BX37" i="14"/>
  <c r="BU37" i="14"/>
  <c r="BR37" i="14"/>
  <c r="BO37" i="14"/>
  <c r="BL37" i="14"/>
  <c r="BI37" i="14"/>
  <c r="BF37" i="14"/>
  <c r="BC37" i="14"/>
  <c r="AZ37" i="14"/>
  <c r="AW37" i="14"/>
  <c r="AT37" i="14"/>
  <c r="AQ37" i="14"/>
  <c r="AN37" i="14"/>
  <c r="AK37" i="14"/>
  <c r="AI37" i="14"/>
  <c r="EB37" i="14" s="1"/>
  <c r="AB37" i="14"/>
  <c r="EH37" i="14" s="1"/>
  <c r="Y37" i="14"/>
  <c r="V37" i="14"/>
  <c r="S37" i="14"/>
  <c r="P37" i="14"/>
  <c r="M37" i="14"/>
  <c r="J37" i="14"/>
  <c r="G37" i="14"/>
  <c r="D37" i="14"/>
  <c r="ED37" i="14" s="1"/>
  <c r="EL36" i="14"/>
  <c r="EG36" i="14"/>
  <c r="EI36" i="14" s="1"/>
  <c r="EB36" i="14"/>
  <c r="DW36" i="14"/>
  <c r="DT36" i="14"/>
  <c r="DQ36" i="14"/>
  <c r="DN36" i="14"/>
  <c r="DK36" i="14"/>
  <c r="DH36" i="14"/>
  <c r="DE36" i="14"/>
  <c r="DB36" i="14"/>
  <c r="CY36" i="14"/>
  <c r="CV36" i="14"/>
  <c r="CS36" i="14"/>
  <c r="CP36" i="14"/>
  <c r="CM36" i="14"/>
  <c r="CJ36" i="14"/>
  <c r="CG36" i="14"/>
  <c r="CD36" i="14"/>
  <c r="CA36" i="14"/>
  <c r="BX36" i="14"/>
  <c r="BU36" i="14"/>
  <c r="BR36" i="14"/>
  <c r="BO36" i="14"/>
  <c r="BL36" i="14"/>
  <c r="BI36" i="14"/>
  <c r="BF36" i="14"/>
  <c r="BC36" i="14"/>
  <c r="AZ36" i="14"/>
  <c r="AW36" i="14"/>
  <c r="AT36" i="14"/>
  <c r="AQ36" i="14"/>
  <c r="AN36" i="14"/>
  <c r="AI36" i="14"/>
  <c r="AB36" i="14"/>
  <c r="Y36" i="14"/>
  <c r="EH36" i="14" s="1"/>
  <c r="V36" i="14"/>
  <c r="S36" i="14"/>
  <c r="P36" i="14"/>
  <c r="M36" i="14"/>
  <c r="J36" i="14"/>
  <c r="G36" i="14"/>
  <c r="D36" i="14"/>
  <c r="EL35" i="14"/>
  <c r="EK35" i="14"/>
  <c r="EG35" i="14"/>
  <c r="EI35" i="14" s="1"/>
  <c r="DW35" i="14"/>
  <c r="DT35" i="14"/>
  <c r="DQ35" i="14"/>
  <c r="DN35" i="14"/>
  <c r="DK35" i="14"/>
  <c r="DH35" i="14"/>
  <c r="DE35" i="14"/>
  <c r="DB35" i="14"/>
  <c r="CY35" i="14"/>
  <c r="CV35" i="14"/>
  <c r="CS35" i="14"/>
  <c r="CP35" i="14"/>
  <c r="CM35" i="14"/>
  <c r="CJ35" i="14"/>
  <c r="CG35" i="14"/>
  <c r="CD35" i="14"/>
  <c r="CA35" i="14"/>
  <c r="BX35" i="14"/>
  <c r="BU35" i="14"/>
  <c r="BR35" i="14"/>
  <c r="BO35" i="14"/>
  <c r="BL35" i="14"/>
  <c r="BI35" i="14"/>
  <c r="BF35" i="14"/>
  <c r="BC35" i="14"/>
  <c r="AZ35" i="14"/>
  <c r="AW35" i="14"/>
  <c r="AT35" i="14"/>
  <c r="AQ35" i="14"/>
  <c r="AN35" i="14"/>
  <c r="AI35" i="14"/>
  <c r="AK35" i="14" s="1"/>
  <c r="AB35" i="14"/>
  <c r="Y35" i="14"/>
  <c r="V35" i="14"/>
  <c r="S35" i="14"/>
  <c r="EH35" i="14" s="1"/>
  <c r="P35" i="14"/>
  <c r="M35" i="14"/>
  <c r="J35" i="14"/>
  <c r="G35" i="14"/>
  <c r="D35" i="14"/>
  <c r="ED35" i="14" s="1"/>
  <c r="EL34" i="14"/>
  <c r="EK34" i="14"/>
  <c r="EI34" i="14"/>
  <c r="EG34" i="14"/>
  <c r="DW34" i="14"/>
  <c r="DT34" i="14"/>
  <c r="DQ34" i="14"/>
  <c r="DN34" i="14"/>
  <c r="DK34" i="14"/>
  <c r="DH34" i="14"/>
  <c r="DE34" i="14"/>
  <c r="DB34" i="14"/>
  <c r="CY34" i="14"/>
  <c r="CV34" i="14"/>
  <c r="CS34" i="14"/>
  <c r="CP34" i="14"/>
  <c r="CM34" i="14"/>
  <c r="CJ34" i="14"/>
  <c r="CG34" i="14"/>
  <c r="CD34" i="14"/>
  <c r="CA34" i="14"/>
  <c r="BX34" i="14"/>
  <c r="BU34" i="14"/>
  <c r="BR34" i="14"/>
  <c r="BO34" i="14"/>
  <c r="BL34" i="14"/>
  <c r="BI34" i="14"/>
  <c r="BF34" i="14"/>
  <c r="BC34" i="14"/>
  <c r="AZ34" i="14"/>
  <c r="AW34" i="14"/>
  <c r="AT34" i="14"/>
  <c r="AQ34" i="14"/>
  <c r="AN34" i="14"/>
  <c r="AI34" i="14"/>
  <c r="AK34" i="14" s="1"/>
  <c r="AB34" i="14"/>
  <c r="Y34" i="14"/>
  <c r="V34" i="14"/>
  <c r="S34" i="14"/>
  <c r="EH34" i="14" s="1"/>
  <c r="P34" i="14"/>
  <c r="M34" i="14"/>
  <c r="J34" i="14"/>
  <c r="G34" i="14"/>
  <c r="ED34" i="14" s="1"/>
  <c r="D34" i="14"/>
  <c r="EL33" i="14"/>
  <c r="EK33" i="14"/>
  <c r="EI33" i="14"/>
  <c r="EG33" i="14"/>
  <c r="DW33" i="14"/>
  <c r="DT33" i="14"/>
  <c r="DQ33" i="14"/>
  <c r="EM33" i="14" s="1"/>
  <c r="EN33" i="14" s="1"/>
  <c r="DN33" i="14"/>
  <c r="DK33" i="14"/>
  <c r="DH33" i="14"/>
  <c r="DE33" i="14"/>
  <c r="DB33" i="14"/>
  <c r="CY33" i="14"/>
  <c r="CV33" i="14"/>
  <c r="CS33" i="14"/>
  <c r="CP33" i="14"/>
  <c r="CM33" i="14"/>
  <c r="CJ33" i="14"/>
  <c r="CG33" i="14"/>
  <c r="CD33" i="14"/>
  <c r="CA33" i="14"/>
  <c r="BX33" i="14"/>
  <c r="BU33" i="14"/>
  <c r="BR33" i="14"/>
  <c r="BO33" i="14"/>
  <c r="BL33" i="14"/>
  <c r="BI33" i="14"/>
  <c r="BF33" i="14"/>
  <c r="BC33" i="14"/>
  <c r="AZ33" i="14"/>
  <c r="AW33" i="14"/>
  <c r="AT33" i="14"/>
  <c r="AQ33" i="14"/>
  <c r="AN33" i="14"/>
  <c r="AK33" i="14"/>
  <c r="AI33" i="14"/>
  <c r="EB33" i="14" s="1"/>
  <c r="EE33" i="14" s="1"/>
  <c r="AB33" i="14"/>
  <c r="EH33" i="14" s="1"/>
  <c r="Y33" i="14"/>
  <c r="V33" i="14"/>
  <c r="S33" i="14"/>
  <c r="P33" i="14"/>
  <c r="M33" i="14"/>
  <c r="J33" i="14"/>
  <c r="G33" i="14"/>
  <c r="D33" i="14"/>
  <c r="ED33" i="14" s="1"/>
  <c r="EL32" i="14"/>
  <c r="EG32" i="14"/>
  <c r="EI32" i="14" s="1"/>
  <c r="DW32" i="14"/>
  <c r="DT32" i="14"/>
  <c r="DQ32" i="14"/>
  <c r="DN32" i="14"/>
  <c r="DK32" i="14"/>
  <c r="DH32" i="14"/>
  <c r="DE32" i="14"/>
  <c r="DB32" i="14"/>
  <c r="CY32" i="14"/>
  <c r="CV32" i="14"/>
  <c r="CS32" i="14"/>
  <c r="CP32" i="14"/>
  <c r="CM32" i="14"/>
  <c r="CJ32" i="14"/>
  <c r="CG32" i="14"/>
  <c r="CD32" i="14"/>
  <c r="CA32" i="14"/>
  <c r="BX32" i="14"/>
  <c r="BU32" i="14"/>
  <c r="BR32" i="14"/>
  <c r="BO32" i="14"/>
  <c r="BL32" i="14"/>
  <c r="BI32" i="14"/>
  <c r="BF32" i="14"/>
  <c r="BC32" i="14"/>
  <c r="AZ32" i="14"/>
  <c r="AW32" i="14"/>
  <c r="AT32" i="14"/>
  <c r="AQ32" i="14"/>
  <c r="AN32" i="14"/>
  <c r="AI32" i="14"/>
  <c r="AB32" i="14"/>
  <c r="Y32" i="14"/>
  <c r="EH32" i="14" s="1"/>
  <c r="V32" i="14"/>
  <c r="S32" i="14"/>
  <c r="P32" i="14"/>
  <c r="M32" i="14"/>
  <c r="J32" i="14"/>
  <c r="G32" i="14"/>
  <c r="D32" i="14"/>
  <c r="EL31" i="14"/>
  <c r="EK31" i="14"/>
  <c r="EG31" i="14"/>
  <c r="EI31" i="14" s="1"/>
  <c r="DW31" i="14"/>
  <c r="DT31" i="14"/>
  <c r="DQ31" i="14"/>
  <c r="DN31" i="14"/>
  <c r="DK31" i="14"/>
  <c r="DH31" i="14"/>
  <c r="DE31" i="14"/>
  <c r="DB31" i="14"/>
  <c r="CY31" i="14"/>
  <c r="CV31" i="14"/>
  <c r="CS31" i="14"/>
  <c r="CP31" i="14"/>
  <c r="CM31" i="14"/>
  <c r="CJ31" i="14"/>
  <c r="CG31" i="14"/>
  <c r="CD31" i="14"/>
  <c r="CA31" i="14"/>
  <c r="BX31" i="14"/>
  <c r="BU31" i="14"/>
  <c r="BR31" i="14"/>
  <c r="BO31" i="14"/>
  <c r="BL31" i="14"/>
  <c r="BI31" i="14"/>
  <c r="BF31" i="14"/>
  <c r="BC31" i="14"/>
  <c r="AZ31" i="14"/>
  <c r="AW31" i="14"/>
  <c r="AT31" i="14"/>
  <c r="AQ31" i="14"/>
  <c r="AN31" i="14"/>
  <c r="AI31" i="14"/>
  <c r="AK31" i="14" s="1"/>
  <c r="AB31" i="14"/>
  <c r="Y31" i="14"/>
  <c r="V31" i="14"/>
  <c r="EH31" i="14" s="1"/>
  <c r="S31" i="14"/>
  <c r="P31" i="14"/>
  <c r="M31" i="14"/>
  <c r="J31" i="14"/>
  <c r="G31" i="14"/>
  <c r="D31" i="14"/>
  <c r="EL30" i="14"/>
  <c r="EK30" i="14"/>
  <c r="EI30" i="14"/>
  <c r="EG30" i="14"/>
  <c r="ED30" i="14"/>
  <c r="DW30" i="14"/>
  <c r="DT30" i="14"/>
  <c r="DQ30" i="14"/>
  <c r="DN30" i="14"/>
  <c r="DK30" i="14"/>
  <c r="DH30" i="14"/>
  <c r="DE30" i="14"/>
  <c r="DB30" i="14"/>
  <c r="CY30" i="14"/>
  <c r="CV30" i="14"/>
  <c r="CS30" i="14"/>
  <c r="CP30" i="14"/>
  <c r="CM30" i="14"/>
  <c r="CJ30" i="14"/>
  <c r="CG30" i="14"/>
  <c r="CD30" i="14"/>
  <c r="CA30" i="14"/>
  <c r="BX30" i="14"/>
  <c r="BU30" i="14"/>
  <c r="BR30" i="14"/>
  <c r="BO30" i="14"/>
  <c r="BL30" i="14"/>
  <c r="BI30" i="14"/>
  <c r="BF30" i="14"/>
  <c r="BC30" i="14"/>
  <c r="AZ30" i="14"/>
  <c r="AW30" i="14"/>
  <c r="AT30" i="14"/>
  <c r="AQ30" i="14"/>
  <c r="AN30" i="14"/>
  <c r="AI30" i="14"/>
  <c r="AK30" i="14" s="1"/>
  <c r="AB30" i="14"/>
  <c r="Y30" i="14"/>
  <c r="V30" i="14"/>
  <c r="S30" i="14"/>
  <c r="EH30" i="14" s="1"/>
  <c r="P30" i="14"/>
  <c r="M30" i="14"/>
  <c r="J30" i="14"/>
  <c r="G30" i="14"/>
  <c r="D30" i="14"/>
  <c r="EL29" i="14"/>
  <c r="EK29" i="14"/>
  <c r="EI29" i="14"/>
  <c r="EG29" i="14"/>
  <c r="DW29" i="14"/>
  <c r="DT29" i="14"/>
  <c r="DQ29" i="14"/>
  <c r="EM29" i="14" s="1"/>
  <c r="EN29" i="14" s="1"/>
  <c r="DN29" i="14"/>
  <c r="DK29" i="14"/>
  <c r="DH29" i="14"/>
  <c r="DE29" i="14"/>
  <c r="DB29" i="14"/>
  <c r="CY29" i="14"/>
  <c r="CV29" i="14"/>
  <c r="CS29" i="14"/>
  <c r="CP29" i="14"/>
  <c r="CM29" i="14"/>
  <c r="CJ29" i="14"/>
  <c r="CG29" i="14"/>
  <c r="CD29" i="14"/>
  <c r="CA29" i="14"/>
  <c r="BX29" i="14"/>
  <c r="BU29" i="14"/>
  <c r="BR29" i="14"/>
  <c r="BO29" i="14"/>
  <c r="BL29" i="14"/>
  <c r="BI29" i="14"/>
  <c r="BF29" i="14"/>
  <c r="BC29" i="14"/>
  <c r="AZ29" i="14"/>
  <c r="AW29" i="14"/>
  <c r="AT29" i="14"/>
  <c r="AQ29" i="14"/>
  <c r="AN29" i="14"/>
  <c r="AK29" i="14"/>
  <c r="AI29" i="14"/>
  <c r="EB29" i="14" s="1"/>
  <c r="AB29" i="14"/>
  <c r="EH29" i="14" s="1"/>
  <c r="Y29" i="14"/>
  <c r="V29" i="14"/>
  <c r="S29" i="14"/>
  <c r="P29" i="14"/>
  <c r="M29" i="14"/>
  <c r="J29" i="14"/>
  <c r="G29" i="14"/>
  <c r="D29" i="14"/>
  <c r="EL28" i="14"/>
  <c r="EG28" i="14"/>
  <c r="EI28" i="14" s="1"/>
  <c r="EB28" i="14"/>
  <c r="DW28" i="14"/>
  <c r="DT28" i="14"/>
  <c r="DQ28" i="14"/>
  <c r="DN28" i="14"/>
  <c r="DK28" i="14"/>
  <c r="DH28" i="14"/>
  <c r="DE28" i="14"/>
  <c r="DB28" i="14"/>
  <c r="CY28" i="14"/>
  <c r="CV28" i="14"/>
  <c r="CS28" i="14"/>
  <c r="CP28" i="14"/>
  <c r="CM28" i="14"/>
  <c r="CJ28" i="14"/>
  <c r="CG28" i="14"/>
  <c r="CD28" i="14"/>
  <c r="CA28" i="14"/>
  <c r="BX28" i="14"/>
  <c r="BU28" i="14"/>
  <c r="BR28" i="14"/>
  <c r="BO28" i="14"/>
  <c r="BL28" i="14"/>
  <c r="BI28" i="14"/>
  <c r="BF28" i="14"/>
  <c r="BC28" i="14"/>
  <c r="AZ28" i="14"/>
  <c r="AW28" i="14"/>
  <c r="AT28" i="14"/>
  <c r="AQ28" i="14"/>
  <c r="AN28" i="14"/>
  <c r="AI28" i="14"/>
  <c r="AB28" i="14"/>
  <c r="Y28" i="14"/>
  <c r="EH28" i="14" s="1"/>
  <c r="V28" i="14"/>
  <c r="S28" i="14"/>
  <c r="P28" i="14"/>
  <c r="M28" i="14"/>
  <c r="J28" i="14"/>
  <c r="G28" i="14"/>
  <c r="D28" i="14"/>
  <c r="EL27" i="14"/>
  <c r="EK27" i="14"/>
  <c r="EG27" i="14"/>
  <c r="EI27" i="14" s="1"/>
  <c r="DW27" i="14"/>
  <c r="DT27" i="14"/>
  <c r="DQ27" i="14"/>
  <c r="DN27" i="14"/>
  <c r="DK27" i="14"/>
  <c r="DH27" i="14"/>
  <c r="DE27" i="14"/>
  <c r="DB27" i="14"/>
  <c r="CY27" i="14"/>
  <c r="CV27" i="14"/>
  <c r="CS27" i="14"/>
  <c r="CP27" i="14"/>
  <c r="CM27" i="14"/>
  <c r="CJ27" i="14"/>
  <c r="CG27" i="14"/>
  <c r="CD27" i="14"/>
  <c r="CA27" i="14"/>
  <c r="BX27" i="14"/>
  <c r="BU27" i="14"/>
  <c r="BR27" i="14"/>
  <c r="BO27" i="14"/>
  <c r="BL27" i="14"/>
  <c r="BI27" i="14"/>
  <c r="BF27" i="14"/>
  <c r="BC27" i="14"/>
  <c r="AZ27" i="14"/>
  <c r="AW27" i="14"/>
  <c r="AT27" i="14"/>
  <c r="AQ27" i="14"/>
  <c r="AN27" i="14"/>
  <c r="AI27" i="14"/>
  <c r="AK27" i="14" s="1"/>
  <c r="AB27" i="14"/>
  <c r="Y27" i="14"/>
  <c r="V27" i="14"/>
  <c r="EH27" i="14" s="1"/>
  <c r="S27" i="14"/>
  <c r="P27" i="14"/>
  <c r="M27" i="14"/>
  <c r="J27" i="14"/>
  <c r="G27" i="14"/>
  <c r="D27" i="14"/>
  <c r="ED27" i="14" s="1"/>
  <c r="EL26" i="14"/>
  <c r="EK26" i="14"/>
  <c r="EI26" i="14"/>
  <c r="EG26" i="14"/>
  <c r="DW26" i="14"/>
  <c r="DT26" i="14"/>
  <c r="DQ26" i="14"/>
  <c r="DN26" i="14"/>
  <c r="DK26" i="14"/>
  <c r="DH26" i="14"/>
  <c r="DE26" i="14"/>
  <c r="DB26" i="14"/>
  <c r="CY26" i="14"/>
  <c r="CV26" i="14"/>
  <c r="CS26" i="14"/>
  <c r="CP26" i="14"/>
  <c r="CM26" i="14"/>
  <c r="CJ26" i="14"/>
  <c r="CG26" i="14"/>
  <c r="CD26" i="14"/>
  <c r="CA26" i="14"/>
  <c r="BX26" i="14"/>
  <c r="BU26" i="14"/>
  <c r="BR26" i="14"/>
  <c r="BO26" i="14"/>
  <c r="BL26" i="14"/>
  <c r="BI26" i="14"/>
  <c r="BF26" i="14"/>
  <c r="BC26" i="14"/>
  <c r="AZ26" i="14"/>
  <c r="AW26" i="14"/>
  <c r="AT26" i="14"/>
  <c r="AQ26" i="14"/>
  <c r="AN26" i="14"/>
  <c r="AI26" i="14"/>
  <c r="AK26" i="14" s="1"/>
  <c r="AB26" i="14"/>
  <c r="Y26" i="14"/>
  <c r="V26" i="14"/>
  <c r="S26" i="14"/>
  <c r="EH26" i="14" s="1"/>
  <c r="P26" i="14"/>
  <c r="M26" i="14"/>
  <c r="J26" i="14"/>
  <c r="G26" i="14"/>
  <c r="ED26" i="14" s="1"/>
  <c r="D26" i="14"/>
  <c r="EL25" i="14"/>
  <c r="EK25" i="14"/>
  <c r="EI25" i="14"/>
  <c r="EG25" i="14"/>
  <c r="DW25" i="14"/>
  <c r="DT25" i="14"/>
  <c r="EM25" i="14" s="1"/>
  <c r="EN25" i="14" s="1"/>
  <c r="DQ25" i="14"/>
  <c r="DN25" i="14"/>
  <c r="DK25" i="14"/>
  <c r="DH25" i="14"/>
  <c r="DE25" i="14"/>
  <c r="DB25" i="14"/>
  <c r="CY25" i="14"/>
  <c r="CV25" i="14"/>
  <c r="CS25" i="14"/>
  <c r="CP25" i="14"/>
  <c r="CM25" i="14"/>
  <c r="CJ25" i="14"/>
  <c r="CG25" i="14"/>
  <c r="CD25" i="14"/>
  <c r="CA25" i="14"/>
  <c r="BX25" i="14"/>
  <c r="BU25" i="14"/>
  <c r="BR25" i="14"/>
  <c r="BO25" i="14"/>
  <c r="BL25" i="14"/>
  <c r="BI25" i="14"/>
  <c r="BF25" i="14"/>
  <c r="BC25" i="14"/>
  <c r="AZ25" i="14"/>
  <c r="AW25" i="14"/>
  <c r="AT25" i="14"/>
  <c r="AQ25" i="14"/>
  <c r="AN25" i="14"/>
  <c r="AK25" i="14"/>
  <c r="AI25" i="14"/>
  <c r="EB25" i="14" s="1"/>
  <c r="AB25" i="14"/>
  <c r="Y25" i="14"/>
  <c r="V25" i="14"/>
  <c r="S25" i="14"/>
  <c r="EH25" i="14" s="1"/>
  <c r="P25" i="14"/>
  <c r="M25" i="14"/>
  <c r="J25" i="14"/>
  <c r="G25" i="14"/>
  <c r="D25" i="14"/>
  <c r="ED25" i="14" s="1"/>
  <c r="EL24" i="14"/>
  <c r="EH24" i="14"/>
  <c r="EG24" i="14"/>
  <c r="EI24" i="14" s="1"/>
  <c r="DW24" i="14"/>
  <c r="DT24" i="14"/>
  <c r="DQ24" i="14"/>
  <c r="DN24" i="14"/>
  <c r="DK24" i="14"/>
  <c r="DH24" i="14"/>
  <c r="DE24" i="14"/>
  <c r="DB24" i="14"/>
  <c r="CY24" i="14"/>
  <c r="CV24" i="14"/>
  <c r="CS24" i="14"/>
  <c r="CP24" i="14"/>
  <c r="CM24" i="14"/>
  <c r="CJ24" i="14"/>
  <c r="CG24" i="14"/>
  <c r="CD24" i="14"/>
  <c r="CA24" i="14"/>
  <c r="BX24" i="14"/>
  <c r="BU24" i="14"/>
  <c r="BR24" i="14"/>
  <c r="BO24" i="14"/>
  <c r="BL24" i="14"/>
  <c r="BI24" i="14"/>
  <c r="BF24" i="14"/>
  <c r="BC24" i="14"/>
  <c r="AZ24" i="14"/>
  <c r="AW24" i="14"/>
  <c r="AT24" i="14"/>
  <c r="AQ24" i="14"/>
  <c r="AN24" i="14"/>
  <c r="AI24" i="14"/>
  <c r="EK24" i="14" s="1"/>
  <c r="AB24" i="14"/>
  <c r="Y24" i="14"/>
  <c r="V24" i="14"/>
  <c r="S24" i="14"/>
  <c r="P24" i="14"/>
  <c r="M24" i="14"/>
  <c r="J24" i="14"/>
  <c r="G24" i="14"/>
  <c r="D24" i="14"/>
  <c r="EL23" i="14"/>
  <c r="EG23" i="14"/>
  <c r="EI23" i="14" s="1"/>
  <c r="EB23" i="14"/>
  <c r="DW23" i="14"/>
  <c r="DT23" i="14"/>
  <c r="DQ23" i="14"/>
  <c r="DN23" i="14"/>
  <c r="DK23" i="14"/>
  <c r="DH23" i="14"/>
  <c r="DE23" i="14"/>
  <c r="DB23" i="14"/>
  <c r="CY23" i="14"/>
  <c r="CV23" i="14"/>
  <c r="CS23" i="14"/>
  <c r="CP23" i="14"/>
  <c r="CM23" i="14"/>
  <c r="CJ23" i="14"/>
  <c r="CG23" i="14"/>
  <c r="CD23" i="14"/>
  <c r="CA23" i="14"/>
  <c r="BX23" i="14"/>
  <c r="BU23" i="14"/>
  <c r="BR23" i="14"/>
  <c r="BO23" i="14"/>
  <c r="BL23" i="14"/>
  <c r="BI23" i="14"/>
  <c r="BF23" i="14"/>
  <c r="BC23" i="14"/>
  <c r="AZ23" i="14"/>
  <c r="AW23" i="14"/>
  <c r="AT23" i="14"/>
  <c r="AQ23" i="14"/>
  <c r="AN23" i="14"/>
  <c r="AI23" i="14"/>
  <c r="AK23" i="14" s="1"/>
  <c r="AB23" i="14"/>
  <c r="Y23" i="14"/>
  <c r="V23" i="14"/>
  <c r="S23" i="14"/>
  <c r="P23" i="14"/>
  <c r="M23" i="14"/>
  <c r="J23" i="14"/>
  <c r="G23" i="14"/>
  <c r="D23" i="14"/>
  <c r="EL22" i="14"/>
  <c r="EK22" i="14"/>
  <c r="EI22" i="14"/>
  <c r="EG22" i="14"/>
  <c r="DW22" i="14"/>
  <c r="DT22" i="14"/>
  <c r="DQ22" i="14"/>
  <c r="DN22" i="14"/>
  <c r="DK22" i="14"/>
  <c r="DH22" i="14"/>
  <c r="DE22" i="14"/>
  <c r="DB22" i="14"/>
  <c r="CY22" i="14"/>
  <c r="CV22" i="14"/>
  <c r="CS22" i="14"/>
  <c r="CP22" i="14"/>
  <c r="CM22" i="14"/>
  <c r="CJ22" i="14"/>
  <c r="CG22" i="14"/>
  <c r="CD22" i="14"/>
  <c r="CA22" i="14"/>
  <c r="BX22" i="14"/>
  <c r="BU22" i="14"/>
  <c r="BR22" i="14"/>
  <c r="BO22" i="14"/>
  <c r="BL22" i="14"/>
  <c r="BI22" i="14"/>
  <c r="BF22" i="14"/>
  <c r="BC22" i="14"/>
  <c r="AZ22" i="14"/>
  <c r="AW22" i="14"/>
  <c r="AT22" i="14"/>
  <c r="AQ22" i="14"/>
  <c r="AN22" i="14"/>
  <c r="AI22" i="14"/>
  <c r="AK22" i="14" s="1"/>
  <c r="AB22" i="14"/>
  <c r="Y22" i="14"/>
  <c r="V22" i="14"/>
  <c r="S22" i="14"/>
  <c r="EH22" i="14" s="1"/>
  <c r="P22" i="14"/>
  <c r="M22" i="14"/>
  <c r="J22" i="14"/>
  <c r="G22" i="14"/>
  <c r="ED22" i="14" s="1"/>
  <c r="D22" i="14"/>
  <c r="EL21" i="14"/>
  <c r="EK21" i="14"/>
  <c r="EI21" i="14"/>
  <c r="EG21" i="14"/>
  <c r="DW21" i="14"/>
  <c r="DT21" i="14"/>
  <c r="EM21" i="14" s="1"/>
  <c r="EN21" i="14" s="1"/>
  <c r="DQ21" i="14"/>
  <c r="DN21" i="14"/>
  <c r="DK21" i="14"/>
  <c r="DH21" i="14"/>
  <c r="DE21" i="14"/>
  <c r="DB21" i="14"/>
  <c r="CY21" i="14"/>
  <c r="CV21" i="14"/>
  <c r="CS21" i="14"/>
  <c r="CP21" i="14"/>
  <c r="CM21" i="14"/>
  <c r="CJ21" i="14"/>
  <c r="CG21" i="14"/>
  <c r="CD21" i="14"/>
  <c r="CA21" i="14"/>
  <c r="BX21" i="14"/>
  <c r="BU21" i="14"/>
  <c r="BR21" i="14"/>
  <c r="BO21" i="14"/>
  <c r="BL21" i="14"/>
  <c r="BI21" i="14"/>
  <c r="BF21" i="14"/>
  <c r="BC21" i="14"/>
  <c r="AZ21" i="14"/>
  <c r="AW21" i="14"/>
  <c r="AT21" i="14"/>
  <c r="AQ21" i="14"/>
  <c r="AN21" i="14"/>
  <c r="AK21" i="14"/>
  <c r="AI21" i="14"/>
  <c r="EB21" i="14" s="1"/>
  <c r="AB21" i="14"/>
  <c r="Y21" i="14"/>
  <c r="V21" i="14"/>
  <c r="S21" i="14"/>
  <c r="EH21" i="14" s="1"/>
  <c r="P21" i="14"/>
  <c r="M21" i="14"/>
  <c r="J21" i="14"/>
  <c r="G21" i="14"/>
  <c r="D21" i="14"/>
  <c r="ED21" i="14" s="1"/>
  <c r="EL20" i="14"/>
  <c r="EH20" i="14"/>
  <c r="EG20" i="14"/>
  <c r="EI20" i="14" s="1"/>
  <c r="DW20" i="14"/>
  <c r="DT20" i="14"/>
  <c r="DQ20" i="14"/>
  <c r="DN20" i="14"/>
  <c r="DK20" i="14"/>
  <c r="DH20" i="14"/>
  <c r="DE20" i="14"/>
  <c r="DB20" i="14"/>
  <c r="CY20" i="14"/>
  <c r="CV20" i="14"/>
  <c r="CS20" i="14"/>
  <c r="CP20" i="14"/>
  <c r="CM20" i="14"/>
  <c r="CJ20" i="14"/>
  <c r="CG20" i="14"/>
  <c r="CD20" i="14"/>
  <c r="CA20" i="14"/>
  <c r="BX20" i="14"/>
  <c r="BU20" i="14"/>
  <c r="BR20" i="14"/>
  <c r="BO20" i="14"/>
  <c r="BL20" i="14"/>
  <c r="BI20" i="14"/>
  <c r="BF20" i="14"/>
  <c r="BC20" i="14"/>
  <c r="AZ20" i="14"/>
  <c r="AW20" i="14"/>
  <c r="AT20" i="14"/>
  <c r="AQ20" i="14"/>
  <c r="AN20" i="14"/>
  <c r="AI20" i="14"/>
  <c r="EK20" i="14" s="1"/>
  <c r="AB20" i="14"/>
  <c r="Y20" i="14"/>
  <c r="V20" i="14"/>
  <c r="S20" i="14"/>
  <c r="P20" i="14"/>
  <c r="M20" i="14"/>
  <c r="J20" i="14"/>
  <c r="G20" i="14"/>
  <c r="D20" i="14"/>
  <c r="EL19" i="14"/>
  <c r="EK19" i="14"/>
  <c r="EG19" i="14"/>
  <c r="EI19" i="14" s="1"/>
  <c r="EB19" i="14"/>
  <c r="DW19" i="14"/>
  <c r="DT19" i="14"/>
  <c r="DQ19" i="14"/>
  <c r="DN19" i="14"/>
  <c r="DK19" i="14"/>
  <c r="DH19" i="14"/>
  <c r="DE19" i="14"/>
  <c r="DB19" i="14"/>
  <c r="CY19" i="14"/>
  <c r="CV19" i="14"/>
  <c r="CS19" i="14"/>
  <c r="CP19" i="14"/>
  <c r="CM19" i="14"/>
  <c r="CJ19" i="14"/>
  <c r="CG19" i="14"/>
  <c r="CD19" i="14"/>
  <c r="CA19" i="14"/>
  <c r="BX19" i="14"/>
  <c r="BU19" i="14"/>
  <c r="BR19" i="14"/>
  <c r="BO19" i="14"/>
  <c r="BL19" i="14"/>
  <c r="BI19" i="14"/>
  <c r="BF19" i="14"/>
  <c r="BC19" i="14"/>
  <c r="AZ19" i="14"/>
  <c r="AW19" i="14"/>
  <c r="AT19" i="14"/>
  <c r="AQ19" i="14"/>
  <c r="AN19" i="14"/>
  <c r="AI19" i="14"/>
  <c r="AK19" i="14" s="1"/>
  <c r="AB19" i="14"/>
  <c r="Y19" i="14"/>
  <c r="V19" i="14"/>
  <c r="EH19" i="14" s="1"/>
  <c r="S19" i="14"/>
  <c r="P19" i="14"/>
  <c r="M19" i="14"/>
  <c r="J19" i="14"/>
  <c r="G19" i="14"/>
  <c r="D19" i="14"/>
  <c r="EL18" i="14"/>
  <c r="EK18" i="14"/>
  <c r="EI18" i="14"/>
  <c r="EG18" i="14"/>
  <c r="DW18" i="14"/>
  <c r="DT18" i="14"/>
  <c r="DQ18" i="14"/>
  <c r="DN18" i="14"/>
  <c r="DK18" i="14"/>
  <c r="DH18" i="14"/>
  <c r="DE18" i="14"/>
  <c r="DB18" i="14"/>
  <c r="CY18" i="14"/>
  <c r="CV18" i="14"/>
  <c r="CS18" i="14"/>
  <c r="CP18" i="14"/>
  <c r="CM18" i="14"/>
  <c r="CJ18" i="14"/>
  <c r="CG18" i="14"/>
  <c r="CD18" i="14"/>
  <c r="CA18" i="14"/>
  <c r="BX18" i="14"/>
  <c r="BU18" i="14"/>
  <c r="BR18" i="14"/>
  <c r="BO18" i="14"/>
  <c r="BL18" i="14"/>
  <c r="BI18" i="14"/>
  <c r="BF18" i="14"/>
  <c r="BC18" i="14"/>
  <c r="AZ18" i="14"/>
  <c r="AW18" i="14"/>
  <c r="AT18" i="14"/>
  <c r="AQ18" i="14"/>
  <c r="AN18" i="14"/>
  <c r="AI18" i="14"/>
  <c r="AK18" i="14" s="1"/>
  <c r="AB18" i="14"/>
  <c r="Y18" i="14"/>
  <c r="V18" i="14"/>
  <c r="S18" i="14"/>
  <c r="EH18" i="14" s="1"/>
  <c r="P18" i="14"/>
  <c r="M18" i="14"/>
  <c r="J18" i="14"/>
  <c r="G18" i="14"/>
  <c r="ED18" i="14" s="1"/>
  <c r="D18" i="14"/>
  <c r="EL17" i="14"/>
  <c r="EK17" i="14"/>
  <c r="EI17" i="14"/>
  <c r="EG17" i="14"/>
  <c r="DW17" i="14"/>
  <c r="DT17" i="14"/>
  <c r="EM17" i="14" s="1"/>
  <c r="EN17" i="14" s="1"/>
  <c r="DQ17" i="14"/>
  <c r="DN17" i="14"/>
  <c r="DK17" i="14"/>
  <c r="DH17" i="14"/>
  <c r="DE17" i="14"/>
  <c r="DB17" i="14"/>
  <c r="CY17" i="14"/>
  <c r="CV17" i="14"/>
  <c r="CS17" i="14"/>
  <c r="CP17" i="14"/>
  <c r="CM17" i="14"/>
  <c r="CJ17" i="14"/>
  <c r="CG17" i="14"/>
  <c r="CD17" i="14"/>
  <c r="CA17" i="14"/>
  <c r="BX17" i="14"/>
  <c r="BU17" i="14"/>
  <c r="BR17" i="14"/>
  <c r="BO17" i="14"/>
  <c r="BL17" i="14"/>
  <c r="BI17" i="14"/>
  <c r="BF17" i="14"/>
  <c r="BC17" i="14"/>
  <c r="AZ17" i="14"/>
  <c r="AW17" i="14"/>
  <c r="AT17" i="14"/>
  <c r="AQ17" i="14"/>
  <c r="AN17" i="14"/>
  <c r="AK17" i="14"/>
  <c r="AI17" i="14"/>
  <c r="EB17" i="14" s="1"/>
  <c r="AB17" i="14"/>
  <c r="Y17" i="14"/>
  <c r="V17" i="14"/>
  <c r="S17" i="14"/>
  <c r="EH17" i="14" s="1"/>
  <c r="P17" i="14"/>
  <c r="M17" i="14"/>
  <c r="J17" i="14"/>
  <c r="G17" i="14"/>
  <c r="D17" i="14"/>
  <c r="ED17" i="14" s="1"/>
  <c r="EL16" i="14"/>
  <c r="EG16" i="14"/>
  <c r="EI16" i="14" s="1"/>
  <c r="DW16" i="14"/>
  <c r="DT16" i="14"/>
  <c r="DQ16" i="14"/>
  <c r="EM16" i="14" s="1"/>
  <c r="DN16" i="14"/>
  <c r="DK16" i="14"/>
  <c r="DH16" i="14"/>
  <c r="DE16" i="14"/>
  <c r="DB16" i="14"/>
  <c r="CY16" i="14"/>
  <c r="CV16" i="14"/>
  <c r="CS16" i="14"/>
  <c r="CP16" i="14"/>
  <c r="CM16" i="14"/>
  <c r="CJ16" i="14"/>
  <c r="CG16" i="14"/>
  <c r="CD16" i="14"/>
  <c r="CA16" i="14"/>
  <c r="BX16" i="14"/>
  <c r="BU16" i="14"/>
  <c r="BR16" i="14"/>
  <c r="BO16" i="14"/>
  <c r="BL16" i="14"/>
  <c r="BI16" i="14"/>
  <c r="BF16" i="14"/>
  <c r="BC16" i="14"/>
  <c r="AZ16" i="14"/>
  <c r="AW16" i="14"/>
  <c r="AT16" i="14"/>
  <c r="AQ16" i="14"/>
  <c r="AN16" i="14"/>
  <c r="AK16" i="14"/>
  <c r="AI16" i="14"/>
  <c r="EK16" i="14" s="1"/>
  <c r="AB16" i="14"/>
  <c r="EH16" i="14" s="1"/>
  <c r="Y16" i="14"/>
  <c r="V16" i="14"/>
  <c r="S16" i="14"/>
  <c r="P16" i="14"/>
  <c r="M16" i="14"/>
  <c r="J16" i="14"/>
  <c r="G16" i="14"/>
  <c r="D16" i="14"/>
  <c r="ED16" i="14" s="1"/>
  <c r="EL15" i="14"/>
  <c r="EK15" i="14"/>
  <c r="EG15" i="14"/>
  <c r="EI15" i="14" s="1"/>
  <c r="EB15" i="14"/>
  <c r="DW15" i="14"/>
  <c r="DT15" i="14"/>
  <c r="DQ15" i="14"/>
  <c r="DN15" i="14"/>
  <c r="DK15" i="14"/>
  <c r="DH15" i="14"/>
  <c r="DE15" i="14"/>
  <c r="DB15" i="14"/>
  <c r="CY15" i="14"/>
  <c r="CV15" i="14"/>
  <c r="CS15" i="14"/>
  <c r="CP15" i="14"/>
  <c r="CM15" i="14"/>
  <c r="CJ15" i="14"/>
  <c r="CG15" i="14"/>
  <c r="CD15" i="14"/>
  <c r="CA15" i="14"/>
  <c r="BX15" i="14"/>
  <c r="BU15" i="14"/>
  <c r="BR15" i="14"/>
  <c r="BO15" i="14"/>
  <c r="BL15" i="14"/>
  <c r="BI15" i="14"/>
  <c r="BF15" i="14"/>
  <c r="BC15" i="14"/>
  <c r="AZ15" i="14"/>
  <c r="AW15" i="14"/>
  <c r="AT15" i="14"/>
  <c r="AQ15" i="14"/>
  <c r="AN15" i="14"/>
  <c r="AI15" i="14"/>
  <c r="AK15" i="14" s="1"/>
  <c r="AB15" i="14"/>
  <c r="Y15" i="14"/>
  <c r="V15" i="14"/>
  <c r="S15" i="14"/>
  <c r="EH15" i="14" s="1"/>
  <c r="P15" i="14"/>
  <c r="M15" i="14"/>
  <c r="J15" i="14"/>
  <c r="G15" i="14"/>
  <c r="D15" i="14"/>
  <c r="ED15" i="14" s="1"/>
  <c r="EL14" i="14"/>
  <c r="EK14" i="14"/>
  <c r="EI14" i="14"/>
  <c r="EG14" i="14"/>
  <c r="DW14" i="14"/>
  <c r="DT14" i="14"/>
  <c r="DQ14" i="14"/>
  <c r="DN14" i="14"/>
  <c r="DK14" i="14"/>
  <c r="DH14" i="14"/>
  <c r="DE14" i="14"/>
  <c r="DB14" i="14"/>
  <c r="CY14" i="14"/>
  <c r="CV14" i="14"/>
  <c r="CS14" i="14"/>
  <c r="CP14" i="14"/>
  <c r="CM14" i="14"/>
  <c r="CJ14" i="14"/>
  <c r="CG14" i="14"/>
  <c r="CD14" i="14"/>
  <c r="CA14" i="14"/>
  <c r="BX14" i="14"/>
  <c r="BU14" i="14"/>
  <c r="BR14" i="14"/>
  <c r="BO14" i="14"/>
  <c r="BL14" i="14"/>
  <c r="BI14" i="14"/>
  <c r="BF14" i="14"/>
  <c r="BC14" i="14"/>
  <c r="AZ14" i="14"/>
  <c r="AW14" i="14"/>
  <c r="AT14" i="14"/>
  <c r="AQ14" i="14"/>
  <c r="AN14" i="14"/>
  <c r="AK14" i="14"/>
  <c r="AI14" i="14"/>
  <c r="EB14" i="14" s="1"/>
  <c r="EC14" i="14" s="1"/>
  <c r="AB14" i="14"/>
  <c r="Y14" i="14"/>
  <c r="V14" i="14"/>
  <c r="S14" i="14"/>
  <c r="P14" i="14"/>
  <c r="M14" i="14"/>
  <c r="J14" i="14"/>
  <c r="G14" i="14"/>
  <c r="D14" i="14"/>
  <c r="ED14" i="14" s="1"/>
  <c r="EE14" i="14" s="1"/>
  <c r="EL13" i="14"/>
  <c r="EG13" i="14"/>
  <c r="EI13" i="14" s="1"/>
  <c r="DW13" i="14"/>
  <c r="DT13" i="14"/>
  <c r="DQ13" i="14"/>
  <c r="DN13" i="14"/>
  <c r="DK13" i="14"/>
  <c r="DH13" i="14"/>
  <c r="DE13" i="14"/>
  <c r="DB13" i="14"/>
  <c r="CY13" i="14"/>
  <c r="CV13" i="14"/>
  <c r="CS13" i="14"/>
  <c r="CP13" i="14"/>
  <c r="CM13" i="14"/>
  <c r="CJ13" i="14"/>
  <c r="CG13" i="14"/>
  <c r="CD13" i="14"/>
  <c r="CA13" i="14"/>
  <c r="BX13" i="14"/>
  <c r="BU13" i="14"/>
  <c r="BR13" i="14"/>
  <c r="BO13" i="14"/>
  <c r="BL13" i="14"/>
  <c r="BI13" i="14"/>
  <c r="BF13" i="14"/>
  <c r="BC13" i="14"/>
  <c r="AZ13" i="14"/>
  <c r="AW13" i="14"/>
  <c r="AT13" i="14"/>
  <c r="AQ13" i="14"/>
  <c r="AN13" i="14"/>
  <c r="AI13" i="14"/>
  <c r="EK13" i="14" s="1"/>
  <c r="AB13" i="14"/>
  <c r="Y13" i="14"/>
  <c r="EH13" i="14" s="1"/>
  <c r="V13" i="14"/>
  <c r="S13" i="14"/>
  <c r="P13" i="14"/>
  <c r="M13" i="14"/>
  <c r="J13" i="14"/>
  <c r="G13" i="14"/>
  <c r="D13" i="14"/>
  <c r="A13" i="14"/>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EL12" i="14"/>
  <c r="EK12" i="14"/>
  <c r="EG12" i="14"/>
  <c r="EI12" i="14" s="1"/>
  <c r="DW12" i="14"/>
  <c r="DT12" i="14"/>
  <c r="DQ12" i="14"/>
  <c r="EM12" i="14" s="1"/>
  <c r="DN12" i="14"/>
  <c r="DK12" i="14"/>
  <c r="DH12" i="14"/>
  <c r="DE12" i="14"/>
  <c r="DB12" i="14"/>
  <c r="CY12" i="14"/>
  <c r="CV12" i="14"/>
  <c r="CS12" i="14"/>
  <c r="CP12" i="14"/>
  <c r="CM12" i="14"/>
  <c r="CM41" i="14" s="1"/>
  <c r="CJ12" i="14"/>
  <c r="CG12" i="14"/>
  <c r="CD12" i="14"/>
  <c r="CA12" i="14"/>
  <c r="BX12" i="14"/>
  <c r="BU12" i="14"/>
  <c r="BR12" i="14"/>
  <c r="BO12" i="14"/>
  <c r="BL12" i="14"/>
  <c r="BI12" i="14"/>
  <c r="BF12" i="14"/>
  <c r="BC12" i="14"/>
  <c r="AZ12" i="14"/>
  <c r="AW12" i="14"/>
  <c r="AT12" i="14"/>
  <c r="AQ12" i="14"/>
  <c r="AQ41" i="14" s="1"/>
  <c r="AN12" i="14"/>
  <c r="AI12" i="14"/>
  <c r="AK12" i="14" s="1"/>
  <c r="AB12" i="14"/>
  <c r="Y12" i="14"/>
  <c r="V12" i="14"/>
  <c r="EH12" i="14" s="1"/>
  <c r="S12" i="14"/>
  <c r="P12" i="14"/>
  <c r="M12" i="14"/>
  <c r="J12" i="14"/>
  <c r="G12" i="14"/>
  <c r="D12" i="14"/>
  <c r="A12" i="14"/>
  <c r="EL11" i="14"/>
  <c r="EK11" i="14"/>
  <c r="EI11" i="14"/>
  <c r="EG11" i="14"/>
  <c r="EI5" i="14" s="1"/>
  <c r="DW11" i="14"/>
  <c r="DW41" i="14" s="1"/>
  <c r="DT11" i="14"/>
  <c r="DT41" i="14" s="1"/>
  <c r="DQ11" i="14"/>
  <c r="DN11" i="14"/>
  <c r="DK11" i="14"/>
  <c r="DK41" i="14" s="1"/>
  <c r="DH11" i="14"/>
  <c r="DH41" i="14" s="1"/>
  <c r="DE11" i="14"/>
  <c r="DB11" i="14"/>
  <c r="CY11" i="14"/>
  <c r="CY41" i="14" s="1"/>
  <c r="CV11" i="14"/>
  <c r="CV41" i="14" s="1"/>
  <c r="CS11" i="14"/>
  <c r="CP11" i="14"/>
  <c r="CM11" i="14"/>
  <c r="CJ11" i="14"/>
  <c r="CJ41" i="14" s="1"/>
  <c r="CG11" i="14"/>
  <c r="CD11" i="14"/>
  <c r="CA11" i="14"/>
  <c r="CA41" i="14" s="1"/>
  <c r="BX11" i="14"/>
  <c r="BX41" i="14" s="1"/>
  <c r="BU11" i="14"/>
  <c r="BR11" i="14"/>
  <c r="BO11" i="14"/>
  <c r="BO41" i="14" s="1"/>
  <c r="BL11" i="14"/>
  <c r="BL41" i="14" s="1"/>
  <c r="BI11" i="14"/>
  <c r="BF11" i="14"/>
  <c r="BC11" i="14"/>
  <c r="BC41" i="14" s="1"/>
  <c r="AZ11" i="14"/>
  <c r="AZ41" i="14" s="1"/>
  <c r="AW11" i="14"/>
  <c r="AT11" i="14"/>
  <c r="AQ11" i="14"/>
  <c r="AN11" i="14"/>
  <c r="AN41" i="14" s="1"/>
  <c r="AI11" i="14"/>
  <c r="AK11" i="14" s="1"/>
  <c r="AE41" i="14"/>
  <c r="AB11" i="14"/>
  <c r="Y11" i="14"/>
  <c r="V11" i="14"/>
  <c r="S11" i="14"/>
  <c r="EH11" i="14" s="1"/>
  <c r="P11" i="14"/>
  <c r="M11" i="14"/>
  <c r="J11" i="14"/>
  <c r="G11" i="14"/>
  <c r="G41" i="14" s="1"/>
  <c r="D11" i="14"/>
  <c r="EI2" i="14"/>
  <c r="EE2" i="14"/>
  <c r="EQ2" i="14" s="1"/>
  <c r="G4" i="14" s="1"/>
  <c r="EL41" i="13"/>
  <c r="EG41" i="13"/>
  <c r="EI41" i="13" s="1"/>
  <c r="EB41" i="13"/>
  <c r="DW41" i="13"/>
  <c r="DT41" i="13"/>
  <c r="DQ41" i="13"/>
  <c r="DN41" i="13"/>
  <c r="DK41" i="13"/>
  <c r="DH41" i="13"/>
  <c r="DE41" i="13"/>
  <c r="DB41" i="13"/>
  <c r="CY41" i="13"/>
  <c r="CV41" i="13"/>
  <c r="CS41" i="13"/>
  <c r="CP41" i="13"/>
  <c r="CM41" i="13"/>
  <c r="CJ41" i="13"/>
  <c r="CG41" i="13"/>
  <c r="CD41" i="13"/>
  <c r="CA41" i="13"/>
  <c r="BX41" i="13"/>
  <c r="BU41" i="13"/>
  <c r="BR41" i="13"/>
  <c r="BO41" i="13"/>
  <c r="BL41" i="13"/>
  <c r="BI41" i="13"/>
  <c r="BF41" i="13"/>
  <c r="BC41" i="13"/>
  <c r="AZ41" i="13"/>
  <c r="AW41" i="13"/>
  <c r="AT41" i="13"/>
  <c r="AO41" i="13"/>
  <c r="AL41" i="13"/>
  <c r="AN41" i="13" s="1"/>
  <c r="AI41" i="13"/>
  <c r="AK41" i="13" s="1"/>
  <c r="AB41" i="13"/>
  <c r="Y41" i="13"/>
  <c r="V41" i="13"/>
  <c r="S41" i="13"/>
  <c r="EH41" i="13" s="1"/>
  <c r="P41" i="13"/>
  <c r="M41" i="13"/>
  <c r="J41" i="13"/>
  <c r="G41" i="13"/>
  <c r="D41" i="13"/>
  <c r="EL40" i="13"/>
  <c r="EI40" i="13"/>
  <c r="EG40" i="13"/>
  <c r="DW40" i="13"/>
  <c r="DT40" i="13"/>
  <c r="DQ40" i="13"/>
  <c r="DN40" i="13"/>
  <c r="DK40" i="13"/>
  <c r="DH40" i="13"/>
  <c r="DE40" i="13"/>
  <c r="DB40" i="13"/>
  <c r="CY40" i="13"/>
  <c r="CV40" i="13"/>
  <c r="CS40" i="13"/>
  <c r="CP40" i="13"/>
  <c r="CM40" i="13"/>
  <c r="CJ40" i="13"/>
  <c r="CG40" i="13"/>
  <c r="CD40" i="13"/>
  <c r="CA40" i="13"/>
  <c r="BX40" i="13"/>
  <c r="BU40" i="13"/>
  <c r="BR40" i="13"/>
  <c r="BO40" i="13"/>
  <c r="BL40" i="13"/>
  <c r="BI40" i="13"/>
  <c r="BF40" i="13"/>
  <c r="BC40" i="13"/>
  <c r="AZ40" i="13"/>
  <c r="AW40" i="13"/>
  <c r="AT40" i="13"/>
  <c r="AO40" i="13"/>
  <c r="AN40" i="13"/>
  <c r="AL40" i="13"/>
  <c r="AK40" i="13"/>
  <c r="AB40" i="13"/>
  <c r="Y40" i="13"/>
  <c r="V40" i="13"/>
  <c r="EH40" i="13" s="1"/>
  <c r="S40" i="13"/>
  <c r="P40" i="13"/>
  <c r="M40" i="13"/>
  <c r="J40" i="13"/>
  <c r="G40" i="13"/>
  <c r="D40" i="13"/>
  <c r="EL39" i="13"/>
  <c r="EI39" i="13"/>
  <c r="EH39" i="13"/>
  <c r="EG39" i="13"/>
  <c r="DW39" i="13"/>
  <c r="DT39" i="13"/>
  <c r="DQ39" i="13"/>
  <c r="DN39" i="13"/>
  <c r="DK39" i="13"/>
  <c r="DH39" i="13"/>
  <c r="DE39" i="13"/>
  <c r="DB39" i="13"/>
  <c r="CY39" i="13"/>
  <c r="CV39" i="13"/>
  <c r="CS39" i="13"/>
  <c r="CP39" i="13"/>
  <c r="CM39" i="13"/>
  <c r="CJ39" i="13"/>
  <c r="CG39" i="13"/>
  <c r="CD39" i="13"/>
  <c r="CA39" i="13"/>
  <c r="BX39" i="13"/>
  <c r="BU39" i="13"/>
  <c r="BR39" i="13"/>
  <c r="BO39" i="13"/>
  <c r="BL39" i="13"/>
  <c r="BI39" i="13"/>
  <c r="BF39" i="13"/>
  <c r="BC39" i="13"/>
  <c r="AZ39" i="13"/>
  <c r="AW39" i="13"/>
  <c r="AT39" i="13"/>
  <c r="AO39" i="13"/>
  <c r="AN39" i="13"/>
  <c r="AL39" i="13"/>
  <c r="AI39" i="13"/>
  <c r="AK39" i="13" s="1"/>
  <c r="AB39" i="13"/>
  <c r="Y39" i="13"/>
  <c r="V39" i="13"/>
  <c r="S39" i="13"/>
  <c r="P39" i="13"/>
  <c r="M39" i="13"/>
  <c r="J39" i="13"/>
  <c r="G39" i="13"/>
  <c r="D39" i="13"/>
  <c r="EL38" i="13"/>
  <c r="EI38" i="13"/>
  <c r="EG38" i="13"/>
  <c r="DW38" i="13"/>
  <c r="DT38" i="13"/>
  <c r="DQ38" i="13"/>
  <c r="DN38" i="13"/>
  <c r="DK38" i="13"/>
  <c r="DH38" i="13"/>
  <c r="DE38" i="13"/>
  <c r="DB38" i="13"/>
  <c r="CY38" i="13"/>
  <c r="CV38" i="13"/>
  <c r="CS38" i="13"/>
  <c r="CP38" i="13"/>
  <c r="CM38" i="13"/>
  <c r="CJ38" i="13"/>
  <c r="CG38" i="13"/>
  <c r="CD38" i="13"/>
  <c r="CA38" i="13"/>
  <c r="BX38" i="13"/>
  <c r="BU38" i="13"/>
  <c r="BR38" i="13"/>
  <c r="BO38" i="13"/>
  <c r="BL38" i="13"/>
  <c r="BI38" i="13"/>
  <c r="BF38" i="13"/>
  <c r="BC38" i="13"/>
  <c r="AZ38" i="13"/>
  <c r="AW38" i="13"/>
  <c r="AT38" i="13"/>
  <c r="AO38" i="13"/>
  <c r="AN38" i="13"/>
  <c r="AL38" i="13"/>
  <c r="AI38" i="13"/>
  <c r="AK38" i="13" s="1"/>
  <c r="AB38" i="13"/>
  <c r="Y38" i="13"/>
  <c r="V38" i="13"/>
  <c r="S38" i="13"/>
  <c r="P38" i="13"/>
  <c r="M38" i="13"/>
  <c r="J38" i="13"/>
  <c r="G38" i="13"/>
  <c r="D38" i="13"/>
  <c r="EL37" i="13"/>
  <c r="EG37" i="13"/>
  <c r="EI37" i="13" s="1"/>
  <c r="EB37" i="13"/>
  <c r="DW37" i="13"/>
  <c r="DT37" i="13"/>
  <c r="DQ37" i="13"/>
  <c r="DN37" i="13"/>
  <c r="DK37" i="13"/>
  <c r="DH37" i="13"/>
  <c r="DE37" i="13"/>
  <c r="DB37" i="13"/>
  <c r="CY37" i="13"/>
  <c r="CV37" i="13"/>
  <c r="CS37" i="13"/>
  <c r="CP37" i="13"/>
  <c r="CM37" i="13"/>
  <c r="CJ37" i="13"/>
  <c r="CG37" i="13"/>
  <c r="CD37" i="13"/>
  <c r="CA37" i="13"/>
  <c r="BX37" i="13"/>
  <c r="BU37" i="13"/>
  <c r="BR37" i="13"/>
  <c r="BO37" i="13"/>
  <c r="BL37" i="13"/>
  <c r="BI37" i="13"/>
  <c r="BF37" i="13"/>
  <c r="BC37" i="13"/>
  <c r="AZ37" i="13"/>
  <c r="AW37" i="13"/>
  <c r="AT37" i="13"/>
  <c r="AQ37" i="13"/>
  <c r="AO37" i="13"/>
  <c r="AL37" i="13"/>
  <c r="AK37" i="13"/>
  <c r="AI37" i="13"/>
  <c r="AB37" i="13"/>
  <c r="Y37" i="13"/>
  <c r="V37" i="13"/>
  <c r="S37" i="13"/>
  <c r="P37" i="13"/>
  <c r="M37" i="13"/>
  <c r="J37" i="13"/>
  <c r="G37" i="13"/>
  <c r="D37" i="13"/>
  <c r="EL36" i="13"/>
  <c r="EH36" i="13"/>
  <c r="EG36" i="13"/>
  <c r="EI36" i="13" s="1"/>
  <c r="DW36" i="13"/>
  <c r="DT36" i="13"/>
  <c r="DQ36" i="13"/>
  <c r="DN36" i="13"/>
  <c r="DK36" i="13"/>
  <c r="DH36" i="13"/>
  <c r="DE36" i="13"/>
  <c r="DB36" i="13"/>
  <c r="CY36" i="13"/>
  <c r="CV36" i="13"/>
  <c r="CS36" i="13"/>
  <c r="CP36" i="13"/>
  <c r="CM36" i="13"/>
  <c r="CJ36" i="13"/>
  <c r="CG36" i="13"/>
  <c r="CD36" i="13"/>
  <c r="CA36" i="13"/>
  <c r="BX36" i="13"/>
  <c r="BU36" i="13"/>
  <c r="BR36" i="13"/>
  <c r="BO36" i="13"/>
  <c r="BL36" i="13"/>
  <c r="BI36" i="13"/>
  <c r="BF36" i="13"/>
  <c r="BC36" i="13"/>
  <c r="AZ36" i="13"/>
  <c r="AW36" i="13"/>
  <c r="AT36" i="13"/>
  <c r="AQ36" i="13"/>
  <c r="AO36" i="13"/>
  <c r="EK36" i="13" s="1"/>
  <c r="AL36" i="13"/>
  <c r="AN36" i="13" s="1"/>
  <c r="AK36" i="13"/>
  <c r="AI36" i="13"/>
  <c r="AB36" i="13"/>
  <c r="Y36" i="13"/>
  <c r="V36" i="13"/>
  <c r="S36" i="13"/>
  <c r="P36" i="13"/>
  <c r="M36" i="13"/>
  <c r="J36" i="13"/>
  <c r="G36" i="13"/>
  <c r="D36" i="13"/>
  <c r="ED36" i="13" s="1"/>
  <c r="EL35" i="13"/>
  <c r="EI35" i="13"/>
  <c r="EH35" i="13"/>
  <c r="EG35" i="13"/>
  <c r="DW35" i="13"/>
  <c r="DT35" i="13"/>
  <c r="DQ35" i="13"/>
  <c r="DN35" i="13"/>
  <c r="DK35" i="13"/>
  <c r="DH35" i="13"/>
  <c r="DE35" i="13"/>
  <c r="DB35" i="13"/>
  <c r="CY35" i="13"/>
  <c r="CV35" i="13"/>
  <c r="CS35" i="13"/>
  <c r="CP35" i="13"/>
  <c r="CM35" i="13"/>
  <c r="CJ35" i="13"/>
  <c r="CG35" i="13"/>
  <c r="CD35" i="13"/>
  <c r="CA35" i="13"/>
  <c r="BX35" i="13"/>
  <c r="BU35" i="13"/>
  <c r="BR35" i="13"/>
  <c r="BO35" i="13"/>
  <c r="BL35" i="13"/>
  <c r="BI35" i="13"/>
  <c r="BF35" i="13"/>
  <c r="BC35" i="13"/>
  <c r="AZ35" i="13"/>
  <c r="AW35" i="13"/>
  <c r="AT35" i="13"/>
  <c r="AO35" i="13"/>
  <c r="AN35" i="13"/>
  <c r="AL35" i="13"/>
  <c r="AI35" i="13"/>
  <c r="AK35" i="13" s="1"/>
  <c r="AB35" i="13"/>
  <c r="Y35" i="13"/>
  <c r="V35" i="13"/>
  <c r="S35" i="13"/>
  <c r="P35" i="13"/>
  <c r="M35" i="13"/>
  <c r="J35" i="13"/>
  <c r="G35" i="13"/>
  <c r="D35" i="13"/>
  <c r="EL34" i="13"/>
  <c r="EI34" i="13"/>
  <c r="EG34" i="13"/>
  <c r="DW34" i="13"/>
  <c r="DT34" i="13"/>
  <c r="DQ34" i="13"/>
  <c r="DN34" i="13"/>
  <c r="DK34" i="13"/>
  <c r="DH34" i="13"/>
  <c r="DE34" i="13"/>
  <c r="DB34" i="13"/>
  <c r="CY34" i="13"/>
  <c r="CV34" i="13"/>
  <c r="CS34" i="13"/>
  <c r="CP34" i="13"/>
  <c r="CM34" i="13"/>
  <c r="CJ34" i="13"/>
  <c r="CG34" i="13"/>
  <c r="CD34" i="13"/>
  <c r="CA34" i="13"/>
  <c r="BX34" i="13"/>
  <c r="BU34" i="13"/>
  <c r="BR34" i="13"/>
  <c r="BO34" i="13"/>
  <c r="BL34" i="13"/>
  <c r="BI34" i="13"/>
  <c r="BF34" i="13"/>
  <c r="BC34" i="13"/>
  <c r="AZ34" i="13"/>
  <c r="AW34" i="13"/>
  <c r="AT34" i="13"/>
  <c r="AO34" i="13"/>
  <c r="EK34" i="13" s="1"/>
  <c r="AN34" i="13"/>
  <c r="AL34" i="13"/>
  <c r="AI34" i="13"/>
  <c r="AK34" i="13" s="1"/>
  <c r="AB34" i="13"/>
  <c r="Y34" i="13"/>
  <c r="V34" i="13"/>
  <c r="S34" i="13"/>
  <c r="P34" i="13"/>
  <c r="M34" i="13"/>
  <c r="J34" i="13"/>
  <c r="G34" i="13"/>
  <c r="D34" i="13"/>
  <c r="EL33" i="13"/>
  <c r="EG33" i="13"/>
  <c r="EI33" i="13" s="1"/>
  <c r="DW33" i="13"/>
  <c r="DT33" i="13"/>
  <c r="DQ33" i="13"/>
  <c r="DN33" i="13"/>
  <c r="DK33" i="13"/>
  <c r="DH33" i="13"/>
  <c r="DE33" i="13"/>
  <c r="DB33" i="13"/>
  <c r="CY33" i="13"/>
  <c r="CV33" i="13"/>
  <c r="CS33" i="13"/>
  <c r="CP33" i="13"/>
  <c r="CM33" i="13"/>
  <c r="CJ33" i="13"/>
  <c r="CG33" i="13"/>
  <c r="CD33" i="13"/>
  <c r="CA33" i="13"/>
  <c r="BX33" i="13"/>
  <c r="BU33" i="13"/>
  <c r="BR33" i="13"/>
  <c r="BO33" i="13"/>
  <c r="BL33" i="13"/>
  <c r="BI33" i="13"/>
  <c r="BF33" i="13"/>
  <c r="BC33" i="13"/>
  <c r="AZ33" i="13"/>
  <c r="AW33" i="13"/>
  <c r="AT33" i="13"/>
  <c r="AQ33" i="13"/>
  <c r="AO33" i="13"/>
  <c r="AL33" i="13"/>
  <c r="AK33" i="13"/>
  <c r="AI33" i="13"/>
  <c r="AB33" i="13"/>
  <c r="Y33" i="13"/>
  <c r="V33" i="13"/>
  <c r="S33" i="13"/>
  <c r="EH33" i="13" s="1"/>
  <c r="P33" i="13"/>
  <c r="M33" i="13"/>
  <c r="J33" i="13"/>
  <c r="G33" i="13"/>
  <c r="D33" i="13"/>
  <c r="EL32" i="13"/>
  <c r="EH32" i="13"/>
  <c r="EG32" i="13"/>
  <c r="EI32" i="13" s="1"/>
  <c r="EB32" i="13"/>
  <c r="DW32" i="13"/>
  <c r="DT32" i="13"/>
  <c r="DQ32" i="13"/>
  <c r="DN32" i="13"/>
  <c r="DK32" i="13"/>
  <c r="DH32" i="13"/>
  <c r="DE32" i="13"/>
  <c r="DB32" i="13"/>
  <c r="CY32" i="13"/>
  <c r="CV32" i="13"/>
  <c r="CS32" i="13"/>
  <c r="CP32" i="13"/>
  <c r="CM32" i="13"/>
  <c r="CJ32" i="13"/>
  <c r="CG32" i="13"/>
  <c r="CD32" i="13"/>
  <c r="CA32" i="13"/>
  <c r="BX32" i="13"/>
  <c r="BU32" i="13"/>
  <c r="BR32" i="13"/>
  <c r="BO32" i="13"/>
  <c r="BL32" i="13"/>
  <c r="BI32" i="13"/>
  <c r="BF32" i="13"/>
  <c r="BC32" i="13"/>
  <c r="AZ32" i="13"/>
  <c r="AW32" i="13"/>
  <c r="AT32" i="13"/>
  <c r="AQ32" i="13"/>
  <c r="AO32" i="13"/>
  <c r="AL32" i="13"/>
  <c r="AN32" i="13" s="1"/>
  <c r="AK32" i="13"/>
  <c r="AI32" i="13"/>
  <c r="AB32" i="13"/>
  <c r="Y32" i="13"/>
  <c r="V32" i="13"/>
  <c r="S32" i="13"/>
  <c r="P32" i="13"/>
  <c r="M32" i="13"/>
  <c r="J32" i="13"/>
  <c r="G32" i="13"/>
  <c r="D32" i="13"/>
  <c r="ED32" i="13" s="1"/>
  <c r="EL31" i="13"/>
  <c r="EI31" i="13"/>
  <c r="EG31" i="13"/>
  <c r="DW31" i="13"/>
  <c r="DT31" i="13"/>
  <c r="DQ31" i="13"/>
  <c r="DN31" i="13"/>
  <c r="DK31" i="13"/>
  <c r="DH31" i="13"/>
  <c r="DE31" i="13"/>
  <c r="DB31" i="13"/>
  <c r="CY31" i="13"/>
  <c r="CV31" i="13"/>
  <c r="CS31" i="13"/>
  <c r="CP31" i="13"/>
  <c r="CM31" i="13"/>
  <c r="CJ31" i="13"/>
  <c r="CG31" i="13"/>
  <c r="CD31" i="13"/>
  <c r="CA31" i="13"/>
  <c r="BX31" i="13"/>
  <c r="BU31" i="13"/>
  <c r="BR31" i="13"/>
  <c r="BO31" i="13"/>
  <c r="BL31" i="13"/>
  <c r="BI31" i="13"/>
  <c r="BF31" i="13"/>
  <c r="BC31" i="13"/>
  <c r="AZ31" i="13"/>
  <c r="AW31" i="13"/>
  <c r="AT31" i="13"/>
  <c r="AO31" i="13"/>
  <c r="AN31" i="13"/>
  <c r="AL31" i="13"/>
  <c r="AI31" i="13"/>
  <c r="AK31" i="13" s="1"/>
  <c r="AB31" i="13"/>
  <c r="Y31" i="13"/>
  <c r="V31" i="13"/>
  <c r="EH31" i="13" s="1"/>
  <c r="S31" i="13"/>
  <c r="P31" i="13"/>
  <c r="M31" i="13"/>
  <c r="J31" i="13"/>
  <c r="G31" i="13"/>
  <c r="D31" i="13"/>
  <c r="EL30" i="13"/>
  <c r="EI30" i="13"/>
  <c r="EG30" i="13"/>
  <c r="DW30" i="13"/>
  <c r="DT30" i="13"/>
  <c r="DQ30" i="13"/>
  <c r="DN30" i="13"/>
  <c r="DK30" i="13"/>
  <c r="DH30" i="13"/>
  <c r="DE30" i="13"/>
  <c r="DB30" i="13"/>
  <c r="CY30" i="13"/>
  <c r="CV30" i="13"/>
  <c r="CS30" i="13"/>
  <c r="CP30" i="13"/>
  <c r="CM30" i="13"/>
  <c r="CJ30" i="13"/>
  <c r="CG30" i="13"/>
  <c r="CD30" i="13"/>
  <c r="CA30" i="13"/>
  <c r="BX30" i="13"/>
  <c r="BU30" i="13"/>
  <c r="BR30" i="13"/>
  <c r="BO30" i="13"/>
  <c r="BL30" i="13"/>
  <c r="BI30" i="13"/>
  <c r="BF30" i="13"/>
  <c r="BC30" i="13"/>
  <c r="AZ30" i="13"/>
  <c r="AW30" i="13"/>
  <c r="AT30" i="13"/>
  <c r="AQ30" i="13"/>
  <c r="AO30" i="13"/>
  <c r="AL30" i="13"/>
  <c r="AN30" i="13" s="1"/>
  <c r="AK30" i="13"/>
  <c r="AI30" i="13"/>
  <c r="EK30" i="13" s="1"/>
  <c r="AB30" i="13"/>
  <c r="Y30" i="13"/>
  <c r="V30" i="13"/>
  <c r="S30" i="13"/>
  <c r="P30" i="13"/>
  <c r="M30" i="13"/>
  <c r="J30" i="13"/>
  <c r="G30" i="13"/>
  <c r="D30" i="13"/>
  <c r="ED30" i="13" s="1"/>
  <c r="EL29" i="13"/>
  <c r="EG29" i="13"/>
  <c r="EI29" i="13" s="1"/>
  <c r="DW29" i="13"/>
  <c r="DT29" i="13"/>
  <c r="DQ29" i="13"/>
  <c r="DN29" i="13"/>
  <c r="DK29" i="13"/>
  <c r="DH29" i="13"/>
  <c r="DE29" i="13"/>
  <c r="DB29" i="13"/>
  <c r="CY29" i="13"/>
  <c r="CV29" i="13"/>
  <c r="CS29" i="13"/>
  <c r="CP29" i="13"/>
  <c r="CM29" i="13"/>
  <c r="CJ29" i="13"/>
  <c r="CG29" i="13"/>
  <c r="CD29" i="13"/>
  <c r="CA29" i="13"/>
  <c r="BX29" i="13"/>
  <c r="BU29" i="13"/>
  <c r="BR29" i="13"/>
  <c r="BO29" i="13"/>
  <c r="BL29" i="13"/>
  <c r="BI29" i="13"/>
  <c r="BF29" i="13"/>
  <c r="BC29" i="13"/>
  <c r="AZ29" i="13"/>
  <c r="AW29" i="13"/>
  <c r="AT29" i="13"/>
  <c r="AQ29" i="13"/>
  <c r="AO29" i="13"/>
  <c r="AL29" i="13"/>
  <c r="AK29" i="13"/>
  <c r="AI29" i="13"/>
  <c r="AB29" i="13"/>
  <c r="Y29" i="13"/>
  <c r="V29" i="13"/>
  <c r="S29" i="13"/>
  <c r="EH29" i="13" s="1"/>
  <c r="P29" i="13"/>
  <c r="M29" i="13"/>
  <c r="J29" i="13"/>
  <c r="G29" i="13"/>
  <c r="D29" i="13"/>
  <c r="EL28" i="13"/>
  <c r="EG28" i="13"/>
  <c r="EI28" i="13" s="1"/>
  <c r="EB28" i="13"/>
  <c r="DW28" i="13"/>
  <c r="DT28" i="13"/>
  <c r="DQ28" i="13"/>
  <c r="DN28" i="13"/>
  <c r="DK28" i="13"/>
  <c r="DH28" i="13"/>
  <c r="DE28" i="13"/>
  <c r="DB28" i="13"/>
  <c r="CY28" i="13"/>
  <c r="CV28" i="13"/>
  <c r="CS28" i="13"/>
  <c r="CP28" i="13"/>
  <c r="CM28" i="13"/>
  <c r="CJ28" i="13"/>
  <c r="CG28" i="13"/>
  <c r="CD28" i="13"/>
  <c r="CA28" i="13"/>
  <c r="BX28" i="13"/>
  <c r="BU28" i="13"/>
  <c r="BR28" i="13"/>
  <c r="BO28" i="13"/>
  <c r="BL28" i="13"/>
  <c r="BI28" i="13"/>
  <c r="BF28" i="13"/>
  <c r="BC28" i="13"/>
  <c r="AZ28" i="13"/>
  <c r="AW28" i="13"/>
  <c r="AT28" i="13"/>
  <c r="AQ28" i="13"/>
  <c r="AO28" i="13"/>
  <c r="AL28" i="13"/>
  <c r="AN28" i="13" s="1"/>
  <c r="AK28" i="13"/>
  <c r="AI28" i="13"/>
  <c r="AB28" i="13"/>
  <c r="Y28" i="13"/>
  <c r="V28" i="13"/>
  <c r="S28" i="13"/>
  <c r="EH28" i="13" s="1"/>
  <c r="P28" i="13"/>
  <c r="M28" i="13"/>
  <c r="J28" i="13"/>
  <c r="G28" i="13"/>
  <c r="D28" i="13"/>
  <c r="ED28" i="13" s="1"/>
  <c r="EL27" i="13"/>
  <c r="EI27" i="13"/>
  <c r="EG27" i="13"/>
  <c r="DW27" i="13"/>
  <c r="DT27" i="13"/>
  <c r="DQ27" i="13"/>
  <c r="DN27" i="13"/>
  <c r="DK27" i="13"/>
  <c r="DH27" i="13"/>
  <c r="DE27" i="13"/>
  <c r="DB27" i="13"/>
  <c r="CY27" i="13"/>
  <c r="CV27" i="13"/>
  <c r="CS27" i="13"/>
  <c r="CP27" i="13"/>
  <c r="CM27" i="13"/>
  <c r="CJ27" i="13"/>
  <c r="CG27" i="13"/>
  <c r="CD27" i="13"/>
  <c r="CA27" i="13"/>
  <c r="BX27" i="13"/>
  <c r="BU27" i="13"/>
  <c r="BR27" i="13"/>
  <c r="BO27" i="13"/>
  <c r="BL27" i="13"/>
  <c r="BI27" i="13"/>
  <c r="BF27" i="13"/>
  <c r="BC27" i="13"/>
  <c r="AZ27" i="13"/>
  <c r="AW27" i="13"/>
  <c r="AT27" i="13"/>
  <c r="AO27" i="13"/>
  <c r="AN27" i="13"/>
  <c r="AL27" i="13"/>
  <c r="EB27" i="13" s="1"/>
  <c r="AI27" i="13"/>
  <c r="AK27" i="13" s="1"/>
  <c r="AB27" i="13"/>
  <c r="Y27" i="13"/>
  <c r="V27" i="13"/>
  <c r="EH27" i="13" s="1"/>
  <c r="S27" i="13"/>
  <c r="P27" i="13"/>
  <c r="M27" i="13"/>
  <c r="J27" i="13"/>
  <c r="G27" i="13"/>
  <c r="D27" i="13"/>
  <c r="EL26" i="13"/>
  <c r="EK26" i="13"/>
  <c r="EI26" i="13"/>
  <c r="EG26" i="13"/>
  <c r="DW26" i="13"/>
  <c r="DT26" i="13"/>
  <c r="DQ26" i="13"/>
  <c r="DN26" i="13"/>
  <c r="DK26" i="13"/>
  <c r="DH26" i="13"/>
  <c r="DE26" i="13"/>
  <c r="DB26" i="13"/>
  <c r="CY26" i="13"/>
  <c r="CV26" i="13"/>
  <c r="CS26" i="13"/>
  <c r="CP26" i="13"/>
  <c r="CM26" i="13"/>
  <c r="CJ26" i="13"/>
  <c r="CG26" i="13"/>
  <c r="CD26" i="13"/>
  <c r="CA26" i="13"/>
  <c r="BX26" i="13"/>
  <c r="BU26" i="13"/>
  <c r="BR26" i="13"/>
  <c r="BO26" i="13"/>
  <c r="BL26" i="13"/>
  <c r="BI26" i="13"/>
  <c r="BF26" i="13"/>
  <c r="BC26" i="13"/>
  <c r="AZ26" i="13"/>
  <c r="AW26" i="13"/>
  <c r="AT26" i="13"/>
  <c r="AQ26" i="13"/>
  <c r="AO26" i="13"/>
  <c r="AN26" i="13"/>
  <c r="AL26" i="13"/>
  <c r="EB26" i="13" s="1"/>
  <c r="AK26" i="13"/>
  <c r="AI26" i="13"/>
  <c r="AB26" i="13"/>
  <c r="Y26" i="13"/>
  <c r="V26" i="13"/>
  <c r="S26" i="13"/>
  <c r="P26" i="13"/>
  <c r="M26" i="13"/>
  <c r="J26" i="13"/>
  <c r="G26" i="13"/>
  <c r="D26" i="13"/>
  <c r="ED26" i="13" s="1"/>
  <c r="EL25" i="13"/>
  <c r="EK25" i="13"/>
  <c r="EG25" i="13"/>
  <c r="EI25" i="13" s="1"/>
  <c r="EB25" i="13"/>
  <c r="DW25" i="13"/>
  <c r="DT25" i="13"/>
  <c r="DQ25" i="13"/>
  <c r="DN25" i="13"/>
  <c r="DK25" i="13"/>
  <c r="DH25" i="13"/>
  <c r="DE25" i="13"/>
  <c r="DB25" i="13"/>
  <c r="CY25" i="13"/>
  <c r="CV25" i="13"/>
  <c r="CS25" i="13"/>
  <c r="CP25" i="13"/>
  <c r="CM25" i="13"/>
  <c r="CM42" i="13" s="1"/>
  <c r="CJ25" i="13"/>
  <c r="CG25" i="13"/>
  <c r="CD25" i="13"/>
  <c r="CA25" i="13"/>
  <c r="BX25" i="13"/>
  <c r="BU25" i="13"/>
  <c r="BR25" i="13"/>
  <c r="BO25" i="13"/>
  <c r="BL25" i="13"/>
  <c r="BI25" i="13"/>
  <c r="BF25" i="13"/>
  <c r="BC25" i="13"/>
  <c r="AZ25" i="13"/>
  <c r="AW25" i="13"/>
  <c r="AT25" i="13"/>
  <c r="AQ25" i="13"/>
  <c r="AO25" i="13"/>
  <c r="AL25" i="13"/>
  <c r="AN25" i="13" s="1"/>
  <c r="AK25" i="13"/>
  <c r="AI25" i="13"/>
  <c r="AB25" i="13"/>
  <c r="Y25" i="13"/>
  <c r="V25" i="13"/>
  <c r="S25" i="13"/>
  <c r="P25" i="13"/>
  <c r="M25" i="13"/>
  <c r="J25" i="13"/>
  <c r="G25" i="13"/>
  <c r="D25" i="13"/>
  <c r="EL24" i="13"/>
  <c r="EG24" i="13"/>
  <c r="EI24" i="13" s="1"/>
  <c r="EB24" i="13"/>
  <c r="DW24" i="13"/>
  <c r="DT24" i="13"/>
  <c r="DQ24" i="13"/>
  <c r="DN24" i="13"/>
  <c r="DK24" i="13"/>
  <c r="DH24" i="13"/>
  <c r="DE24" i="13"/>
  <c r="DB24" i="13"/>
  <c r="CY24" i="13"/>
  <c r="CV24" i="13"/>
  <c r="CS24" i="13"/>
  <c r="CP24" i="13"/>
  <c r="CM24" i="13"/>
  <c r="CJ24" i="13"/>
  <c r="CG24" i="13"/>
  <c r="CD24" i="13"/>
  <c r="CA24" i="13"/>
  <c r="BX24" i="13"/>
  <c r="BU24" i="13"/>
  <c r="BR24" i="13"/>
  <c r="BO24" i="13"/>
  <c r="BL24" i="13"/>
  <c r="BI24" i="13"/>
  <c r="BF24" i="13"/>
  <c r="BC24" i="13"/>
  <c r="AZ24" i="13"/>
  <c r="AW24" i="13"/>
  <c r="AT24" i="13"/>
  <c r="AQ24" i="13"/>
  <c r="AL24" i="13"/>
  <c r="AK24" i="13"/>
  <c r="AI24" i="13"/>
  <c r="AB24" i="13"/>
  <c r="Y24" i="13"/>
  <c r="V24" i="13"/>
  <c r="S24" i="13"/>
  <c r="P24" i="13"/>
  <c r="M24" i="13"/>
  <c r="J24" i="13"/>
  <c r="G24" i="13"/>
  <c r="D24" i="13"/>
  <c r="EL23" i="13"/>
  <c r="EG23" i="13"/>
  <c r="EI23" i="13" s="1"/>
  <c r="DW23" i="13"/>
  <c r="DT23" i="13"/>
  <c r="DQ23" i="13"/>
  <c r="DN23" i="13"/>
  <c r="DK23" i="13"/>
  <c r="DH23" i="13"/>
  <c r="DE23" i="13"/>
  <c r="DB23" i="13"/>
  <c r="CY23" i="13"/>
  <c r="CV23" i="13"/>
  <c r="CS23" i="13"/>
  <c r="CP23" i="13"/>
  <c r="CM23" i="13"/>
  <c r="CJ23" i="13"/>
  <c r="CG23" i="13"/>
  <c r="CD23" i="13"/>
  <c r="CA23" i="13"/>
  <c r="BX23" i="13"/>
  <c r="BU23" i="13"/>
  <c r="BR23" i="13"/>
  <c r="BO23" i="13"/>
  <c r="BL23" i="13"/>
  <c r="BI23" i="13"/>
  <c r="BF23" i="13"/>
  <c r="BC23" i="13"/>
  <c r="AZ23" i="13"/>
  <c r="AW23" i="13"/>
  <c r="AT23" i="13"/>
  <c r="AQ23" i="13"/>
  <c r="AL23" i="13"/>
  <c r="AK23" i="13"/>
  <c r="AI23" i="13"/>
  <c r="AB23" i="13"/>
  <c r="Y23" i="13"/>
  <c r="V23" i="13"/>
  <c r="S23" i="13"/>
  <c r="P23" i="13"/>
  <c r="M23" i="13"/>
  <c r="J23" i="13"/>
  <c r="G23" i="13"/>
  <c r="D23" i="13"/>
  <c r="EL22" i="13"/>
  <c r="EH22" i="13"/>
  <c r="EG22" i="13"/>
  <c r="EI22" i="13" s="1"/>
  <c r="DW22" i="13"/>
  <c r="DT22" i="13"/>
  <c r="DQ22" i="13"/>
  <c r="DN22" i="13"/>
  <c r="DK22" i="13"/>
  <c r="DH22" i="13"/>
  <c r="DE22" i="13"/>
  <c r="DB22" i="13"/>
  <c r="CY22" i="13"/>
  <c r="CV22" i="13"/>
  <c r="CS22" i="13"/>
  <c r="CP22" i="13"/>
  <c r="CM22" i="13"/>
  <c r="CJ22" i="13"/>
  <c r="CG22" i="13"/>
  <c r="CD22" i="13"/>
  <c r="CA22" i="13"/>
  <c r="BX22" i="13"/>
  <c r="BU22" i="13"/>
  <c r="BR22" i="13"/>
  <c r="BO22" i="13"/>
  <c r="BL22" i="13"/>
  <c r="BI22" i="13"/>
  <c r="BF22" i="13"/>
  <c r="BC22" i="13"/>
  <c r="AZ22" i="13"/>
  <c r="AW22" i="13"/>
  <c r="AT22" i="13"/>
  <c r="AQ22" i="13"/>
  <c r="AL22" i="13"/>
  <c r="AK22" i="13"/>
  <c r="AI22" i="13"/>
  <c r="AB22" i="13"/>
  <c r="Y22" i="13"/>
  <c r="V22" i="13"/>
  <c r="S22" i="13"/>
  <c r="P22" i="13"/>
  <c r="M22" i="13"/>
  <c r="J22" i="13"/>
  <c r="G22" i="13"/>
  <c r="D22" i="13"/>
  <c r="EL21" i="13"/>
  <c r="EG21" i="13"/>
  <c r="EI21" i="13" s="1"/>
  <c r="EB21" i="13"/>
  <c r="DW21" i="13"/>
  <c r="DT21" i="13"/>
  <c r="DQ21" i="13"/>
  <c r="DN21" i="13"/>
  <c r="DK21" i="13"/>
  <c r="DH21" i="13"/>
  <c r="DE21" i="13"/>
  <c r="DB21" i="13"/>
  <c r="CY21" i="13"/>
  <c r="CV21" i="13"/>
  <c r="CS21" i="13"/>
  <c r="CP21" i="13"/>
  <c r="CM21" i="13"/>
  <c r="CJ21" i="13"/>
  <c r="CG21" i="13"/>
  <c r="CD21" i="13"/>
  <c r="CA21" i="13"/>
  <c r="BX21" i="13"/>
  <c r="BU21" i="13"/>
  <c r="BR21" i="13"/>
  <c r="BO21" i="13"/>
  <c r="BL21" i="13"/>
  <c r="BI21" i="13"/>
  <c r="BF21" i="13"/>
  <c r="BC21" i="13"/>
  <c r="AZ21" i="13"/>
  <c r="AW21" i="13"/>
  <c r="AT21" i="13"/>
  <c r="AQ21" i="13"/>
  <c r="AL21" i="13"/>
  <c r="AI21" i="13"/>
  <c r="AK21" i="13" s="1"/>
  <c r="AB21" i="13"/>
  <c r="Y21" i="13"/>
  <c r="EH21" i="13" s="1"/>
  <c r="V21" i="13"/>
  <c r="S21" i="13"/>
  <c r="P21" i="13"/>
  <c r="M21" i="13"/>
  <c r="J21" i="13"/>
  <c r="G21" i="13"/>
  <c r="D21" i="13"/>
  <c r="EL20" i="13"/>
  <c r="EG20" i="13"/>
  <c r="EI20" i="13" s="1"/>
  <c r="DW20" i="13"/>
  <c r="DT20" i="13"/>
  <c r="DQ20" i="13"/>
  <c r="DN20" i="13"/>
  <c r="DK20" i="13"/>
  <c r="DH20" i="13"/>
  <c r="DE20" i="13"/>
  <c r="DB20" i="13"/>
  <c r="CY20" i="13"/>
  <c r="CV20" i="13"/>
  <c r="CS20" i="13"/>
  <c r="CP20" i="13"/>
  <c r="CM20" i="13"/>
  <c r="CJ20" i="13"/>
  <c r="CG20" i="13"/>
  <c r="CD20" i="13"/>
  <c r="CA20" i="13"/>
  <c r="BX20" i="13"/>
  <c r="BU20" i="13"/>
  <c r="BR20" i="13"/>
  <c r="BO20" i="13"/>
  <c r="BL20" i="13"/>
  <c r="BI20" i="13"/>
  <c r="BF20" i="13"/>
  <c r="BC20" i="13"/>
  <c r="AZ20" i="13"/>
  <c r="AW20" i="13"/>
  <c r="AT20" i="13"/>
  <c r="AQ20" i="13"/>
  <c r="AL20" i="13"/>
  <c r="EK20" i="13" s="1"/>
  <c r="AK20" i="13"/>
  <c r="AI20" i="13"/>
  <c r="AB20" i="13"/>
  <c r="Y20" i="13"/>
  <c r="V20" i="13"/>
  <c r="S20" i="13"/>
  <c r="EH20" i="13" s="1"/>
  <c r="P20" i="13"/>
  <c r="M20" i="13"/>
  <c r="J20" i="13"/>
  <c r="G20" i="13"/>
  <c r="D20" i="13"/>
  <c r="EL19" i="13"/>
  <c r="EG19" i="13"/>
  <c r="EI19" i="13" s="1"/>
  <c r="EB19" i="13"/>
  <c r="DW19" i="13"/>
  <c r="DT19" i="13"/>
  <c r="EM19" i="13" s="1"/>
  <c r="EN19" i="13" s="1"/>
  <c r="DQ19" i="13"/>
  <c r="DN19" i="13"/>
  <c r="DK19" i="13"/>
  <c r="DH19" i="13"/>
  <c r="DE19" i="13"/>
  <c r="DB19" i="13"/>
  <c r="CY19" i="13"/>
  <c r="CV19" i="13"/>
  <c r="CS19" i="13"/>
  <c r="CP19" i="13"/>
  <c r="CM19" i="13"/>
  <c r="CJ19" i="13"/>
  <c r="CG19" i="13"/>
  <c r="CD19" i="13"/>
  <c r="CA19" i="13"/>
  <c r="BX19" i="13"/>
  <c r="BU19" i="13"/>
  <c r="BR19" i="13"/>
  <c r="BO19" i="13"/>
  <c r="BL19" i="13"/>
  <c r="BI19" i="13"/>
  <c r="BF19" i="13"/>
  <c r="BC19" i="13"/>
  <c r="AZ19" i="13"/>
  <c r="AW19" i="13"/>
  <c r="AT19" i="13"/>
  <c r="AQ19" i="13"/>
  <c r="AN19" i="13"/>
  <c r="AL19" i="13"/>
  <c r="EK19" i="13" s="1"/>
  <c r="AK19" i="13"/>
  <c r="AI19" i="13"/>
  <c r="AB19" i="13"/>
  <c r="Y19" i="13"/>
  <c r="V19" i="13"/>
  <c r="EH19" i="13" s="1"/>
  <c r="S19" i="13"/>
  <c r="P19" i="13"/>
  <c r="M19" i="13"/>
  <c r="J19" i="13"/>
  <c r="ED19" i="13" s="1"/>
  <c r="G19" i="13"/>
  <c r="D19" i="13"/>
  <c r="EL18" i="13"/>
  <c r="EG18" i="13"/>
  <c r="EI18" i="13" s="1"/>
  <c r="EB18" i="13"/>
  <c r="EC18" i="13" s="1"/>
  <c r="DW18" i="13"/>
  <c r="DT18" i="13"/>
  <c r="DQ18" i="13"/>
  <c r="DN18" i="13"/>
  <c r="DK18" i="13"/>
  <c r="DH18" i="13"/>
  <c r="DE18" i="13"/>
  <c r="DB18" i="13"/>
  <c r="CY18" i="13"/>
  <c r="CV18" i="13"/>
  <c r="CS18" i="13"/>
  <c r="CP18" i="13"/>
  <c r="CM18" i="13"/>
  <c r="CJ18" i="13"/>
  <c r="CG18" i="13"/>
  <c r="CD18" i="13"/>
  <c r="CA18" i="13"/>
  <c r="BX18" i="13"/>
  <c r="BU18" i="13"/>
  <c r="BR18" i="13"/>
  <c r="BO18" i="13"/>
  <c r="BL18" i="13"/>
  <c r="BI18" i="13"/>
  <c r="BF18" i="13"/>
  <c r="BC18" i="13"/>
  <c r="AZ18" i="13"/>
  <c r="AW18" i="13"/>
  <c r="AT18" i="13"/>
  <c r="AQ18" i="13"/>
  <c r="AL18" i="13"/>
  <c r="EK18" i="13" s="1"/>
  <c r="AK18" i="13"/>
  <c r="AI18" i="13"/>
  <c r="AB18" i="13"/>
  <c r="EH18" i="13" s="1"/>
  <c r="Y18" i="13"/>
  <c r="V18" i="13"/>
  <c r="S18" i="13"/>
  <c r="P18" i="13"/>
  <c r="M18" i="13"/>
  <c r="J18" i="13"/>
  <c r="G18" i="13"/>
  <c r="D18" i="13"/>
  <c r="EL17" i="13"/>
  <c r="EI17" i="13"/>
  <c r="EG17" i="13"/>
  <c r="EB17" i="13"/>
  <c r="DW17" i="13"/>
  <c r="DT17" i="13"/>
  <c r="DQ17" i="13"/>
  <c r="DN17" i="13"/>
  <c r="DK17" i="13"/>
  <c r="DH17" i="13"/>
  <c r="DE17" i="13"/>
  <c r="DB17" i="13"/>
  <c r="CY17" i="13"/>
  <c r="CV17" i="13"/>
  <c r="CS17" i="13"/>
  <c r="CP17" i="13"/>
  <c r="CP42" i="13" s="1"/>
  <c r="CM17" i="13"/>
  <c r="CJ17" i="13"/>
  <c r="CG17" i="13"/>
  <c r="CD17" i="13"/>
  <c r="CA17" i="13"/>
  <c r="BX17" i="13"/>
  <c r="BU17" i="13"/>
  <c r="BR17" i="13"/>
  <c r="BO17" i="13"/>
  <c r="BL17" i="13"/>
  <c r="BI17" i="13"/>
  <c r="BF17" i="13"/>
  <c r="BC17" i="13"/>
  <c r="AZ17" i="13"/>
  <c r="AW17" i="13"/>
  <c r="AT17" i="13"/>
  <c r="AT42" i="13" s="1"/>
  <c r="AQ17" i="13"/>
  <c r="AL17" i="13"/>
  <c r="EK17" i="13" s="1"/>
  <c r="AK17" i="13"/>
  <c r="AI17" i="13"/>
  <c r="AB17" i="13"/>
  <c r="EH17" i="13" s="1"/>
  <c r="Y17" i="13"/>
  <c r="V17" i="13"/>
  <c r="S17" i="13"/>
  <c r="P17" i="13"/>
  <c r="M17" i="13"/>
  <c r="J17" i="13"/>
  <c r="G17" i="13"/>
  <c r="D17" i="13"/>
  <c r="EL16" i="13"/>
  <c r="EI16" i="13"/>
  <c r="EG16" i="13"/>
  <c r="DW16" i="13"/>
  <c r="DT16" i="13"/>
  <c r="EM16" i="13" s="1"/>
  <c r="DQ16" i="13"/>
  <c r="DN16" i="13"/>
  <c r="DK16" i="13"/>
  <c r="DH16" i="13"/>
  <c r="DE16" i="13"/>
  <c r="DB16" i="13"/>
  <c r="CY16" i="13"/>
  <c r="CV16" i="13"/>
  <c r="CS16" i="13"/>
  <c r="CP16" i="13"/>
  <c r="CM16" i="13"/>
  <c r="CJ16" i="13"/>
  <c r="CG16" i="13"/>
  <c r="CD16" i="13"/>
  <c r="CA16" i="13"/>
  <c r="BX16" i="13"/>
  <c r="BU16" i="13"/>
  <c r="BR16" i="13"/>
  <c r="BO16" i="13"/>
  <c r="BL16" i="13"/>
  <c r="BI16" i="13"/>
  <c r="BF16" i="13"/>
  <c r="BC16" i="13"/>
  <c r="AZ16" i="13"/>
  <c r="AW16" i="13"/>
  <c r="AT16" i="13"/>
  <c r="AQ16" i="13"/>
  <c r="AN16" i="13"/>
  <c r="AK16" i="13"/>
  <c r="AI16" i="13"/>
  <c r="EK16" i="13" s="1"/>
  <c r="EN16" i="13" s="1"/>
  <c r="AB16" i="13"/>
  <c r="Y16" i="13"/>
  <c r="V16" i="13"/>
  <c r="S16" i="13"/>
  <c r="EH16" i="13" s="1"/>
  <c r="P16" i="13"/>
  <c r="M16" i="13"/>
  <c r="J16" i="13"/>
  <c r="G16" i="13"/>
  <c r="D16" i="13"/>
  <c r="ED16" i="13" s="1"/>
  <c r="EL15" i="13"/>
  <c r="EK15" i="13"/>
  <c r="EG15" i="13"/>
  <c r="EI15" i="13" s="1"/>
  <c r="DW15" i="13"/>
  <c r="DT15" i="13"/>
  <c r="DQ15" i="13"/>
  <c r="EM15" i="13" s="1"/>
  <c r="DN15" i="13"/>
  <c r="DK15" i="13"/>
  <c r="DH15" i="13"/>
  <c r="DE15" i="13"/>
  <c r="DB15" i="13"/>
  <c r="CY15" i="13"/>
  <c r="CV15" i="13"/>
  <c r="CS15" i="13"/>
  <c r="CP15" i="13"/>
  <c r="CM15" i="13"/>
  <c r="CJ15" i="13"/>
  <c r="CG15" i="13"/>
  <c r="CD15" i="13"/>
  <c r="CA15" i="13"/>
  <c r="BX15" i="13"/>
  <c r="BU15" i="13"/>
  <c r="BR15" i="13"/>
  <c r="BO15" i="13"/>
  <c r="BL15" i="13"/>
  <c r="BI15" i="13"/>
  <c r="BF15" i="13"/>
  <c r="BC15" i="13"/>
  <c r="AZ15" i="13"/>
  <c r="AW15" i="13"/>
  <c r="AT15" i="13"/>
  <c r="AQ15" i="13"/>
  <c r="AN15" i="13"/>
  <c r="AK15" i="13"/>
  <c r="AI15" i="13"/>
  <c r="EB15" i="13" s="1"/>
  <c r="AB15" i="13"/>
  <c r="Y15" i="13"/>
  <c r="V15" i="13"/>
  <c r="EH15" i="13" s="1"/>
  <c r="S15" i="13"/>
  <c r="P15" i="13"/>
  <c r="M15" i="13"/>
  <c r="J15" i="13"/>
  <c r="G15" i="13"/>
  <c r="D15" i="13"/>
  <c r="ED15" i="13" s="1"/>
  <c r="EL14" i="13"/>
  <c r="EG14" i="13"/>
  <c r="EI14" i="13" s="1"/>
  <c r="DW14" i="13"/>
  <c r="DT14" i="13"/>
  <c r="DQ14" i="13"/>
  <c r="DN14" i="13"/>
  <c r="DK14" i="13"/>
  <c r="DH14" i="13"/>
  <c r="DE14" i="13"/>
  <c r="DB14" i="13"/>
  <c r="CY14" i="13"/>
  <c r="CV14" i="13"/>
  <c r="CS14" i="13"/>
  <c r="CP14" i="13"/>
  <c r="CM14" i="13"/>
  <c r="CJ14" i="13"/>
  <c r="CG14" i="13"/>
  <c r="CD14" i="13"/>
  <c r="CA14" i="13"/>
  <c r="BX14" i="13"/>
  <c r="BU14" i="13"/>
  <c r="BR14" i="13"/>
  <c r="BO14" i="13"/>
  <c r="BL14" i="13"/>
  <c r="BI14" i="13"/>
  <c r="BF14" i="13"/>
  <c r="BC14" i="13"/>
  <c r="AZ14" i="13"/>
  <c r="AW14" i="13"/>
  <c r="AT14" i="13"/>
  <c r="AQ14" i="13"/>
  <c r="AN14" i="13"/>
  <c r="AI14" i="13"/>
  <c r="AK14" i="13" s="1"/>
  <c r="AB14" i="13"/>
  <c r="Y14" i="13"/>
  <c r="V14" i="13"/>
  <c r="S14" i="13"/>
  <c r="P14" i="13"/>
  <c r="M14" i="13"/>
  <c r="ED14" i="13" s="1"/>
  <c r="J14" i="13"/>
  <c r="G14" i="13"/>
  <c r="D14" i="13"/>
  <c r="A14" i="13"/>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EL13" i="13"/>
  <c r="EK13" i="13"/>
  <c r="EI13" i="13"/>
  <c r="EG13" i="13"/>
  <c r="DW13" i="13"/>
  <c r="DT13" i="13"/>
  <c r="EM13" i="13" s="1"/>
  <c r="DQ13" i="13"/>
  <c r="DN13" i="13"/>
  <c r="DK13" i="13"/>
  <c r="DH13" i="13"/>
  <c r="DE13" i="13"/>
  <c r="DB13" i="13"/>
  <c r="CY13" i="13"/>
  <c r="CV13" i="13"/>
  <c r="CS13" i="13"/>
  <c r="CP13" i="13"/>
  <c r="CM13" i="13"/>
  <c r="CJ13" i="13"/>
  <c r="CG13" i="13"/>
  <c r="CD13" i="13"/>
  <c r="CA13" i="13"/>
  <c r="BX13" i="13"/>
  <c r="BU13" i="13"/>
  <c r="BR13" i="13"/>
  <c r="BO13" i="13"/>
  <c r="BL13" i="13"/>
  <c r="BI13" i="13"/>
  <c r="BF13" i="13"/>
  <c r="BC13" i="13"/>
  <c r="AZ13" i="13"/>
  <c r="AW13" i="13"/>
  <c r="AT13" i="13"/>
  <c r="AQ13" i="13"/>
  <c r="AN13" i="13"/>
  <c r="AK13" i="13"/>
  <c r="AI13" i="13"/>
  <c r="EB13" i="13" s="1"/>
  <c r="EC13" i="13" s="1"/>
  <c r="AB13" i="13"/>
  <c r="Y13" i="13"/>
  <c r="V13" i="13"/>
  <c r="S13" i="13"/>
  <c r="EH13" i="13" s="1"/>
  <c r="P13" i="13"/>
  <c r="M13" i="13"/>
  <c r="J13" i="13"/>
  <c r="G13" i="13"/>
  <c r="D13" i="13"/>
  <c r="ED13" i="13" s="1"/>
  <c r="EE13" i="13" s="1"/>
  <c r="EL12" i="13"/>
  <c r="EG12" i="13"/>
  <c r="EI12" i="13" s="1"/>
  <c r="DW12" i="13"/>
  <c r="DT12" i="13"/>
  <c r="DQ12" i="13"/>
  <c r="DN12" i="13"/>
  <c r="DK12" i="13"/>
  <c r="DH12" i="13"/>
  <c r="DE12" i="13"/>
  <c r="DB12" i="13"/>
  <c r="CY12" i="13"/>
  <c r="CV12" i="13"/>
  <c r="CS12" i="13"/>
  <c r="CP12" i="13"/>
  <c r="CM12" i="13"/>
  <c r="CJ12" i="13"/>
  <c r="CG12" i="13"/>
  <c r="CD12" i="13"/>
  <c r="CA12" i="13"/>
  <c r="BX12" i="13"/>
  <c r="BU12" i="13"/>
  <c r="BR12" i="13"/>
  <c r="BO12" i="13"/>
  <c r="BL12" i="13"/>
  <c r="BI12" i="13"/>
  <c r="BF12" i="13"/>
  <c r="BC12" i="13"/>
  <c r="AZ12" i="13"/>
  <c r="AW12" i="13"/>
  <c r="AT12" i="13"/>
  <c r="AQ12" i="13"/>
  <c r="AN12" i="13"/>
  <c r="AI12" i="13"/>
  <c r="EK12" i="13" s="1"/>
  <c r="AB12" i="13"/>
  <c r="Y12" i="13"/>
  <c r="V12" i="13"/>
  <c r="S12" i="13"/>
  <c r="S42" i="13" s="1"/>
  <c r="P12" i="13"/>
  <c r="M12" i="13"/>
  <c r="J12" i="13"/>
  <c r="G12" i="13"/>
  <c r="D12" i="13"/>
  <c r="A12" i="13"/>
  <c r="A13" i="13" s="1"/>
  <c r="EL11" i="13"/>
  <c r="EG11" i="13"/>
  <c r="EI11" i="13" s="1"/>
  <c r="DW11" i="13"/>
  <c r="DT11" i="13"/>
  <c r="DQ11" i="13"/>
  <c r="DN11" i="13"/>
  <c r="DN42" i="13" s="1"/>
  <c r="DK11" i="13"/>
  <c r="DK42" i="13" s="1"/>
  <c r="DH11" i="13"/>
  <c r="DE11" i="13"/>
  <c r="DB11" i="13"/>
  <c r="CY11" i="13"/>
  <c r="CV11" i="13"/>
  <c r="CS11" i="13"/>
  <c r="CP11" i="13"/>
  <c r="CM11" i="13"/>
  <c r="CJ11" i="13"/>
  <c r="CG11" i="13"/>
  <c r="CD11" i="13"/>
  <c r="CA11" i="13"/>
  <c r="BX11" i="13"/>
  <c r="BU11" i="13"/>
  <c r="BR11" i="13"/>
  <c r="BR42" i="13" s="1"/>
  <c r="BO11" i="13"/>
  <c r="BO42" i="13" s="1"/>
  <c r="BL11" i="13"/>
  <c r="BI11" i="13"/>
  <c r="BF11" i="13"/>
  <c r="BC11" i="13"/>
  <c r="AZ11" i="13"/>
  <c r="AW11" i="13"/>
  <c r="AT11" i="13"/>
  <c r="AQ11" i="13"/>
  <c r="AN11" i="13"/>
  <c r="AI11" i="13"/>
  <c r="EK11" i="13" s="1"/>
  <c r="AE42" i="13"/>
  <c r="AB11" i="13"/>
  <c r="Y11" i="13"/>
  <c r="V11" i="13"/>
  <c r="V42" i="13" s="1"/>
  <c r="S11" i="13"/>
  <c r="P11" i="13"/>
  <c r="M11" i="13"/>
  <c r="J11" i="13"/>
  <c r="G11" i="13"/>
  <c r="G42" i="13" s="1"/>
  <c r="D11" i="13"/>
  <c r="EI5" i="13"/>
  <c r="EQ2" i="13"/>
  <c r="G4" i="13" s="1"/>
  <c r="EI2" i="13"/>
  <c r="EE2" i="13"/>
  <c r="EC12" i="16" l="1"/>
  <c r="EN11" i="16"/>
  <c r="EH35" i="16"/>
  <c r="EM35" i="16"/>
  <c r="AW42" i="16"/>
  <c r="BI42" i="16"/>
  <c r="BU42" i="16"/>
  <c r="CG42" i="16"/>
  <c r="CS42" i="16"/>
  <c r="DE42" i="16"/>
  <c r="DQ42" i="16"/>
  <c r="EC11" i="16"/>
  <c r="EH11" i="16"/>
  <c r="EE12" i="16"/>
  <c r="EC13" i="16"/>
  <c r="EK14" i="16"/>
  <c r="EN14" i="16" s="1"/>
  <c r="EE14" i="16"/>
  <c r="EN16" i="16"/>
  <c r="EM19" i="16"/>
  <c r="EH20" i="16"/>
  <c r="EM23" i="16"/>
  <c r="EH24" i="16"/>
  <c r="EN24" i="16"/>
  <c r="ED28" i="16"/>
  <c r="EK29" i="16"/>
  <c r="AK29" i="16"/>
  <c r="ED29" i="16" s="1"/>
  <c r="EE29" i="16" s="1"/>
  <c r="EK33" i="16"/>
  <c r="EC33" i="16" s="1"/>
  <c r="AK33" i="16"/>
  <c r="EC37" i="16"/>
  <c r="EN40" i="16"/>
  <c r="EN20" i="16"/>
  <c r="EC29" i="16"/>
  <c r="EM31" i="16"/>
  <c r="EM39" i="16"/>
  <c r="EI3" i="16"/>
  <c r="EI4" i="16" s="1"/>
  <c r="EI5" i="16"/>
  <c r="D42" i="16"/>
  <c r="P42" i="16"/>
  <c r="AB42" i="16"/>
  <c r="AZ42" i="16"/>
  <c r="BL42" i="16"/>
  <c r="BX42" i="16"/>
  <c r="CJ42" i="16"/>
  <c r="CV42" i="16"/>
  <c r="DH42" i="16"/>
  <c r="DT42" i="16"/>
  <c r="ED11" i="16"/>
  <c r="EK21" i="16"/>
  <c r="EN21" i="16" s="1"/>
  <c r="AK21" i="16"/>
  <c r="EM27" i="16"/>
  <c r="EC31" i="16"/>
  <c r="EE31" i="16"/>
  <c r="ED33" i="16"/>
  <c r="EE33" i="16" s="1"/>
  <c r="EM33" i="16"/>
  <c r="EC34" i="16"/>
  <c r="EE35" i="16"/>
  <c r="EK37" i="16"/>
  <c r="AK37" i="16"/>
  <c r="ED37" i="16" s="1"/>
  <c r="EE37" i="16" s="1"/>
  <c r="EC40" i="16"/>
  <c r="EC41" i="16"/>
  <c r="EE28" i="16"/>
  <c r="EH31" i="16"/>
  <c r="EH15" i="16"/>
  <c r="ED16" i="16"/>
  <c r="EE16" i="16" s="1"/>
  <c r="EK17" i="16"/>
  <c r="AK17" i="16"/>
  <c r="EM17" i="16" s="1"/>
  <c r="ED21" i="16"/>
  <c r="EE21" i="16" s="1"/>
  <c r="EM21" i="16"/>
  <c r="EE22" i="16"/>
  <c r="EE24" i="16"/>
  <c r="EK25" i="16"/>
  <c r="AK25" i="16"/>
  <c r="ED25" i="16" s="1"/>
  <c r="EE25" i="16" s="1"/>
  <c r="EN28" i="16"/>
  <c r="EH29" i="16"/>
  <c r="ED32" i="16"/>
  <c r="EM32" i="16"/>
  <c r="EN32" i="16" s="1"/>
  <c r="EH33" i="16"/>
  <c r="ED36" i="16"/>
  <c r="EM36" i="16"/>
  <c r="EN36" i="16" s="1"/>
  <c r="EE38" i="16"/>
  <c r="EC38" i="16"/>
  <c r="ED40" i="16"/>
  <c r="EE40" i="16" s="1"/>
  <c r="EK41" i="16"/>
  <c r="AK41" i="16"/>
  <c r="EM41" i="16" s="1"/>
  <c r="EK15" i="16"/>
  <c r="EN5" i="16" s="1"/>
  <c r="EK19" i="16"/>
  <c r="EN19" i="16" s="1"/>
  <c r="EB20" i="16"/>
  <c r="EK23" i="16"/>
  <c r="EN23" i="16" s="1"/>
  <c r="EK27" i="16"/>
  <c r="EN27" i="16" s="1"/>
  <c r="EK31" i="16"/>
  <c r="EB32" i="16"/>
  <c r="EK35" i="16"/>
  <c r="EB36" i="16"/>
  <c r="EK39" i="16"/>
  <c r="EN39" i="16" s="1"/>
  <c r="AN15" i="16"/>
  <c r="EM15" i="16" s="1"/>
  <c r="EK18" i="16"/>
  <c r="EN18" i="16" s="1"/>
  <c r="EB19" i="16"/>
  <c r="EE5" i="16" s="1"/>
  <c r="G7" i="16" s="1"/>
  <c r="EK22" i="16"/>
  <c r="EN22" i="16" s="1"/>
  <c r="EB23" i="16"/>
  <c r="EK26" i="16"/>
  <c r="EN26" i="16" s="1"/>
  <c r="EB27" i="16"/>
  <c r="EK30" i="16"/>
  <c r="EN30" i="16" s="1"/>
  <c r="EK34" i="16"/>
  <c r="EN34" i="16" s="1"/>
  <c r="EK38" i="16"/>
  <c r="EN38" i="16" s="1"/>
  <c r="EB39" i="16"/>
  <c r="EC12" i="15"/>
  <c r="EM14" i="15"/>
  <c r="EE17" i="15"/>
  <c r="EC17" i="15"/>
  <c r="EN17" i="15"/>
  <c r="EC20" i="15"/>
  <c r="EC11" i="15"/>
  <c r="EC16" i="15"/>
  <c r="EE16" i="15"/>
  <c r="EE19" i="15"/>
  <c r="EC19" i="15"/>
  <c r="EE13" i="15"/>
  <c r="EC13" i="15"/>
  <c r="EC15" i="15"/>
  <c r="EC18" i="15"/>
  <c r="EN13" i="15"/>
  <c r="EN16" i="15"/>
  <c r="EN19" i="15"/>
  <c r="EK14" i="15"/>
  <c r="EN14" i="15" s="1"/>
  <c r="EH22" i="15"/>
  <c r="EM25" i="15"/>
  <c r="EN25" i="15" s="1"/>
  <c r="EC31" i="15"/>
  <c r="EE31" i="15"/>
  <c r="EM31" i="15"/>
  <c r="EN31" i="15" s="1"/>
  <c r="EM35" i="15"/>
  <c r="EN35" i="15" s="1"/>
  <c r="EM37" i="15"/>
  <c r="EN37" i="15" s="1"/>
  <c r="M39" i="15"/>
  <c r="Y39" i="15"/>
  <c r="BF39" i="15"/>
  <c r="BR39" i="15"/>
  <c r="CD39" i="15"/>
  <c r="CP39" i="15"/>
  <c r="DB39" i="15"/>
  <c r="DN39" i="15"/>
  <c r="AQ12" i="15"/>
  <c r="AW12" i="15"/>
  <c r="EM12" i="15" s="1"/>
  <c r="EN12" i="15" s="1"/>
  <c r="AN14" i="15"/>
  <c r="ED14" i="15" s="1"/>
  <c r="EE14" i="15" s="1"/>
  <c r="AQ15" i="15"/>
  <c r="ED15" i="15" s="1"/>
  <c r="EE15" i="15" s="1"/>
  <c r="AW15" i="15"/>
  <c r="EM15" i="15" s="1"/>
  <c r="EN15" i="15" s="1"/>
  <c r="AQ18" i="15"/>
  <c r="ED18" i="15" s="1"/>
  <c r="EE18" i="15" s="1"/>
  <c r="AW18" i="15"/>
  <c r="EM18" i="15" s="1"/>
  <c r="EN18" i="15" s="1"/>
  <c r="AN20" i="15"/>
  <c r="EM20" i="15" s="1"/>
  <c r="EK20" i="15"/>
  <c r="EE23" i="15"/>
  <c r="EC25" i="15"/>
  <c r="EE25" i="15"/>
  <c r="EC27" i="15"/>
  <c r="EE27" i="15"/>
  <c r="EM27" i="15"/>
  <c r="EN27" i="15" s="1"/>
  <c r="EN32" i="15"/>
  <c r="EC35" i="15"/>
  <c r="EE35" i="15"/>
  <c r="EI3" i="15"/>
  <c r="EI4" i="15" s="1"/>
  <c r="EI5" i="15"/>
  <c r="D39" i="15"/>
  <c r="P39" i="15"/>
  <c r="AB39" i="15"/>
  <c r="AK39" i="15"/>
  <c r="BI39" i="15"/>
  <c r="BU39" i="15"/>
  <c r="CG39" i="15"/>
  <c r="CS39" i="15"/>
  <c r="DE39" i="15"/>
  <c r="DQ39" i="15"/>
  <c r="EH11" i="15"/>
  <c r="EM11" i="15"/>
  <c r="EK21" i="15"/>
  <c r="EB21" i="15"/>
  <c r="EE5" i="15" s="1"/>
  <c r="G7" i="15" s="1"/>
  <c r="ED23" i="15"/>
  <c r="ED24" i="15"/>
  <c r="EE24" i="15" s="1"/>
  <c r="EC24" i="15"/>
  <c r="EC26" i="15"/>
  <c r="EC28" i="15"/>
  <c r="EC30" i="15"/>
  <c r="EC32" i="15"/>
  <c r="EC34" i="15"/>
  <c r="EH35" i="15"/>
  <c r="EC36" i="15"/>
  <c r="EH37" i="15"/>
  <c r="EC38" i="15"/>
  <c r="AN39" i="15"/>
  <c r="EB22" i="15"/>
  <c r="EE3" i="15" s="1"/>
  <c r="AN22" i="15"/>
  <c r="EC29" i="15"/>
  <c r="EE29" i="15"/>
  <c r="EM29" i="15"/>
  <c r="EN29" i="15" s="1"/>
  <c r="EC33" i="15"/>
  <c r="EE33" i="15"/>
  <c r="EM33" i="15"/>
  <c r="EN33" i="15" s="1"/>
  <c r="EC37" i="15"/>
  <c r="EE37" i="15"/>
  <c r="EN2" i="15"/>
  <c r="EN3" i="15"/>
  <c r="BL39" i="15"/>
  <c r="BX39" i="15"/>
  <c r="CJ39" i="15"/>
  <c r="CV39" i="15"/>
  <c r="DH39" i="15"/>
  <c r="DT39" i="15"/>
  <c r="ED11" i="15"/>
  <c r="AW21" i="15"/>
  <c r="ED21" i="15" s="1"/>
  <c r="EK22" i="15"/>
  <c r="AT22" i="15"/>
  <c r="AT39" i="15" s="1"/>
  <c r="EM23" i="15"/>
  <c r="EN23" i="15" s="1"/>
  <c r="EM24" i="15"/>
  <c r="EN24" i="15" s="1"/>
  <c r="ED26" i="15"/>
  <c r="EE26" i="15" s="1"/>
  <c r="ED30" i="15"/>
  <c r="EE30" i="15" s="1"/>
  <c r="EM32" i="15"/>
  <c r="ED34" i="15"/>
  <c r="EE34" i="15" s="1"/>
  <c r="ED38" i="15"/>
  <c r="EE38" i="15" s="1"/>
  <c r="AZ24" i="15"/>
  <c r="AZ39" i="15" s="1"/>
  <c r="AZ26" i="15"/>
  <c r="EM26" i="15" s="1"/>
  <c r="EN26" i="15" s="1"/>
  <c r="AZ28" i="15"/>
  <c r="ED28" i="15" s="1"/>
  <c r="EE28" i="15" s="1"/>
  <c r="AZ30" i="15"/>
  <c r="EM30" i="15" s="1"/>
  <c r="EN30" i="15" s="1"/>
  <c r="AZ32" i="15"/>
  <c r="ED32" i="15" s="1"/>
  <c r="EE32" i="15" s="1"/>
  <c r="AZ34" i="15"/>
  <c r="EM34" i="15" s="1"/>
  <c r="EN34" i="15" s="1"/>
  <c r="AZ36" i="15"/>
  <c r="ED36" i="15" s="1"/>
  <c r="EE36" i="15" s="1"/>
  <c r="AZ38" i="15"/>
  <c r="EM38" i="15" s="1"/>
  <c r="EN38" i="15" s="1"/>
  <c r="EN12" i="14"/>
  <c r="EN14" i="14"/>
  <c r="ED12" i="14"/>
  <c r="EM24" i="14"/>
  <c r="ED11" i="14"/>
  <c r="EE17" i="14"/>
  <c r="EC17" i="14"/>
  <c r="EC23" i="14"/>
  <c r="ED29" i="14"/>
  <c r="ED40" i="14"/>
  <c r="J41" i="14"/>
  <c r="V41" i="14"/>
  <c r="AH41" i="14"/>
  <c r="EB12" i="14"/>
  <c r="AK13" i="14"/>
  <c r="ED13" i="14" s="1"/>
  <c r="EH14" i="14"/>
  <c r="EH41" i="14" s="1"/>
  <c r="EM14" i="14"/>
  <c r="EN15" i="14"/>
  <c r="EM18" i="14"/>
  <c r="EN18" i="14" s="1"/>
  <c r="EC19" i="14"/>
  <c r="EM23" i="14"/>
  <c r="EE23" i="14"/>
  <c r="EN24" i="14"/>
  <c r="EB24" i="14"/>
  <c r="EC28" i="14"/>
  <c r="EM31" i="14"/>
  <c r="EN31" i="14" s="1"/>
  <c r="EC33" i="14"/>
  <c r="EE36" i="14"/>
  <c r="EM38" i="14"/>
  <c r="EN38" i="14" s="1"/>
  <c r="ED39" i="14"/>
  <c r="EN39" i="14"/>
  <c r="EB13" i="14"/>
  <c r="EH23" i="14"/>
  <c r="EK32" i="14"/>
  <c r="AK32" i="14"/>
  <c r="ED32" i="14" s="1"/>
  <c r="EM34" i="14"/>
  <c r="EN34" i="14" s="1"/>
  <c r="M41" i="14"/>
  <c r="Y41" i="14"/>
  <c r="AT41" i="14"/>
  <c r="BF41" i="14"/>
  <c r="BR41" i="14"/>
  <c r="CD41" i="14"/>
  <c r="CP41" i="14"/>
  <c r="DB41" i="14"/>
  <c r="DN41" i="14"/>
  <c r="EB11" i="14"/>
  <c r="EC15" i="14"/>
  <c r="EM19" i="14"/>
  <c r="EE19" i="14"/>
  <c r="EB20" i="14"/>
  <c r="ED23" i="14"/>
  <c r="AK24" i="14"/>
  <c r="ED24" i="14" s="1"/>
  <c r="EE25" i="14"/>
  <c r="EC25" i="14"/>
  <c r="EK28" i="14"/>
  <c r="AK28" i="14"/>
  <c r="ED28" i="14" s="1"/>
  <c r="EE28" i="14" s="1"/>
  <c r="EM28" i="14"/>
  <c r="EM30" i="14"/>
  <c r="EN30" i="14" s="1"/>
  <c r="ED31" i="14"/>
  <c r="EK36" i="14"/>
  <c r="EN36" i="14" s="1"/>
  <c r="AK36" i="14"/>
  <c r="EM36" i="14"/>
  <c r="EE40" i="14"/>
  <c r="EC40" i="14"/>
  <c r="S41" i="14"/>
  <c r="EN19" i="14"/>
  <c r="EM22" i="14"/>
  <c r="EN22" i="14" s="1"/>
  <c r="EM32" i="14"/>
  <c r="EI3" i="14"/>
  <c r="EI4" i="14" s="1"/>
  <c r="D41" i="14"/>
  <c r="P41" i="14"/>
  <c r="AB41" i="14"/>
  <c r="AW41" i="14"/>
  <c r="BI41" i="14"/>
  <c r="BU41" i="14"/>
  <c r="CG41" i="14"/>
  <c r="CS41" i="14"/>
  <c r="DE41" i="14"/>
  <c r="DQ41" i="14"/>
  <c r="EM11" i="14"/>
  <c r="EM15" i="14"/>
  <c r="EE15" i="14"/>
  <c r="EN16" i="14"/>
  <c r="EB16" i="14"/>
  <c r="ED19" i="14"/>
  <c r="AK20" i="14"/>
  <c r="ED20" i="14" s="1"/>
  <c r="EE21" i="14"/>
  <c r="EC21" i="14"/>
  <c r="EK23" i="14"/>
  <c r="EN23" i="14" s="1"/>
  <c r="EM26" i="14"/>
  <c r="EN26" i="14" s="1"/>
  <c r="EM27" i="14"/>
  <c r="EN27" i="14" s="1"/>
  <c r="EE29" i="14"/>
  <c r="EC29" i="14"/>
  <c r="EB32" i="14"/>
  <c r="EM35" i="14"/>
  <c r="EN35" i="14" s="1"/>
  <c r="ED36" i="14"/>
  <c r="EE37" i="14"/>
  <c r="EC37" i="14"/>
  <c r="EK40" i="14"/>
  <c r="AK40" i="14"/>
  <c r="EM40" i="14"/>
  <c r="EB27" i="14"/>
  <c r="EB31" i="14"/>
  <c r="EB35" i="14"/>
  <c r="EB39" i="14"/>
  <c r="EB18" i="14"/>
  <c r="EB22" i="14"/>
  <c r="EB26" i="14"/>
  <c r="EB30" i="14"/>
  <c r="EB34" i="14"/>
  <c r="EK37" i="14"/>
  <c r="EN37" i="14" s="1"/>
  <c r="EB38" i="14"/>
  <c r="EC15" i="13"/>
  <c r="EE15" i="13"/>
  <c r="EN13" i="13"/>
  <c r="EM17" i="13"/>
  <c r="EN17" i="13" s="1"/>
  <c r="EM12" i="13"/>
  <c r="EN12" i="13" s="1"/>
  <c r="ED17" i="13"/>
  <c r="EE17" i="13" s="1"/>
  <c r="EN34" i="13"/>
  <c r="EK14" i="13"/>
  <c r="EN14" i="13" s="1"/>
  <c r="EN15" i="13"/>
  <c r="EM33" i="13"/>
  <c r="EC37" i="13"/>
  <c r="J42" i="13"/>
  <c r="BC42" i="13"/>
  <c r="CY42" i="13"/>
  <c r="DW42" i="13"/>
  <c r="EM14" i="13"/>
  <c r="AN20" i="13"/>
  <c r="EM20" i="13" s="1"/>
  <c r="EN20" i="13" s="1"/>
  <c r="EM21" i="13"/>
  <c r="EH37" i="13"/>
  <c r="AN37" i="13"/>
  <c r="ED37" i="13" s="1"/>
  <c r="EE37" i="13" s="1"/>
  <c r="EK37" i="13"/>
  <c r="M42" i="13"/>
  <c r="CD42" i="13"/>
  <c r="EB11" i="13"/>
  <c r="EH11" i="13"/>
  <c r="EH12" i="13"/>
  <c r="EH14" i="13"/>
  <c r="AN17" i="13"/>
  <c r="EE19" i="13"/>
  <c r="ED23" i="13"/>
  <c r="EH24" i="13"/>
  <c r="EH26" i="13"/>
  <c r="EC26" i="13"/>
  <c r="EE26" i="13"/>
  <c r="EB31" i="13"/>
  <c r="EE32" i="13"/>
  <c r="EC32" i="13"/>
  <c r="AQ34" i="13"/>
  <c r="ED34" i="13" s="1"/>
  <c r="ED35" i="13"/>
  <c r="EK35" i="13"/>
  <c r="EN35" i="13" s="1"/>
  <c r="AQ35" i="13"/>
  <c r="EM36" i="13"/>
  <c r="EC41" i="13"/>
  <c r="EE28" i="13"/>
  <c r="EC28" i="13"/>
  <c r="EK40" i="13"/>
  <c r="AQ40" i="13"/>
  <c r="ED40" i="13" s="1"/>
  <c r="AH42" i="13"/>
  <c r="CA42" i="13"/>
  <c r="EC17" i="13"/>
  <c r="EK22" i="13"/>
  <c r="AN22" i="13"/>
  <c r="EM22" i="13" s="1"/>
  <c r="EB22" i="13"/>
  <c r="EN26" i="13"/>
  <c r="EM28" i="13"/>
  <c r="AN29" i="13"/>
  <c r="EM29" i="13" s="1"/>
  <c r="EB29" i="13"/>
  <c r="EK29" i="13"/>
  <c r="EM34" i="13"/>
  <c r="EM35" i="13"/>
  <c r="ED38" i="13"/>
  <c r="EI3" i="13"/>
  <c r="EI4" i="13" s="1"/>
  <c r="Y42" i="13"/>
  <c r="BF42" i="13"/>
  <c r="DB42" i="13"/>
  <c r="EB12" i="13"/>
  <c r="D42" i="13"/>
  <c r="ED11" i="13"/>
  <c r="P42" i="13"/>
  <c r="AB42" i="13"/>
  <c r="AK11" i="13"/>
  <c r="AW42" i="13"/>
  <c r="BI42" i="13"/>
  <c r="BU42" i="13"/>
  <c r="CG42" i="13"/>
  <c r="CS42" i="13"/>
  <c r="DE42" i="13"/>
  <c r="DQ42" i="13"/>
  <c r="AK12" i="13"/>
  <c r="ED12" i="13" s="1"/>
  <c r="EB14" i="13"/>
  <c r="EB16" i="13"/>
  <c r="AN18" i="13"/>
  <c r="EM18" i="13" s="1"/>
  <c r="EN18" i="13" s="1"/>
  <c r="EC19" i="13"/>
  <c r="ED20" i="13"/>
  <c r="EB20" i="13"/>
  <c r="EH23" i="13"/>
  <c r="EK23" i="13"/>
  <c r="AN23" i="13"/>
  <c r="EM23" i="13" s="1"/>
  <c r="EB23" i="13"/>
  <c r="EM25" i="13"/>
  <c r="EN25" i="13" s="1"/>
  <c r="EM31" i="13"/>
  <c r="EM32" i="13"/>
  <c r="AN33" i="13"/>
  <c r="EB33" i="13"/>
  <c r="EK33" i="13"/>
  <c r="EN33" i="13" s="1"/>
  <c r="EN36" i="13"/>
  <c r="EK38" i="13"/>
  <c r="AQ38" i="13"/>
  <c r="EM38" i="13" s="1"/>
  <c r="ED39" i="13"/>
  <c r="EK39" i="13"/>
  <c r="AQ39" i="13"/>
  <c r="EM39" i="13" s="1"/>
  <c r="ED41" i="13"/>
  <c r="EE41" i="13" s="1"/>
  <c r="EK24" i="13"/>
  <c r="AN24" i="13"/>
  <c r="ED24" i="13" s="1"/>
  <c r="EE24" i="13" s="1"/>
  <c r="ED25" i="13"/>
  <c r="EE25" i="13" s="1"/>
  <c r="EC25" i="13"/>
  <c r="EH30" i="13"/>
  <c r="EH34" i="13"/>
  <c r="EB34" i="13"/>
  <c r="EB35" i="13"/>
  <c r="EB36" i="13"/>
  <c r="EB40" i="13"/>
  <c r="AZ42" i="13"/>
  <c r="BL42" i="13"/>
  <c r="BX42" i="13"/>
  <c r="CJ42" i="13"/>
  <c r="CV42" i="13"/>
  <c r="DH42" i="13"/>
  <c r="DT42" i="13"/>
  <c r="EK21" i="13"/>
  <c r="AN21" i="13"/>
  <c r="ED21" i="13" s="1"/>
  <c r="EE21" i="13" s="1"/>
  <c r="ED22" i="13"/>
  <c r="EH25" i="13"/>
  <c r="EM26" i="13"/>
  <c r="EK27" i="13"/>
  <c r="AQ27" i="13"/>
  <c r="ED27" i="13" s="1"/>
  <c r="EE27" i="13" s="1"/>
  <c r="EK28" i="13"/>
  <c r="EN28" i="13" s="1"/>
  <c r="EM30" i="13"/>
  <c r="EN30" i="13" s="1"/>
  <c r="EK31" i="13"/>
  <c r="EN31" i="13" s="1"/>
  <c r="AQ31" i="13"/>
  <c r="ED31" i="13" s="1"/>
  <c r="EK32" i="13"/>
  <c r="EN32" i="13" s="1"/>
  <c r="ED33" i="13"/>
  <c r="EH38" i="13"/>
  <c r="EB38" i="13"/>
  <c r="EB39" i="13"/>
  <c r="EK41" i="13"/>
  <c r="EB30" i="13"/>
  <c r="AQ41" i="13"/>
  <c r="EM41" i="13" s="1"/>
  <c r="EC39" i="16" l="1"/>
  <c r="EE39" i="16"/>
  <c r="EC36" i="16"/>
  <c r="EE36" i="16"/>
  <c r="EN17" i="16"/>
  <c r="AK42" i="16"/>
  <c r="EN35" i="16"/>
  <c r="ED41" i="16"/>
  <c r="EE41" i="16" s="1"/>
  <c r="EM25" i="16"/>
  <c r="EM42" i="16" s="1"/>
  <c r="EN37" i="16"/>
  <c r="EC30" i="16"/>
  <c r="EC25" i="16"/>
  <c r="EC17" i="16"/>
  <c r="ED17" i="16"/>
  <c r="EE17" i="16" s="1"/>
  <c r="EH42" i="16"/>
  <c r="ED15" i="16"/>
  <c r="EE15" i="16" s="1"/>
  <c r="EC14" i="16"/>
  <c r="EC27" i="16"/>
  <c r="EE27" i="16"/>
  <c r="EE11" i="16"/>
  <c r="EC23" i="16"/>
  <c r="EE23" i="16"/>
  <c r="EC32" i="16"/>
  <c r="EE32" i="16"/>
  <c r="EC20" i="16"/>
  <c r="EE20" i="16"/>
  <c r="EN41" i="16"/>
  <c r="EN2" i="16"/>
  <c r="EM37" i="16"/>
  <c r="EC18" i="16"/>
  <c r="EM29" i="16"/>
  <c r="EN29" i="16" s="1"/>
  <c r="AN42" i="16"/>
  <c r="EC21" i="16"/>
  <c r="EC19" i="16"/>
  <c r="EE19" i="16"/>
  <c r="EN15" i="16"/>
  <c r="EN31" i="16"/>
  <c r="EC22" i="16"/>
  <c r="EC15" i="16"/>
  <c r="EC35" i="16"/>
  <c r="EC26" i="16"/>
  <c r="EN33" i="16"/>
  <c r="EE3" i="16"/>
  <c r="EN3" i="16"/>
  <c r="EN4" i="16" s="1"/>
  <c r="G5" i="15"/>
  <c r="EM36" i="15"/>
  <c r="EN36" i="15" s="1"/>
  <c r="EM28" i="15"/>
  <c r="EN28" i="15" s="1"/>
  <c r="AW39" i="15"/>
  <c r="EN20" i="15"/>
  <c r="AQ39" i="15"/>
  <c r="EM21" i="15"/>
  <c r="EM39" i="15" s="1"/>
  <c r="ED20" i="15"/>
  <c r="EE20" i="15" s="1"/>
  <c r="EM22" i="15"/>
  <c r="EN22" i="15" s="1"/>
  <c r="EH39" i="15"/>
  <c r="EC14" i="15"/>
  <c r="EC22" i="15"/>
  <c r="ED12" i="15"/>
  <c r="EE12" i="15" s="1"/>
  <c r="ED22" i="15"/>
  <c r="EE22" i="15" s="1"/>
  <c r="EN5" i="15"/>
  <c r="EE21" i="15"/>
  <c r="EC21" i="15"/>
  <c r="EN11" i="15"/>
  <c r="EE11" i="15"/>
  <c r="EC27" i="14"/>
  <c r="EE27" i="14"/>
  <c r="EE13" i="14"/>
  <c r="EC13" i="14"/>
  <c r="EC36" i="14"/>
  <c r="EC39" i="14"/>
  <c r="EE39" i="14"/>
  <c r="EC11" i="14"/>
  <c r="EE5" i="14"/>
  <c r="G7" i="14" s="1"/>
  <c r="EE3" i="14"/>
  <c r="EE11" i="14"/>
  <c r="EC12" i="14"/>
  <c r="EE12" i="14"/>
  <c r="EM13" i="14"/>
  <c r="EN13" i="14" s="1"/>
  <c r="EM20" i="14"/>
  <c r="EN20" i="14" s="1"/>
  <c r="EC34" i="14"/>
  <c r="EE34" i="14"/>
  <c r="EE32" i="14"/>
  <c r="EC32" i="14"/>
  <c r="EM41" i="14"/>
  <c r="EN11" i="14"/>
  <c r="EE20" i="14"/>
  <c r="EC20" i="14"/>
  <c r="AK41" i="14"/>
  <c r="EC30" i="14"/>
  <c r="EE30" i="14"/>
  <c r="EC38" i="14"/>
  <c r="EE38" i="14"/>
  <c r="EC26" i="14"/>
  <c r="EE26" i="14"/>
  <c r="EC35" i="14"/>
  <c r="EE35" i="14"/>
  <c r="EN28" i="14"/>
  <c r="EN32" i="14"/>
  <c r="EN5" i="14"/>
  <c r="EC18" i="14"/>
  <c r="EE18" i="14"/>
  <c r="EE16" i="14"/>
  <c r="EC16" i="14"/>
  <c r="EN3" i="14"/>
  <c r="EN4" i="14" s="1"/>
  <c r="EC22" i="14"/>
  <c r="EE22" i="14"/>
  <c r="EC31" i="14"/>
  <c r="EE31" i="14"/>
  <c r="EN40" i="14"/>
  <c r="EN2" i="14"/>
  <c r="EP2" i="14" s="1"/>
  <c r="EE24" i="14"/>
  <c r="EC24" i="14"/>
  <c r="ED41" i="14"/>
  <c r="EC30" i="13"/>
  <c r="EE30" i="13"/>
  <c r="EC34" i="13"/>
  <c r="EE34" i="13"/>
  <c r="EE20" i="13"/>
  <c r="EC20" i="13"/>
  <c r="EC29" i="13"/>
  <c r="EN3" i="13"/>
  <c r="EM37" i="13"/>
  <c r="EN37" i="13" s="1"/>
  <c r="EM40" i="13"/>
  <c r="EC14" i="13"/>
  <c r="EE14" i="13"/>
  <c r="EE22" i="13"/>
  <c r="EC22" i="13"/>
  <c r="EH42" i="13"/>
  <c r="EE39" i="13"/>
  <c r="EC39" i="13"/>
  <c r="ED29" i="13"/>
  <c r="EE29" i="13" s="1"/>
  <c r="EE36" i="13"/>
  <c r="EC36" i="13"/>
  <c r="EN24" i="13"/>
  <c r="EN38" i="13"/>
  <c r="EN23" i="13"/>
  <c r="AK42" i="13"/>
  <c r="EE31" i="13"/>
  <c r="EC31" i="13"/>
  <c r="EC11" i="13"/>
  <c r="EE5" i="13"/>
  <c r="G7" i="13" s="1"/>
  <c r="EE3" i="13"/>
  <c r="EE11" i="13"/>
  <c r="EC24" i="13"/>
  <c r="EM24" i="13"/>
  <c r="ED18" i="13"/>
  <c r="EE18" i="13" s="1"/>
  <c r="EE40" i="13"/>
  <c r="EC40" i="13"/>
  <c r="EE23" i="13"/>
  <c r="EC23" i="13"/>
  <c r="EE16" i="13"/>
  <c r="EC16" i="13"/>
  <c r="EN41" i="13"/>
  <c r="EN2" i="13"/>
  <c r="EP2" i="13" s="1"/>
  <c r="EC33" i="13"/>
  <c r="EE33" i="13"/>
  <c r="EC27" i="13"/>
  <c r="EN40" i="13"/>
  <c r="EN5" i="13"/>
  <c r="EC38" i="13"/>
  <c r="EE38" i="13"/>
  <c r="EN21" i="13"/>
  <c r="AN42" i="13"/>
  <c r="EE35" i="13"/>
  <c r="EC35" i="13"/>
  <c r="EN39" i="13"/>
  <c r="EE12" i="13"/>
  <c r="EC12" i="13"/>
  <c r="EN29" i="13"/>
  <c r="EM27" i="13"/>
  <c r="EN27" i="13" s="1"/>
  <c r="EN22" i="13"/>
  <c r="EM11" i="13"/>
  <c r="EC21" i="13"/>
  <c r="AQ42" i="13"/>
  <c r="G5" i="16" l="1"/>
  <c r="EE4" i="16"/>
  <c r="G6" i="16" s="1"/>
  <c r="ED42" i="16"/>
  <c r="EN25" i="16"/>
  <c r="EN4" i="15"/>
  <c r="EN21" i="15"/>
  <c r="EE4" i="15"/>
  <c r="G6" i="15" s="1"/>
  <c r="ED39" i="15"/>
  <c r="EE4" i="14"/>
  <c r="G6" i="14" s="1"/>
  <c r="G5" i="14"/>
  <c r="EM42" i="13"/>
  <c r="EN11" i="13"/>
  <c r="ED42" i="13"/>
  <c r="EE4" i="13"/>
  <c r="G6" i="13" s="1"/>
  <c r="G5" i="13"/>
  <c r="EN4" i="13"/>
  <c r="EL42" i="12" l="1"/>
  <c r="EG42" i="12"/>
  <c r="EI42" i="12" s="1"/>
  <c r="EB42" i="12"/>
  <c r="DW42" i="12"/>
  <c r="DT42" i="12"/>
  <c r="DQ42" i="12"/>
  <c r="DN42" i="12"/>
  <c r="DK42" i="12"/>
  <c r="DH42" i="12"/>
  <c r="DE42" i="12"/>
  <c r="DB42" i="12"/>
  <c r="CY42" i="12"/>
  <c r="CV42" i="12"/>
  <c r="CS42" i="12"/>
  <c r="CP42" i="12"/>
  <c r="CM42" i="12"/>
  <c r="CJ42" i="12"/>
  <c r="CG42" i="12"/>
  <c r="CD42" i="12"/>
  <c r="CA42" i="12"/>
  <c r="BX42" i="12"/>
  <c r="BU42" i="12"/>
  <c r="BR42" i="12"/>
  <c r="BO42" i="12"/>
  <c r="BL42" i="12"/>
  <c r="BI42" i="12"/>
  <c r="BF42" i="12"/>
  <c r="BC42" i="12"/>
  <c r="AZ42" i="12"/>
  <c r="AW42" i="12"/>
  <c r="AT42" i="12"/>
  <c r="AR42" i="12"/>
  <c r="EK42" i="12" s="1"/>
  <c r="AO42" i="12"/>
  <c r="AQ42" i="12" s="1"/>
  <c r="AN42" i="12"/>
  <c r="AL42" i="12"/>
  <c r="AI42" i="12"/>
  <c r="AK42" i="12" s="1"/>
  <c r="AB42" i="12"/>
  <c r="Y42" i="12"/>
  <c r="V42" i="12"/>
  <c r="S42" i="12"/>
  <c r="P42" i="12"/>
  <c r="M42" i="12"/>
  <c r="J42" i="12"/>
  <c r="G42" i="12"/>
  <c r="D42" i="12"/>
  <c r="EL41" i="12"/>
  <c r="EI41" i="12"/>
  <c r="EG41" i="12"/>
  <c r="DW41" i="12"/>
  <c r="DT41" i="12"/>
  <c r="DQ41" i="12"/>
  <c r="DN41" i="12"/>
  <c r="DK41" i="12"/>
  <c r="DH41" i="12"/>
  <c r="DE41" i="12"/>
  <c r="DB41" i="12"/>
  <c r="CY41" i="12"/>
  <c r="CV41" i="12"/>
  <c r="CS41" i="12"/>
  <c r="CP41" i="12"/>
  <c r="CM41" i="12"/>
  <c r="CJ41" i="12"/>
  <c r="CG41" i="12"/>
  <c r="CD41" i="12"/>
  <c r="CA41" i="12"/>
  <c r="BX41" i="12"/>
  <c r="BU41" i="12"/>
  <c r="BR41" i="12"/>
  <c r="BO41" i="12"/>
  <c r="BL41" i="12"/>
  <c r="BI41" i="12"/>
  <c r="BF41" i="12"/>
  <c r="BC41" i="12"/>
  <c r="AZ41" i="12"/>
  <c r="AW41" i="12"/>
  <c r="AR41" i="12"/>
  <c r="AT41" i="12" s="1"/>
  <c r="AQ41" i="12"/>
  <c r="AO41" i="12"/>
  <c r="AL41" i="12"/>
  <c r="EB41" i="12" s="1"/>
  <c r="AK41" i="12"/>
  <c r="AI41" i="12"/>
  <c r="AB41" i="12"/>
  <c r="Y41" i="12"/>
  <c r="EH41" i="12" s="1"/>
  <c r="V41" i="12"/>
  <c r="S41" i="12"/>
  <c r="P41" i="12"/>
  <c r="M41" i="12"/>
  <c r="J41" i="12"/>
  <c r="G41" i="12"/>
  <c r="D41" i="12"/>
  <c r="EL40" i="12"/>
  <c r="EG40" i="12"/>
  <c r="EI40" i="12" s="1"/>
  <c r="EB40" i="12"/>
  <c r="DW40" i="12"/>
  <c r="DT40" i="12"/>
  <c r="DQ40" i="12"/>
  <c r="DN40" i="12"/>
  <c r="DK40" i="12"/>
  <c r="DH40" i="12"/>
  <c r="DE40" i="12"/>
  <c r="DB40" i="12"/>
  <c r="CY40" i="12"/>
  <c r="CV40" i="12"/>
  <c r="CS40" i="12"/>
  <c r="CP40" i="12"/>
  <c r="CM40" i="12"/>
  <c r="CJ40" i="12"/>
  <c r="CG40" i="12"/>
  <c r="CD40" i="12"/>
  <c r="CA40" i="12"/>
  <c r="BX40" i="12"/>
  <c r="BU40" i="12"/>
  <c r="BR40" i="12"/>
  <c r="BO40" i="12"/>
  <c r="BL40" i="12"/>
  <c r="BI40" i="12"/>
  <c r="BF40" i="12"/>
  <c r="BC40" i="12"/>
  <c r="AZ40" i="12"/>
  <c r="AW40" i="12"/>
  <c r="AT40" i="12"/>
  <c r="AR40" i="12"/>
  <c r="EK40" i="12" s="1"/>
  <c r="AO40" i="12"/>
  <c r="AQ40" i="12" s="1"/>
  <c r="AN40" i="12"/>
  <c r="AL40" i="12"/>
  <c r="AI40" i="12"/>
  <c r="AK40" i="12" s="1"/>
  <c r="AB40" i="12"/>
  <c r="Y40" i="12"/>
  <c r="V40" i="12"/>
  <c r="S40" i="12"/>
  <c r="P40" i="12"/>
  <c r="M40" i="12"/>
  <c r="J40" i="12"/>
  <c r="G40" i="12"/>
  <c r="D40" i="12"/>
  <c r="EL39" i="12"/>
  <c r="EI39" i="12"/>
  <c r="EG39" i="12"/>
  <c r="DW39" i="12"/>
  <c r="DT39" i="12"/>
  <c r="DQ39" i="12"/>
  <c r="DN39" i="12"/>
  <c r="DK39" i="12"/>
  <c r="DH39" i="12"/>
  <c r="DE39" i="12"/>
  <c r="DB39" i="12"/>
  <c r="CY39" i="12"/>
  <c r="CV39" i="12"/>
  <c r="CS39" i="12"/>
  <c r="CP39" i="12"/>
  <c r="CM39" i="12"/>
  <c r="CJ39" i="12"/>
  <c r="CG39" i="12"/>
  <c r="CD39" i="12"/>
  <c r="CA39" i="12"/>
  <c r="BX39" i="12"/>
  <c r="BU39" i="12"/>
  <c r="BR39" i="12"/>
  <c r="BO39" i="12"/>
  <c r="BL39" i="12"/>
  <c r="BI39" i="12"/>
  <c r="BF39" i="12"/>
  <c r="BC39" i="12"/>
  <c r="AZ39" i="12"/>
  <c r="AW39" i="12"/>
  <c r="AR39" i="12"/>
  <c r="AT39" i="12" s="1"/>
  <c r="AQ39" i="12"/>
  <c r="AO39" i="12"/>
  <c r="AL39" i="12"/>
  <c r="EB39" i="12" s="1"/>
  <c r="AK39" i="12"/>
  <c r="AI39" i="12"/>
  <c r="AB39" i="12"/>
  <c r="Y39" i="12"/>
  <c r="V39" i="12"/>
  <c r="S39" i="12"/>
  <c r="EH39" i="12" s="1"/>
  <c r="P39" i="12"/>
  <c r="M39" i="12"/>
  <c r="J39" i="12"/>
  <c r="G39" i="12"/>
  <c r="D39" i="12"/>
  <c r="EL38" i="12"/>
  <c r="EG38" i="12"/>
  <c r="EI38" i="12" s="1"/>
  <c r="EB38" i="12"/>
  <c r="DW38" i="12"/>
  <c r="DT38" i="12"/>
  <c r="DQ38" i="12"/>
  <c r="DN38" i="12"/>
  <c r="DK38" i="12"/>
  <c r="DH38" i="12"/>
  <c r="DE38" i="12"/>
  <c r="DB38" i="12"/>
  <c r="CY38" i="12"/>
  <c r="CV38" i="12"/>
  <c r="CS38" i="12"/>
  <c r="CP38" i="12"/>
  <c r="CM38" i="12"/>
  <c r="CJ38" i="12"/>
  <c r="CG38" i="12"/>
  <c r="CD38" i="12"/>
  <c r="CA38" i="12"/>
  <c r="BX38" i="12"/>
  <c r="BU38" i="12"/>
  <c r="BR38" i="12"/>
  <c r="BO38" i="12"/>
  <c r="BL38" i="12"/>
  <c r="BI38" i="12"/>
  <c r="BF38" i="12"/>
  <c r="BC38" i="12"/>
  <c r="AZ38" i="12"/>
  <c r="AW38" i="12"/>
  <c r="AT38" i="12"/>
  <c r="AR38" i="12"/>
  <c r="EK38" i="12" s="1"/>
  <c r="AO38" i="12"/>
  <c r="AQ38" i="12" s="1"/>
  <c r="AN38" i="12"/>
  <c r="AL38" i="12"/>
  <c r="AI38" i="12"/>
  <c r="AK38" i="12" s="1"/>
  <c r="AB38" i="12"/>
  <c r="Y38" i="12"/>
  <c r="V38" i="12"/>
  <c r="S38" i="12"/>
  <c r="P38" i="12"/>
  <c r="M38" i="12"/>
  <c r="J38" i="12"/>
  <c r="G38" i="12"/>
  <c r="D38" i="12"/>
  <c r="EL37" i="12"/>
  <c r="EI37" i="12"/>
  <c r="EG37" i="12"/>
  <c r="DW37" i="12"/>
  <c r="DT37" i="12"/>
  <c r="DQ37" i="12"/>
  <c r="DN37" i="12"/>
  <c r="DK37" i="12"/>
  <c r="DH37" i="12"/>
  <c r="DE37" i="12"/>
  <c r="DB37" i="12"/>
  <c r="CY37" i="12"/>
  <c r="CV37" i="12"/>
  <c r="CS37" i="12"/>
  <c r="CP37" i="12"/>
  <c r="CM37" i="12"/>
  <c r="CJ37" i="12"/>
  <c r="CG37" i="12"/>
  <c r="CD37" i="12"/>
  <c r="CA37" i="12"/>
  <c r="BX37" i="12"/>
  <c r="BU37" i="12"/>
  <c r="BR37" i="12"/>
  <c r="BO37" i="12"/>
  <c r="BL37" i="12"/>
  <c r="BI37" i="12"/>
  <c r="BF37" i="12"/>
  <c r="BC37" i="12"/>
  <c r="AZ37" i="12"/>
  <c r="AW37" i="12"/>
  <c r="AR37" i="12"/>
  <c r="AT37" i="12" s="1"/>
  <c r="AQ37" i="12"/>
  <c r="AO37" i="12"/>
  <c r="AL37" i="12"/>
  <c r="EB37" i="12" s="1"/>
  <c r="AK37" i="12"/>
  <c r="AI37" i="12"/>
  <c r="AB37" i="12"/>
  <c r="Y37" i="12"/>
  <c r="V37" i="12"/>
  <c r="S37" i="12"/>
  <c r="EH37" i="12" s="1"/>
  <c r="P37" i="12"/>
  <c r="M37" i="12"/>
  <c r="J37" i="12"/>
  <c r="G37" i="12"/>
  <c r="D37" i="12"/>
  <c r="EL36" i="12"/>
  <c r="EG36" i="12"/>
  <c r="EI36" i="12" s="1"/>
  <c r="EB36" i="12"/>
  <c r="DW36" i="12"/>
  <c r="DT36" i="12"/>
  <c r="DQ36" i="12"/>
  <c r="DN36" i="12"/>
  <c r="DK36" i="12"/>
  <c r="DH36" i="12"/>
  <c r="DE36" i="12"/>
  <c r="DB36" i="12"/>
  <c r="CY36" i="12"/>
  <c r="CV36" i="12"/>
  <c r="CS36" i="12"/>
  <c r="CP36" i="12"/>
  <c r="CM36" i="12"/>
  <c r="CJ36" i="12"/>
  <c r="CG36" i="12"/>
  <c r="CD36" i="12"/>
  <c r="CA36" i="12"/>
  <c r="BX36" i="12"/>
  <c r="BU36" i="12"/>
  <c r="BR36" i="12"/>
  <c r="BO36" i="12"/>
  <c r="BL36" i="12"/>
  <c r="BI36" i="12"/>
  <c r="BF36" i="12"/>
  <c r="BC36" i="12"/>
  <c r="AZ36" i="12"/>
  <c r="AW36" i="12"/>
  <c r="AT36" i="12"/>
  <c r="AR36" i="12"/>
  <c r="EK36" i="12" s="1"/>
  <c r="AO36" i="12"/>
  <c r="AQ36" i="12" s="1"/>
  <c r="AN36" i="12"/>
  <c r="AL36" i="12"/>
  <c r="AI36" i="12"/>
  <c r="AK36" i="12" s="1"/>
  <c r="AB36" i="12"/>
  <c r="Y36" i="12"/>
  <c r="V36" i="12"/>
  <c r="S36" i="12"/>
  <c r="P36" i="12"/>
  <c r="M36" i="12"/>
  <c r="J36" i="12"/>
  <c r="G36" i="12"/>
  <c r="D36" i="12"/>
  <c r="EL35" i="12"/>
  <c r="EI35" i="12"/>
  <c r="EG35" i="12"/>
  <c r="DW35" i="12"/>
  <c r="DT35" i="12"/>
  <c r="DQ35" i="12"/>
  <c r="DN35" i="12"/>
  <c r="DK35" i="12"/>
  <c r="DH35" i="12"/>
  <c r="DE35" i="12"/>
  <c r="DB35" i="12"/>
  <c r="CY35" i="12"/>
  <c r="CV35" i="12"/>
  <c r="CS35" i="12"/>
  <c r="CP35" i="12"/>
  <c r="CM35" i="12"/>
  <c r="CJ35" i="12"/>
  <c r="CG35" i="12"/>
  <c r="CD35" i="12"/>
  <c r="CA35" i="12"/>
  <c r="BX35" i="12"/>
  <c r="BU35" i="12"/>
  <c r="BR35" i="12"/>
  <c r="BO35" i="12"/>
  <c r="BL35" i="12"/>
  <c r="BI35" i="12"/>
  <c r="BF35" i="12"/>
  <c r="BC35" i="12"/>
  <c r="AZ35" i="12"/>
  <c r="AW35" i="12"/>
  <c r="AR35" i="12"/>
  <c r="AT35" i="12" s="1"/>
  <c r="AQ35" i="12"/>
  <c r="AO35" i="12"/>
  <c r="AL35" i="12"/>
  <c r="EB35" i="12" s="1"/>
  <c r="AK35" i="12"/>
  <c r="AI35" i="12"/>
  <c r="AB35" i="12"/>
  <c r="Y35" i="12"/>
  <c r="V35" i="12"/>
  <c r="S35" i="12"/>
  <c r="EH35" i="12" s="1"/>
  <c r="P35" i="12"/>
  <c r="M35" i="12"/>
  <c r="J35" i="12"/>
  <c r="G35" i="12"/>
  <c r="D35" i="12"/>
  <c r="EL34" i="12"/>
  <c r="EG34" i="12"/>
  <c r="EI34" i="12" s="1"/>
  <c r="EB34" i="12"/>
  <c r="DW34" i="12"/>
  <c r="DT34" i="12"/>
  <c r="DQ34" i="12"/>
  <c r="DN34" i="12"/>
  <c r="DK34" i="12"/>
  <c r="DH34" i="12"/>
  <c r="DE34" i="12"/>
  <c r="DB34" i="12"/>
  <c r="CY34" i="12"/>
  <c r="CV34" i="12"/>
  <c r="CS34" i="12"/>
  <c r="CP34" i="12"/>
  <c r="CM34" i="12"/>
  <c r="CJ34" i="12"/>
  <c r="CG34" i="12"/>
  <c r="CD34" i="12"/>
  <c r="CA34" i="12"/>
  <c r="BX34" i="12"/>
  <c r="BU34" i="12"/>
  <c r="BR34" i="12"/>
  <c r="BO34" i="12"/>
  <c r="BL34" i="12"/>
  <c r="BI34" i="12"/>
  <c r="BF34" i="12"/>
  <c r="BC34" i="12"/>
  <c r="AZ34" i="12"/>
  <c r="AW34" i="12"/>
  <c r="AT34" i="12"/>
  <c r="AR34" i="12"/>
  <c r="EK34" i="12" s="1"/>
  <c r="AO34" i="12"/>
  <c r="AQ34" i="12" s="1"/>
  <c r="AN34" i="12"/>
  <c r="AL34" i="12"/>
  <c r="AI34" i="12"/>
  <c r="AK34" i="12" s="1"/>
  <c r="AB34" i="12"/>
  <c r="Y34" i="12"/>
  <c r="V34" i="12"/>
  <c r="S34" i="12"/>
  <c r="P34" i="12"/>
  <c r="M34" i="12"/>
  <c r="J34" i="12"/>
  <c r="G34" i="12"/>
  <c r="D34" i="12"/>
  <c r="EL33" i="12"/>
  <c r="EI33" i="12"/>
  <c r="EG33" i="12"/>
  <c r="DW33" i="12"/>
  <c r="DT33" i="12"/>
  <c r="DQ33" i="12"/>
  <c r="DN33" i="12"/>
  <c r="DK33" i="12"/>
  <c r="DH33" i="12"/>
  <c r="DE33" i="12"/>
  <c r="DB33" i="12"/>
  <c r="CY33" i="12"/>
  <c r="CV33" i="12"/>
  <c r="CS33" i="12"/>
  <c r="CP33" i="12"/>
  <c r="CM33" i="12"/>
  <c r="CJ33" i="12"/>
  <c r="CG33" i="12"/>
  <c r="CD33" i="12"/>
  <c r="CA33" i="12"/>
  <c r="BX33" i="12"/>
  <c r="BU33" i="12"/>
  <c r="BR33" i="12"/>
  <c r="BO33" i="12"/>
  <c r="BL33" i="12"/>
  <c r="BI33" i="12"/>
  <c r="BF33" i="12"/>
  <c r="BC33" i="12"/>
  <c r="AZ33" i="12"/>
  <c r="AW33" i="12"/>
  <c r="AR33" i="12"/>
  <c r="AT33" i="12" s="1"/>
  <c r="AQ33" i="12"/>
  <c r="AO33" i="12"/>
  <c r="AL33" i="12"/>
  <c r="EB33" i="12" s="1"/>
  <c r="AK33" i="12"/>
  <c r="AI33" i="12"/>
  <c r="AB33" i="12"/>
  <c r="Y33" i="12"/>
  <c r="V33" i="12"/>
  <c r="S33" i="12"/>
  <c r="EH33" i="12" s="1"/>
  <c r="P33" i="12"/>
  <c r="M33" i="12"/>
  <c r="J33" i="12"/>
  <c r="G33" i="12"/>
  <c r="D33" i="12"/>
  <c r="EL32" i="12"/>
  <c r="EG32" i="12"/>
  <c r="EI32" i="12" s="1"/>
  <c r="EB32" i="12"/>
  <c r="DW32" i="12"/>
  <c r="DT32" i="12"/>
  <c r="DQ32" i="12"/>
  <c r="DN32" i="12"/>
  <c r="DK32" i="12"/>
  <c r="DH32" i="12"/>
  <c r="DE32" i="12"/>
  <c r="DB32" i="12"/>
  <c r="CY32" i="12"/>
  <c r="CV32" i="12"/>
  <c r="CS32" i="12"/>
  <c r="CP32" i="12"/>
  <c r="CM32" i="12"/>
  <c r="CJ32" i="12"/>
  <c r="CG32" i="12"/>
  <c r="CD32" i="12"/>
  <c r="CA32" i="12"/>
  <c r="BX32" i="12"/>
  <c r="BU32" i="12"/>
  <c r="BR32" i="12"/>
  <c r="BO32" i="12"/>
  <c r="BL32" i="12"/>
  <c r="BI32" i="12"/>
  <c r="BF32" i="12"/>
  <c r="BC32" i="12"/>
  <c r="AZ32" i="12"/>
  <c r="AW32" i="12"/>
  <c r="AT32" i="12"/>
  <c r="AR32" i="12"/>
  <c r="EK32" i="12" s="1"/>
  <c r="AO32" i="12"/>
  <c r="AQ32" i="12" s="1"/>
  <c r="AN32" i="12"/>
  <c r="AL32" i="12"/>
  <c r="AI32" i="12"/>
  <c r="AK32" i="12" s="1"/>
  <c r="AB32" i="12"/>
  <c r="Y32" i="12"/>
  <c r="V32" i="12"/>
  <c r="S32" i="12"/>
  <c r="P32" i="12"/>
  <c r="M32" i="12"/>
  <c r="J32" i="12"/>
  <c r="G32" i="12"/>
  <c r="D32" i="12"/>
  <c r="EL31" i="12"/>
  <c r="EI31" i="12"/>
  <c r="EG31" i="12"/>
  <c r="DW31" i="12"/>
  <c r="DT31" i="12"/>
  <c r="DQ31" i="12"/>
  <c r="DN31" i="12"/>
  <c r="DK31" i="12"/>
  <c r="DH31" i="12"/>
  <c r="DE31" i="12"/>
  <c r="DB31" i="12"/>
  <c r="CY31" i="12"/>
  <c r="CV31" i="12"/>
  <c r="CS31" i="12"/>
  <c r="CP31" i="12"/>
  <c r="CM31" i="12"/>
  <c r="CJ31" i="12"/>
  <c r="CG31" i="12"/>
  <c r="CD31" i="12"/>
  <c r="CA31" i="12"/>
  <c r="BX31" i="12"/>
  <c r="BU31" i="12"/>
  <c r="BR31" i="12"/>
  <c r="BO31" i="12"/>
  <c r="BL31" i="12"/>
  <c r="BI31" i="12"/>
  <c r="BF31" i="12"/>
  <c r="BC31" i="12"/>
  <c r="AZ31" i="12"/>
  <c r="AW31" i="12"/>
  <c r="AR31" i="12"/>
  <c r="AT31" i="12" s="1"/>
  <c r="AQ31" i="12"/>
  <c r="AO31" i="12"/>
  <c r="AL31" i="12"/>
  <c r="EB31" i="12" s="1"/>
  <c r="AK31" i="12"/>
  <c r="AI31" i="12"/>
  <c r="AB31" i="12"/>
  <c r="Y31" i="12"/>
  <c r="V31" i="12"/>
  <c r="S31" i="12"/>
  <c r="EH31" i="12" s="1"/>
  <c r="P31" i="12"/>
  <c r="M31" i="12"/>
  <c r="J31" i="12"/>
  <c r="G31" i="12"/>
  <c r="D31" i="12"/>
  <c r="EL30" i="12"/>
  <c r="EG30" i="12"/>
  <c r="EI30" i="12" s="1"/>
  <c r="EB30" i="12"/>
  <c r="DW30" i="12"/>
  <c r="DT30" i="12"/>
  <c r="DQ30" i="12"/>
  <c r="DN30" i="12"/>
  <c r="DK30" i="12"/>
  <c r="DH30" i="12"/>
  <c r="DE30" i="12"/>
  <c r="DB30" i="12"/>
  <c r="CY30" i="12"/>
  <c r="CV30" i="12"/>
  <c r="CS30" i="12"/>
  <c r="CP30" i="12"/>
  <c r="CM30" i="12"/>
  <c r="CJ30" i="12"/>
  <c r="CG30" i="12"/>
  <c r="CD30" i="12"/>
  <c r="CA30" i="12"/>
  <c r="BX30" i="12"/>
  <c r="BU30" i="12"/>
  <c r="BR30" i="12"/>
  <c r="BO30" i="12"/>
  <c r="BL30" i="12"/>
  <c r="BI30" i="12"/>
  <c r="BF30" i="12"/>
  <c r="BC30" i="12"/>
  <c r="AZ30" i="12"/>
  <c r="AW30" i="12"/>
  <c r="AT30" i="12"/>
  <c r="AR30" i="12"/>
  <c r="EK30" i="12" s="1"/>
  <c r="AO30" i="12"/>
  <c r="AQ30" i="12" s="1"/>
  <c r="AN30" i="12"/>
  <c r="AL30" i="12"/>
  <c r="AI30" i="12"/>
  <c r="AK30" i="12" s="1"/>
  <c r="AB30" i="12"/>
  <c r="Y30" i="12"/>
  <c r="V30" i="12"/>
  <c r="S30" i="12"/>
  <c r="P30" i="12"/>
  <c r="M30" i="12"/>
  <c r="J30" i="12"/>
  <c r="G30" i="12"/>
  <c r="D30" i="12"/>
  <c r="EL29" i="12"/>
  <c r="EI29" i="12"/>
  <c r="EG29" i="12"/>
  <c r="DW29" i="12"/>
  <c r="DT29" i="12"/>
  <c r="DQ29" i="12"/>
  <c r="DN29" i="12"/>
  <c r="DK29" i="12"/>
  <c r="DH29" i="12"/>
  <c r="DE29" i="12"/>
  <c r="DB29" i="12"/>
  <c r="CY29" i="12"/>
  <c r="CV29" i="12"/>
  <c r="CS29" i="12"/>
  <c r="CP29" i="12"/>
  <c r="CM29" i="12"/>
  <c r="CJ29" i="12"/>
  <c r="CG29" i="12"/>
  <c r="CD29" i="12"/>
  <c r="CA29" i="12"/>
  <c r="BX29" i="12"/>
  <c r="BU29" i="12"/>
  <c r="BR29" i="12"/>
  <c r="BO29" i="12"/>
  <c r="BL29" i="12"/>
  <c r="BI29" i="12"/>
  <c r="BF29" i="12"/>
  <c r="BC29" i="12"/>
  <c r="AZ29" i="12"/>
  <c r="AW29" i="12"/>
  <c r="AR29" i="12"/>
  <c r="AT29" i="12" s="1"/>
  <c r="AQ29" i="12"/>
  <c r="AO29" i="12"/>
  <c r="AL29" i="12"/>
  <c r="EB29" i="12" s="1"/>
  <c r="AK29" i="12"/>
  <c r="AI29" i="12"/>
  <c r="AB29" i="12"/>
  <c r="Y29" i="12"/>
  <c r="V29" i="12"/>
  <c r="S29" i="12"/>
  <c r="EH29" i="12" s="1"/>
  <c r="P29" i="12"/>
  <c r="M29" i="12"/>
  <c r="J29" i="12"/>
  <c r="G29" i="12"/>
  <c r="D29" i="12"/>
  <c r="EL28" i="12"/>
  <c r="EG28" i="12"/>
  <c r="EI28" i="12" s="1"/>
  <c r="EB28" i="12"/>
  <c r="DW28" i="12"/>
  <c r="DT28" i="12"/>
  <c r="DQ28" i="12"/>
  <c r="DN28" i="12"/>
  <c r="DK28" i="12"/>
  <c r="DH28" i="12"/>
  <c r="DE28" i="12"/>
  <c r="DB28" i="12"/>
  <c r="CY28" i="12"/>
  <c r="CV28" i="12"/>
  <c r="CS28" i="12"/>
  <c r="CP28" i="12"/>
  <c r="CM28" i="12"/>
  <c r="CJ28" i="12"/>
  <c r="CG28" i="12"/>
  <c r="CD28" i="12"/>
  <c r="CA28" i="12"/>
  <c r="BX28" i="12"/>
  <c r="BU28" i="12"/>
  <c r="BR28" i="12"/>
  <c r="BO28" i="12"/>
  <c r="BL28" i="12"/>
  <c r="BI28" i="12"/>
  <c r="BF28" i="12"/>
  <c r="BC28" i="12"/>
  <c r="AZ28" i="12"/>
  <c r="AW28" i="12"/>
  <c r="AT28" i="12"/>
  <c r="AR28" i="12"/>
  <c r="EK28" i="12" s="1"/>
  <c r="AO28" i="12"/>
  <c r="AQ28" i="12" s="1"/>
  <c r="AN28" i="12"/>
  <c r="AK28" i="12"/>
  <c r="AI28" i="12"/>
  <c r="AB28" i="12"/>
  <c r="Y28" i="12"/>
  <c r="V28" i="12"/>
  <c r="S28" i="12"/>
  <c r="EH28" i="12" s="1"/>
  <c r="P28" i="12"/>
  <c r="M28" i="12"/>
  <c r="J28" i="12"/>
  <c r="G28" i="12"/>
  <c r="D28" i="12"/>
  <c r="EL27" i="12"/>
  <c r="EG27" i="12"/>
  <c r="EI27" i="12" s="1"/>
  <c r="DW27" i="12"/>
  <c r="DT27" i="12"/>
  <c r="DQ27" i="12"/>
  <c r="DN27" i="12"/>
  <c r="DK27" i="12"/>
  <c r="DH27" i="12"/>
  <c r="DE27" i="12"/>
  <c r="DB27" i="12"/>
  <c r="CY27" i="12"/>
  <c r="CV27" i="12"/>
  <c r="CS27" i="12"/>
  <c r="CP27" i="12"/>
  <c r="CM27" i="12"/>
  <c r="CJ27" i="12"/>
  <c r="CG27" i="12"/>
  <c r="CD27" i="12"/>
  <c r="CA27" i="12"/>
  <c r="BX27" i="12"/>
  <c r="BU27" i="12"/>
  <c r="BR27" i="12"/>
  <c r="BO27" i="12"/>
  <c r="BL27" i="12"/>
  <c r="BI27" i="12"/>
  <c r="BF27" i="12"/>
  <c r="BC27" i="12"/>
  <c r="AZ27" i="12"/>
  <c r="AW27" i="12"/>
  <c r="AT27" i="12"/>
  <c r="AR27" i="12"/>
  <c r="EK27" i="12" s="1"/>
  <c r="AO27" i="12"/>
  <c r="AN27" i="12"/>
  <c r="AI27" i="12"/>
  <c r="AK27" i="12" s="1"/>
  <c r="AB27" i="12"/>
  <c r="Y27" i="12"/>
  <c r="V27" i="12"/>
  <c r="EH27" i="12" s="1"/>
  <c r="S27" i="12"/>
  <c r="P27" i="12"/>
  <c r="M27" i="12"/>
  <c r="J27" i="12"/>
  <c r="G27" i="12"/>
  <c r="D27" i="12"/>
  <c r="EL26" i="12"/>
  <c r="EI26" i="12"/>
  <c r="EG26" i="12"/>
  <c r="DW26" i="12"/>
  <c r="DT26" i="12"/>
  <c r="DQ26" i="12"/>
  <c r="DN26" i="12"/>
  <c r="DK26" i="12"/>
  <c r="DH26" i="12"/>
  <c r="DE26" i="12"/>
  <c r="DB26" i="12"/>
  <c r="CY26" i="12"/>
  <c r="CV26" i="12"/>
  <c r="CS26" i="12"/>
  <c r="CP26" i="12"/>
  <c r="CM26" i="12"/>
  <c r="CJ26" i="12"/>
  <c r="CG26" i="12"/>
  <c r="CD26" i="12"/>
  <c r="CA26" i="12"/>
  <c r="BX26" i="12"/>
  <c r="BU26" i="12"/>
  <c r="BR26" i="12"/>
  <c r="BO26" i="12"/>
  <c r="BL26" i="12"/>
  <c r="BI26" i="12"/>
  <c r="BF26" i="12"/>
  <c r="BC26" i="12"/>
  <c r="AZ26" i="12"/>
  <c r="AW26" i="12"/>
  <c r="AR26" i="12"/>
  <c r="AT26" i="12" s="1"/>
  <c r="AQ26" i="12"/>
  <c r="AO26" i="12"/>
  <c r="AN26" i="12"/>
  <c r="AI26" i="12"/>
  <c r="AK26" i="12" s="1"/>
  <c r="AB26" i="12"/>
  <c r="Y26" i="12"/>
  <c r="V26" i="12"/>
  <c r="S26" i="12"/>
  <c r="P26" i="12"/>
  <c r="M26" i="12"/>
  <c r="ED26" i="12" s="1"/>
  <c r="J26" i="12"/>
  <c r="G26" i="12"/>
  <c r="D26" i="12"/>
  <c r="EL25" i="12"/>
  <c r="EG25" i="12"/>
  <c r="EI25" i="12" s="1"/>
  <c r="DW25" i="12"/>
  <c r="DT25" i="12"/>
  <c r="DQ25" i="12"/>
  <c r="DN25" i="12"/>
  <c r="DK25" i="12"/>
  <c r="DH25" i="12"/>
  <c r="DE25" i="12"/>
  <c r="DB25" i="12"/>
  <c r="CY25" i="12"/>
  <c r="CV25" i="12"/>
  <c r="CS25" i="12"/>
  <c r="CP25" i="12"/>
  <c r="CM25" i="12"/>
  <c r="CJ25" i="12"/>
  <c r="CG25" i="12"/>
  <c r="CD25" i="12"/>
  <c r="CA25" i="12"/>
  <c r="BX25" i="12"/>
  <c r="BU25" i="12"/>
  <c r="BR25" i="12"/>
  <c r="BO25" i="12"/>
  <c r="BL25" i="12"/>
  <c r="BI25" i="12"/>
  <c r="BF25" i="12"/>
  <c r="BC25" i="12"/>
  <c r="AZ25" i="12"/>
  <c r="AW25" i="12"/>
  <c r="AR25" i="12"/>
  <c r="AQ25" i="12"/>
  <c r="AO25" i="12"/>
  <c r="AL25" i="12"/>
  <c r="AK25" i="12"/>
  <c r="AI25" i="12"/>
  <c r="AB25" i="12"/>
  <c r="Y25" i="12"/>
  <c r="V25" i="12"/>
  <c r="S25" i="12"/>
  <c r="EH25" i="12" s="1"/>
  <c r="P25" i="12"/>
  <c r="M25" i="12"/>
  <c r="J25" i="12"/>
  <c r="G25" i="12"/>
  <c r="D25" i="12"/>
  <c r="EL24" i="12"/>
  <c r="EG24" i="12"/>
  <c r="EI24" i="12" s="1"/>
  <c r="DW24" i="12"/>
  <c r="DT24" i="12"/>
  <c r="DQ24" i="12"/>
  <c r="DN24" i="12"/>
  <c r="DK24" i="12"/>
  <c r="DH24" i="12"/>
  <c r="DE24" i="12"/>
  <c r="DB24" i="12"/>
  <c r="CY24" i="12"/>
  <c r="CV24" i="12"/>
  <c r="CS24" i="12"/>
  <c r="CP24" i="12"/>
  <c r="CM24" i="12"/>
  <c r="CJ24" i="12"/>
  <c r="CG24" i="12"/>
  <c r="CD24" i="12"/>
  <c r="CA24" i="12"/>
  <c r="BX24" i="12"/>
  <c r="BU24" i="12"/>
  <c r="BR24" i="12"/>
  <c r="BO24" i="12"/>
  <c r="BL24" i="12"/>
  <c r="BI24" i="12"/>
  <c r="BF24" i="12"/>
  <c r="BC24" i="12"/>
  <c r="AZ24" i="12"/>
  <c r="AW24" i="12"/>
  <c r="AT24" i="12"/>
  <c r="AO24" i="12"/>
  <c r="AN24" i="12"/>
  <c r="AL24" i="12"/>
  <c r="AI24" i="12"/>
  <c r="AK24" i="12" s="1"/>
  <c r="AB24" i="12"/>
  <c r="Y24" i="12"/>
  <c r="V24" i="12"/>
  <c r="S24" i="12"/>
  <c r="EH24" i="12" s="1"/>
  <c r="P24" i="12"/>
  <c r="M24" i="12"/>
  <c r="J24" i="12"/>
  <c r="G24" i="12"/>
  <c r="D24" i="12"/>
  <c r="EM23" i="12"/>
  <c r="EL23" i="12"/>
  <c r="EK23" i="12"/>
  <c r="EN23" i="12" s="1"/>
  <c r="EI23" i="12"/>
  <c r="EH23" i="12"/>
  <c r="EG23" i="12"/>
  <c r="DW23" i="12"/>
  <c r="DT23" i="12"/>
  <c r="DQ23" i="12"/>
  <c r="DN23" i="12"/>
  <c r="DK23" i="12"/>
  <c r="DH23" i="12"/>
  <c r="DE23" i="12"/>
  <c r="DB23" i="12"/>
  <c r="CY23" i="12"/>
  <c r="CV23" i="12"/>
  <c r="CS23" i="12"/>
  <c r="CP23" i="12"/>
  <c r="CM23" i="12"/>
  <c r="CJ23" i="12"/>
  <c r="CG23" i="12"/>
  <c r="CD23" i="12"/>
  <c r="CA23" i="12"/>
  <c r="BX23" i="12"/>
  <c r="BU23" i="12"/>
  <c r="BR23" i="12"/>
  <c r="BO23" i="12"/>
  <c r="BL23" i="12"/>
  <c r="BI23" i="12"/>
  <c r="BF23" i="12"/>
  <c r="BC23" i="12"/>
  <c r="AZ23" i="12"/>
  <c r="AW23" i="12"/>
  <c r="AT23" i="12"/>
  <c r="AQ23" i="12"/>
  <c r="AO23" i="12"/>
  <c r="AN23" i="12"/>
  <c r="AL23" i="12"/>
  <c r="EB23" i="12" s="1"/>
  <c r="AK23" i="12"/>
  <c r="AI23" i="12"/>
  <c r="AB23" i="12"/>
  <c r="Y23" i="12"/>
  <c r="V23" i="12"/>
  <c r="S23" i="12"/>
  <c r="P23" i="12"/>
  <c r="M23" i="12"/>
  <c r="J23" i="12"/>
  <c r="G23" i="12"/>
  <c r="D23" i="12"/>
  <c r="ED23" i="12" s="1"/>
  <c r="EL22" i="12"/>
  <c r="EI22" i="12"/>
  <c r="EG22" i="12"/>
  <c r="DW22" i="12"/>
  <c r="DT22" i="12"/>
  <c r="DQ22" i="12"/>
  <c r="DN22" i="12"/>
  <c r="DK22" i="12"/>
  <c r="DH22" i="12"/>
  <c r="DE22" i="12"/>
  <c r="DB22" i="12"/>
  <c r="CY22" i="12"/>
  <c r="CV22" i="12"/>
  <c r="CS22" i="12"/>
  <c r="CP22" i="12"/>
  <c r="CM22" i="12"/>
  <c r="CJ22" i="12"/>
  <c r="CG22" i="12"/>
  <c r="CD22" i="12"/>
  <c r="CA22" i="12"/>
  <c r="BX22" i="12"/>
  <c r="BU22" i="12"/>
  <c r="BR22" i="12"/>
  <c r="BO22" i="12"/>
  <c r="BL22" i="12"/>
  <c r="BI22" i="12"/>
  <c r="BF22" i="12"/>
  <c r="BC22" i="12"/>
  <c r="AZ22" i="12"/>
  <c r="AW22" i="12"/>
  <c r="AT22" i="12"/>
  <c r="AO22" i="12"/>
  <c r="AL22" i="12"/>
  <c r="AN22" i="12" s="1"/>
  <c r="AI22" i="12"/>
  <c r="AK22" i="12" s="1"/>
  <c r="AB22" i="12"/>
  <c r="Y22" i="12"/>
  <c r="V22" i="12"/>
  <c r="S22" i="12"/>
  <c r="P22" i="12"/>
  <c r="M22" i="12"/>
  <c r="J22" i="12"/>
  <c r="G22" i="12"/>
  <c r="D22" i="12"/>
  <c r="EL21" i="12"/>
  <c r="EK21" i="12"/>
  <c r="EG21" i="12"/>
  <c r="EI21" i="12" s="1"/>
  <c r="DW21" i="12"/>
  <c r="DT21" i="12"/>
  <c r="DQ21" i="12"/>
  <c r="EM21" i="12" s="1"/>
  <c r="DN21" i="12"/>
  <c r="DK21" i="12"/>
  <c r="DH21" i="12"/>
  <c r="DE21" i="12"/>
  <c r="DB21" i="12"/>
  <c r="CY21" i="12"/>
  <c r="CV21" i="12"/>
  <c r="CS21" i="12"/>
  <c r="CP21" i="12"/>
  <c r="CM21" i="12"/>
  <c r="CJ21" i="12"/>
  <c r="CG21" i="12"/>
  <c r="CD21" i="12"/>
  <c r="CA21" i="12"/>
  <c r="BX21" i="12"/>
  <c r="BU21" i="12"/>
  <c r="BR21" i="12"/>
  <c r="BO21" i="12"/>
  <c r="BL21" i="12"/>
  <c r="BI21" i="12"/>
  <c r="BF21" i="12"/>
  <c r="BC21" i="12"/>
  <c r="AZ21" i="12"/>
  <c r="AW21" i="12"/>
  <c r="AT21" i="12"/>
  <c r="AQ21" i="12"/>
  <c r="AO21" i="12"/>
  <c r="AN21" i="12"/>
  <c r="AL21" i="12"/>
  <c r="EB21" i="12" s="1"/>
  <c r="EC21" i="12" s="1"/>
  <c r="AK21" i="12"/>
  <c r="AI21" i="12"/>
  <c r="AB21" i="12"/>
  <c r="Y21" i="12"/>
  <c r="V21" i="12"/>
  <c r="EH21" i="12" s="1"/>
  <c r="S21" i="12"/>
  <c r="P21" i="12"/>
  <c r="M21" i="12"/>
  <c r="J21" i="12"/>
  <c r="G21" i="12"/>
  <c r="D21" i="12"/>
  <c r="ED21" i="12" s="1"/>
  <c r="EL20" i="12"/>
  <c r="EG20" i="12"/>
  <c r="EI20" i="12" s="1"/>
  <c r="EB20" i="12"/>
  <c r="DW20" i="12"/>
  <c r="DT20" i="12"/>
  <c r="DQ20" i="12"/>
  <c r="DN20" i="12"/>
  <c r="DK20" i="12"/>
  <c r="DH20" i="12"/>
  <c r="DE20" i="12"/>
  <c r="DB20" i="12"/>
  <c r="CY20" i="12"/>
  <c r="CV20" i="12"/>
  <c r="CS20" i="12"/>
  <c r="CP20" i="12"/>
  <c r="CM20" i="12"/>
  <c r="CJ20" i="12"/>
  <c r="CG20" i="12"/>
  <c r="CD20" i="12"/>
  <c r="CA20" i="12"/>
  <c r="BX20" i="12"/>
  <c r="BU20" i="12"/>
  <c r="BR20" i="12"/>
  <c r="BO20" i="12"/>
  <c r="BL20" i="12"/>
  <c r="BI20" i="12"/>
  <c r="BF20" i="12"/>
  <c r="BC20" i="12"/>
  <c r="AZ20" i="12"/>
  <c r="AW20" i="12"/>
  <c r="AT20" i="12"/>
  <c r="AO20" i="12"/>
  <c r="EK20" i="12" s="1"/>
  <c r="AL20" i="12"/>
  <c r="AN20" i="12" s="1"/>
  <c r="AI20" i="12"/>
  <c r="AK20" i="12" s="1"/>
  <c r="AB20" i="12"/>
  <c r="Y20" i="12"/>
  <c r="V20" i="12"/>
  <c r="S20" i="12"/>
  <c r="EH20" i="12" s="1"/>
  <c r="P20" i="12"/>
  <c r="M20" i="12"/>
  <c r="J20" i="12"/>
  <c r="G20" i="12"/>
  <c r="D20" i="12"/>
  <c r="EL19" i="12"/>
  <c r="EK19" i="12"/>
  <c r="EI19" i="12"/>
  <c r="EG19" i="12"/>
  <c r="DW19" i="12"/>
  <c r="DT19" i="12"/>
  <c r="DQ19" i="12"/>
  <c r="EM19" i="12" s="1"/>
  <c r="DN19" i="12"/>
  <c r="DK19" i="12"/>
  <c r="DH19" i="12"/>
  <c r="DE19" i="12"/>
  <c r="DB19" i="12"/>
  <c r="CY19" i="12"/>
  <c r="CV19" i="12"/>
  <c r="CS19" i="12"/>
  <c r="CP19" i="12"/>
  <c r="CM19" i="12"/>
  <c r="CJ19" i="12"/>
  <c r="CG19" i="12"/>
  <c r="CD19" i="12"/>
  <c r="CA19" i="12"/>
  <c r="BX19" i="12"/>
  <c r="BU19" i="12"/>
  <c r="BR19" i="12"/>
  <c r="BO19" i="12"/>
  <c r="BL19" i="12"/>
  <c r="BI19" i="12"/>
  <c r="BF19" i="12"/>
  <c r="BC19" i="12"/>
  <c r="AZ19" i="12"/>
  <c r="AW19" i="12"/>
  <c r="AT19" i="12"/>
  <c r="AQ19" i="12"/>
  <c r="AO19" i="12"/>
  <c r="AN19" i="12"/>
  <c r="AL19" i="12"/>
  <c r="EB19" i="12" s="1"/>
  <c r="AK19" i="12"/>
  <c r="AI19" i="12"/>
  <c r="AB19" i="12"/>
  <c r="Y19" i="12"/>
  <c r="V19" i="12"/>
  <c r="EH19" i="12" s="1"/>
  <c r="S19" i="12"/>
  <c r="P19" i="12"/>
  <c r="M19" i="12"/>
  <c r="J19" i="12"/>
  <c r="G19" i="12"/>
  <c r="D19" i="12"/>
  <c r="EL18" i="12"/>
  <c r="EI18" i="12"/>
  <c r="EG18" i="12"/>
  <c r="DW18" i="12"/>
  <c r="DT18" i="12"/>
  <c r="DQ18" i="12"/>
  <c r="DN18" i="12"/>
  <c r="DK18" i="12"/>
  <c r="DH18" i="12"/>
  <c r="DE18" i="12"/>
  <c r="DB18" i="12"/>
  <c r="CY18" i="12"/>
  <c r="CV18" i="12"/>
  <c r="CS18" i="12"/>
  <c r="CP18" i="12"/>
  <c r="CM18" i="12"/>
  <c r="CJ18" i="12"/>
  <c r="CG18" i="12"/>
  <c r="CD18" i="12"/>
  <c r="CA18" i="12"/>
  <c r="BX18" i="12"/>
  <c r="BU18" i="12"/>
  <c r="BR18" i="12"/>
  <c r="BO18" i="12"/>
  <c r="BL18" i="12"/>
  <c r="BI18" i="12"/>
  <c r="BF18" i="12"/>
  <c r="BC18" i="12"/>
  <c r="AZ18" i="12"/>
  <c r="AW18" i="12"/>
  <c r="AT18" i="12"/>
  <c r="AO18" i="12"/>
  <c r="AL18" i="12"/>
  <c r="AN18" i="12" s="1"/>
  <c r="AI18" i="12"/>
  <c r="AK18" i="12" s="1"/>
  <c r="AB18" i="12"/>
  <c r="Y18" i="12"/>
  <c r="V18" i="12"/>
  <c r="S18" i="12"/>
  <c r="EH18" i="12" s="1"/>
  <c r="P18" i="12"/>
  <c r="M18" i="12"/>
  <c r="J18" i="12"/>
  <c r="G18" i="12"/>
  <c r="D18" i="12"/>
  <c r="EL17" i="12"/>
  <c r="EK17" i="12"/>
  <c r="EG17" i="12"/>
  <c r="EI17" i="12" s="1"/>
  <c r="DW17" i="12"/>
  <c r="DT17" i="12"/>
  <c r="DQ17" i="12"/>
  <c r="DN17" i="12"/>
  <c r="DK17" i="12"/>
  <c r="DH17" i="12"/>
  <c r="DE17" i="12"/>
  <c r="DB17" i="12"/>
  <c r="CY17" i="12"/>
  <c r="CV17" i="12"/>
  <c r="CS17" i="12"/>
  <c r="CP17" i="12"/>
  <c r="CM17" i="12"/>
  <c r="CM43" i="12" s="1"/>
  <c r="CJ17" i="12"/>
  <c r="CG17" i="12"/>
  <c r="CD17" i="12"/>
  <c r="CA17" i="12"/>
  <c r="BX17" i="12"/>
  <c r="BU17" i="12"/>
  <c r="BR17" i="12"/>
  <c r="BO17" i="12"/>
  <c r="BL17" i="12"/>
  <c r="BI17" i="12"/>
  <c r="BF17" i="12"/>
  <c r="BC17" i="12"/>
  <c r="AZ17" i="12"/>
  <c r="AW17" i="12"/>
  <c r="AT17" i="12"/>
  <c r="AQ17" i="12"/>
  <c r="AO17" i="12"/>
  <c r="AN17" i="12"/>
  <c r="AL17" i="12"/>
  <c r="EB17" i="12" s="1"/>
  <c r="AK17" i="12"/>
  <c r="AI17" i="12"/>
  <c r="AB17" i="12"/>
  <c r="Y17" i="12"/>
  <c r="V17" i="12"/>
  <c r="S17" i="12"/>
  <c r="P17" i="12"/>
  <c r="M17" i="12"/>
  <c r="J17" i="12"/>
  <c r="G17" i="12"/>
  <c r="D17" i="12"/>
  <c r="ED17" i="12" s="1"/>
  <c r="EL16" i="12"/>
  <c r="EG16" i="12"/>
  <c r="EI16" i="12" s="1"/>
  <c r="DW16" i="12"/>
  <c r="DT16" i="12"/>
  <c r="DQ16" i="12"/>
  <c r="DN16" i="12"/>
  <c r="DK16" i="12"/>
  <c r="DH16" i="12"/>
  <c r="DE16" i="12"/>
  <c r="DB16" i="12"/>
  <c r="CY16" i="12"/>
  <c r="CV16" i="12"/>
  <c r="CS16" i="12"/>
  <c r="CP16" i="12"/>
  <c r="CM16" i="12"/>
  <c r="CJ16" i="12"/>
  <c r="CG16" i="12"/>
  <c r="CD16" i="12"/>
  <c r="CA16" i="12"/>
  <c r="BX16" i="12"/>
  <c r="BU16" i="12"/>
  <c r="BR16" i="12"/>
  <c r="BO16" i="12"/>
  <c r="BL16" i="12"/>
  <c r="BI16" i="12"/>
  <c r="BF16" i="12"/>
  <c r="BC16" i="12"/>
  <c r="AZ16" i="12"/>
  <c r="AW16" i="12"/>
  <c r="AT16" i="12"/>
  <c r="AO16" i="12"/>
  <c r="AL16" i="12"/>
  <c r="AN16" i="12" s="1"/>
  <c r="AI16" i="12"/>
  <c r="AK16" i="12" s="1"/>
  <c r="AB16" i="12"/>
  <c r="Y16" i="12"/>
  <c r="V16" i="12"/>
  <c r="S16" i="12"/>
  <c r="EH16" i="12" s="1"/>
  <c r="P16" i="12"/>
  <c r="M16" i="12"/>
  <c r="J16" i="12"/>
  <c r="G16" i="12"/>
  <c r="D16" i="12"/>
  <c r="EM15" i="12"/>
  <c r="EL15" i="12"/>
  <c r="EK15" i="12"/>
  <c r="EN15" i="12" s="1"/>
  <c r="EI15" i="12"/>
  <c r="EH15" i="12"/>
  <c r="EG15" i="12"/>
  <c r="DW15" i="12"/>
  <c r="DT15" i="12"/>
  <c r="DQ15" i="12"/>
  <c r="DN15" i="12"/>
  <c r="DK15" i="12"/>
  <c r="DH15" i="12"/>
  <c r="DE15" i="12"/>
  <c r="DB15" i="12"/>
  <c r="CY15" i="12"/>
  <c r="CV15" i="12"/>
  <c r="CS15" i="12"/>
  <c r="CP15" i="12"/>
  <c r="CM15" i="12"/>
  <c r="CJ15" i="12"/>
  <c r="CG15" i="12"/>
  <c r="CD15" i="12"/>
  <c r="CA15" i="12"/>
  <c r="BX15" i="12"/>
  <c r="BU15" i="12"/>
  <c r="BR15" i="12"/>
  <c r="BO15" i="12"/>
  <c r="BL15" i="12"/>
  <c r="BI15" i="12"/>
  <c r="BF15" i="12"/>
  <c r="BC15" i="12"/>
  <c r="AZ15" i="12"/>
  <c r="AW15" i="12"/>
  <c r="AT15" i="12"/>
  <c r="AQ15" i="12"/>
  <c r="AO15" i="12"/>
  <c r="AN15" i="12"/>
  <c r="AL15" i="12"/>
  <c r="EB15" i="12" s="1"/>
  <c r="EC15" i="12" s="1"/>
  <c r="AK15" i="12"/>
  <c r="AI15" i="12"/>
  <c r="AB15" i="12"/>
  <c r="Y15" i="12"/>
  <c r="V15" i="12"/>
  <c r="S15" i="12"/>
  <c r="P15" i="12"/>
  <c r="M15" i="12"/>
  <c r="J15" i="12"/>
  <c r="G15" i="12"/>
  <c r="D15" i="12"/>
  <c r="ED15" i="12" s="1"/>
  <c r="EL14" i="12"/>
  <c r="EI14" i="12"/>
  <c r="EG14" i="12"/>
  <c r="EB14" i="12"/>
  <c r="DW14" i="12"/>
  <c r="DT14" i="12"/>
  <c r="EM14" i="12" s="1"/>
  <c r="DQ14" i="12"/>
  <c r="DN14" i="12"/>
  <c r="DK14" i="12"/>
  <c r="DH14" i="12"/>
  <c r="DE14" i="12"/>
  <c r="DB14" i="12"/>
  <c r="CY14" i="12"/>
  <c r="CV14" i="12"/>
  <c r="CS14" i="12"/>
  <c r="CP14" i="12"/>
  <c r="CM14" i="12"/>
  <c r="CJ14" i="12"/>
  <c r="CG14" i="12"/>
  <c r="CD14" i="12"/>
  <c r="CA14" i="12"/>
  <c r="BX14" i="12"/>
  <c r="BU14" i="12"/>
  <c r="BR14" i="12"/>
  <c r="BO14" i="12"/>
  <c r="BL14" i="12"/>
  <c r="BI14" i="12"/>
  <c r="BF14" i="12"/>
  <c r="BC14" i="12"/>
  <c r="AZ14" i="12"/>
  <c r="AW14" i="12"/>
  <c r="AT14" i="12"/>
  <c r="AQ14" i="12"/>
  <c r="AN14" i="12"/>
  <c r="AL14" i="12"/>
  <c r="AK14" i="12"/>
  <c r="AI14" i="12"/>
  <c r="EK14" i="12" s="1"/>
  <c r="EN14" i="12" s="1"/>
  <c r="AB14" i="12"/>
  <c r="Y14" i="12"/>
  <c r="V14" i="12"/>
  <c r="S14" i="12"/>
  <c r="P14" i="12"/>
  <c r="M14" i="12"/>
  <c r="J14" i="12"/>
  <c r="ED14" i="12" s="1"/>
  <c r="G14" i="12"/>
  <c r="D14" i="12"/>
  <c r="EL13" i="12"/>
  <c r="EI13" i="12"/>
  <c r="EG13" i="12"/>
  <c r="ED13" i="12"/>
  <c r="EB13" i="12"/>
  <c r="EC13" i="12" s="1"/>
  <c r="DW13" i="12"/>
  <c r="DT13" i="12"/>
  <c r="DQ13" i="12"/>
  <c r="DN13" i="12"/>
  <c r="DK13" i="12"/>
  <c r="DH13" i="12"/>
  <c r="DE13" i="12"/>
  <c r="DB13" i="12"/>
  <c r="CY13" i="12"/>
  <c r="CV13" i="12"/>
  <c r="CS13" i="12"/>
  <c r="CP13" i="12"/>
  <c r="CM13" i="12"/>
  <c r="CJ13" i="12"/>
  <c r="CG13" i="12"/>
  <c r="CD13" i="12"/>
  <c r="CA13" i="12"/>
  <c r="BX13" i="12"/>
  <c r="BU13" i="12"/>
  <c r="BR13" i="12"/>
  <c r="BO13" i="12"/>
  <c r="BL13" i="12"/>
  <c r="BI13" i="12"/>
  <c r="BF13" i="12"/>
  <c r="BC13" i="12"/>
  <c r="AZ13" i="12"/>
  <c r="AW13" i="12"/>
  <c r="AT13" i="12"/>
  <c r="AQ13" i="12"/>
  <c r="AN13" i="12"/>
  <c r="AL13" i="12"/>
  <c r="AK13" i="12"/>
  <c r="AI13" i="12"/>
  <c r="EK13" i="12" s="1"/>
  <c r="AB13" i="12"/>
  <c r="Y13" i="12"/>
  <c r="V13" i="12"/>
  <c r="S13" i="12"/>
  <c r="EH13" i="12" s="1"/>
  <c r="P13" i="12"/>
  <c r="M13" i="12"/>
  <c r="J13" i="12"/>
  <c r="G13" i="12"/>
  <c r="D13" i="12"/>
  <c r="A13" i="12"/>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EL12" i="12"/>
  <c r="EI12" i="12"/>
  <c r="EG12" i="12"/>
  <c r="EB12" i="12"/>
  <c r="DW12" i="12"/>
  <c r="DW43" i="12" s="1"/>
  <c r="DT12" i="12"/>
  <c r="DQ12" i="12"/>
  <c r="DN12" i="12"/>
  <c r="DK12" i="12"/>
  <c r="DK43" i="12" s="1"/>
  <c r="DH12" i="12"/>
  <c r="DE12" i="12"/>
  <c r="DB12" i="12"/>
  <c r="CY12" i="12"/>
  <c r="CY43" i="12" s="1"/>
  <c r="CV12" i="12"/>
  <c r="CS12" i="12"/>
  <c r="CP12" i="12"/>
  <c r="CM12" i="12"/>
  <c r="CJ12" i="12"/>
  <c r="CG12" i="12"/>
  <c r="CD12" i="12"/>
  <c r="CA12" i="12"/>
  <c r="CA43" i="12" s="1"/>
  <c r="BX12" i="12"/>
  <c r="BU12" i="12"/>
  <c r="BR12" i="12"/>
  <c r="BO12" i="12"/>
  <c r="BO43" i="12" s="1"/>
  <c r="BL12" i="12"/>
  <c r="BI12" i="12"/>
  <c r="BF12" i="12"/>
  <c r="BC12" i="12"/>
  <c r="BC43" i="12" s="1"/>
  <c r="AZ12" i="12"/>
  <c r="AW12" i="12"/>
  <c r="AT12" i="12"/>
  <c r="AQ12" i="12"/>
  <c r="AN12" i="12"/>
  <c r="AL12" i="12"/>
  <c r="AK12" i="12"/>
  <c r="AI12" i="12"/>
  <c r="EK12" i="12" s="1"/>
  <c r="AB12" i="12"/>
  <c r="Y12" i="12"/>
  <c r="V12" i="12"/>
  <c r="S12" i="12"/>
  <c r="P12" i="12"/>
  <c r="P43" i="12" s="1"/>
  <c r="M12" i="12"/>
  <c r="J12" i="12"/>
  <c r="G12" i="12"/>
  <c r="D12" i="12"/>
  <c r="D43" i="12" s="1"/>
  <c r="EI6" i="12"/>
  <c r="EI3" i="12"/>
  <c r="EI5" i="12" s="1"/>
  <c r="EN2" i="12"/>
  <c r="EP2" i="12" s="1"/>
  <c r="EI2" i="12"/>
  <c r="EE2" i="12"/>
  <c r="EQ2" i="12" s="1"/>
  <c r="G5" i="12" s="1"/>
  <c r="EK18" i="12" l="1"/>
  <c r="AQ18" i="12"/>
  <c r="ED18" i="12" s="1"/>
  <c r="EE20" i="12"/>
  <c r="EC20" i="12"/>
  <c r="EE21" i="12"/>
  <c r="ED39" i="12"/>
  <c r="EE39" i="12" s="1"/>
  <c r="EE23" i="12"/>
  <c r="EC23" i="12"/>
  <c r="EM24" i="12"/>
  <c r="EM32" i="12"/>
  <c r="ED35" i="12"/>
  <c r="EC12" i="12"/>
  <c r="EE15" i="12"/>
  <c r="EK16" i="12"/>
  <c r="G43" i="12"/>
  <c r="EH12" i="12"/>
  <c r="AE43" i="12"/>
  <c r="ED12" i="12"/>
  <c r="EM13" i="12"/>
  <c r="EN13" i="12" s="1"/>
  <c r="EC14" i="12"/>
  <c r="EB16" i="12"/>
  <c r="EC17" i="12"/>
  <c r="EE17" i="12"/>
  <c r="ED19" i="12"/>
  <c r="EE19" i="12" s="1"/>
  <c r="EM20" i="12"/>
  <c r="EN20" i="12" s="1"/>
  <c r="EN21" i="12"/>
  <c r="EH22" i="12"/>
  <c r="EK22" i="12"/>
  <c r="AQ22" i="12"/>
  <c r="EM22" i="12" s="1"/>
  <c r="EK25" i="12"/>
  <c r="AT25" i="12"/>
  <c r="ED29" i="12"/>
  <c r="EE29" i="12" s="1"/>
  <c r="EM16" i="12"/>
  <c r="J43" i="12"/>
  <c r="V43" i="12"/>
  <c r="AH43" i="12"/>
  <c r="AZ43" i="12"/>
  <c r="BL43" i="12"/>
  <c r="BX43" i="12"/>
  <c r="CJ43" i="12"/>
  <c r="CV43" i="12"/>
  <c r="DH43" i="12"/>
  <c r="DT43" i="12"/>
  <c r="EM12" i="12"/>
  <c r="EH14" i="12"/>
  <c r="EH17" i="12"/>
  <c r="EM17" i="12"/>
  <c r="EN17" i="12" s="1"/>
  <c r="EM18" i="12"/>
  <c r="EC19" i="12"/>
  <c r="EN19" i="12"/>
  <c r="ED20" i="12"/>
  <c r="EB25" i="12"/>
  <c r="AN25" i="12"/>
  <c r="EM40" i="12"/>
  <c r="EN40" i="12" s="1"/>
  <c r="EM42" i="12"/>
  <c r="M43" i="12"/>
  <c r="Y43" i="12"/>
  <c r="EE13" i="12"/>
  <c r="EE14" i="12"/>
  <c r="EK24" i="12"/>
  <c r="AQ24" i="12"/>
  <c r="ED24" i="12" s="1"/>
  <c r="EN30" i="12"/>
  <c r="EN32" i="12"/>
  <c r="EN38" i="12"/>
  <c r="EN42" i="12"/>
  <c r="AB43" i="12"/>
  <c r="AT43" i="12"/>
  <c r="BR43" i="12"/>
  <c r="CD43" i="12"/>
  <c r="CP43" i="12"/>
  <c r="DB43" i="12"/>
  <c r="DN43" i="12"/>
  <c r="EB22" i="12"/>
  <c r="EB24" i="12"/>
  <c r="ED27" i="12"/>
  <c r="ED28" i="12"/>
  <c r="EE28" i="12"/>
  <c r="EC28" i="12"/>
  <c r="EC29" i="12"/>
  <c r="ED30" i="12"/>
  <c r="EE30" i="12"/>
  <c r="EC30" i="12"/>
  <c r="ED32" i="12"/>
  <c r="EE32" i="12"/>
  <c r="EC32" i="12"/>
  <c r="ED34" i="12"/>
  <c r="EE34" i="12" s="1"/>
  <c r="EC34" i="12"/>
  <c r="EE35" i="12"/>
  <c r="ED36" i="12"/>
  <c r="EE36" i="12"/>
  <c r="EC36" i="12"/>
  <c r="EC37" i="12"/>
  <c r="ED38" i="12"/>
  <c r="EE38" i="12"/>
  <c r="EC38" i="12"/>
  <c r="ED40" i="12"/>
  <c r="EE40" i="12"/>
  <c r="EC40" i="12"/>
  <c r="ED42" i="12"/>
  <c r="EE42" i="12" s="1"/>
  <c r="EC42" i="12"/>
  <c r="S43" i="12"/>
  <c r="AK43" i="12"/>
  <c r="BF43" i="12"/>
  <c r="EB18" i="12"/>
  <c r="AW43" i="12"/>
  <c r="BI43" i="12"/>
  <c r="BU43" i="12"/>
  <c r="CG43" i="12"/>
  <c r="CS43" i="12"/>
  <c r="DE43" i="12"/>
  <c r="DQ43" i="12"/>
  <c r="AQ16" i="12"/>
  <c r="ED16" i="12" s="1"/>
  <c r="AQ20" i="12"/>
  <c r="ED25" i="12"/>
  <c r="EM25" i="12"/>
  <c r="EH26" i="12"/>
  <c r="EB26" i="12"/>
  <c r="EM26" i="12"/>
  <c r="EB27" i="12"/>
  <c r="AQ27" i="12"/>
  <c r="EM27" i="12" s="1"/>
  <c r="EN27" i="12" s="1"/>
  <c r="EM28" i="12"/>
  <c r="EN28" i="12" s="1"/>
  <c r="EM29" i="12"/>
  <c r="EH30" i="12"/>
  <c r="EM30" i="12"/>
  <c r="EH32" i="12"/>
  <c r="EH34" i="12"/>
  <c r="EM34" i="12"/>
  <c r="EN34" i="12" s="1"/>
  <c r="EM35" i="12"/>
  <c r="EH36" i="12"/>
  <c r="EM36" i="12"/>
  <c r="EN36" i="12" s="1"/>
  <c r="EH38" i="12"/>
  <c r="EM38" i="12"/>
  <c r="EH40" i="12"/>
  <c r="EH42" i="12"/>
  <c r="EK26" i="12"/>
  <c r="EK29" i="12"/>
  <c r="EK31" i="12"/>
  <c r="EK33" i="12"/>
  <c r="EC33" i="12" s="1"/>
  <c r="EK35" i="12"/>
  <c r="EC35" i="12" s="1"/>
  <c r="EK37" i="12"/>
  <c r="EK39" i="12"/>
  <c r="EK41" i="12"/>
  <c r="EC41" i="12" s="1"/>
  <c r="AN29" i="12"/>
  <c r="AN31" i="12"/>
  <c r="ED31" i="12" s="1"/>
  <c r="EE31" i="12" s="1"/>
  <c r="AN33" i="12"/>
  <c r="ED33" i="12" s="1"/>
  <c r="EE33" i="12" s="1"/>
  <c r="AN35" i="12"/>
  <c r="AN37" i="12"/>
  <c r="ED37" i="12" s="1"/>
  <c r="EE37" i="12" s="1"/>
  <c r="AN39" i="12"/>
  <c r="EM39" i="12" s="1"/>
  <c r="AN41" i="12"/>
  <c r="EM41" i="12" s="1"/>
  <c r="AN43" i="12" l="1"/>
  <c r="EE16" i="12"/>
  <c r="EC16" i="12"/>
  <c r="EN16" i="12"/>
  <c r="EN37" i="12"/>
  <c r="EN29" i="12"/>
  <c r="EM37" i="12"/>
  <c r="EM31" i="12"/>
  <c r="EN31" i="12" s="1"/>
  <c r="EC26" i="12"/>
  <c r="EE26" i="12"/>
  <c r="EE24" i="12"/>
  <c r="EC24" i="12"/>
  <c r="EE6" i="12"/>
  <c r="G8" i="12" s="1"/>
  <c r="ED41" i="12"/>
  <c r="EE41" i="12" s="1"/>
  <c r="EN22" i="12"/>
  <c r="ED22" i="12"/>
  <c r="ED43" i="12" s="1"/>
  <c r="EN39" i="12"/>
  <c r="EN6" i="12"/>
  <c r="EN35" i="12"/>
  <c r="EN26" i="12"/>
  <c r="AQ43" i="12"/>
  <c r="EC18" i="12"/>
  <c r="EE18" i="12"/>
  <c r="EC22" i="12"/>
  <c r="EE22" i="12"/>
  <c r="EE12" i="12"/>
  <c r="EE3" i="12"/>
  <c r="EC25" i="12"/>
  <c r="EE25" i="12"/>
  <c r="EH43" i="12"/>
  <c r="EN18" i="12"/>
  <c r="EN41" i="12"/>
  <c r="EN33" i="12"/>
  <c r="EM33" i="12"/>
  <c r="EE27" i="12"/>
  <c r="EC27" i="12"/>
  <c r="EC39" i="12"/>
  <c r="EC31" i="12"/>
  <c r="EN24" i="12"/>
  <c r="EN25" i="12"/>
  <c r="EN12" i="12"/>
  <c r="EN3" i="12"/>
  <c r="EE5" i="12" l="1"/>
  <c r="G7" i="12" s="1"/>
  <c r="G6" i="12"/>
  <c r="EM43" i="12"/>
  <c r="EN5" i="12"/>
  <c r="C24" i="2" l="1"/>
  <c r="I30" i="11"/>
  <c r="J4" i="11" s="1"/>
  <c r="I29" i="11"/>
  <c r="H29" i="11"/>
  <c r="C29" i="11"/>
  <c r="F28" i="11"/>
  <c r="D28" i="11"/>
  <c r="F27" i="11"/>
  <c r="E27" i="11"/>
  <c r="D27" i="11"/>
  <c r="J26" i="11"/>
  <c r="L26" i="11" s="1"/>
  <c r="F26" i="11"/>
  <c r="E26" i="11"/>
  <c r="D26" i="11"/>
  <c r="J25" i="11"/>
  <c r="L25" i="11" s="1"/>
  <c r="F25" i="11"/>
  <c r="E25" i="11"/>
  <c r="D25" i="11"/>
  <c r="L24" i="11"/>
  <c r="E24" i="11"/>
  <c r="F24" i="11" s="1"/>
  <c r="D24" i="11"/>
  <c r="E23" i="11"/>
  <c r="F23" i="11" s="1"/>
  <c r="D23" i="11"/>
  <c r="M22" i="11"/>
  <c r="L22" i="11"/>
  <c r="N22" i="11" s="1"/>
  <c r="K22" i="11"/>
  <c r="K23" i="11" s="1"/>
  <c r="J22" i="11"/>
  <c r="J23" i="11" s="1"/>
  <c r="L23" i="11" s="1"/>
  <c r="E22" i="11"/>
  <c r="F22" i="11" s="1"/>
  <c r="F29" i="11" s="1"/>
  <c r="F30" i="11" s="1"/>
  <c r="D22" i="11"/>
  <c r="M21" i="11"/>
  <c r="L21" i="11"/>
  <c r="F21" i="11"/>
  <c r="E21" i="11"/>
  <c r="E29" i="11" s="1"/>
  <c r="D21" i="11"/>
  <c r="D29" i="11" s="1"/>
  <c r="D30" i="11" s="1"/>
  <c r="D16" i="11"/>
  <c r="C16" i="11"/>
  <c r="D17" i="11" s="1"/>
  <c r="F15" i="11"/>
  <c r="F14" i="11"/>
  <c r="E14" i="11"/>
  <c r="F13" i="11"/>
  <c r="E13" i="11"/>
  <c r="E12" i="11"/>
  <c r="F12" i="11" s="1"/>
  <c r="E11" i="11"/>
  <c r="F11" i="11" s="1"/>
  <c r="F10" i="11"/>
  <c r="E10" i="11"/>
  <c r="F9" i="11"/>
  <c r="E9" i="11"/>
  <c r="J8" i="11"/>
  <c r="E8" i="11"/>
  <c r="E16" i="11" s="1"/>
  <c r="K24" i="11" l="1"/>
  <c r="M23" i="11"/>
  <c r="F8" i="11"/>
  <c r="F16" i="11" s="1"/>
  <c r="F17" i="11" s="1"/>
  <c r="F3" i="11" s="1"/>
  <c r="J27" i="11"/>
  <c r="N21" i="11"/>
  <c r="J9" i="11" l="1"/>
  <c r="J11" i="11" s="1"/>
  <c r="J10" i="11"/>
  <c r="L27" i="11"/>
  <c r="J28" i="11"/>
  <c r="L28" i="11" s="1"/>
  <c r="K25" i="11"/>
  <c r="M24" i="11"/>
  <c r="N24" i="11" s="1"/>
  <c r="N23" i="11"/>
  <c r="L29" i="11" l="1"/>
  <c r="K26" i="11"/>
  <c r="M25" i="11"/>
  <c r="N25" i="11" s="1"/>
  <c r="L30" i="11" l="1"/>
  <c r="J12" i="11" s="1"/>
  <c r="J16" i="11" s="1"/>
  <c r="K27" i="11"/>
  <c r="M26" i="11"/>
  <c r="N26" i="11" s="1"/>
  <c r="M27" i="11" l="1"/>
  <c r="K28" i="11"/>
  <c r="M28" i="11" s="1"/>
  <c r="N28" i="11" s="1"/>
  <c r="N27" i="11" l="1"/>
  <c r="N29" i="11" s="1"/>
  <c r="N30" i="11" s="1"/>
  <c r="J3" i="11" s="1"/>
  <c r="J6" i="11" s="1"/>
  <c r="M29" i="11"/>
  <c r="M30" i="11" l="1"/>
  <c r="J13" i="11" s="1"/>
  <c r="J17" i="11" s="1"/>
  <c r="J5" i="11"/>
  <c r="C18" i="2" l="1"/>
  <c r="N27" i="4" l="1"/>
  <c r="M27" i="4"/>
  <c r="L27" i="4"/>
  <c r="K27" i="4"/>
  <c r="J27" i="4"/>
  <c r="I27" i="4"/>
  <c r="N24" i="4"/>
  <c r="M24" i="4"/>
  <c r="L24" i="4"/>
  <c r="K24" i="4"/>
  <c r="J24" i="4"/>
  <c r="I24" i="4"/>
  <c r="N20" i="4"/>
  <c r="M20" i="4"/>
  <c r="L20" i="4"/>
  <c r="L25" i="4" s="1"/>
  <c r="K20" i="4"/>
  <c r="J20" i="4"/>
  <c r="I20" i="4"/>
  <c r="B9" i="9"/>
  <c r="C9" i="9" s="1"/>
  <c r="C10" i="9" s="1"/>
  <c r="C14" i="2" s="1"/>
  <c r="C8" i="9"/>
  <c r="B8" i="9"/>
  <c r="I25" i="4" l="1"/>
  <c r="M25" i="4"/>
  <c r="K25" i="4"/>
  <c r="J25" i="4"/>
  <c r="N25" i="4"/>
  <c r="H24" i="4"/>
  <c r="G24" i="4"/>
  <c r="F24" i="4"/>
  <c r="E24" i="4"/>
  <c r="D24" i="4"/>
  <c r="C24" i="4"/>
  <c r="B24" i="4"/>
  <c r="C10" i="2" s="1"/>
  <c r="H20" i="4" l="1"/>
  <c r="H25" i="4" s="1"/>
  <c r="G20" i="4"/>
  <c r="G25" i="4" s="1"/>
  <c r="F20" i="4"/>
  <c r="F25" i="4" s="1"/>
  <c r="E20" i="4"/>
  <c r="E25" i="4" s="1"/>
  <c r="D20" i="4"/>
  <c r="D25" i="4" s="1"/>
  <c r="C20" i="4"/>
  <c r="C25" i="4" s="1"/>
  <c r="B20" i="4"/>
  <c r="B25" i="4" l="1"/>
  <c r="B28" i="4" s="1"/>
  <c r="C9" i="2"/>
  <c r="B30" i="4"/>
  <c r="C28" i="4" l="1"/>
  <c r="C30" i="4" l="1"/>
  <c r="C11" i="2"/>
  <c r="D28" i="4" l="1"/>
  <c r="D30" i="4" l="1"/>
  <c r="E28" i="4"/>
  <c r="E30" i="4" s="1"/>
  <c r="F28" i="4" l="1"/>
  <c r="F30" i="4" l="1"/>
  <c r="G28" i="4" s="1"/>
  <c r="G30" i="4" l="1"/>
  <c r="H28" i="4" l="1"/>
  <c r="H30" i="4" l="1"/>
  <c r="I28" i="4" s="1"/>
  <c r="I30" i="4" s="1"/>
  <c r="J28" i="4" s="1"/>
  <c r="J30" i="4" s="1"/>
  <c r="K28" i="4" s="1"/>
  <c r="K30" i="4" s="1"/>
  <c r="L28" i="4" s="1"/>
  <c r="L30" i="4" s="1"/>
  <c r="M28" i="4" s="1"/>
  <c r="M30" i="4" s="1"/>
  <c r="N28" i="4" s="1"/>
  <c r="N30" i="4" l="1"/>
  <c r="C12" i="2"/>
  <c r="C13" i="2" s="1"/>
  <c r="D13" i="2" s="1"/>
  <c r="C17" i="2" l="1"/>
  <c r="C25" i="2" s="1"/>
  <c r="C19" i="2" s="1"/>
  <c r="C20" i="2" s="1"/>
  <c r="C22" i="2" s="1"/>
</calcChain>
</file>

<file path=xl/sharedStrings.xml><?xml version="1.0" encoding="utf-8"?>
<sst xmlns="http://schemas.openxmlformats.org/spreadsheetml/2006/main" count="2081" uniqueCount="338">
  <si>
    <t>Ameren Missouri</t>
  </si>
  <si>
    <t>RESRAM Monthly Accounting</t>
  </si>
  <si>
    <t>Accumulation Period 1</t>
  </si>
  <si>
    <t>557BLH - Wind REC Costs</t>
  </si>
  <si>
    <t>557CSR - Solar REC Costs</t>
  </si>
  <si>
    <t>547004 - Landfill-Gas Fuel Costs</t>
  </si>
  <si>
    <t>557H20 - Hydro REC Costs</t>
  </si>
  <si>
    <t>557PSR - Non Customer Solar REC Costs</t>
  </si>
  <si>
    <t>557SRP - Solar Rebate Processing Costs</t>
  </si>
  <si>
    <t>908SR2 - Rider SR Solar Rebates</t>
  </si>
  <si>
    <t>409 - 411 - Production Tax Credit Benefit</t>
  </si>
  <si>
    <t>447 &amp; 555 - Net OSSR/Purchased Power portion (5%)</t>
  </si>
  <si>
    <t>Return on Plant Assets</t>
  </si>
  <si>
    <t>Depreciation Expense</t>
  </si>
  <si>
    <t>Operations and Maintenance Expense</t>
  </si>
  <si>
    <t>Property Taxes</t>
  </si>
  <si>
    <t>ARC Total</t>
  </si>
  <si>
    <t>Monthly Under/(Over) - RCR-ARC</t>
  </si>
  <si>
    <t>Interest %</t>
  </si>
  <si>
    <t>Interest Revenue (Expense)</t>
  </si>
  <si>
    <t>ROUR - Under/(Over) with Interest</t>
  </si>
  <si>
    <t>Rider RESRAM</t>
  </si>
  <si>
    <t>Actual RES Costs Incurred in Accumulation Period (Actual RES Costs)</t>
  </si>
  <si>
    <t>RES Expenses Recovered in Accumulation Period (RES Costs Recovered)</t>
  </si>
  <si>
    <t>RES Over/Under Recovery</t>
  </si>
  <si>
    <t>Interest</t>
  </si>
  <si>
    <t>(Over)/Under Recovered Costs</t>
  </si>
  <si>
    <t>RES Revenue Requirement</t>
  </si>
  <si>
    <t>True-Up</t>
  </si>
  <si>
    <t>Ordered Adjustment</t>
  </si>
  <si>
    <t>Required Offset Amount</t>
  </si>
  <si>
    <t>RESRAM Rate</t>
  </si>
  <si>
    <t>check</t>
  </si>
  <si>
    <t>Final RESRAM Rate</t>
  </si>
  <si>
    <t>5570BM - Biomass REC Costs</t>
  </si>
  <si>
    <t>Actual RES Costs (ARC)</t>
  </si>
  <si>
    <t>RESRAM Base Amount (RBA)</t>
  </si>
  <si>
    <t>Monthly Base Amount (MBA)</t>
  </si>
  <si>
    <t>RCR (RES Costs Recovered)</t>
  </si>
  <si>
    <t>January 2019 - July 2019</t>
  </si>
  <si>
    <t>Rate Calcuation for Recovery Period 1</t>
  </si>
  <si>
    <t>RESRAM Revenue Requirement (RRR) for Recovery Period 1</t>
  </si>
  <si>
    <t>REC Costs</t>
  </si>
  <si>
    <t>7 months</t>
  </si>
  <si>
    <t>Annualized</t>
  </si>
  <si>
    <t>Solar Rebates</t>
  </si>
  <si>
    <t>A</t>
  </si>
  <si>
    <t>RRR for RP 1</t>
  </si>
  <si>
    <t>ACTUAL RESULTS</t>
  </si>
  <si>
    <t>FORECAST FOR INTEREST</t>
  </si>
  <si>
    <t>Note that per Rider SR, Ameren Missouri has committed to make rebate payments of $5.6M in 2020, so an annualized figure for RRR of $10.5M is not an accurate representation of the anticipated expense.  Therefore we propose to use the actual costs from AP1, as any carryover of unspent 2019 rebate commitments may also be paid in 2020.</t>
  </si>
  <si>
    <t>Row_ID</t>
  </si>
  <si>
    <t>Dt</t>
  </si>
  <si>
    <t>Year</t>
  </si>
  <si>
    <t>Month</t>
  </si>
  <si>
    <t>RES</t>
  </si>
  <si>
    <t>COMSGS</t>
  </si>
  <si>
    <t>COMLGS</t>
  </si>
  <si>
    <t>COMSPS</t>
  </si>
  <si>
    <t>COMLPS</t>
  </si>
  <si>
    <t>INDSGS</t>
  </si>
  <si>
    <t>INDLGS</t>
  </si>
  <si>
    <t>INDSPS</t>
  </si>
  <si>
    <t>INDLPS</t>
  </si>
  <si>
    <t>LIGHTING</t>
  </si>
  <si>
    <t>TOTAL Retail</t>
  </si>
  <si>
    <t>20191</t>
  </si>
  <si>
    <t>20192</t>
  </si>
  <si>
    <t>20193</t>
  </si>
  <si>
    <t>20194</t>
  </si>
  <si>
    <t>20195</t>
  </si>
  <si>
    <t>20196</t>
  </si>
  <si>
    <t>20197</t>
  </si>
  <si>
    <t>20198</t>
  </si>
  <si>
    <t>20199</t>
  </si>
  <si>
    <t>201910</t>
  </si>
  <si>
    <t>201911</t>
  </si>
  <si>
    <t>201912</t>
  </si>
  <si>
    <t>20201</t>
  </si>
  <si>
    <t>20202</t>
  </si>
  <si>
    <t>20203</t>
  </si>
  <si>
    <t>20204</t>
  </si>
  <si>
    <t>20205</t>
  </si>
  <si>
    <t>20206</t>
  </si>
  <si>
    <t>20207</t>
  </si>
  <si>
    <t>20208</t>
  </si>
  <si>
    <t>20209</t>
  </si>
  <si>
    <t>202010</t>
  </si>
  <si>
    <t>202011</t>
  </si>
  <si>
    <t>202012</t>
  </si>
  <si>
    <t>20211</t>
  </si>
  <si>
    <t>20212</t>
  </si>
  <si>
    <t>20213</t>
  </si>
  <si>
    <t>20214</t>
  </si>
  <si>
    <t>20215</t>
  </si>
  <si>
    <t>20216</t>
  </si>
  <si>
    <t>20217</t>
  </si>
  <si>
    <t>20218</t>
  </si>
  <si>
    <t>20219</t>
  </si>
  <si>
    <t>202110</t>
  </si>
  <si>
    <t>202111</t>
  </si>
  <si>
    <t>202112</t>
  </si>
  <si>
    <t>20221</t>
  </si>
  <si>
    <t>20222</t>
  </si>
  <si>
    <t>20223</t>
  </si>
  <si>
    <t>20224</t>
  </si>
  <si>
    <t>20225</t>
  </si>
  <si>
    <t>20226</t>
  </si>
  <si>
    <t>20227</t>
  </si>
  <si>
    <t>20228</t>
  </si>
  <si>
    <t>20229</t>
  </si>
  <si>
    <t>202210</t>
  </si>
  <si>
    <t>202211</t>
  </si>
  <si>
    <t>202212</t>
  </si>
  <si>
    <t>20231</t>
  </si>
  <si>
    <t>20232</t>
  </si>
  <si>
    <t>20233</t>
  </si>
  <si>
    <t>20234</t>
  </si>
  <si>
    <t>20235</t>
  </si>
  <si>
    <t>20236</t>
  </si>
  <si>
    <t>20237</t>
  </si>
  <si>
    <t>20238</t>
  </si>
  <si>
    <t>20239</t>
  </si>
  <si>
    <t>202310</t>
  </si>
  <si>
    <t>202311</t>
  </si>
  <si>
    <t>202312</t>
  </si>
  <si>
    <t>20241</t>
  </si>
  <si>
    <t>20242</t>
  </si>
  <si>
    <t>20243</t>
  </si>
  <si>
    <t>20244</t>
  </si>
  <si>
    <t>20245</t>
  </si>
  <si>
    <t>20246</t>
  </si>
  <si>
    <t>20247</t>
  </si>
  <si>
    <t>20248</t>
  </si>
  <si>
    <t>20249</t>
  </si>
  <si>
    <t>202410</t>
  </si>
  <si>
    <t>202411</t>
  </si>
  <si>
    <t>202412</t>
  </si>
  <si>
    <t>20251</t>
  </si>
  <si>
    <t>20252</t>
  </si>
  <si>
    <t>20253</t>
  </si>
  <si>
    <t>20254</t>
  </si>
  <si>
    <t>20255</t>
  </si>
  <si>
    <t>20256</t>
  </si>
  <si>
    <t>20257</t>
  </si>
  <si>
    <t>20258</t>
  </si>
  <si>
    <t>20259</t>
  </si>
  <si>
    <t>202510</t>
  </si>
  <si>
    <t>202511</t>
  </si>
  <si>
    <t>202512</t>
  </si>
  <si>
    <t>20261</t>
  </si>
  <si>
    <t>20262</t>
  </si>
  <si>
    <t>20263</t>
  </si>
  <si>
    <t>20264</t>
  </si>
  <si>
    <t>20265</t>
  </si>
  <si>
    <t>20266</t>
  </si>
  <si>
    <t>20267</t>
  </si>
  <si>
    <t>20268</t>
  </si>
  <si>
    <t>20269</t>
  </si>
  <si>
    <t>202610</t>
  </si>
  <si>
    <t>202611</t>
  </si>
  <si>
    <t>202612</t>
  </si>
  <si>
    <t>20271</t>
  </si>
  <si>
    <t>20272</t>
  </si>
  <si>
    <t>20273</t>
  </si>
  <si>
    <t>20274</t>
  </si>
  <si>
    <t>20275</t>
  </si>
  <si>
    <t>20276</t>
  </si>
  <si>
    <t>20277</t>
  </si>
  <si>
    <t>20278</t>
  </si>
  <si>
    <t>20279</t>
  </si>
  <si>
    <t>202710</t>
  </si>
  <si>
    <t>202711</t>
  </si>
  <si>
    <t>202712</t>
  </si>
  <si>
    <t>20281</t>
  </si>
  <si>
    <t>20282</t>
  </si>
  <si>
    <t>20283</t>
  </si>
  <si>
    <t>20284</t>
  </si>
  <si>
    <t>20285</t>
  </si>
  <si>
    <t>20286</t>
  </si>
  <si>
    <t>20287</t>
  </si>
  <si>
    <t>20288</t>
  </si>
  <si>
    <t>20289</t>
  </si>
  <si>
    <t>202810</t>
  </si>
  <si>
    <t>202811</t>
  </si>
  <si>
    <t>202812</t>
  </si>
  <si>
    <t>20291</t>
  </si>
  <si>
    <t>20292</t>
  </si>
  <si>
    <t>20293</t>
  </si>
  <si>
    <t>20294</t>
  </si>
  <si>
    <t>20295</t>
  </si>
  <si>
    <t>20296</t>
  </si>
  <si>
    <t>20297</t>
  </si>
  <si>
    <t>20298</t>
  </si>
  <si>
    <t>20299</t>
  </si>
  <si>
    <t>202910</t>
  </si>
  <si>
    <t>202911</t>
  </si>
  <si>
    <t>202912</t>
  </si>
  <si>
    <t>20301</t>
  </si>
  <si>
    <t>20302</t>
  </si>
  <si>
    <t>20303</t>
  </si>
  <si>
    <t>20304</t>
  </si>
  <si>
    <t>20305</t>
  </si>
  <si>
    <t>20306</t>
  </si>
  <si>
    <t>20307</t>
  </si>
  <si>
    <t>20308</t>
  </si>
  <si>
    <t>20309</t>
  </si>
  <si>
    <t>203010</t>
  </si>
  <si>
    <t>203011</t>
  </si>
  <si>
    <t>203012</t>
  </si>
  <si>
    <t>Baseline Calculation (DOES NOT CHANGE)</t>
  </si>
  <si>
    <t>Current Average Rate vs. Average Base Rate and Rider Adjustment Cap Calculations</t>
  </si>
  <si>
    <t xml:space="preserve">Smart Energy Plan Baseline </t>
  </si>
  <si>
    <t>Average Overall Rate</t>
  </si>
  <si>
    <t>Effective Date</t>
  </si>
  <si>
    <t>Average Base Rate</t>
  </si>
  <si>
    <t>Average Rider Rate</t>
  </si>
  <si>
    <t>ER-2016-0179</t>
  </si>
  <si>
    <t>Avg Overall Rate % Change vs. Baseline</t>
  </si>
  <si>
    <t>Target Revenue</t>
  </si>
  <si>
    <t>Class kWh</t>
  </si>
  <si>
    <t>FAC Revenue</t>
  </si>
  <si>
    <t>Total Revenues w/FAC</t>
  </si>
  <si>
    <t>Residential</t>
  </si>
  <si>
    <t>Full year number since baseline rate set*</t>
  </si>
  <si>
    <t>Small General Service</t>
  </si>
  <si>
    <t>2.85% target cap for Average Overall Rate</t>
  </si>
  <si>
    <t>Large General Service</t>
  </si>
  <si>
    <t>Current Base Rate Delta from Baseline</t>
  </si>
  <si>
    <t>Small Primary Service</t>
  </si>
  <si>
    <t>Average Overall Rate Increase Cap</t>
  </si>
  <si>
    <t>Large Primary Service*</t>
  </si>
  <si>
    <t>Current FAC</t>
  </si>
  <si>
    <t>Lighting Company Owned</t>
  </si>
  <si>
    <t>Current RESRAM</t>
  </si>
  <si>
    <t>Lighting Customer Owned</t>
  </si>
  <si>
    <t>MSD</t>
  </si>
  <si>
    <t>Average Rider Rate Caps</t>
  </si>
  <si>
    <t>Total</t>
  </si>
  <si>
    <t>RESRAM Cap</t>
  </si>
  <si>
    <t>FAC Cap</t>
  </si>
  <si>
    <t>Tax-Reform Docket (ER-2018-0362)</t>
  </si>
  <si>
    <t>Currently Effective Rates and Revenues at Time of Analysis</t>
  </si>
  <si>
    <t>Revenue Reduction</t>
  </si>
  <si>
    <t>Currently Effective Billing Units (Most Recent Rate Case)</t>
  </si>
  <si>
    <t>Currently Effective Base Rev. Req. (Most Recent Rate Case)</t>
  </si>
  <si>
    <t>Current FAC Rate</t>
  </si>
  <si>
    <t>FAC Revenues</t>
  </si>
  <si>
    <t>RESRAM Revenues</t>
  </si>
  <si>
    <t>Total Revenues</t>
  </si>
  <si>
    <t>Rate per kWh</t>
  </si>
  <si>
    <t>Rate Adjustment Cap (RAC)</t>
  </si>
  <si>
    <t>Total RESRAM Recoveries (TRR)</t>
  </si>
  <si>
    <r>
      <t xml:space="preserve">TRR Rate </t>
    </r>
    <r>
      <rPr>
        <sz val="11"/>
        <color rgb="FFFF0000"/>
        <rFont val="Calibri"/>
        <family val="2"/>
        <scheme val="minor"/>
      </rPr>
      <t>*</t>
    </r>
  </si>
  <si>
    <t>*</t>
  </si>
  <si>
    <r>
      <t>Estimated Recovery Period Sales (kWh) (S</t>
    </r>
    <r>
      <rPr>
        <vertAlign val="subscript"/>
        <sz val="11"/>
        <color theme="1"/>
        <rFont val="Calibri"/>
        <family val="2"/>
        <scheme val="minor"/>
      </rPr>
      <t>RP</t>
    </r>
    <r>
      <rPr>
        <sz val="11"/>
        <color theme="1"/>
        <rFont val="Calibri"/>
        <family val="2"/>
        <scheme val="minor"/>
      </rPr>
      <t>)</t>
    </r>
  </si>
  <si>
    <r>
      <t>TRR Rate = Minimum of TRR divided by S</t>
    </r>
    <r>
      <rPr>
        <vertAlign val="subscript"/>
        <sz val="11"/>
        <color theme="1"/>
        <rFont val="Calibri"/>
        <family val="2"/>
        <scheme val="minor"/>
      </rPr>
      <t>RP</t>
    </r>
    <r>
      <rPr>
        <sz val="11"/>
        <color theme="1"/>
        <rFont val="Calibri"/>
        <family val="2"/>
        <scheme val="minor"/>
      </rPr>
      <t>, and RAC</t>
    </r>
  </si>
  <si>
    <t>Total (PAR CP)</t>
  </si>
  <si>
    <t>Revolver</t>
  </si>
  <si>
    <t>PAR CP</t>
  </si>
  <si>
    <t>ACCRUED AFTER REPORT PERIOD</t>
  </si>
  <si>
    <t>CP BALANCE</t>
  </si>
  <si>
    <t>TOTAL ST BALANCE</t>
  </si>
  <si>
    <t>MONTHLY SHORT-TERM BORROWING ANALYSIS</t>
  </si>
  <si>
    <t>Amount Outstanding</t>
  </si>
  <si>
    <t>JANUARY 2019</t>
  </si>
  <si>
    <t>TOTAL FOR MONTH</t>
  </si>
  <si>
    <t>Avg Daily Borrowing</t>
  </si>
  <si>
    <t>ST Balance on GL</t>
  </si>
  <si>
    <t>Weighted Average Rate</t>
  </si>
  <si>
    <t>From BNP Paribas Monthly Accrued Interest Report</t>
  </si>
  <si>
    <t>Peak Borrowing</t>
  </si>
  <si>
    <t>Total Borrowings</t>
  </si>
  <si>
    <t>Total Revolver Borrowings</t>
  </si>
  <si>
    <t>Total Commercial Paper Borrowings</t>
  </si>
  <si>
    <t>PAR AMT USED FOR RATE CALC ONLY</t>
  </si>
  <si>
    <t>Weighted</t>
  </si>
  <si>
    <t>PAR</t>
  </si>
  <si>
    <t>NET</t>
  </si>
  <si>
    <t>CP</t>
  </si>
  <si>
    <t>Regulated Money Pool</t>
  </si>
  <si>
    <t>Non-Regulated Money Pool</t>
  </si>
  <si>
    <t>AMC Direct Loan</t>
  </si>
  <si>
    <t>AMC Subordinated Loan</t>
  </si>
  <si>
    <t>AMC Direct Loan (Notes Backed)</t>
  </si>
  <si>
    <t>Revolver Loan 1</t>
  </si>
  <si>
    <t>Revolver Loan 2</t>
  </si>
  <si>
    <t>Revolver Loan 3</t>
  </si>
  <si>
    <t>Revolver Loan 4</t>
  </si>
  <si>
    <t>Revolver Loan 5 (ABR 365)</t>
  </si>
  <si>
    <t>Revolver Loan 6 (ABR 365)</t>
  </si>
  <si>
    <t>Commercial Paper 1</t>
  </si>
  <si>
    <t>Commercial Paper 2</t>
  </si>
  <si>
    <t>Commercial Paper 3</t>
  </si>
  <si>
    <t>Commercial Paper 4</t>
  </si>
  <si>
    <t>Commercial Paper 5</t>
  </si>
  <si>
    <t>Commercial Paper 6</t>
  </si>
  <si>
    <t>Commercial Paper 7</t>
  </si>
  <si>
    <t>Commercial Paper 8</t>
  </si>
  <si>
    <t>Commercial Paper 9</t>
  </si>
  <si>
    <t>Commercial Paper 10</t>
  </si>
  <si>
    <t>Commercial Paper 11</t>
  </si>
  <si>
    <t>Commercial Paper 12</t>
  </si>
  <si>
    <t>Commercial Paper 13</t>
  </si>
  <si>
    <t>Commercial Paper 14</t>
  </si>
  <si>
    <t>Commercial Paper 15</t>
  </si>
  <si>
    <t>Commercial Paper 16</t>
  </si>
  <si>
    <t>Commercial Paper 17</t>
  </si>
  <si>
    <t>Commercial Paper 18</t>
  </si>
  <si>
    <t>Commercial Paper 19</t>
  </si>
  <si>
    <t>Commercial Paper 20</t>
  </si>
  <si>
    <t>Commercial Paper 21</t>
  </si>
  <si>
    <t>Commercial Paper 22</t>
  </si>
  <si>
    <t>Commercial Paper 23</t>
  </si>
  <si>
    <t>Commercial Paper 24</t>
  </si>
  <si>
    <t>Commercial Paper 25</t>
  </si>
  <si>
    <t>Commercial Paper 26</t>
  </si>
  <si>
    <t>Commercial Paper 27</t>
  </si>
  <si>
    <t>Commercial Paper 28</t>
  </si>
  <si>
    <t>Commercial Paper 29</t>
  </si>
  <si>
    <t>Commercial Paper 30</t>
  </si>
  <si>
    <t>Future Use 1 - Term Loan</t>
  </si>
  <si>
    <t>TOTAL NET CP PROCEEDS</t>
  </si>
  <si>
    <t>(PAR CP)</t>
  </si>
  <si>
    <t>(NET CP)</t>
  </si>
  <si>
    <t>Daily</t>
  </si>
  <si>
    <t>Average</t>
  </si>
  <si>
    <t>Revolvers</t>
  </si>
  <si>
    <t>Date</t>
  </si>
  <si>
    <t>Amount</t>
  </si>
  <si>
    <t>Rate</t>
  </si>
  <si>
    <t>Outstanding</t>
  </si>
  <si>
    <t>MAY 2019</t>
  </si>
  <si>
    <t>APRIL 2019</t>
  </si>
  <si>
    <t>FEBRUARY 2019</t>
  </si>
  <si>
    <t>MARCH 2019</t>
  </si>
  <si>
    <t>JULY 2019</t>
  </si>
  <si>
    <t>JUNE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</si>
</sst>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quot;$&quot;#,##0.00_);[Red]\(&quot;$&quot;#,##0.00\)"/>
    <numFmt numFmtId="44" formatCode="_(&quot;$&quot;* #,##0.00_);_(&quot;$&quot;* \(#,##0.00\);_(&quot;$&quot;* &quot;-&quot;??_);_(@_)"/>
    <numFmt numFmtId="43" formatCode="_(* #,##0.00_);_(* \(#,##0.00\);_(* &quot;-&quot;??_);_(@_)"/>
    <numFmt numFmtId="164" formatCode="mmm\-yyyy"/>
    <numFmt numFmtId="165" formatCode="[$-409]mmm\-yy;@"/>
    <numFmt numFmtId="166" formatCode="0.0000%"/>
    <numFmt numFmtId="167" formatCode="_(* #,##0_);_(* \(#,##0\);_(* &quot;-&quot;??_);_(@_)"/>
    <numFmt numFmtId="168" formatCode="#,##0;\-#,##0"/>
    <numFmt numFmtId="169" formatCode="_(* #,##0.00000_);_(* \(#,##0.00000\);_(* &quot;-&quot;??_);_(@_)"/>
    <numFmt numFmtId="170" formatCode="&quot;$&quot;#,##0.0000"/>
    <numFmt numFmtId="171" formatCode="&quot;$&quot;#,##0.00000"/>
    <numFmt numFmtId="172" formatCode="0.0%"/>
    <numFmt numFmtId="173" formatCode="&quot;$&quot;#,##0"/>
    <numFmt numFmtId="174" formatCode="_(&quot;$&quot;* #,##0.0000_);_(&quot;$&quot;* \(#,##0.0000\);_(&quot;$&quot;* &quot;-&quot;??_);_(@_)"/>
    <numFmt numFmtId="175" formatCode="0.000000%"/>
  </numFmts>
  <fonts count="17"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i/>
      <sz val="8"/>
      <color theme="1"/>
      <name val="Calibri"/>
      <family val="2"/>
      <scheme val="minor"/>
    </font>
    <font>
      <b/>
      <sz val="11"/>
      <color theme="1"/>
      <name val="Calibri"/>
      <family val="2"/>
      <scheme val="minor"/>
    </font>
    <font>
      <b/>
      <sz val="11"/>
      <color rgb="FFFF0000"/>
      <name val="Calibri"/>
      <family val="2"/>
      <scheme val="minor"/>
    </font>
    <font>
      <i/>
      <sz val="10"/>
      <color theme="1"/>
      <name val="Calibri"/>
      <family val="2"/>
      <scheme val="minor"/>
    </font>
    <font>
      <sz val="11"/>
      <color rgb="FFFF0000"/>
      <name val="Calibri"/>
      <family val="2"/>
      <scheme val="minor"/>
    </font>
    <font>
      <b/>
      <sz val="14"/>
      <color theme="1"/>
      <name val="Calibri"/>
      <family val="2"/>
      <scheme val="minor"/>
    </font>
    <font>
      <b/>
      <sz val="12"/>
      <color theme="1"/>
      <name val="Calibri"/>
      <family val="2"/>
      <scheme val="minor"/>
    </font>
    <font>
      <vertAlign val="subscript"/>
      <sz val="11"/>
      <color theme="1"/>
      <name val="Calibri"/>
      <family val="2"/>
      <scheme val="minor"/>
    </font>
    <font>
      <b/>
      <sz val="12"/>
      <name val="Arial"/>
      <family val="2"/>
    </font>
    <font>
      <sz val="12"/>
      <name val="Arial"/>
      <family val="2"/>
    </font>
    <font>
      <b/>
      <sz val="10"/>
      <name val="Arial"/>
      <family val="2"/>
    </font>
    <font>
      <u/>
      <sz val="10"/>
      <name val="Arial"/>
      <family val="2"/>
    </font>
  </fonts>
  <fills count="8">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s>
  <borders count="40">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cellStyleXfs>
  <cellXfs count="187">
    <xf numFmtId="0" fontId="0" fillId="0" borderId="0" xfId="0"/>
    <xf numFmtId="0" fontId="3" fillId="0" borderId="0" xfId="4" applyFont="1" applyAlignment="1">
      <alignment horizontal="center" wrapText="1"/>
    </xf>
    <xf numFmtId="0" fontId="3" fillId="0" borderId="0" xfId="4" applyFont="1" applyAlignment="1">
      <alignment wrapText="1"/>
    </xf>
    <xf numFmtId="0" fontId="0" fillId="0" borderId="0" xfId="0" applyAlignment="1">
      <alignment horizontal="left" indent="2"/>
    </xf>
    <xf numFmtId="44" fontId="0" fillId="0" borderId="0" xfId="2" applyFont="1"/>
    <xf numFmtId="43" fontId="0" fillId="0" borderId="0" xfId="0" applyNumberFormat="1"/>
    <xf numFmtId="44" fontId="1" fillId="0" borderId="1" xfId="2" applyBorder="1"/>
    <xf numFmtId="0" fontId="0" fillId="0" borderId="0" xfId="0" applyFill="1" applyAlignment="1">
      <alignment horizontal="left" indent="2"/>
    </xf>
    <xf numFmtId="0" fontId="3" fillId="2" borderId="1" xfId="4" applyFont="1" applyFill="1" applyBorder="1" applyAlignment="1">
      <alignment wrapText="1"/>
    </xf>
    <xf numFmtId="0" fontId="3" fillId="0" borderId="2" xfId="4" applyFont="1" applyBorder="1" applyAlignment="1">
      <alignment horizontal="left" wrapText="1" indent="2"/>
    </xf>
    <xf numFmtId="166" fontId="0" fillId="0" borderId="3" xfId="3" applyNumberFormat="1" applyFont="1" applyFill="1" applyBorder="1"/>
    <xf numFmtId="0" fontId="3" fillId="0" borderId="0" xfId="4" applyFont="1" applyAlignment="1">
      <alignment horizontal="left" wrapText="1" indent="2"/>
    </xf>
    <xf numFmtId="44" fontId="0" fillId="2" borderId="1" xfId="2" applyFont="1" applyFill="1" applyBorder="1"/>
    <xf numFmtId="0" fontId="0" fillId="0" borderId="0" xfId="0" applyAlignment="1">
      <alignment horizontal="left" indent="3"/>
    </xf>
    <xf numFmtId="43" fontId="0" fillId="0" borderId="4" xfId="0" applyNumberFormat="1" applyBorder="1"/>
    <xf numFmtId="0" fontId="0" fillId="0" borderId="2" xfId="0" applyBorder="1" applyAlignment="1">
      <alignment horizontal="center"/>
    </xf>
    <xf numFmtId="0" fontId="0" fillId="0" borderId="0" xfId="0" applyBorder="1" applyAlignment="1">
      <alignment horizontal="center"/>
    </xf>
    <xf numFmtId="0" fontId="5" fillId="0" borderId="0" xfId="0" applyFont="1"/>
    <xf numFmtId="44" fontId="1" fillId="2" borderId="1" xfId="2" applyFont="1" applyFill="1" applyBorder="1"/>
    <xf numFmtId="44" fontId="0" fillId="0" borderId="0" xfId="0" applyNumberFormat="1"/>
    <xf numFmtId="0" fontId="0" fillId="0" borderId="2" xfId="0" applyBorder="1" applyAlignment="1">
      <alignment horizontal="center" vertical="center"/>
    </xf>
    <xf numFmtId="0" fontId="7" fillId="0" borderId="0" xfId="0" applyFont="1"/>
    <xf numFmtId="0" fontId="7" fillId="0" borderId="0" xfId="0" applyFont="1" applyAlignment="1">
      <alignment horizontal="right"/>
    </xf>
    <xf numFmtId="44" fontId="0" fillId="0" borderId="5" xfId="0" applyNumberFormat="1" applyBorder="1"/>
    <xf numFmtId="164" fontId="3" fillId="0" borderId="9" xfId="4" applyNumberFormat="1" applyFont="1" applyBorder="1" applyAlignment="1">
      <alignment horizontal="center"/>
    </xf>
    <xf numFmtId="165" fontId="3" fillId="0" borderId="0" xfId="4" quotePrefix="1" applyNumberFormat="1" applyFont="1" applyBorder="1" applyAlignment="1">
      <alignment horizontal="center"/>
    </xf>
    <xf numFmtId="165" fontId="3" fillId="0" borderId="10" xfId="4" quotePrefix="1" applyNumberFormat="1" applyFont="1" applyBorder="1" applyAlignment="1">
      <alignment horizontal="center"/>
    </xf>
    <xf numFmtId="0" fontId="4" fillId="0" borderId="9" xfId="4" applyFont="1" applyBorder="1"/>
    <xf numFmtId="43" fontId="1" fillId="0" borderId="0" xfId="5" applyFont="1" applyBorder="1"/>
    <xf numFmtId="43" fontId="1" fillId="0" borderId="10" xfId="5" applyFont="1" applyBorder="1"/>
    <xf numFmtId="44" fontId="0" fillId="0" borderId="9" xfId="2" applyFont="1" applyBorder="1"/>
    <xf numFmtId="44" fontId="0" fillId="0" borderId="0" xfId="2" applyFont="1" applyBorder="1"/>
    <xf numFmtId="44" fontId="0" fillId="0" borderId="10" xfId="2" applyFont="1" applyFill="1" applyBorder="1"/>
    <xf numFmtId="44" fontId="0" fillId="0" borderId="0" xfId="2" applyFont="1" applyFill="1" applyBorder="1"/>
    <xf numFmtId="43" fontId="0" fillId="0" borderId="9" xfId="0" applyNumberFormat="1" applyBorder="1"/>
    <xf numFmtId="43" fontId="0" fillId="0" borderId="0" xfId="0" applyNumberFormat="1" applyBorder="1"/>
    <xf numFmtId="43" fontId="0" fillId="0" borderId="10" xfId="0" applyNumberFormat="1" applyBorder="1"/>
    <xf numFmtId="44" fontId="1" fillId="0" borderId="11" xfId="2" applyBorder="1"/>
    <xf numFmtId="44" fontId="1" fillId="0" borderId="12" xfId="2" applyBorder="1"/>
    <xf numFmtId="43" fontId="1" fillId="0" borderId="0" xfId="5" quotePrefix="1" applyFont="1" applyBorder="1"/>
    <xf numFmtId="43" fontId="1" fillId="0" borderId="10" xfId="5" quotePrefix="1" applyFont="1" applyBorder="1"/>
    <xf numFmtId="44" fontId="1" fillId="0" borderId="9" xfId="2" quotePrefix="1" applyFont="1" applyBorder="1"/>
    <xf numFmtId="44" fontId="1" fillId="0" borderId="0" xfId="2" quotePrefix="1" applyFont="1" applyFill="1" applyBorder="1"/>
    <xf numFmtId="44" fontId="1" fillId="0" borderId="10" xfId="2" quotePrefix="1" applyFont="1" applyFill="1" applyBorder="1"/>
    <xf numFmtId="44" fontId="0" fillId="0" borderId="10" xfId="2" applyFont="1" applyBorder="1"/>
    <xf numFmtId="44" fontId="1" fillId="2" borderId="11" xfId="2" applyFont="1" applyFill="1" applyBorder="1"/>
    <xf numFmtId="44" fontId="1" fillId="2" borderId="12" xfId="2" applyFont="1" applyFill="1" applyBorder="1"/>
    <xf numFmtId="43" fontId="4" fillId="0" borderId="9" xfId="1" applyFont="1" applyBorder="1"/>
    <xf numFmtId="166" fontId="0" fillId="0" borderId="13" xfId="3" applyNumberFormat="1" applyFont="1" applyFill="1" applyBorder="1"/>
    <xf numFmtId="166" fontId="0" fillId="0" borderId="14" xfId="3" applyNumberFormat="1" applyFont="1" applyFill="1" applyBorder="1"/>
    <xf numFmtId="43" fontId="0" fillId="0" borderId="9" xfId="1" applyFont="1" applyBorder="1"/>
    <xf numFmtId="43" fontId="0" fillId="0" borderId="0" xfId="1" applyFont="1" applyBorder="1"/>
    <xf numFmtId="43" fontId="0" fillId="0" borderId="10" xfId="1" applyFont="1" applyBorder="1"/>
    <xf numFmtId="0" fontId="0" fillId="0" borderId="9" xfId="0" applyBorder="1"/>
    <xf numFmtId="0" fontId="0" fillId="0" borderId="0" xfId="0" applyBorder="1"/>
    <xf numFmtId="0" fontId="0" fillId="0" borderId="10" xfId="0" applyBorder="1"/>
    <xf numFmtId="44" fontId="0" fillId="2" borderId="11" xfId="2" applyFont="1" applyFill="1" applyBorder="1"/>
    <xf numFmtId="44" fontId="0" fillId="2" borderId="12" xfId="2" applyFont="1" applyFill="1" applyBorder="1"/>
    <xf numFmtId="165" fontId="3" fillId="0" borderId="9" xfId="4" quotePrefix="1" applyNumberFormat="1" applyFont="1" applyBorder="1" applyAlignment="1">
      <alignment horizontal="center"/>
    </xf>
    <xf numFmtId="43" fontId="1" fillId="0" borderId="9" xfId="5" applyFont="1" applyBorder="1"/>
    <xf numFmtId="44" fontId="0" fillId="0" borderId="9" xfId="2" applyFont="1" applyFill="1" applyBorder="1"/>
    <xf numFmtId="43" fontId="1" fillId="0" borderId="9" xfId="5" quotePrefix="1" applyFont="1" applyBorder="1"/>
    <xf numFmtId="44" fontId="1" fillId="0" borderId="9" xfId="2" quotePrefix="1" applyFont="1" applyFill="1" applyBorder="1"/>
    <xf numFmtId="166" fontId="0" fillId="3" borderId="13" xfId="3" applyNumberFormat="1" applyFont="1" applyFill="1" applyBorder="1"/>
    <xf numFmtId="166" fontId="0" fillId="3" borderId="3" xfId="3" applyNumberFormat="1" applyFont="1" applyFill="1" applyBorder="1"/>
    <xf numFmtId="166" fontId="0" fillId="3" borderId="14" xfId="3" applyNumberFormat="1" applyFont="1" applyFill="1" applyBorder="1"/>
    <xf numFmtId="14" fontId="0" fillId="0" borderId="0" xfId="0" applyNumberFormat="1"/>
    <xf numFmtId="165" fontId="0" fillId="0" borderId="0" xfId="0" applyNumberFormat="1"/>
    <xf numFmtId="3" fontId="0" fillId="0" borderId="0" xfId="0" applyNumberFormat="1"/>
    <xf numFmtId="167" fontId="0" fillId="0" borderId="0" xfId="0" applyNumberFormat="1"/>
    <xf numFmtId="168" fontId="0" fillId="0" borderId="0" xfId="0" applyNumberFormat="1"/>
    <xf numFmtId="169" fontId="0" fillId="0" borderId="0" xfId="0" applyNumberFormat="1"/>
    <xf numFmtId="170" fontId="6" fillId="5" borderId="20" xfId="0" applyNumberFormat="1" applyFont="1" applyFill="1" applyBorder="1"/>
    <xf numFmtId="0" fontId="0" fillId="0" borderId="21" xfId="0" applyBorder="1"/>
    <xf numFmtId="171" fontId="0" fillId="0" borderId="22" xfId="0" applyNumberFormat="1" applyBorder="1"/>
    <xf numFmtId="14" fontId="0" fillId="0" borderId="24" xfId="0" applyNumberFormat="1" applyBorder="1"/>
    <xf numFmtId="0" fontId="0" fillId="0" borderId="18" xfId="0" applyBorder="1"/>
    <xf numFmtId="171" fontId="0" fillId="0" borderId="20" xfId="0" applyNumberFormat="1" applyBorder="1"/>
    <xf numFmtId="0" fontId="0" fillId="0" borderId="18" xfId="0" applyFill="1" applyBorder="1"/>
    <xf numFmtId="172" fontId="0" fillId="0" borderId="20" xfId="3" applyNumberFormat="1" applyFont="1" applyBorder="1"/>
    <xf numFmtId="0" fontId="0" fillId="0" borderId="19" xfId="0" applyBorder="1"/>
    <xf numFmtId="0" fontId="0" fillId="0" borderId="20" xfId="0" applyBorder="1"/>
    <xf numFmtId="14" fontId="0" fillId="6" borderId="20" xfId="0" applyNumberFormat="1" applyFill="1" applyBorder="1"/>
    <xf numFmtId="173" fontId="0" fillId="0" borderId="19" xfId="0" applyNumberFormat="1" applyBorder="1"/>
    <xf numFmtId="3" fontId="0" fillId="0" borderId="19" xfId="0" applyNumberFormat="1" applyBorder="1"/>
    <xf numFmtId="44" fontId="0" fillId="0" borderId="19" xfId="2" applyFont="1" applyBorder="1"/>
    <xf numFmtId="44" fontId="0" fillId="0" borderId="20" xfId="2" applyFont="1" applyBorder="1"/>
    <xf numFmtId="2" fontId="0" fillId="0" borderId="20" xfId="0" applyNumberFormat="1" applyFill="1" applyBorder="1"/>
    <xf numFmtId="0" fontId="0" fillId="0" borderId="25" xfId="0" applyBorder="1"/>
    <xf numFmtId="171" fontId="0" fillId="0" borderId="24" xfId="0" applyNumberFormat="1" applyBorder="1"/>
    <xf numFmtId="170" fontId="6" fillId="7" borderId="20" xfId="0" applyNumberFormat="1" applyFont="1" applyFill="1" applyBorder="1"/>
    <xf numFmtId="0" fontId="0" fillId="0" borderId="28" xfId="0" applyBorder="1"/>
    <xf numFmtId="0" fontId="0" fillId="0" borderId="29" xfId="0" applyBorder="1"/>
    <xf numFmtId="170" fontId="0" fillId="0" borderId="29" xfId="0" applyNumberFormat="1" applyBorder="1"/>
    <xf numFmtId="170" fontId="6" fillId="0" borderId="29" xfId="0" applyNumberFormat="1" applyFont="1" applyBorder="1"/>
    <xf numFmtId="174" fontId="6" fillId="5" borderId="24" xfId="0" applyNumberFormat="1" applyFont="1" applyFill="1" applyBorder="1"/>
    <xf numFmtId="170" fontId="6" fillId="7" borderId="24" xfId="0" applyNumberFormat="1" applyFont="1" applyFill="1" applyBorder="1"/>
    <xf numFmtId="0" fontId="0" fillId="0" borderId="18" xfId="0" applyBorder="1" applyAlignment="1">
      <alignment wrapText="1"/>
    </xf>
    <xf numFmtId="0" fontId="0" fillId="0" borderId="19" xfId="0" applyBorder="1" applyAlignment="1">
      <alignment wrapText="1"/>
    </xf>
    <xf numFmtId="173" fontId="0" fillId="0" borderId="20" xfId="0" applyNumberFormat="1" applyBorder="1"/>
    <xf numFmtId="3" fontId="0" fillId="6" borderId="18" xfId="0" applyNumberFormat="1" applyFill="1" applyBorder="1"/>
    <xf numFmtId="173" fontId="0" fillId="6" borderId="19" xfId="0" applyNumberFormat="1" applyFill="1" applyBorder="1"/>
    <xf numFmtId="171" fontId="0" fillId="6" borderId="19" xfId="0" applyNumberFormat="1" applyFill="1" applyBorder="1"/>
    <xf numFmtId="3" fontId="0" fillId="0" borderId="18" xfId="0" applyNumberFormat="1" applyBorder="1"/>
    <xf numFmtId="170" fontId="6" fillId="5" borderId="24" xfId="0" applyNumberFormat="1" applyFont="1" applyFill="1" applyBorder="1"/>
    <xf numFmtId="0" fontId="0" fillId="0" borderId="25" xfId="0" applyBorder="1" applyAlignment="1">
      <alignment horizontal="right"/>
    </xf>
    <xf numFmtId="0" fontId="0" fillId="0" borderId="31" xfId="0" applyBorder="1"/>
    <xf numFmtId="0" fontId="0" fillId="0" borderId="29" xfId="0" applyBorder="1" applyAlignment="1">
      <alignment horizontal="right"/>
    </xf>
    <xf numFmtId="171" fontId="0" fillId="0" borderId="29" xfId="0" applyNumberFormat="1" applyBorder="1"/>
    <xf numFmtId="170" fontId="0" fillId="0" borderId="24" xfId="0" applyNumberFormat="1" applyBorder="1"/>
    <xf numFmtId="0" fontId="9" fillId="0" borderId="0" xfId="0" applyFont="1" applyAlignment="1">
      <alignment horizontal="right"/>
    </xf>
    <xf numFmtId="167" fontId="0" fillId="0" borderId="0" xfId="0" applyNumberFormat="1" applyFill="1"/>
    <xf numFmtId="0" fontId="13" fillId="0" borderId="0" xfId="0" applyFont="1"/>
    <xf numFmtId="8" fontId="14" fillId="0" borderId="0" xfId="0" applyNumberFormat="1" applyFont="1"/>
    <xf numFmtId="175" fontId="14" fillId="0" borderId="0" xfId="0" applyNumberFormat="1" applyFont="1"/>
    <xf numFmtId="0" fontId="14" fillId="0" borderId="0" xfId="0" applyFont="1"/>
    <xf numFmtId="8" fontId="15" fillId="0" borderId="0" xfId="0" applyNumberFormat="1" applyFont="1" applyBorder="1"/>
    <xf numFmtId="0" fontId="13" fillId="0" borderId="0" xfId="0" applyFont="1" applyAlignment="1">
      <alignment horizontal="center"/>
    </xf>
    <xf numFmtId="0" fontId="13" fillId="0" borderId="0" xfId="0" applyFont="1" applyAlignment="1">
      <alignment horizontal="left"/>
    </xf>
    <xf numFmtId="8" fontId="13" fillId="0" borderId="0" xfId="0" applyNumberFormat="1" applyFont="1"/>
    <xf numFmtId="8" fontId="0" fillId="0" borderId="0" xfId="0" applyNumberFormat="1" applyBorder="1"/>
    <xf numFmtId="17" fontId="13" fillId="0" borderId="0" xfId="0" applyNumberFormat="1" applyFont="1"/>
    <xf numFmtId="8" fontId="0" fillId="0" borderId="0" xfId="0" applyNumberFormat="1"/>
    <xf numFmtId="175" fontId="0" fillId="0" borderId="0" xfId="0" applyNumberFormat="1"/>
    <xf numFmtId="8" fontId="15" fillId="0" borderId="32" xfId="0" applyNumberFormat="1" applyFont="1" applyBorder="1"/>
    <xf numFmtId="175" fontId="0" fillId="0" borderId="33" xfId="0" applyNumberFormat="1" applyBorder="1"/>
    <xf numFmtId="0" fontId="0" fillId="0" borderId="34" xfId="0" applyBorder="1"/>
    <xf numFmtId="8" fontId="15" fillId="0" borderId="35" xfId="0" applyNumberFormat="1" applyFont="1" applyBorder="1"/>
    <xf numFmtId="175" fontId="0" fillId="0" borderId="0" xfId="0" applyNumberFormat="1" applyBorder="1"/>
    <xf numFmtId="0" fontId="0" fillId="0" borderId="36" xfId="0" applyBorder="1"/>
    <xf numFmtId="0" fontId="0" fillId="0" borderId="35" xfId="0" applyBorder="1"/>
    <xf numFmtId="8" fontId="0" fillId="0" borderId="36" xfId="0" applyNumberFormat="1" applyBorder="1"/>
    <xf numFmtId="0" fontId="15" fillId="0" borderId="0" xfId="0" applyFont="1"/>
    <xf numFmtId="0" fontId="2" fillId="0" borderId="0" xfId="0" applyFont="1"/>
    <xf numFmtId="0" fontId="15" fillId="0" borderId="0" xfId="0" applyFont="1" applyAlignment="1">
      <alignment horizontal="center"/>
    </xf>
    <xf numFmtId="8" fontId="13" fillId="0" borderId="0" xfId="0" applyNumberFormat="1" applyFont="1" applyAlignment="1">
      <alignment horizontal="center"/>
    </xf>
    <xf numFmtId="0" fontId="0" fillId="0" borderId="0" xfId="0" applyFill="1" applyBorder="1"/>
    <xf numFmtId="175" fontId="0" fillId="0" borderId="36" xfId="0" applyNumberFormat="1" applyBorder="1"/>
    <xf numFmtId="0" fontId="0" fillId="0" borderId="37" xfId="0" applyFill="1" applyBorder="1"/>
    <xf numFmtId="8" fontId="0" fillId="0" borderId="38" xfId="0" applyNumberFormat="1" applyBorder="1"/>
    <xf numFmtId="8" fontId="0" fillId="0" borderId="39" xfId="0" applyNumberFormat="1" applyBorder="1"/>
    <xf numFmtId="0" fontId="2" fillId="0" borderId="2" xfId="0" applyFont="1" applyBorder="1" applyAlignment="1">
      <alignment horizontal="centerContinuous"/>
    </xf>
    <xf numFmtId="0" fontId="0" fillId="0" borderId="2" xfId="0" applyBorder="1" applyAlignment="1">
      <alignment horizontal="centerContinuous"/>
    </xf>
    <xf numFmtId="0" fontId="0" fillId="0" borderId="0" xfId="0" applyBorder="1" applyAlignment="1">
      <alignment horizontal="centerContinuous"/>
    </xf>
    <xf numFmtId="8" fontId="15" fillId="0" borderId="0" xfId="0" applyNumberFormat="1" applyFont="1"/>
    <xf numFmtId="0" fontId="0" fillId="0" borderId="0" xfId="0" applyAlignment="1">
      <alignment horizontal="center"/>
    </xf>
    <xf numFmtId="0" fontId="2" fillId="0" borderId="0" xfId="0" applyFont="1" applyAlignment="1">
      <alignment horizontal="center"/>
    </xf>
    <xf numFmtId="8" fontId="0" fillId="0" borderId="2" xfId="0" applyNumberFormat="1" applyBorder="1" applyAlignment="1">
      <alignment horizontal="centerContinuous"/>
    </xf>
    <xf numFmtId="175" fontId="0" fillId="0" borderId="2" xfId="0" applyNumberFormat="1" applyBorder="1" applyAlignment="1">
      <alignment horizontal="centerContinuous"/>
    </xf>
    <xf numFmtId="8" fontId="2" fillId="0" borderId="2" xfId="0" applyNumberFormat="1" applyFont="1" applyBorder="1" applyAlignment="1">
      <alignment horizontal="centerContinuous"/>
    </xf>
    <xf numFmtId="8" fontId="15" fillId="0" borderId="2" xfId="0" applyNumberFormat="1" applyFont="1" applyBorder="1" applyAlignment="1">
      <alignment horizontal="centerContinuous"/>
    </xf>
    <xf numFmtId="8" fontId="16" fillId="0" borderId="0" xfId="0" applyNumberFormat="1" applyFont="1" applyAlignment="1">
      <alignment horizontal="center"/>
    </xf>
    <xf numFmtId="175" fontId="16" fillId="0" borderId="0" xfId="0" applyNumberFormat="1" applyFont="1" applyAlignment="1">
      <alignment horizontal="center"/>
    </xf>
    <xf numFmtId="0" fontId="16" fillId="0" borderId="0" xfId="0" applyFont="1" applyAlignment="1">
      <alignment horizontal="center"/>
    </xf>
    <xf numFmtId="0" fontId="16" fillId="0" borderId="0" xfId="0" applyFont="1" applyFill="1" applyBorder="1" applyAlignment="1">
      <alignment horizontal="center"/>
    </xf>
    <xf numFmtId="173" fontId="0" fillId="0" borderId="0" xfId="0" applyNumberFormat="1" applyFill="1" applyBorder="1" applyProtection="1">
      <protection locked="0"/>
    </xf>
    <xf numFmtId="175" fontId="0" fillId="0" borderId="0" xfId="0" applyNumberFormat="1" applyFill="1" applyBorder="1" applyProtection="1">
      <protection locked="0"/>
    </xf>
    <xf numFmtId="8" fontId="2" fillId="0" borderId="0" xfId="0" applyNumberFormat="1" applyFont="1"/>
    <xf numFmtId="0" fontId="15" fillId="0" borderId="0" xfId="0" applyFont="1" applyAlignment="1">
      <alignment horizontal="right"/>
    </xf>
    <xf numFmtId="8" fontId="0" fillId="0" borderId="4" xfId="0" applyNumberFormat="1" applyBorder="1"/>
    <xf numFmtId="4" fontId="0" fillId="0" borderId="0" xfId="0" applyNumberFormat="1"/>
    <xf numFmtId="166" fontId="0" fillId="0" borderId="0" xfId="0" applyNumberFormat="1"/>
    <xf numFmtId="43" fontId="0" fillId="0" borderId="0" xfId="1" applyFont="1"/>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8" fillId="0" borderId="0" xfId="0" applyFont="1" applyAlignment="1">
      <alignment wrapText="1"/>
    </xf>
    <xf numFmtId="0" fontId="11" fillId="3" borderId="15" xfId="0" applyFont="1" applyFill="1" applyBorder="1" applyAlignment="1">
      <alignment horizontal="center"/>
    </xf>
    <xf numFmtId="0" fontId="11" fillId="3" borderId="16" xfId="0" applyFont="1" applyFill="1" applyBorder="1" applyAlignment="1">
      <alignment horizontal="center"/>
    </xf>
    <xf numFmtId="0" fontId="11" fillId="3" borderId="17" xfId="0" applyFont="1" applyFill="1" applyBorder="1" applyAlignment="1">
      <alignment horizontal="center"/>
    </xf>
    <xf numFmtId="0" fontId="11" fillId="3" borderId="21" xfId="0" applyFont="1" applyFill="1" applyBorder="1" applyAlignment="1">
      <alignment horizontal="center"/>
    </xf>
    <xf numFmtId="0" fontId="11" fillId="3" borderId="30" xfId="0" applyFont="1" applyFill="1" applyBorder="1" applyAlignment="1">
      <alignment horizontal="center"/>
    </xf>
    <xf numFmtId="0" fontId="11" fillId="3" borderId="22" xfId="0" applyFont="1" applyFill="1" applyBorder="1" applyAlignment="1">
      <alignment horizontal="center"/>
    </xf>
    <xf numFmtId="0" fontId="10" fillId="4" borderId="15" xfId="0" applyFont="1" applyFill="1" applyBorder="1" applyAlignment="1">
      <alignment horizontal="center"/>
    </xf>
    <xf numFmtId="0" fontId="10" fillId="4" borderId="16" xfId="0" applyFont="1" applyFill="1" applyBorder="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17" xfId="0" applyFont="1" applyFill="1" applyBorder="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11" xfId="0" applyBorder="1" applyAlignment="1">
      <alignment horizontal="left"/>
    </xf>
    <xf numFmtId="0" fontId="0" fillId="0" borderId="23" xfId="0" applyBorder="1" applyAlignment="1">
      <alignment horizontal="left"/>
    </xf>
    <xf numFmtId="0" fontId="6" fillId="0" borderId="26" xfId="0" applyFont="1" applyBorder="1" applyAlignment="1">
      <alignment horizontal="center"/>
    </xf>
    <xf numFmtId="0" fontId="6" fillId="0" borderId="27" xfId="0" applyFont="1" applyBorder="1" applyAlignment="1">
      <alignment horizontal="center"/>
    </xf>
  </cellXfs>
  <cellStyles count="6">
    <cellStyle name="Comma" xfId="1" builtinId="3"/>
    <cellStyle name="Comma 3" xfId="5"/>
    <cellStyle name="Currency" xfId="2" builtinId="4"/>
    <cellStyle name="Normal" xfId="0" builtinId="0"/>
    <cellStyle name="Normal 3"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Sum</c:v>
          </c:tx>
          <c:spPr>
            <a:ln w="28575" cap="rnd">
              <a:solidFill>
                <a:schemeClr val="accent1"/>
              </a:solidFill>
              <a:round/>
            </a:ln>
            <a:effectLst/>
          </c:spPr>
          <c:marker>
            <c:symbol val="none"/>
          </c:marker>
          <c:val>
            <c:numLit>
              <c:formatCode>General</c:formatCode>
              <c:ptCount val="228"/>
              <c:pt idx="0">
                <c:v>3244936</c:v>
              </c:pt>
              <c:pt idx="1">
                <c:v>2848395</c:v>
              </c:pt>
              <c:pt idx="2">
                <c:v>2749010</c:v>
              </c:pt>
              <c:pt idx="3">
                <c:v>2571698</c:v>
              </c:pt>
              <c:pt idx="4">
                <c:v>3021927</c:v>
              </c:pt>
              <c:pt idx="5">
                <c:v>3369853</c:v>
              </c:pt>
              <c:pt idx="6">
                <c:v>4296390</c:v>
              </c:pt>
              <c:pt idx="7">
                <c:v>3562616</c:v>
              </c:pt>
              <c:pt idx="8">
                <c:v>2731806</c:v>
              </c:pt>
              <c:pt idx="9">
                <c:v>2693072</c:v>
              </c:pt>
              <c:pt idx="10">
                <c:v>2833113</c:v>
              </c:pt>
              <c:pt idx="11">
                <c:v>3130050</c:v>
              </c:pt>
              <c:pt idx="12">
                <c:v>3331116</c:v>
              </c:pt>
              <c:pt idx="13">
                <c:v>2943097</c:v>
              </c:pt>
              <c:pt idx="14">
                <c:v>3046435</c:v>
              </c:pt>
              <c:pt idx="15">
                <c:v>2637226</c:v>
              </c:pt>
              <c:pt idx="16">
                <c:v>2857337</c:v>
              </c:pt>
              <c:pt idx="17">
                <c:v>3169554</c:v>
              </c:pt>
              <c:pt idx="18">
                <c:v>3542433</c:v>
              </c:pt>
              <c:pt idx="19">
                <c:v>3403739</c:v>
              </c:pt>
              <c:pt idx="20">
                <c:v>2779543</c:v>
              </c:pt>
              <c:pt idx="21">
                <c:v>2643301</c:v>
              </c:pt>
              <c:pt idx="22">
                <c:v>2813919</c:v>
              </c:pt>
              <c:pt idx="23">
                <c:v>3322090</c:v>
              </c:pt>
              <c:pt idx="24">
                <c:v>3492905</c:v>
              </c:pt>
              <c:pt idx="25">
                <c:v>2960474</c:v>
              </c:pt>
              <c:pt idx="26">
                <c:v>2954212</c:v>
              </c:pt>
              <c:pt idx="27">
                <c:v>2596472</c:v>
              </c:pt>
              <c:pt idx="28">
                <c:v>2694708</c:v>
              </c:pt>
              <c:pt idx="29">
                <c:v>3105039</c:v>
              </c:pt>
              <c:pt idx="30">
                <c:v>3527627</c:v>
              </c:pt>
              <c:pt idx="31">
                <c:v>3389228</c:v>
              </c:pt>
              <c:pt idx="32">
                <c:v>2771467</c:v>
              </c:pt>
              <c:pt idx="33">
                <c:v>2645957</c:v>
              </c:pt>
              <c:pt idx="34">
                <c:v>2820137</c:v>
              </c:pt>
              <c:pt idx="35">
                <c:v>3336986</c:v>
              </c:pt>
              <c:pt idx="36">
                <c:v>3430107.7477050307</c:v>
              </c:pt>
              <c:pt idx="37">
                <c:v>3048379.1146323429</c:v>
              </c:pt>
              <c:pt idx="38">
                <c:v>2900013.4271778679</c:v>
              </c:pt>
              <c:pt idx="39">
                <c:v>2541780.2249153941</c:v>
              </c:pt>
              <c:pt idx="40">
                <c:v>2685103.0112713166</c:v>
              </c:pt>
              <c:pt idx="41">
                <c:v>3125148.0580960014</c:v>
              </c:pt>
              <c:pt idx="42">
                <c:v>3524555.2292675497</c:v>
              </c:pt>
              <c:pt idx="43">
                <c:v>3446736.9086869461</c:v>
              </c:pt>
              <c:pt idx="44">
                <c:v>2789073.4907825771</c:v>
              </c:pt>
              <c:pt idx="45">
                <c:v>2614494.3691502148</c:v>
              </c:pt>
              <c:pt idx="46">
                <c:v>2721584.8771479838</c:v>
              </c:pt>
              <c:pt idx="47">
                <c:v>3312236.5512580927</c:v>
              </c:pt>
              <c:pt idx="48">
                <c:v>3133929.8352956846</c:v>
              </c:pt>
              <c:pt idx="49">
                <c:v>2773154.5136237885</c:v>
              </c:pt>
              <c:pt idx="50">
                <c:v>2592287.1644280115</c:v>
              </c:pt>
              <c:pt idx="51">
                <c:v>2181850.301084864</c:v>
              </c:pt>
              <c:pt idx="52">
                <c:v>2321464.2473065448</c:v>
              </c:pt>
              <c:pt idx="53">
                <c:v>2771966.4708194109</c:v>
              </c:pt>
              <c:pt idx="54">
                <c:v>3156357.9711580044</c:v>
              </c:pt>
              <c:pt idx="55">
                <c:v>3059205.9601781601</c:v>
              </c:pt>
              <c:pt idx="56">
                <c:v>2403347.0396487941</c:v>
              </c:pt>
              <c:pt idx="57">
                <c:v>2241085.7311427756</c:v>
              </c:pt>
              <c:pt idx="58">
                <c:v>2343530.6951521882</c:v>
              </c:pt>
              <c:pt idx="59">
                <c:v>2887825.0417039315</c:v>
              </c:pt>
              <c:pt idx="60">
                <c:v>3043355.4883507411</c:v>
              </c:pt>
              <c:pt idx="61">
                <c:v>2643430.8424671558</c:v>
              </c:pt>
              <c:pt idx="62">
                <c:v>2524268.3365534288</c:v>
              </c:pt>
              <c:pt idx="63">
                <c:v>2194555.6994579039</c:v>
              </c:pt>
              <c:pt idx="64">
                <c:v>2349626.1756750075</c:v>
              </c:pt>
              <c:pt idx="65">
                <c:v>2809536.3807266303</c:v>
              </c:pt>
              <c:pt idx="66">
                <c:v>3214593.5061601885</c:v>
              </c:pt>
              <c:pt idx="67">
                <c:v>3109363.3762894468</c:v>
              </c:pt>
              <c:pt idx="68">
                <c:v>2449608.3226241125</c:v>
              </c:pt>
              <c:pt idx="69">
                <c:v>2263088.5091484599</c:v>
              </c:pt>
              <c:pt idx="70">
                <c:v>2390695.7662915182</c:v>
              </c:pt>
              <c:pt idx="71">
                <c:v>2936929.8689242504</c:v>
              </c:pt>
              <c:pt idx="72">
                <c:v>2983657.4482843969</c:v>
              </c:pt>
              <c:pt idx="73">
                <c:v>2693743.4797185576</c:v>
              </c:pt>
              <c:pt idx="74">
                <c:v>2527614.0868705143</c:v>
              </c:pt>
              <c:pt idx="75">
                <c:v>2230308.5052761082</c:v>
              </c:pt>
              <c:pt idx="76">
                <c:v>2428423.7668109359</c:v>
              </c:pt>
              <c:pt idx="77">
                <c:v>2814434.2143271226</c:v>
              </c:pt>
              <c:pt idx="78">
                <c:v>3328409.1329685296</c:v>
              </c:pt>
              <c:pt idx="79">
                <c:v>3208574.1563883247</c:v>
              </c:pt>
              <c:pt idx="80">
                <c:v>2600543.7807138837</c:v>
              </c:pt>
              <c:pt idx="81">
                <c:v>2349832.829151615</c:v>
              </c:pt>
              <c:pt idx="82">
                <c:v>2498618.9578721034</c:v>
              </c:pt>
              <c:pt idx="83">
                <c:v>2938308.0695932875</c:v>
              </c:pt>
              <c:pt idx="84">
                <c:v>3071324.9950000001</c:v>
              </c:pt>
              <c:pt idx="85">
                <c:v>2666372.2849999997</c:v>
              </c:pt>
              <c:pt idx="86">
                <c:v>2546530.9850000003</c:v>
              </c:pt>
              <c:pt idx="87">
                <c:v>2264831.6450000005</c:v>
              </c:pt>
              <c:pt idx="88">
                <c:v>2374072.3450000002</c:v>
              </c:pt>
              <c:pt idx="89">
                <c:v>2730855.9550000001</c:v>
              </c:pt>
              <c:pt idx="90">
                <c:v>3088073.3649999998</c:v>
              </c:pt>
              <c:pt idx="91">
                <c:v>3001804.7750000008</c:v>
              </c:pt>
              <c:pt idx="92">
                <c:v>2480849.6549999998</c:v>
              </c:pt>
              <c:pt idx="93">
                <c:v>2292142.4449999998</c:v>
              </c:pt>
              <c:pt idx="94">
                <c:v>2465110.395</c:v>
              </c:pt>
              <c:pt idx="95">
                <c:v>2943153.125</c:v>
              </c:pt>
              <c:pt idx="96">
                <c:v>3049547.7566666673</c:v>
              </c:pt>
              <c:pt idx="97">
                <c:v>2738042.0766666671</c:v>
              </c:pt>
              <c:pt idx="98">
                <c:v>2539802.8466666667</c:v>
              </c:pt>
              <c:pt idx="99">
                <c:v>2256961.8666666667</c:v>
              </c:pt>
              <c:pt idx="100">
                <c:v>2365006.4466666668</c:v>
              </c:pt>
              <c:pt idx="101">
                <c:v>2719322.9966666666</c:v>
              </c:pt>
              <c:pt idx="102">
                <c:v>3066535.936666667</c:v>
              </c:pt>
              <c:pt idx="103">
                <c:v>2983172.5966666671</c:v>
              </c:pt>
              <c:pt idx="104">
                <c:v>2469192.2666666666</c:v>
              </c:pt>
              <c:pt idx="105">
                <c:v>2282452.1066666669</c:v>
              </c:pt>
              <c:pt idx="106">
                <c:v>2454242.146666667</c:v>
              </c:pt>
              <c:pt idx="107">
                <c:v>2929370.8966666674</c:v>
              </c:pt>
              <c:pt idx="108">
                <c:v>3042178.3916666661</c:v>
              </c:pt>
              <c:pt idx="109">
                <c:v>2646006.1916666673</c:v>
              </c:pt>
              <c:pt idx="110">
                <c:v>2531745.8416666663</c:v>
              </c:pt>
              <c:pt idx="111">
                <c:v>2250274.271666667</c:v>
              </c:pt>
              <c:pt idx="112">
                <c:v>2357007.1016666666</c:v>
              </c:pt>
              <c:pt idx="113">
                <c:v>2708887.7616666672</c:v>
              </c:pt>
              <c:pt idx="114">
                <c:v>3053908.5516666663</c:v>
              </c:pt>
              <c:pt idx="115">
                <c:v>2969029.6816666662</c:v>
              </c:pt>
              <c:pt idx="116">
                <c:v>2457341.6816666666</c:v>
              </c:pt>
              <c:pt idx="117">
                <c:v>2272165.5316666667</c:v>
              </c:pt>
              <c:pt idx="118">
                <c:v>2443022.561666667</c:v>
              </c:pt>
              <c:pt idx="119">
                <c:v>2913983.5316666663</c:v>
              </c:pt>
              <c:pt idx="120">
                <c:v>3037233.6633333336</c:v>
              </c:pt>
              <c:pt idx="121">
                <c:v>2641872.523333333</c:v>
              </c:pt>
              <c:pt idx="122">
                <c:v>2527205.7633333332</c:v>
              </c:pt>
              <c:pt idx="123">
                <c:v>2246749.3233333337</c:v>
              </c:pt>
              <c:pt idx="124">
                <c:v>2352812.6833333331</c:v>
              </c:pt>
              <c:pt idx="125">
                <c:v>2703589.7233333336</c:v>
              </c:pt>
              <c:pt idx="126">
                <c:v>3048232.2633333337</c:v>
              </c:pt>
              <c:pt idx="127">
                <c:v>2963741.0433333335</c:v>
              </c:pt>
              <c:pt idx="128">
                <c:v>2454254.5933333337</c:v>
              </c:pt>
              <c:pt idx="129">
                <c:v>2271000.1233333335</c:v>
              </c:pt>
              <c:pt idx="130">
                <c:v>2443230.4833333334</c:v>
              </c:pt>
              <c:pt idx="131">
                <c:v>2914357.2633333332</c:v>
              </c:pt>
              <c:pt idx="132">
                <c:v>3029657.603333333</c:v>
              </c:pt>
              <c:pt idx="133">
                <c:v>2636052.7633333327</c:v>
              </c:pt>
              <c:pt idx="134">
                <c:v>2522588.4933333336</c:v>
              </c:pt>
              <c:pt idx="135">
                <c:v>2245618.0033333334</c:v>
              </c:pt>
              <c:pt idx="136">
                <c:v>2350896.5533333332</c:v>
              </c:pt>
              <c:pt idx="137">
                <c:v>2697708.9533333336</c:v>
              </c:pt>
              <c:pt idx="138">
                <c:v>3040349.8133333335</c:v>
              </c:pt>
              <c:pt idx="139">
                <c:v>2956852.4733333327</c:v>
              </c:pt>
              <c:pt idx="140">
                <c:v>2450582.3733333331</c:v>
              </c:pt>
              <c:pt idx="141">
                <c:v>2268407.6133333337</c:v>
              </c:pt>
              <c:pt idx="142">
                <c:v>2439836.6333333338</c:v>
              </c:pt>
              <c:pt idx="143">
                <c:v>2908875.2633333332</c:v>
              </c:pt>
              <c:pt idx="144">
                <c:v>3021942.5650117067</c:v>
              </c:pt>
              <c:pt idx="145">
                <c:v>2715383.192814948</c:v>
              </c:pt>
              <c:pt idx="146">
                <c:v>2517260.6187988706</c:v>
              </c:pt>
              <c:pt idx="147">
                <c:v>2240812.8347827932</c:v>
              </c:pt>
              <c:pt idx="148">
                <c:v>2343238.8827658473</c:v>
              </c:pt>
              <c:pt idx="149">
                <c:v>2686618.6825941531</c:v>
              </c:pt>
              <c:pt idx="150">
                <c:v>3026931.9313372551</c:v>
              </c:pt>
              <c:pt idx="151">
                <c:v>2943017.1976852878</c:v>
              </c:pt>
              <c:pt idx="152">
                <c:v>2438904.5301199346</c:v>
              </c:pt>
              <c:pt idx="153">
                <c:v>2258306.8168031918</c:v>
              </c:pt>
              <c:pt idx="154">
                <c:v>2428199.0807895255</c:v>
              </c:pt>
              <c:pt idx="155">
                <c:v>2893337.8324964852</c:v>
              </c:pt>
              <c:pt idx="156">
                <c:v>3026490.9425775553</c:v>
              </c:pt>
              <c:pt idx="157">
                <c:v>2634287.6834268821</c:v>
              </c:pt>
              <c:pt idx="158">
                <c:v>2522887.6512755696</c:v>
              </c:pt>
              <c:pt idx="159">
                <c:v>2247435.9691242571</c:v>
              </c:pt>
              <c:pt idx="160">
                <c:v>2350976.1619086266</c:v>
              </c:pt>
              <c:pt idx="161">
                <c:v>2690394.0040295739</c:v>
              </c:pt>
              <c:pt idx="162">
                <c:v>3047398.7335874056</c:v>
              </c:pt>
              <c:pt idx="163">
                <c:v>2962632.9770760466</c:v>
              </c:pt>
              <c:pt idx="164">
                <c:v>2451241.9668278787</c:v>
              </c:pt>
              <c:pt idx="165">
                <c:v>2268689.0274132863</c:v>
              </c:pt>
              <c:pt idx="166">
                <c:v>2439382.5079295393</c:v>
              </c:pt>
              <c:pt idx="167">
                <c:v>2905176.6528233835</c:v>
              </c:pt>
              <c:pt idx="168">
                <c:v>3041269.9066792806</c:v>
              </c:pt>
              <c:pt idx="169">
                <c:v>2647235.9469833714</c:v>
              </c:pt>
              <c:pt idx="170">
                <c:v>2535195.6509855581</c:v>
              </c:pt>
              <c:pt idx="171">
                <c:v>2258141.254987746</c:v>
              </c:pt>
              <c:pt idx="172">
                <c:v>2363242.0461410615</c:v>
              </c:pt>
              <c:pt idx="173">
                <c:v>2715495.9394281195</c:v>
              </c:pt>
              <c:pt idx="174">
                <c:v>3063194.5652052523</c:v>
              </c:pt>
              <c:pt idx="175">
                <c:v>2977575.9624644797</c:v>
              </c:pt>
              <c:pt idx="176">
                <c:v>2461629.4057650096</c:v>
              </c:pt>
              <c:pt idx="177">
                <c:v>2277328.1685248236</c:v>
              </c:pt>
              <c:pt idx="178">
                <c:v>2447615.1389893796</c:v>
              </c:pt>
              <c:pt idx="179">
                <c:v>2914527.091845918</c:v>
              </c:pt>
              <c:pt idx="180">
                <c:v>3047590.8914824412</c:v>
              </c:pt>
              <c:pt idx="181">
                <c:v>2653359.8040109803</c:v>
              </c:pt>
              <c:pt idx="182">
                <c:v>2542566.6756418152</c:v>
              </c:pt>
              <c:pt idx="183">
                <c:v>2266492.6872726493</c:v>
              </c:pt>
              <c:pt idx="184">
                <c:v>2373008.6460929983</c:v>
              </c:pt>
              <c:pt idx="185">
                <c:v>2727566.5545247728</c:v>
              </c:pt>
              <c:pt idx="186">
                <c:v>3077639.2746413914</c:v>
              </c:pt>
              <c:pt idx="187">
                <c:v>2991522.2338450351</c:v>
              </c:pt>
              <c:pt idx="188">
                <c:v>2472343.1896663564</c:v>
              </c:pt>
              <c:pt idx="189">
                <c:v>2286535.9394447068</c:v>
              </c:pt>
              <c:pt idx="190">
                <c:v>2456039.301399285</c:v>
              </c:pt>
              <c:pt idx="191">
                <c:v>2922260.0999775678</c:v>
              </c:pt>
              <c:pt idx="192">
                <c:v>3056026.7635765662</c:v>
              </c:pt>
              <c:pt idx="193">
                <c:v>2747547.8302711258</c:v>
              </c:pt>
              <c:pt idx="194">
                <c:v>2551525.3820456765</c:v>
              </c:pt>
              <c:pt idx="195">
                <c:v>2276154.313820228</c:v>
              </c:pt>
              <c:pt idx="196">
                <c:v>2383842.3675171821</c:v>
              </c:pt>
              <c:pt idx="197">
                <c:v>2740626.7643019869</c:v>
              </c:pt>
              <c:pt idx="198">
                <c:v>3093419.7941791429</c:v>
              </c:pt>
              <c:pt idx="199">
                <c:v>3006626.0987664498</c:v>
              </c:pt>
              <c:pt idx="200">
                <c:v>2484803.9957056213</c:v>
              </c:pt>
              <c:pt idx="201">
                <c:v>2297831.4868293069</c:v>
              </c:pt>
              <c:pt idx="202">
                <c:v>2467172.538688187</c:v>
              </c:pt>
              <c:pt idx="203">
                <c:v>2933572.9122985308</c:v>
              </c:pt>
              <c:pt idx="204">
                <c:v>3068339.3111127396</c:v>
              </c:pt>
              <c:pt idx="205">
                <c:v>2672807.5923217856</c:v>
              </c:pt>
              <c:pt idx="206">
                <c:v>2564939.5590368621</c:v>
              </c:pt>
              <c:pt idx="207">
                <c:v>2290747.1257519391</c:v>
              </c:pt>
              <c:pt idx="208">
                <c:v>2400095.1725763585</c:v>
              </c:pt>
              <c:pt idx="209">
                <c:v>2759555.0688749659</c:v>
              </c:pt>
              <c:pt idx="210">
                <c:v>3116255.9911466599</c:v>
              </c:pt>
              <c:pt idx="211">
                <c:v>3031153.3815538604</c:v>
              </c:pt>
              <c:pt idx="212">
                <c:v>2504246.0016665077</c:v>
              </c:pt>
              <c:pt idx="213">
                <c:v>2315958.7656107312</c:v>
              </c:pt>
              <c:pt idx="214">
                <c:v>2483886.154693644</c:v>
              </c:pt>
              <c:pt idx="215">
                <c:v>2950192.1236539455</c:v>
              </c:pt>
              <c:pt idx="216">
                <c:v>3079367.4916937947</c:v>
              </c:pt>
              <c:pt idx="217">
                <c:v>2683557.4036929836</c:v>
              </c:pt>
              <c:pt idx="218">
                <c:v>2577323.1617024345</c:v>
              </c:pt>
              <c:pt idx="219">
                <c:v>2304238.6797118862</c:v>
              </c:pt>
              <c:pt idx="220">
                <c:v>2417027.9794377126</c:v>
              </c:pt>
              <c:pt idx="221">
                <c:v>2779901.2930634967</c:v>
              </c:pt>
              <c:pt idx="222">
                <c:v>3138072.9214674346</c:v>
              </c:pt>
              <c:pt idx="223">
                <c:v>3055075.9780732915</c:v>
              </c:pt>
              <c:pt idx="224">
                <c:v>2521976.0322939856</c:v>
              </c:pt>
              <c:pt idx="225">
                <c:v>2331800.37896749</c:v>
              </c:pt>
              <c:pt idx="226">
                <c:v>2497856.3395437277</c:v>
              </c:pt>
              <c:pt idx="227">
                <c:v>2963374.018351763</c:v>
              </c:pt>
            </c:numLit>
          </c:val>
          <c:smooth val="0"/>
          <c:extLst>
            <c:ext xmlns:c16="http://schemas.microsoft.com/office/drawing/2014/chart" uri="{C3380CC4-5D6E-409C-BE32-E72D297353CC}">
              <c16:uniqueId val="{00000000-ACE2-424E-8B46-0CD0EDF183EA}"/>
            </c:ext>
          </c:extLst>
        </c:ser>
        <c:dLbls>
          <c:showLegendKey val="0"/>
          <c:showVal val="0"/>
          <c:showCatName val="0"/>
          <c:showSerName val="0"/>
          <c:showPercent val="0"/>
          <c:showBubbleSize val="0"/>
        </c:dLbls>
        <c:smooth val="0"/>
        <c:axId val="544248584"/>
        <c:axId val="544247600"/>
      </c:lineChart>
      <c:catAx>
        <c:axId val="5442485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247600"/>
        <c:crosses val="autoZero"/>
        <c:auto val="1"/>
        <c:lblAlgn val="ctr"/>
        <c:lblOffset val="100"/>
        <c:noMultiLvlLbl val="0"/>
      </c:catAx>
      <c:valAx>
        <c:axId val="544247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248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53975</xdr:colOff>
      <xdr:row>123</xdr:row>
      <xdr:rowOff>104775</xdr:rowOff>
    </xdr:from>
    <xdr:to>
      <xdr:col>13</xdr:col>
      <xdr:colOff>0</xdr:colOff>
      <xdr:row>138</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AEM%20MISO%20Netting%20-%20November%202008%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OUTP\98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e50246\Local%20Settings\Temporary%20Internet%20Files\OLK654\AEM%20MISO%20Netting%20-%20March%20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Supporting%20Calculations\AMAT%20report%20of%20AEM%20MISO%20Netting%20-%20January%20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e50246\Local%20Settings\Temporary%20Internet%20Files\OLK654\AEM%20MISO%20Netting%20-%20February%20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AEM%20MISO%20Netting%20-%20April%202008%2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e50246\Local%20Settings\Temporary%20Internet%20Files\OLK654\AEM%20MISO%20Netting%20-%20February%202008%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AEM%20MISO%20Netting%20-%20September%20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e39319\Local%20Settings\Temporary%20Internet%20Files\OLK35\AEM%20MISO%20Netting%20-%20June%20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OUTP\9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
      <sheetName val="_pcHiddenSheet5"/>
      <sheetName val="_pcSlicerSheet1"/>
      <sheetName val="_pcHiddenSheet10"/>
      <sheetName val="MISO Speculative Netting"/>
      <sheetName val="_pcSlicerSheet2"/>
      <sheetName val="_pcHiddenSheet11"/>
      <sheetName val="_pcSlicerSheet3"/>
      <sheetName val="_pcHiddenSheet12"/>
      <sheetName val="MISO Hedge Netting"/>
    </sheetNames>
    <sheetDataSet>
      <sheetData sheetId="0" refreshError="1"/>
      <sheetData sheetId="1">
        <row r="3">
          <cell r="A3" t="str">
            <v>__MISO_Hrly_Spec_Gross_Purchases_01</v>
          </cell>
        </row>
        <row r="4">
          <cell r="A4" t="str">
            <v>__MISO_Hrly_Spec_Gross_Sales_01</v>
          </cell>
        </row>
      </sheetData>
      <sheetData sheetId="2"/>
      <sheetData sheetId="3" refreshError="1"/>
      <sheetData sheetId="4"/>
      <sheetData sheetId="5" refreshError="1"/>
      <sheetData sheetId="6" refreshError="1"/>
      <sheetData sheetId="7"/>
      <sheetData sheetId="8" refreshError="1"/>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sheetName val="sale"/>
      <sheetName val="CIPS"/>
      <sheetName val="UE"/>
      <sheetName val="eei"/>
      <sheetName val="kcp&amp;l-col"/>
      <sheetName val="Sheet1"/>
      <sheetName val="ACCOUNTING"/>
      <sheetName val="Output"/>
      <sheetName val="pool"/>
      <sheetName val="spa"/>
      <sheetName val="PURCHASES"/>
      <sheetName val="SALES"/>
      <sheetName val="carls"/>
      <sheetName val="CILCO"/>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HiddenSheet6"/>
      <sheetName val="_pcHiddenSheet7"/>
      <sheetName val="MISO Speculative Netting"/>
      <sheetName val="_pcHiddenSheet4"/>
      <sheetName val="_pcHiddenSheet5"/>
    </sheetNames>
    <sheetDataSet>
      <sheetData sheetId="0"/>
      <sheetData sheetId="1" refreshError="1">
        <row r="5">
          <cell r="A5" t="str">
            <v>__ORIG_COST_TRAN_MW_AVG_ORG_PURCH_PRICE_for_01</v>
          </cell>
        </row>
        <row r="6">
          <cell r="A6" t="str">
            <v>_REVENUE_TRAN_MW_AVG_ORG_SALES_PRICE_for_April_00</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HiddenSheet6"/>
      <sheetName val="_pcHiddenSheet7"/>
      <sheetName val="MISO Speculative Netting"/>
      <sheetName val="_pcHiddenSheet4"/>
      <sheetName val="_pcHiddenSheet5"/>
    </sheetNames>
    <sheetDataSet>
      <sheetData sheetId="0" refreshError="1"/>
      <sheetData sheetId="1" refreshError="1">
        <row r="3">
          <cell r="A3" t="str">
            <v>__ORIG_COST_TRAN_MW_AVG_ORG_PURCH_PRICE_for_02</v>
          </cell>
        </row>
        <row r="4">
          <cell r="A4" t="str">
            <v>__REVENUE_TRAN_MW_AVG_ORG_SALES_PRICE_for_April_02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2"/>
      <sheetName val="_pcHiddenSheet5"/>
      <sheetName val="_pcSlicerSheet3"/>
      <sheetName val="_pcHiddenSheet8"/>
      <sheetName val="_pcSlicerSheet4"/>
      <sheetName val="_pcHiddenSheet6"/>
      <sheetName val="_pcSlicerSheet5"/>
      <sheetName val="_pcHiddenSheet7"/>
      <sheetName val="MISO Hedge Netting"/>
    </sheetNames>
    <sheetDataSet>
      <sheetData sheetId="0" refreshError="1"/>
      <sheetData sheetId="1" refreshError="1">
        <row r="5">
          <cell r="A5" t="str">
            <v>__ORIG_COST_TRAN_MW_AVG_ORG_PURCH_PRICE_for_MISO_01</v>
          </cell>
        </row>
        <row r="6">
          <cell r="A6" t="str">
            <v>__REVENUE_TRAN_MW_AVG_ORG_SALES_PRICE_for_MISO_01</v>
          </cell>
        </row>
      </sheetData>
      <sheetData sheetId="2" refreshError="1">
        <row r="2">
          <cell r="A2" t="str">
            <v>January</v>
          </cell>
        </row>
        <row r="3">
          <cell r="A3" t="str">
            <v>February</v>
          </cell>
        </row>
        <row r="4">
          <cell r="A4" t="str">
            <v>March</v>
          </cell>
        </row>
        <row r="5">
          <cell r="A5" t="str">
            <v>January</v>
          </cell>
        </row>
        <row r="6">
          <cell r="A6" t="str">
            <v>February</v>
          </cell>
        </row>
        <row r="7">
          <cell r="A7" t="str">
            <v>March</v>
          </cell>
        </row>
      </sheetData>
      <sheetData sheetId="3" refreshError="1"/>
      <sheetData sheetId="4" refreshError="1">
        <row r="2">
          <cell r="A2" t="str">
            <v>January</v>
          </cell>
        </row>
        <row r="3">
          <cell r="A3" t="str">
            <v>February</v>
          </cell>
        </row>
        <row r="4">
          <cell r="A4" t="str">
            <v>March</v>
          </cell>
        </row>
        <row r="5">
          <cell r="A5" t="str">
            <v>January</v>
          </cell>
        </row>
        <row r="6">
          <cell r="A6" t="str">
            <v>February</v>
          </cell>
        </row>
        <row r="7">
          <cell r="A7" t="str">
            <v>March</v>
          </cell>
        </row>
      </sheetData>
      <sheetData sheetId="5" refreshError="1"/>
      <sheetData sheetId="6"/>
      <sheetData sheetId="7" refreshError="1"/>
      <sheetData sheetId="8"/>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2"/>
      <sheetName val="_pcHiddenSheet10"/>
      <sheetName val="_pcSlicerSheet4"/>
      <sheetName val="_pcHiddenSheet12"/>
      <sheetName val="MISO Spec Netting"/>
      <sheetName val="MISO Hedge Netting"/>
      <sheetName val="_pcSlicerSheet"/>
      <sheetName val="_pcHiddenSheet8"/>
      <sheetName val="_pcSlicerSheet1"/>
      <sheetName val="_pcHiddenSheet9"/>
    </sheetNames>
    <sheetDataSet>
      <sheetData sheetId="0"/>
      <sheetData sheetId="1" refreshError="1">
        <row r="3">
          <cell r="A3" t="str">
            <v>_ORIG_COST_TRAN_MW_AVG_ORG_PURCH_PRICE_for_MISO_00</v>
          </cell>
        </row>
        <row r="4">
          <cell r="A4" t="str">
            <v>_REVENUE_TRAN_MW_AVG_ORG_SALES_PRICE_for_MISO_00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2"/>
      <sheetName val="_pcHiddenSheet5"/>
      <sheetName val="_pcSlicerSheet3"/>
      <sheetName val="_pcHiddenSheet8"/>
      <sheetName val="MISO Speculative Netting"/>
      <sheetName val="_pcSlicerSheet4"/>
      <sheetName val="_pcHiddenSheet6"/>
      <sheetName val="_pcSlicerSheet5"/>
      <sheetName val="_pcHiddenSheet7"/>
      <sheetName val="MISO Hedge Netting"/>
    </sheetNames>
    <sheetDataSet>
      <sheetData sheetId="0" refreshError="1"/>
      <sheetData sheetId="1"/>
      <sheetData sheetId="2"/>
      <sheetData sheetId="3" refreshError="1"/>
      <sheetData sheetId="4"/>
      <sheetData sheetId="5" refreshError="1"/>
      <sheetData sheetId="6" refreshError="1"/>
      <sheetData sheetId="7" refreshError="1">
        <row r="2">
          <cell r="A2" t="str">
            <v>January</v>
          </cell>
        </row>
        <row r="3">
          <cell r="A3" t="str">
            <v>February</v>
          </cell>
        </row>
        <row r="4">
          <cell r="A4" t="str">
            <v>March</v>
          </cell>
        </row>
        <row r="5">
          <cell r="A5" t="str">
            <v>January</v>
          </cell>
        </row>
        <row r="6">
          <cell r="A6" t="str">
            <v>February</v>
          </cell>
        </row>
        <row r="7">
          <cell r="A7" t="str">
            <v>March</v>
          </cell>
        </row>
      </sheetData>
      <sheetData sheetId="8" refreshError="1"/>
      <sheetData sheetId="9" refreshError="1">
        <row r="2">
          <cell r="A2" t="str">
            <v>January</v>
          </cell>
        </row>
        <row r="3">
          <cell r="A3" t="str">
            <v>February</v>
          </cell>
        </row>
        <row r="4">
          <cell r="A4" t="str">
            <v>March</v>
          </cell>
        </row>
        <row r="5">
          <cell r="A5" t="str">
            <v>January</v>
          </cell>
        </row>
        <row r="6">
          <cell r="A6" t="str">
            <v>February</v>
          </cell>
        </row>
        <row r="7">
          <cell r="A7" t="str">
            <v>March</v>
          </cell>
        </row>
      </sheetData>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6"/>
      <sheetName val="_pcHiddenSheet8"/>
      <sheetName val="_pcSlicerSheet7"/>
      <sheetName val="_pcHiddenSheet9"/>
      <sheetName val="MISO Speculative Netting"/>
      <sheetName val="_pcSlicerSheet4"/>
      <sheetName val="_pcHiddenSheet6"/>
      <sheetName val="_pcSlicerSheet5"/>
      <sheetName val="_pcHiddenSheet7"/>
      <sheetName val="MISO Hedge Netting"/>
    </sheetNames>
    <sheetDataSet>
      <sheetData sheetId="0" refreshError="1"/>
      <sheetData sheetId="1"/>
      <sheetData sheetId="2">
        <row r="2">
          <cell r="A2" t="str">
            <v>January</v>
          </cell>
        </row>
        <row r="3">
          <cell r="A3" t="str">
            <v>February</v>
          </cell>
        </row>
        <row r="4">
          <cell r="A4" t="str">
            <v>March</v>
          </cell>
        </row>
        <row r="5">
          <cell r="A5" t="str">
            <v>January</v>
          </cell>
        </row>
        <row r="6">
          <cell r="A6" t="str">
            <v>February</v>
          </cell>
        </row>
        <row r="7">
          <cell r="A7" t="str">
            <v>March</v>
          </cell>
        </row>
        <row r="8">
          <cell r="A8" t="str">
            <v>April</v>
          </cell>
        </row>
        <row r="9">
          <cell r="A9" t="str">
            <v>May</v>
          </cell>
        </row>
        <row r="10">
          <cell r="A10" t="str">
            <v>June</v>
          </cell>
        </row>
        <row r="11">
          <cell r="A11" t="str">
            <v>April</v>
          </cell>
        </row>
        <row r="12">
          <cell r="A12" t="str">
            <v>May</v>
          </cell>
        </row>
        <row r="13">
          <cell r="A13" t="str">
            <v>June</v>
          </cell>
        </row>
        <row r="14">
          <cell r="A14" t="str">
            <v>July</v>
          </cell>
        </row>
        <row r="15">
          <cell r="A15" t="str">
            <v>August</v>
          </cell>
        </row>
        <row r="16">
          <cell r="A16" t="str">
            <v>September</v>
          </cell>
        </row>
        <row r="17">
          <cell r="A17" t="str">
            <v>July</v>
          </cell>
        </row>
        <row r="18">
          <cell r="A18" t="str">
            <v>August</v>
          </cell>
        </row>
        <row r="19">
          <cell r="A19" t="str">
            <v>September</v>
          </cell>
        </row>
        <row r="20">
          <cell r="A20" t="str">
            <v>October</v>
          </cell>
        </row>
        <row r="21">
          <cell r="A21" t="str">
            <v>November</v>
          </cell>
        </row>
        <row r="22">
          <cell r="A22" t="str">
            <v>December</v>
          </cell>
        </row>
        <row r="23">
          <cell r="A23" t="str">
            <v>October</v>
          </cell>
        </row>
      </sheetData>
      <sheetData sheetId="3" refreshError="1"/>
      <sheetData sheetId="4">
        <row r="2">
          <cell r="A2" t="str">
            <v>January</v>
          </cell>
        </row>
        <row r="3">
          <cell r="A3" t="str">
            <v>February</v>
          </cell>
        </row>
        <row r="4">
          <cell r="A4" t="str">
            <v>March</v>
          </cell>
        </row>
        <row r="5">
          <cell r="A5" t="str">
            <v>January</v>
          </cell>
        </row>
        <row r="6">
          <cell r="A6" t="str">
            <v>February</v>
          </cell>
        </row>
        <row r="7">
          <cell r="A7" t="str">
            <v>March</v>
          </cell>
        </row>
        <row r="8">
          <cell r="A8" t="str">
            <v>April</v>
          </cell>
        </row>
        <row r="9">
          <cell r="A9" t="str">
            <v>May</v>
          </cell>
        </row>
        <row r="10">
          <cell r="A10" t="str">
            <v>June</v>
          </cell>
        </row>
        <row r="11">
          <cell r="A11" t="str">
            <v>April</v>
          </cell>
        </row>
        <row r="12">
          <cell r="A12" t="str">
            <v>May</v>
          </cell>
        </row>
        <row r="13">
          <cell r="A13" t="str">
            <v>June</v>
          </cell>
        </row>
        <row r="14">
          <cell r="A14" t="str">
            <v>July</v>
          </cell>
        </row>
        <row r="15">
          <cell r="A15" t="str">
            <v>August</v>
          </cell>
        </row>
        <row r="16">
          <cell r="A16" t="str">
            <v>September</v>
          </cell>
        </row>
        <row r="17">
          <cell r="A17" t="str">
            <v>July</v>
          </cell>
        </row>
        <row r="18">
          <cell r="A18" t="str">
            <v>August</v>
          </cell>
        </row>
        <row r="19">
          <cell r="A19" t="str">
            <v>September</v>
          </cell>
        </row>
        <row r="20">
          <cell r="A20" t="str">
            <v>October</v>
          </cell>
        </row>
        <row r="21">
          <cell r="A21" t="str">
            <v>November</v>
          </cell>
        </row>
        <row r="22">
          <cell r="A22" t="str">
            <v>December</v>
          </cell>
        </row>
        <row r="23">
          <cell r="A23" t="str">
            <v>October</v>
          </cell>
        </row>
      </sheetData>
      <sheetData sheetId="5" refreshError="1"/>
      <sheetData sheetId="6" refreshError="1"/>
      <sheetData sheetId="7"/>
      <sheetData sheetId="8" refreshError="1"/>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8"/>
      <sheetName val="_pcHiddenSheet13"/>
      <sheetName val="_pcSlicerSheet9"/>
      <sheetName val="_pcHiddenSheet14"/>
      <sheetName val="MISO Spec Netting"/>
      <sheetName val="_pcSlicerSheet10"/>
      <sheetName val="_pcHiddenSheet15"/>
      <sheetName val="_pcSlicerSheet11"/>
      <sheetName val="_pcHiddenSheet16"/>
      <sheetName val="MISO Hedge Netting"/>
    </sheetNames>
    <sheetDataSet>
      <sheetData sheetId="0"/>
      <sheetData sheetId="1"/>
      <sheetData sheetId="2">
        <row r="2">
          <cell r="A2" t="str">
            <v>January</v>
          </cell>
        </row>
        <row r="3">
          <cell r="A3" t="str">
            <v>February</v>
          </cell>
        </row>
        <row r="4">
          <cell r="A4" t="str">
            <v>March</v>
          </cell>
        </row>
        <row r="5">
          <cell r="A5" t="str">
            <v>January</v>
          </cell>
        </row>
        <row r="6">
          <cell r="A6" t="str">
            <v>February</v>
          </cell>
        </row>
        <row r="7">
          <cell r="A7" t="str">
            <v>March</v>
          </cell>
        </row>
        <row r="8">
          <cell r="A8" t="str">
            <v>January</v>
          </cell>
        </row>
        <row r="9">
          <cell r="A9" t="str">
            <v>February</v>
          </cell>
        </row>
        <row r="10">
          <cell r="A10" t="str">
            <v>March</v>
          </cell>
        </row>
        <row r="11">
          <cell r="A11" t="str">
            <v>April</v>
          </cell>
        </row>
        <row r="12">
          <cell r="A12" t="str">
            <v>May</v>
          </cell>
        </row>
        <row r="13">
          <cell r="A13" t="str">
            <v>June</v>
          </cell>
        </row>
        <row r="14">
          <cell r="A14" t="str">
            <v>April</v>
          </cell>
        </row>
        <row r="15">
          <cell r="A15" t="str">
            <v>May</v>
          </cell>
        </row>
        <row r="16">
          <cell r="A16" t="str">
            <v>June</v>
          </cell>
        </row>
        <row r="17">
          <cell r="A17" t="str">
            <v>April</v>
          </cell>
        </row>
        <row r="18">
          <cell r="A18" t="str">
            <v>May</v>
          </cell>
        </row>
        <row r="19">
          <cell r="A19" t="str">
            <v>June</v>
          </cell>
        </row>
        <row r="20">
          <cell r="A20" t="str">
            <v>July</v>
          </cell>
        </row>
        <row r="21">
          <cell r="A21" t="str">
            <v>August</v>
          </cell>
        </row>
        <row r="22">
          <cell r="A22" t="str">
            <v>September</v>
          </cell>
        </row>
        <row r="23">
          <cell r="A23" t="str">
            <v>July</v>
          </cell>
        </row>
        <row r="24">
          <cell r="A24" t="str">
            <v>August</v>
          </cell>
        </row>
        <row r="25">
          <cell r="A25" t="str">
            <v>September</v>
          </cell>
        </row>
        <row r="26">
          <cell r="A26" t="str">
            <v>July</v>
          </cell>
        </row>
      </sheetData>
      <sheetData sheetId="3"/>
      <sheetData sheetId="4">
        <row r="2">
          <cell r="A2" t="str">
            <v>January</v>
          </cell>
        </row>
        <row r="3">
          <cell r="A3" t="str">
            <v>February</v>
          </cell>
        </row>
        <row r="4">
          <cell r="A4" t="str">
            <v>March</v>
          </cell>
        </row>
        <row r="5">
          <cell r="A5" t="str">
            <v>January</v>
          </cell>
        </row>
        <row r="6">
          <cell r="A6" t="str">
            <v>February</v>
          </cell>
        </row>
        <row r="7">
          <cell r="A7" t="str">
            <v>March</v>
          </cell>
        </row>
        <row r="8">
          <cell r="A8" t="str">
            <v>January</v>
          </cell>
        </row>
        <row r="9">
          <cell r="A9" t="str">
            <v>February</v>
          </cell>
        </row>
        <row r="10">
          <cell r="A10" t="str">
            <v>March</v>
          </cell>
        </row>
        <row r="11">
          <cell r="A11" t="str">
            <v>April</v>
          </cell>
        </row>
        <row r="12">
          <cell r="A12" t="str">
            <v>May</v>
          </cell>
        </row>
        <row r="13">
          <cell r="A13" t="str">
            <v>June</v>
          </cell>
        </row>
        <row r="14">
          <cell r="A14" t="str">
            <v>April</v>
          </cell>
        </row>
        <row r="15">
          <cell r="A15" t="str">
            <v>May</v>
          </cell>
        </row>
        <row r="16">
          <cell r="A16" t="str">
            <v>June</v>
          </cell>
        </row>
        <row r="17">
          <cell r="A17" t="str">
            <v>April</v>
          </cell>
        </row>
        <row r="18">
          <cell r="A18" t="str">
            <v>May</v>
          </cell>
        </row>
        <row r="19">
          <cell r="A19" t="str">
            <v>June</v>
          </cell>
        </row>
        <row r="20">
          <cell r="A20" t="str">
            <v>July</v>
          </cell>
        </row>
        <row r="21">
          <cell r="A21" t="str">
            <v>August</v>
          </cell>
        </row>
        <row r="22">
          <cell r="A22" t="str">
            <v>September</v>
          </cell>
        </row>
        <row r="23">
          <cell r="A23" t="str">
            <v>July</v>
          </cell>
        </row>
        <row r="24">
          <cell r="A24" t="str">
            <v>August</v>
          </cell>
        </row>
        <row r="25">
          <cell r="A25" t="str">
            <v>September</v>
          </cell>
        </row>
        <row r="26">
          <cell r="A26" t="str">
            <v>July</v>
          </cell>
        </row>
      </sheetData>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
      <sheetName val="CIPS"/>
      <sheetName val="UE"/>
      <sheetName val="eei"/>
      <sheetName val="Purchase"/>
      <sheetName val="pool"/>
      <sheetName val="kcp&amp;l-col"/>
      <sheetName val="spa"/>
      <sheetName val="Sheet1"/>
      <sheetName val="ACCOUNTING"/>
      <sheetName val="OUTPUT"/>
      <sheetName val="PURCHASES"/>
      <sheetName val="SALES"/>
      <sheetName val="carls"/>
      <sheetName val="CILCO"/>
    </sheetNames>
    <sheetDataSet>
      <sheetData sheetId="0"/>
      <sheetData sheetId="1" refreshError="1"/>
      <sheetData sheetId="2" refreshError="1"/>
      <sheetData sheetId="3"/>
      <sheetData sheetId="4" refreshError="1">
        <row r="1">
          <cell r="A1">
            <v>36039</v>
          </cell>
          <cell r="B1" t="str">
            <v>AMEREN SERVICES</v>
          </cell>
        </row>
        <row r="2">
          <cell r="A2" t="str">
            <v>Interchange Power Received</v>
          </cell>
        </row>
        <row r="4">
          <cell r="C4" t="str">
            <v>Total</v>
          </cell>
          <cell r="D4" t="str">
            <v>Energy</v>
          </cell>
        </row>
        <row r="5">
          <cell r="C5" t="str">
            <v>Purchased</v>
          </cell>
          <cell r="D5" t="str">
            <v>Cost</v>
          </cell>
        </row>
        <row r="6">
          <cell r="A6" t="str">
            <v>Supplier</v>
          </cell>
          <cell r="B6" t="str">
            <v>KWH</v>
          </cell>
          <cell r="C6" t="str">
            <v>Cost $</v>
          </cell>
          <cell r="D6" t="str">
            <v xml:space="preserve"> $</v>
          </cell>
        </row>
        <row r="7">
          <cell r="A7" t="str">
            <v>Purchased Power</v>
          </cell>
        </row>
        <row r="8">
          <cell r="A8" t="str">
            <v>Arkansas Power &amp; Light</v>
          </cell>
        </row>
        <row r="9">
          <cell r="A9" t="str">
            <v>Associated Elec Coop</v>
          </cell>
        </row>
        <row r="10">
          <cell r="A10" t="str">
            <v xml:space="preserve">Browning-Ferris </v>
          </cell>
        </row>
        <row r="11">
          <cell r="A11" t="str">
            <v>Cips Co-Gen contracts</v>
          </cell>
        </row>
        <row r="12">
          <cell r="A12" t="str">
            <v>Electric Energy ,Inc.</v>
          </cell>
          <cell r="B12">
            <v>79154000</v>
          </cell>
          <cell r="C12">
            <v>1675176.96</v>
          </cell>
          <cell r="D12">
            <v>727972.75</v>
          </cell>
        </row>
        <row r="13">
          <cell r="A13" t="str">
            <v xml:space="preserve">   EEI TRANSFERRED</v>
          </cell>
          <cell r="B13">
            <v>-79154000</v>
          </cell>
          <cell r="C13">
            <v>-1675176.96</v>
          </cell>
          <cell r="D13">
            <v>-727972.75</v>
          </cell>
        </row>
        <row r="14">
          <cell r="A14" t="str">
            <v>Hercules - (Aqualon)</v>
          </cell>
        </row>
        <row r="15">
          <cell r="A15" t="str">
            <v>Illinois Power</v>
          </cell>
        </row>
        <row r="16">
          <cell r="A16" t="str">
            <v>Sikeston</v>
          </cell>
        </row>
        <row r="17">
          <cell r="A17" t="str">
            <v xml:space="preserve">Waste Management </v>
          </cell>
        </row>
        <row r="18">
          <cell r="A18" t="str">
            <v>Total Purchases</v>
          </cell>
          <cell r="B18">
            <v>0</v>
          </cell>
          <cell r="C18">
            <v>0</v>
          </cell>
          <cell r="D18">
            <v>0</v>
          </cell>
        </row>
        <row r="19">
          <cell r="A19" t="str">
            <v xml:space="preserve">   EEI TRANSFERRED</v>
          </cell>
          <cell r="B19">
            <v>0</v>
          </cell>
          <cell r="C19">
            <v>0</v>
          </cell>
          <cell r="D19">
            <v>0</v>
          </cell>
        </row>
        <row r="20">
          <cell r="A20" t="str">
            <v xml:space="preserve">   Purchase of Joppa From CIPS</v>
          </cell>
        </row>
        <row r="21">
          <cell r="A21" t="str">
            <v>Hercules - (Aqualon)</v>
          </cell>
        </row>
        <row r="22">
          <cell r="A22" t="str">
            <v xml:space="preserve">           Interchange Purchases From-</v>
          </cell>
        </row>
        <row r="23">
          <cell r="A23" t="str">
            <v>ALABAMA ELE. COOP.</v>
          </cell>
          <cell r="B23">
            <v>0</v>
          </cell>
          <cell r="C23">
            <v>0</v>
          </cell>
          <cell r="D23">
            <v>0</v>
          </cell>
        </row>
        <row r="24">
          <cell r="A24" t="str">
            <v>AMER ELE PWR</v>
          </cell>
          <cell r="B24">
            <v>42237000</v>
          </cell>
          <cell r="C24">
            <v>1292862.5</v>
          </cell>
          <cell r="D24">
            <v>1292862.5</v>
          </cell>
        </row>
        <row r="25">
          <cell r="A25" t="str">
            <v>AQUILA POWER</v>
          </cell>
          <cell r="B25">
            <v>6068000</v>
          </cell>
          <cell r="C25">
            <v>138700</v>
          </cell>
          <cell r="D25">
            <v>138700</v>
          </cell>
        </row>
        <row r="26">
          <cell r="A26" t="str">
            <v>ARKANSAS ELECTRIC COOP.</v>
          </cell>
          <cell r="B26">
            <v>4510000</v>
          </cell>
          <cell r="C26">
            <v>123060</v>
          </cell>
          <cell r="D26">
            <v>123060</v>
          </cell>
        </row>
        <row r="27">
          <cell r="A27" t="str">
            <v>ASSO. ELEC COOP</v>
          </cell>
          <cell r="B27">
            <v>2975500</v>
          </cell>
          <cell r="C27">
            <v>88989</v>
          </cell>
          <cell r="D27">
            <v>88989</v>
          </cell>
        </row>
        <row r="28">
          <cell r="A28" t="str">
            <v>BYNG Public Wks.</v>
          </cell>
          <cell r="B28">
            <v>0</v>
          </cell>
          <cell r="C28">
            <v>0</v>
          </cell>
          <cell r="D28">
            <v>0</v>
          </cell>
        </row>
        <row r="29">
          <cell r="A29" t="str">
            <v>Carolina Power &amp; Light</v>
          </cell>
          <cell r="B29">
            <v>0</v>
          </cell>
          <cell r="C29">
            <v>0</v>
          </cell>
          <cell r="D29">
            <v>0</v>
          </cell>
        </row>
        <row r="30">
          <cell r="A30" t="str">
            <v>VITOL GAS/ELE</v>
          </cell>
          <cell r="B30">
            <v>200000</v>
          </cell>
          <cell r="C30">
            <v>9650</v>
          </cell>
          <cell r="D30">
            <v>9650</v>
          </cell>
        </row>
        <row r="31">
          <cell r="A31" t="str">
            <v>CEN LOUISIANA ELE. CO.</v>
          </cell>
          <cell r="B31">
            <v>2951000</v>
          </cell>
          <cell r="C31">
            <v>109962.5</v>
          </cell>
          <cell r="D31">
            <v>109962.5</v>
          </cell>
        </row>
        <row r="32">
          <cell r="A32" t="str">
            <v>CENTRAL  S.W.</v>
          </cell>
          <cell r="B32">
            <v>10500000</v>
          </cell>
          <cell r="C32">
            <v>364425</v>
          </cell>
          <cell r="D32">
            <v>364425</v>
          </cell>
        </row>
        <row r="33">
          <cell r="A33" t="str">
            <v>CINERGY</v>
          </cell>
          <cell r="B33">
            <v>3264000</v>
          </cell>
          <cell r="C33">
            <v>94690</v>
          </cell>
          <cell r="D33">
            <v>94690</v>
          </cell>
        </row>
        <row r="34">
          <cell r="A34" t="str">
            <v>CIPS</v>
          </cell>
          <cell r="B34">
            <v>0</v>
          </cell>
          <cell r="C34">
            <v>0</v>
          </cell>
          <cell r="D34">
            <v>0</v>
          </cell>
        </row>
        <row r="35">
          <cell r="A35" t="str">
            <v>CITY OF SIKESTON</v>
          </cell>
          <cell r="B35">
            <v>240000</v>
          </cell>
          <cell r="C35">
            <v>4800</v>
          </cell>
          <cell r="D35">
            <v>4800</v>
          </cell>
        </row>
        <row r="36">
          <cell r="A36" t="str">
            <v>COASTEL ELE. SER.</v>
          </cell>
          <cell r="B36">
            <v>0</v>
          </cell>
          <cell r="C36">
            <v>0</v>
          </cell>
          <cell r="D36">
            <v>0</v>
          </cell>
        </row>
        <row r="37">
          <cell r="A37" t="str">
            <v>COMMONWEALTH EDISON</v>
          </cell>
          <cell r="B37">
            <v>22115000</v>
          </cell>
          <cell r="C37">
            <v>723320.51</v>
          </cell>
          <cell r="D37">
            <v>715820.51</v>
          </cell>
        </row>
        <row r="38">
          <cell r="A38" t="str">
            <v>CORAL POWER</v>
          </cell>
          <cell r="B38">
            <v>750000</v>
          </cell>
          <cell r="C38">
            <v>25800</v>
          </cell>
          <cell r="D38">
            <v>25800</v>
          </cell>
        </row>
        <row r="39">
          <cell r="A39" t="str">
            <v>DELHI ENERGY</v>
          </cell>
          <cell r="B39">
            <v>0</v>
          </cell>
          <cell r="C39">
            <v>0</v>
          </cell>
          <cell r="D39">
            <v>0</v>
          </cell>
        </row>
        <row r="40">
          <cell r="A40" t="str">
            <v>DUKE POWER</v>
          </cell>
          <cell r="B40">
            <v>0</v>
          </cell>
          <cell r="C40">
            <v>0</v>
          </cell>
          <cell r="D40">
            <v>0</v>
          </cell>
        </row>
        <row r="41">
          <cell r="A41" t="str">
            <v>DUKE/LOUIS DREYFUS</v>
          </cell>
          <cell r="B41">
            <v>1700000</v>
          </cell>
          <cell r="C41">
            <v>52600</v>
          </cell>
          <cell r="D41">
            <v>52600</v>
          </cell>
        </row>
        <row r="42">
          <cell r="A42" t="str">
            <v>Electric Clearinghouse Inc</v>
          </cell>
          <cell r="B42">
            <v>34400000</v>
          </cell>
          <cell r="C42">
            <v>971800</v>
          </cell>
          <cell r="D42">
            <v>971800</v>
          </cell>
        </row>
        <row r="43">
          <cell r="A43" t="str">
            <v xml:space="preserve">ENGAGE ENERGY US </v>
          </cell>
          <cell r="B43">
            <v>0</v>
          </cell>
          <cell r="C43">
            <v>0</v>
          </cell>
          <cell r="D43">
            <v>0</v>
          </cell>
        </row>
        <row r="44">
          <cell r="A44" t="str">
            <v>Enron Power Mrktng</v>
          </cell>
          <cell r="B44">
            <v>37196000</v>
          </cell>
          <cell r="C44">
            <v>1091250</v>
          </cell>
          <cell r="D44">
            <v>1091250</v>
          </cell>
        </row>
        <row r="45">
          <cell r="A45" t="str">
            <v>ENTERGY PWR MRKTNG</v>
          </cell>
          <cell r="B45">
            <v>6540000</v>
          </cell>
          <cell r="C45">
            <v>188000</v>
          </cell>
          <cell r="D45">
            <v>188000</v>
          </cell>
        </row>
        <row r="46">
          <cell r="A46" t="str">
            <v>ENTERGY SER</v>
          </cell>
          <cell r="B46">
            <v>11350000</v>
          </cell>
          <cell r="C46">
            <v>416625</v>
          </cell>
          <cell r="D46">
            <v>386625</v>
          </cell>
        </row>
        <row r="47">
          <cell r="A47" t="str">
            <v>ENTERGY/ARKANSAS</v>
          </cell>
          <cell r="B47">
            <v>115200000</v>
          </cell>
          <cell r="C47">
            <v>3043705.76</v>
          </cell>
          <cell r="D47">
            <v>1239930.7199999997</v>
          </cell>
        </row>
        <row r="48">
          <cell r="A48" t="str">
            <v>FEDERAL ENERGY</v>
          </cell>
          <cell r="B48">
            <v>0</v>
          </cell>
          <cell r="C48">
            <v>0</v>
          </cell>
          <cell r="D48">
            <v>0</v>
          </cell>
        </row>
        <row r="49">
          <cell r="A49" t="str">
            <v xml:space="preserve">GRAND RIV DAM </v>
          </cell>
          <cell r="B49">
            <v>100000</v>
          </cell>
          <cell r="C49">
            <v>4000</v>
          </cell>
          <cell r="D49">
            <v>4000</v>
          </cell>
        </row>
        <row r="50">
          <cell r="A50" t="str">
            <v>HEARTLAND ENERGY</v>
          </cell>
          <cell r="B50">
            <v>0</v>
          </cell>
          <cell r="C50">
            <v>0</v>
          </cell>
          <cell r="D50">
            <v>0</v>
          </cell>
        </row>
        <row r="51">
          <cell r="A51" t="str">
            <v>IES UTILITIES</v>
          </cell>
          <cell r="B51">
            <v>0</v>
          </cell>
          <cell r="C51">
            <v>0</v>
          </cell>
          <cell r="D51">
            <v>0</v>
          </cell>
        </row>
        <row r="52">
          <cell r="A52" t="str">
            <v>ILLINOIS PWR</v>
          </cell>
          <cell r="B52">
            <v>0</v>
          </cell>
          <cell r="C52">
            <v>0</v>
          </cell>
          <cell r="D52">
            <v>0</v>
          </cell>
        </row>
        <row r="53">
          <cell r="A53" t="str">
            <v>INDUSTRIAL ENERGY APPLICTNS.</v>
          </cell>
          <cell r="B53">
            <v>0</v>
          </cell>
          <cell r="C53">
            <v>0</v>
          </cell>
          <cell r="D53">
            <v>0</v>
          </cell>
        </row>
        <row r="54">
          <cell r="A54" t="str">
            <v>INTERSTATE PWR CO</v>
          </cell>
          <cell r="B54">
            <v>0</v>
          </cell>
          <cell r="C54">
            <v>0</v>
          </cell>
          <cell r="D54">
            <v>0</v>
          </cell>
        </row>
        <row r="55">
          <cell r="A55" t="str">
            <v>Jonesboro Water &amp; Lgt</v>
          </cell>
          <cell r="B55">
            <v>0</v>
          </cell>
          <cell r="C55">
            <v>0</v>
          </cell>
          <cell r="D55">
            <v>0</v>
          </cell>
        </row>
        <row r="56">
          <cell r="A56" t="str">
            <v>K N MARKETING</v>
          </cell>
          <cell r="B56">
            <v>0</v>
          </cell>
          <cell r="C56">
            <v>0</v>
          </cell>
          <cell r="D56">
            <v>0</v>
          </cell>
        </row>
        <row r="57">
          <cell r="A57" t="str">
            <v>KC PWR  LIGHT</v>
          </cell>
          <cell r="B57">
            <v>200000</v>
          </cell>
          <cell r="C57">
            <v>2400</v>
          </cell>
          <cell r="D57">
            <v>2400</v>
          </cell>
        </row>
        <row r="58">
          <cell r="A58" t="str">
            <v>KENTUCKY UTIL</v>
          </cell>
          <cell r="B58">
            <v>0</v>
          </cell>
          <cell r="C58">
            <v>0</v>
          </cell>
          <cell r="D58">
            <v>0</v>
          </cell>
        </row>
        <row r="59">
          <cell r="A59" t="str">
            <v>Koch Power Services</v>
          </cell>
          <cell r="B59">
            <v>2100000</v>
          </cell>
          <cell r="C59">
            <v>64350</v>
          </cell>
          <cell r="D59">
            <v>64350</v>
          </cell>
        </row>
        <row r="60">
          <cell r="A60" t="str">
            <v>L G &amp; E ENERGY MARKETING</v>
          </cell>
          <cell r="B60">
            <v>3118000</v>
          </cell>
          <cell r="C60">
            <v>100600</v>
          </cell>
          <cell r="D60">
            <v>100600</v>
          </cell>
        </row>
        <row r="61">
          <cell r="A61" t="str">
            <v>Mid-America Energy Corp</v>
          </cell>
          <cell r="B61">
            <v>102145000</v>
          </cell>
          <cell r="C61">
            <v>1850359</v>
          </cell>
          <cell r="D61">
            <v>1401859</v>
          </cell>
        </row>
        <row r="62">
          <cell r="A62" t="str">
            <v>MINNESOTA POWER</v>
          </cell>
          <cell r="B62">
            <v>800000</v>
          </cell>
          <cell r="C62">
            <v>18400</v>
          </cell>
          <cell r="D62">
            <v>18400</v>
          </cell>
        </row>
        <row r="63">
          <cell r="A63" t="str">
            <v>MO PUB. SER. CO</v>
          </cell>
          <cell r="B63">
            <v>1100000</v>
          </cell>
          <cell r="C63">
            <v>46900</v>
          </cell>
          <cell r="D63">
            <v>46900</v>
          </cell>
        </row>
        <row r="64">
          <cell r="A64" t="str">
            <v>MORGAN STAN CAP GR</v>
          </cell>
          <cell r="B64">
            <v>800000</v>
          </cell>
          <cell r="C64">
            <v>18600</v>
          </cell>
          <cell r="D64">
            <v>18600</v>
          </cell>
        </row>
        <row r="65">
          <cell r="A65" t="str">
            <v>NorAm Energy Services</v>
          </cell>
          <cell r="B65">
            <v>23828000</v>
          </cell>
          <cell r="C65">
            <v>780125</v>
          </cell>
          <cell r="D65">
            <v>780125</v>
          </cell>
        </row>
        <row r="66">
          <cell r="A66" t="str">
            <v>NRTH STATES PWR</v>
          </cell>
          <cell r="B66">
            <v>7306000</v>
          </cell>
          <cell r="C66">
            <v>246955.5</v>
          </cell>
          <cell r="D66">
            <v>246955.5</v>
          </cell>
        </row>
        <row r="67">
          <cell r="A67" t="str">
            <v>PACIFCORP PWR</v>
          </cell>
          <cell r="B67">
            <v>50000</v>
          </cell>
          <cell r="C67">
            <v>1100</v>
          </cell>
          <cell r="D67">
            <v>1100</v>
          </cell>
        </row>
        <row r="68">
          <cell r="A68" t="str">
            <v>PAN ENERGY</v>
          </cell>
          <cell r="B68">
            <v>0</v>
          </cell>
          <cell r="C68">
            <v>0</v>
          </cell>
          <cell r="D68">
            <v>0</v>
          </cell>
        </row>
        <row r="69">
          <cell r="A69" t="str">
            <v>PECO ENERGY</v>
          </cell>
          <cell r="B69">
            <v>41595000</v>
          </cell>
          <cell r="C69">
            <v>1126561.45</v>
          </cell>
          <cell r="D69">
            <v>1102561.45</v>
          </cell>
        </row>
        <row r="70">
          <cell r="A70" t="str">
            <v>PWR  CO  OF AMER</v>
          </cell>
          <cell r="B70">
            <v>0</v>
          </cell>
          <cell r="C70">
            <v>0</v>
          </cell>
          <cell r="D70">
            <v>0</v>
          </cell>
        </row>
        <row r="71">
          <cell r="A71" t="str">
            <v>RAINBOW</v>
          </cell>
          <cell r="B71">
            <v>200000</v>
          </cell>
          <cell r="C71">
            <v>9800</v>
          </cell>
          <cell r="D71">
            <v>9800</v>
          </cell>
        </row>
        <row r="72">
          <cell r="A72" t="str">
            <v>S. MINN. MUN. PWR</v>
          </cell>
          <cell r="B72">
            <v>0</v>
          </cell>
          <cell r="C72">
            <v>0</v>
          </cell>
          <cell r="D72">
            <v>0</v>
          </cell>
        </row>
        <row r="73">
          <cell r="A73" t="str">
            <v>SO PUB SER CO</v>
          </cell>
          <cell r="B73">
            <v>0</v>
          </cell>
          <cell r="C73">
            <v>0</v>
          </cell>
          <cell r="D73">
            <v>0</v>
          </cell>
        </row>
        <row r="74">
          <cell r="A74" t="str">
            <v xml:space="preserve">Sonat Power </v>
          </cell>
          <cell r="B74">
            <v>7222000</v>
          </cell>
          <cell r="C74">
            <v>231738</v>
          </cell>
          <cell r="D74">
            <v>231738</v>
          </cell>
        </row>
        <row r="75">
          <cell r="A75" t="str">
            <v>SOUTHERN ENERGY TRDNG</v>
          </cell>
          <cell r="B75">
            <v>100000</v>
          </cell>
          <cell r="C75">
            <v>31100</v>
          </cell>
          <cell r="D75">
            <v>31100</v>
          </cell>
        </row>
        <row r="76">
          <cell r="A76" t="str">
            <v>St. Joe</v>
          </cell>
          <cell r="B76">
            <v>190000</v>
          </cell>
          <cell r="C76">
            <v>10992.5</v>
          </cell>
          <cell r="D76">
            <v>10992.5</v>
          </cell>
        </row>
        <row r="77">
          <cell r="A77" t="str">
            <v>SW PWR ADMINISTRA.</v>
          </cell>
          <cell r="B77">
            <v>0</v>
          </cell>
          <cell r="C77">
            <v>0</v>
          </cell>
          <cell r="D77">
            <v>0</v>
          </cell>
        </row>
        <row r="78">
          <cell r="A78" t="str">
            <v>TENASKA PWR SER</v>
          </cell>
          <cell r="B78">
            <v>2092000</v>
          </cell>
          <cell r="C78">
            <v>86330</v>
          </cell>
          <cell r="D78">
            <v>86330</v>
          </cell>
        </row>
        <row r="79">
          <cell r="A79" t="str">
            <v>TENN VAL AUTH</v>
          </cell>
          <cell r="B79">
            <v>9100000</v>
          </cell>
          <cell r="C79">
            <v>203720</v>
          </cell>
          <cell r="D79">
            <v>203720</v>
          </cell>
        </row>
        <row r="80">
          <cell r="A80" t="str">
            <v>VIRGINIA ELE. POWER</v>
          </cell>
          <cell r="B80">
            <v>30634000</v>
          </cell>
          <cell r="C80">
            <v>974513</v>
          </cell>
          <cell r="D80">
            <v>974513</v>
          </cell>
        </row>
        <row r="81">
          <cell r="A81" t="str">
            <v>WESTERN AREA PWR ADMIN</v>
          </cell>
          <cell r="B81">
            <v>1738000</v>
          </cell>
          <cell r="C81">
            <v>41127.5</v>
          </cell>
          <cell r="D81">
            <v>41127.5</v>
          </cell>
        </row>
        <row r="82">
          <cell r="A82" t="str">
            <v>Western Power Ser.Inc.</v>
          </cell>
          <cell r="B82">
            <v>0</v>
          </cell>
          <cell r="C82">
            <v>0</v>
          </cell>
          <cell r="D82">
            <v>0</v>
          </cell>
          <cell r="E82">
            <v>0</v>
          </cell>
        </row>
        <row r="83">
          <cell r="A83" t="str">
            <v>WESTERN RESOUR</v>
          </cell>
          <cell r="B83">
            <v>600000</v>
          </cell>
          <cell r="C83">
            <v>26850</v>
          </cell>
          <cell r="D83">
            <v>26850</v>
          </cell>
        </row>
        <row r="84">
          <cell r="A84" t="str">
            <v>WILLIAMS ENG SER</v>
          </cell>
          <cell r="B84">
            <v>3168000</v>
          </cell>
          <cell r="C84">
            <v>86600</v>
          </cell>
          <cell r="D84">
            <v>86600</v>
          </cell>
        </row>
        <row r="85">
          <cell r="A85" t="str">
            <v xml:space="preserve">WISCONSIN ELEC. POWER </v>
          </cell>
          <cell r="B85">
            <v>1700000</v>
          </cell>
          <cell r="C85">
            <v>78150</v>
          </cell>
          <cell r="D85">
            <v>78150</v>
          </cell>
        </row>
        <row r="86">
          <cell r="A86" t="str">
            <v>S. ILL. PW COO</v>
          </cell>
          <cell r="B86">
            <v>1910000</v>
          </cell>
          <cell r="C86">
            <v>50830</v>
          </cell>
          <cell r="D86">
            <v>50830</v>
          </cell>
        </row>
        <row r="87">
          <cell r="A87" t="str">
            <v>N INDIANA PSC</v>
          </cell>
          <cell r="B87">
            <v>2160000</v>
          </cell>
          <cell r="C87">
            <v>66745</v>
          </cell>
          <cell r="D87">
            <v>66745</v>
          </cell>
        </row>
        <row r="88">
          <cell r="A88" t="str">
            <v>CITIZENS POW.</v>
          </cell>
          <cell r="B88">
            <v>18744000</v>
          </cell>
          <cell r="C88">
            <v>560400</v>
          </cell>
          <cell r="D88">
            <v>560400</v>
          </cell>
        </row>
        <row r="89">
          <cell r="A89" t="str">
            <v>CITY WA. LT PC</v>
          </cell>
          <cell r="B89">
            <v>370000</v>
          </cell>
          <cell r="C89">
            <v>14770</v>
          </cell>
          <cell r="D89">
            <v>14770</v>
          </cell>
        </row>
        <row r="90">
          <cell r="A90" t="str">
            <v>CEN ILL LGT CO</v>
          </cell>
          <cell r="B90">
            <v>150000</v>
          </cell>
          <cell r="C90">
            <v>7050</v>
          </cell>
          <cell r="D90">
            <v>7050</v>
          </cell>
        </row>
        <row r="91">
          <cell r="A91" t="str">
            <v xml:space="preserve">NESI POWER </v>
          </cell>
          <cell r="B91">
            <v>0</v>
          </cell>
          <cell r="C91">
            <v>0</v>
          </cell>
          <cell r="D91">
            <v>0</v>
          </cell>
        </row>
        <row r="92">
          <cell r="A92" t="str">
            <v>CARGILL/ALL</v>
          </cell>
          <cell r="B92">
            <v>0</v>
          </cell>
          <cell r="C92">
            <v>0</v>
          </cell>
          <cell r="D92">
            <v>0</v>
          </cell>
        </row>
        <row r="93">
          <cell r="A93" t="str">
            <v>SEMPRA EN</v>
          </cell>
          <cell r="B93">
            <v>0</v>
          </cell>
          <cell r="C93">
            <v>0</v>
          </cell>
          <cell r="D93">
            <v>0</v>
          </cell>
        </row>
        <row r="94">
          <cell r="A94" t="str">
            <v>OGE ENER.</v>
          </cell>
          <cell r="B94">
            <v>750000</v>
          </cell>
          <cell r="C94">
            <v>32375</v>
          </cell>
          <cell r="D94">
            <v>32375</v>
          </cell>
        </row>
        <row r="95">
          <cell r="A95" t="str">
            <v>SO CO SER.</v>
          </cell>
          <cell r="B95">
            <v>0</v>
          </cell>
          <cell r="C95">
            <v>0</v>
          </cell>
          <cell r="D95">
            <v>0</v>
          </cell>
        </row>
        <row r="96">
          <cell r="A96" t="str">
            <v>AVISTA</v>
          </cell>
          <cell r="B96">
            <v>826000</v>
          </cell>
          <cell r="C96">
            <v>30000</v>
          </cell>
          <cell r="D96">
            <v>30000</v>
          </cell>
        </row>
        <row r="97">
          <cell r="A97" t="str">
            <v>OGE ELEC.</v>
          </cell>
          <cell r="B97">
            <v>400000</v>
          </cell>
          <cell r="C97">
            <v>17550</v>
          </cell>
          <cell r="D97">
            <v>17550</v>
          </cell>
        </row>
        <row r="98">
          <cell r="A98" t="str">
            <v>WABASH VAL</v>
          </cell>
          <cell r="B98">
            <v>0</v>
          </cell>
          <cell r="C98">
            <v>0</v>
          </cell>
          <cell r="D98">
            <v>0</v>
          </cell>
        </row>
        <row r="99">
          <cell r="A99" t="str">
            <v>AMOCO EN. TR.</v>
          </cell>
          <cell r="B99">
            <v>0</v>
          </cell>
          <cell r="C99">
            <v>0</v>
          </cell>
          <cell r="D99">
            <v>0</v>
          </cell>
        </row>
        <row r="100">
          <cell r="A100" t="str">
            <v>DAYTON PW &amp; L</v>
          </cell>
          <cell r="B100">
            <v>100000</v>
          </cell>
          <cell r="C100">
            <v>2897.5</v>
          </cell>
          <cell r="D100">
            <v>2897.5</v>
          </cell>
        </row>
        <row r="101">
          <cell r="A101" t="str">
            <v>LOUISVILLE G/E</v>
          </cell>
          <cell r="B101">
            <v>1625000</v>
          </cell>
          <cell r="C101">
            <v>41600</v>
          </cell>
          <cell r="D101">
            <v>41600</v>
          </cell>
        </row>
        <row r="102">
          <cell r="A102" t="str">
            <v xml:space="preserve">CONSTELLATION </v>
          </cell>
          <cell r="B102">
            <v>1900000</v>
          </cell>
          <cell r="C102">
            <v>70500</v>
          </cell>
          <cell r="D102">
            <v>70500</v>
          </cell>
        </row>
        <row r="103">
          <cell r="A103" t="str">
            <v>ALLIANT SERVICES</v>
          </cell>
          <cell r="B103">
            <v>2388000</v>
          </cell>
          <cell r="C103">
            <v>117175</v>
          </cell>
          <cell r="D103">
            <v>117175</v>
          </cell>
        </row>
        <row r="104">
          <cell r="A104" t="str">
            <v>SOYLAND</v>
          </cell>
          <cell r="B104">
            <v>0</v>
          </cell>
          <cell r="C104">
            <v>0</v>
          </cell>
          <cell r="D104">
            <v>0</v>
          </cell>
        </row>
        <row r="105">
          <cell r="A105" t="str">
            <v>THE ENERGY AUTHORITY</v>
          </cell>
          <cell r="B105">
            <v>0</v>
          </cell>
          <cell r="C105">
            <v>0</v>
          </cell>
          <cell r="D105">
            <v>0</v>
          </cell>
        </row>
        <row r="106">
          <cell r="A106" t="str">
            <v>NP ENERGY</v>
          </cell>
          <cell r="B106">
            <v>0</v>
          </cell>
          <cell r="C106">
            <v>0</v>
          </cell>
          <cell r="D106">
            <v>0</v>
          </cell>
        </row>
        <row r="107">
          <cell r="A107" t="str">
            <v>EL PASO</v>
          </cell>
          <cell r="B107">
            <v>0</v>
          </cell>
          <cell r="C107">
            <v>0</v>
          </cell>
          <cell r="D107">
            <v>0</v>
          </cell>
        </row>
        <row r="108">
          <cell r="A108" t="str">
            <v>IMEA</v>
          </cell>
          <cell r="B108">
            <v>0</v>
          </cell>
          <cell r="C108">
            <v>0</v>
          </cell>
          <cell r="D108">
            <v>0</v>
          </cell>
        </row>
        <row r="109">
          <cell r="A109" t="str">
            <v>WEST PLAINS EN</v>
          </cell>
          <cell r="B109">
            <v>0</v>
          </cell>
          <cell r="C109">
            <v>0</v>
          </cell>
          <cell r="D109">
            <v>0</v>
          </cell>
        </row>
        <row r="110">
          <cell r="A110" t="str">
            <v>OKLAHOMA MUNI</v>
          </cell>
          <cell r="B110">
            <v>1920000</v>
          </cell>
          <cell r="C110">
            <v>57120</v>
          </cell>
          <cell r="D110">
            <v>57120</v>
          </cell>
        </row>
        <row r="111">
          <cell r="A111" t="str">
            <v>PENNSYLVANIA PW &amp; LT</v>
          </cell>
          <cell r="B111">
            <v>1280000</v>
          </cell>
          <cell r="C111">
            <v>45264</v>
          </cell>
          <cell r="D111">
            <v>45264</v>
          </cell>
        </row>
        <row r="112">
          <cell r="A112" t="str">
            <v>OMAHA PUB PW.</v>
          </cell>
          <cell r="B112">
            <v>0</v>
          </cell>
          <cell r="C112">
            <v>0</v>
          </cell>
          <cell r="D112">
            <v>0</v>
          </cell>
        </row>
        <row r="113">
          <cell r="A113" t="str">
            <v>FLORIDA PW &amp; LT</v>
          </cell>
          <cell r="B113">
            <v>0</v>
          </cell>
          <cell r="C113">
            <v>0</v>
          </cell>
          <cell r="D113">
            <v>0</v>
          </cell>
        </row>
        <row r="114">
          <cell r="A114" t="str">
            <v>COLUMBIA PW MKT</v>
          </cell>
          <cell r="B114">
            <v>0</v>
          </cell>
          <cell r="C114">
            <v>0</v>
          </cell>
          <cell r="D114">
            <v>0</v>
          </cell>
        </row>
        <row r="115">
          <cell r="A115" t="str">
            <v>OMAHA PUB PW.</v>
          </cell>
          <cell r="B115">
            <v>0</v>
          </cell>
          <cell r="C115">
            <v>0</v>
          </cell>
          <cell r="D115">
            <v>0</v>
          </cell>
        </row>
        <row r="116">
          <cell r="A116" t="str">
            <v>CIPS    (Cips - UE purchase agreement)</v>
          </cell>
          <cell r="B116">
            <v>0</v>
          </cell>
          <cell r="C116">
            <v>0</v>
          </cell>
          <cell r="D116">
            <v>0</v>
          </cell>
        </row>
        <row r="117">
          <cell r="A117" t="str">
            <v>CIP SYSTEM ENERGY TRANSFER</v>
          </cell>
          <cell r="B117">
            <v>0</v>
          </cell>
          <cell r="C117">
            <v>0</v>
          </cell>
          <cell r="D117">
            <v>0</v>
          </cell>
        </row>
        <row r="118">
          <cell r="A118" t="str">
            <v>UEC SYSTEM ENERGY TRANSFER</v>
          </cell>
          <cell r="B118">
            <v>0</v>
          </cell>
          <cell r="C118">
            <v>0</v>
          </cell>
          <cell r="D118">
            <v>0</v>
          </cell>
        </row>
        <row r="119">
          <cell r="A119" t="str">
            <v xml:space="preserve"> TOTAL RECEIVED</v>
          </cell>
          <cell r="B119">
            <v>576605500</v>
          </cell>
          <cell r="C119">
            <v>15895788.719999999</v>
          </cell>
          <cell r="D119">
            <v>13582013.68</v>
          </cell>
        </row>
        <row r="120">
          <cell r="A120" t="str">
            <v xml:space="preserve">TRANSFERRED </v>
          </cell>
          <cell r="B120">
            <v>-576605500</v>
          </cell>
          <cell r="C120">
            <v>-15895788.719999999</v>
          </cell>
          <cell r="D120">
            <v>-13582013.68</v>
          </cell>
        </row>
      </sheetData>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tabSelected="1" zoomScaleNormal="100" workbookViewId="0">
      <pane ySplit="4" topLeftCell="A5" activePane="bottomLeft" state="frozen"/>
      <selection pane="bottomLeft" activeCell="A5" sqref="A5"/>
    </sheetView>
  </sheetViews>
  <sheetFormatPr defaultColWidth="13.42578125" defaultRowHeight="15" x14ac:dyDescent="0.25"/>
  <cols>
    <col min="1" max="1" width="42.85546875" bestFit="1" customWidth="1"/>
    <col min="2" max="2" width="19.28515625" bestFit="1" customWidth="1"/>
    <col min="3" max="4" width="21.140625" bestFit="1" customWidth="1"/>
    <col min="5" max="14" width="21.140625" customWidth="1"/>
    <col min="15" max="17" width="17.28515625" customWidth="1"/>
    <col min="18" max="18" width="18" bestFit="1" customWidth="1"/>
  </cols>
  <sheetData>
    <row r="1" spans="1:14" x14ac:dyDescent="0.25">
      <c r="A1" t="s">
        <v>0</v>
      </c>
    </row>
    <row r="2" spans="1:14" ht="15.75" thickBot="1" x14ac:dyDescent="0.3">
      <c r="A2" t="s">
        <v>1</v>
      </c>
    </row>
    <row r="3" spans="1:14" ht="15.75" thickBot="1" x14ac:dyDescent="0.3">
      <c r="A3" t="s">
        <v>2</v>
      </c>
      <c r="B3" s="163" t="s">
        <v>48</v>
      </c>
      <c r="C3" s="164"/>
      <c r="D3" s="164"/>
      <c r="E3" s="164"/>
      <c r="F3" s="164"/>
      <c r="G3" s="164"/>
      <c r="H3" s="165"/>
      <c r="I3" s="166" t="s">
        <v>49</v>
      </c>
      <c r="J3" s="167"/>
      <c r="K3" s="167"/>
      <c r="L3" s="167"/>
      <c r="M3" s="167"/>
      <c r="N3" s="168"/>
    </row>
    <row r="4" spans="1:14" x14ac:dyDescent="0.25">
      <c r="A4" s="1"/>
      <c r="B4" s="24">
        <v>43466</v>
      </c>
      <c r="C4" s="25">
        <v>43497</v>
      </c>
      <c r="D4" s="25">
        <v>43525</v>
      </c>
      <c r="E4" s="25">
        <v>43556</v>
      </c>
      <c r="F4" s="25">
        <v>43586</v>
      </c>
      <c r="G4" s="25">
        <v>43646</v>
      </c>
      <c r="H4" s="26">
        <v>43677</v>
      </c>
      <c r="I4" s="58">
        <v>43708</v>
      </c>
      <c r="J4" s="25">
        <v>43738</v>
      </c>
      <c r="K4" s="25">
        <v>43769</v>
      </c>
      <c r="L4" s="25">
        <v>43799</v>
      </c>
      <c r="M4" s="25">
        <v>43830</v>
      </c>
      <c r="N4" s="26">
        <v>43861</v>
      </c>
    </row>
    <row r="5" spans="1:14" x14ac:dyDescent="0.25">
      <c r="A5" s="2" t="s">
        <v>35</v>
      </c>
      <c r="B5" s="27"/>
      <c r="C5" s="28"/>
      <c r="D5" s="28"/>
      <c r="E5" s="28"/>
      <c r="F5" s="28"/>
      <c r="G5" s="28"/>
      <c r="H5" s="29"/>
      <c r="I5" s="59"/>
      <c r="J5" s="28"/>
      <c r="K5" s="28"/>
      <c r="L5" s="28"/>
      <c r="M5" s="28"/>
      <c r="N5" s="29"/>
    </row>
    <row r="6" spans="1:14" x14ac:dyDescent="0.25">
      <c r="A6" s="3" t="s">
        <v>3</v>
      </c>
      <c r="B6" s="30"/>
      <c r="C6" s="31"/>
      <c r="D6" s="31"/>
      <c r="E6" s="31"/>
      <c r="F6" s="31"/>
      <c r="G6" s="31"/>
      <c r="H6" s="32"/>
      <c r="I6" s="60"/>
      <c r="J6" s="33"/>
      <c r="K6" s="33"/>
      <c r="L6" s="33"/>
      <c r="M6" s="33"/>
      <c r="N6" s="32"/>
    </row>
    <row r="7" spans="1:14" x14ac:dyDescent="0.25">
      <c r="A7" s="3" t="s">
        <v>4</v>
      </c>
      <c r="B7" s="30"/>
      <c r="C7" s="31"/>
      <c r="D7" s="31"/>
      <c r="E7" s="31"/>
      <c r="F7" s="31"/>
      <c r="G7" s="31"/>
      <c r="H7" s="32"/>
      <c r="I7" s="60"/>
      <c r="J7" s="33"/>
      <c r="K7" s="33"/>
      <c r="L7" s="33"/>
      <c r="M7" s="33"/>
      <c r="N7" s="32"/>
    </row>
    <row r="8" spans="1:14" x14ac:dyDescent="0.25">
      <c r="A8" s="3" t="s">
        <v>34</v>
      </c>
      <c r="B8" s="30"/>
      <c r="C8" s="31"/>
      <c r="D8" s="31"/>
      <c r="E8" s="31"/>
      <c r="F8" s="31"/>
      <c r="G8" s="31"/>
      <c r="H8" s="32">
        <v>644020.57999999996</v>
      </c>
      <c r="I8" s="60"/>
      <c r="J8" s="33"/>
      <c r="K8" s="33"/>
      <c r="L8" s="33"/>
      <c r="M8" s="33"/>
      <c r="N8" s="32"/>
    </row>
    <row r="9" spans="1:14" x14ac:dyDescent="0.25">
      <c r="A9" s="3" t="s">
        <v>5</v>
      </c>
      <c r="B9" s="30"/>
      <c r="C9" s="31"/>
      <c r="D9" s="31"/>
      <c r="E9" s="31"/>
      <c r="F9" s="31"/>
      <c r="G9" s="31"/>
      <c r="H9" s="32"/>
      <c r="I9" s="60"/>
      <c r="J9" s="33"/>
      <c r="K9" s="33"/>
      <c r="L9" s="33"/>
      <c r="M9" s="33"/>
      <c r="N9" s="32"/>
    </row>
    <row r="10" spans="1:14" x14ac:dyDescent="0.25">
      <c r="A10" s="3" t="s">
        <v>6</v>
      </c>
      <c r="B10" s="30"/>
      <c r="C10" s="31"/>
      <c r="D10" s="31"/>
      <c r="E10" s="31"/>
      <c r="F10" s="31"/>
      <c r="G10" s="31"/>
      <c r="H10" s="32"/>
      <c r="I10" s="60"/>
      <c r="J10" s="33"/>
      <c r="K10" s="33"/>
      <c r="L10" s="33"/>
      <c r="M10" s="33"/>
      <c r="N10" s="32"/>
    </row>
    <row r="11" spans="1:14" x14ac:dyDescent="0.25">
      <c r="A11" s="3" t="s">
        <v>7</v>
      </c>
      <c r="B11" s="30"/>
      <c r="C11" s="31"/>
      <c r="D11" s="31"/>
      <c r="E11" s="31"/>
      <c r="F11" s="31"/>
      <c r="G11" s="31"/>
      <c r="H11" s="32"/>
      <c r="I11" s="60"/>
      <c r="J11" s="33"/>
      <c r="K11" s="33"/>
      <c r="L11" s="33"/>
      <c r="M11" s="33"/>
      <c r="N11" s="32"/>
    </row>
    <row r="12" spans="1:14" x14ac:dyDescent="0.25">
      <c r="A12" s="3" t="s">
        <v>8</v>
      </c>
      <c r="B12" s="30"/>
      <c r="C12" s="31"/>
      <c r="D12" s="31"/>
      <c r="E12" s="31"/>
      <c r="F12" s="31"/>
      <c r="G12" s="31"/>
      <c r="H12" s="32"/>
      <c r="I12" s="60"/>
      <c r="J12" s="33"/>
      <c r="K12" s="33"/>
      <c r="L12" s="33"/>
      <c r="M12" s="33"/>
      <c r="N12" s="32"/>
    </row>
    <row r="13" spans="1:14" x14ac:dyDescent="0.25">
      <c r="A13" s="3" t="s">
        <v>9</v>
      </c>
      <c r="B13" s="30"/>
      <c r="C13" s="33">
        <v>647106</v>
      </c>
      <c r="D13" s="33">
        <v>390250</v>
      </c>
      <c r="E13" s="33">
        <v>800580</v>
      </c>
      <c r="F13" s="33">
        <v>571620</v>
      </c>
      <c r="G13" s="33">
        <v>1190797.5</v>
      </c>
      <c r="H13" s="32">
        <v>2530453.75</v>
      </c>
      <c r="I13" s="60"/>
      <c r="J13" s="33"/>
      <c r="K13" s="33"/>
      <c r="L13" s="33"/>
      <c r="M13" s="33"/>
      <c r="N13" s="32"/>
    </row>
    <row r="14" spans="1:14" x14ac:dyDescent="0.25">
      <c r="A14" s="3" t="s">
        <v>10</v>
      </c>
      <c r="B14" s="34"/>
      <c r="C14" s="35"/>
      <c r="D14" s="35"/>
      <c r="E14" s="35"/>
      <c r="F14" s="35"/>
      <c r="G14" s="35"/>
      <c r="H14" s="36"/>
      <c r="I14" s="34"/>
      <c r="J14" s="35"/>
      <c r="K14" s="35"/>
      <c r="L14" s="35"/>
      <c r="M14" s="35"/>
      <c r="N14" s="36"/>
    </row>
    <row r="15" spans="1:14" x14ac:dyDescent="0.25">
      <c r="A15" s="3" t="s">
        <v>11</v>
      </c>
      <c r="B15" s="34"/>
      <c r="C15" s="35"/>
      <c r="D15" s="35"/>
      <c r="E15" s="35"/>
      <c r="F15" s="35"/>
      <c r="G15" s="35"/>
      <c r="H15" s="36"/>
      <c r="I15" s="34"/>
      <c r="J15" s="35"/>
      <c r="K15" s="35"/>
      <c r="L15" s="35"/>
      <c r="M15" s="35"/>
      <c r="N15" s="36"/>
    </row>
    <row r="16" spans="1:14" x14ac:dyDescent="0.25">
      <c r="A16" s="3" t="s">
        <v>12</v>
      </c>
      <c r="B16" s="34"/>
      <c r="C16" s="35"/>
      <c r="D16" s="35"/>
      <c r="E16" s="35"/>
      <c r="F16" s="35"/>
      <c r="G16" s="35"/>
      <c r="H16" s="36"/>
      <c r="I16" s="34"/>
      <c r="J16" s="35"/>
      <c r="K16" s="35"/>
      <c r="L16" s="35"/>
      <c r="M16" s="35"/>
      <c r="N16" s="36"/>
    </row>
    <row r="17" spans="1:14" x14ac:dyDescent="0.25">
      <c r="A17" s="3" t="s">
        <v>13</v>
      </c>
      <c r="B17" s="34"/>
      <c r="C17" s="35"/>
      <c r="D17" s="35"/>
      <c r="E17" s="35"/>
      <c r="F17" s="35"/>
      <c r="G17" s="35"/>
      <c r="H17" s="36"/>
      <c r="I17" s="34"/>
      <c r="J17" s="35"/>
      <c r="K17" s="35"/>
      <c r="L17" s="35"/>
      <c r="M17" s="35"/>
      <c r="N17" s="36"/>
    </row>
    <row r="18" spans="1:14" x14ac:dyDescent="0.25">
      <c r="A18" s="3" t="s">
        <v>14</v>
      </c>
      <c r="B18" s="34"/>
      <c r="C18" s="35"/>
      <c r="D18" s="35"/>
      <c r="E18" s="35"/>
      <c r="F18" s="35"/>
      <c r="G18" s="35"/>
      <c r="H18" s="36"/>
      <c r="I18" s="34"/>
      <c r="J18" s="35"/>
      <c r="K18" s="35"/>
      <c r="L18" s="35"/>
      <c r="M18" s="35"/>
      <c r="N18" s="36"/>
    </row>
    <row r="19" spans="1:14" x14ac:dyDescent="0.25">
      <c r="A19" s="3" t="s">
        <v>15</v>
      </c>
      <c r="B19" s="34"/>
      <c r="C19" s="35"/>
      <c r="D19" s="35"/>
      <c r="E19" s="35"/>
      <c r="F19" s="35"/>
      <c r="G19" s="35"/>
      <c r="H19" s="36"/>
      <c r="I19" s="34"/>
      <c r="J19" s="35"/>
      <c r="K19" s="35"/>
      <c r="L19" s="35"/>
      <c r="M19" s="35"/>
      <c r="N19" s="36"/>
    </row>
    <row r="20" spans="1:14" ht="15.75" thickBot="1" x14ac:dyDescent="0.3">
      <c r="A20" s="2" t="s">
        <v>16</v>
      </c>
      <c r="B20" s="37">
        <f t="shared" ref="B20:H20" si="0">SUM(B6:B15)</f>
        <v>0</v>
      </c>
      <c r="C20" s="6">
        <f t="shared" si="0"/>
        <v>647106</v>
      </c>
      <c r="D20" s="6">
        <f t="shared" si="0"/>
        <v>390250</v>
      </c>
      <c r="E20" s="6">
        <f t="shared" si="0"/>
        <v>800580</v>
      </c>
      <c r="F20" s="6">
        <f t="shared" si="0"/>
        <v>571620</v>
      </c>
      <c r="G20" s="6">
        <f t="shared" si="0"/>
        <v>1190797.5</v>
      </c>
      <c r="H20" s="38">
        <f t="shared" si="0"/>
        <v>3174474.33</v>
      </c>
      <c r="I20" s="37">
        <f t="shared" ref="I20:N20" si="1">SUM(I6:I15)</f>
        <v>0</v>
      </c>
      <c r="J20" s="6">
        <f t="shared" si="1"/>
        <v>0</v>
      </c>
      <c r="K20" s="6">
        <f t="shared" si="1"/>
        <v>0</v>
      </c>
      <c r="L20" s="6">
        <f t="shared" si="1"/>
        <v>0</v>
      </c>
      <c r="M20" s="6">
        <f t="shared" si="1"/>
        <v>0</v>
      </c>
      <c r="N20" s="38">
        <f t="shared" si="1"/>
        <v>0</v>
      </c>
    </row>
    <row r="21" spans="1:14" x14ac:dyDescent="0.25">
      <c r="B21" s="27"/>
      <c r="C21" s="39"/>
      <c r="D21" s="39"/>
      <c r="E21" s="39"/>
      <c r="F21" s="39"/>
      <c r="G21" s="39"/>
      <c r="H21" s="40"/>
      <c r="I21" s="61"/>
      <c r="J21" s="39"/>
      <c r="K21" s="39"/>
      <c r="L21" s="39"/>
      <c r="M21" s="39"/>
      <c r="N21" s="40"/>
    </row>
    <row r="22" spans="1:14" x14ac:dyDescent="0.25">
      <c r="A22" s="7" t="s">
        <v>36</v>
      </c>
      <c r="B22" s="41">
        <v>0</v>
      </c>
      <c r="C22" s="42">
        <v>0</v>
      </c>
      <c r="D22" s="42">
        <v>0</v>
      </c>
      <c r="E22" s="42">
        <v>0</v>
      </c>
      <c r="F22" s="42">
        <v>0</v>
      </c>
      <c r="G22" s="42">
        <v>0</v>
      </c>
      <c r="H22" s="43">
        <v>0</v>
      </c>
      <c r="I22" s="62">
        <v>0</v>
      </c>
      <c r="J22" s="42">
        <v>0</v>
      </c>
      <c r="K22" s="42">
        <v>0</v>
      </c>
      <c r="L22" s="42">
        <v>0</v>
      </c>
      <c r="M22" s="42">
        <v>0</v>
      </c>
      <c r="N22" s="43">
        <v>0</v>
      </c>
    </row>
    <row r="23" spans="1:14" x14ac:dyDescent="0.25">
      <c r="A23" s="3" t="s">
        <v>37</v>
      </c>
      <c r="B23" s="41">
        <v>0</v>
      </c>
      <c r="C23" s="42">
        <v>0</v>
      </c>
      <c r="D23" s="42">
        <v>0</v>
      </c>
      <c r="E23" s="42">
        <v>0</v>
      </c>
      <c r="F23" s="42">
        <v>0</v>
      </c>
      <c r="G23" s="42">
        <v>0</v>
      </c>
      <c r="H23" s="43">
        <v>0</v>
      </c>
      <c r="I23" s="62">
        <v>0</v>
      </c>
      <c r="J23" s="42">
        <v>0</v>
      </c>
      <c r="K23" s="42">
        <v>0</v>
      </c>
      <c r="L23" s="42">
        <v>0</v>
      </c>
      <c r="M23" s="42">
        <v>0</v>
      </c>
      <c r="N23" s="43">
        <v>0</v>
      </c>
    </row>
    <row r="24" spans="1:14" x14ac:dyDescent="0.25">
      <c r="A24" s="2" t="s">
        <v>38</v>
      </c>
      <c r="B24" s="30">
        <f>+B22+B23</f>
        <v>0</v>
      </c>
      <c r="C24" s="31">
        <f t="shared" ref="C24:H24" si="2">+C22+C23</f>
        <v>0</v>
      </c>
      <c r="D24" s="31">
        <f t="shared" si="2"/>
        <v>0</v>
      </c>
      <c r="E24" s="31">
        <f t="shared" si="2"/>
        <v>0</v>
      </c>
      <c r="F24" s="31">
        <f t="shared" si="2"/>
        <v>0</v>
      </c>
      <c r="G24" s="31">
        <f t="shared" si="2"/>
        <v>0</v>
      </c>
      <c r="H24" s="44">
        <f t="shared" si="2"/>
        <v>0</v>
      </c>
      <c r="I24" s="30">
        <f t="shared" ref="I24:N24" si="3">+I22+I23</f>
        <v>0</v>
      </c>
      <c r="J24" s="31">
        <f t="shared" si="3"/>
        <v>0</v>
      </c>
      <c r="K24" s="31">
        <f t="shared" si="3"/>
        <v>0</v>
      </c>
      <c r="L24" s="31">
        <f t="shared" si="3"/>
        <v>0</v>
      </c>
      <c r="M24" s="31">
        <f t="shared" si="3"/>
        <v>0</v>
      </c>
      <c r="N24" s="44">
        <f t="shared" si="3"/>
        <v>0</v>
      </c>
    </row>
    <row r="25" spans="1:14" ht="15.75" thickBot="1" x14ac:dyDescent="0.3">
      <c r="A25" s="8" t="s">
        <v>17</v>
      </c>
      <c r="B25" s="45">
        <f>-B24+B20</f>
        <v>0</v>
      </c>
      <c r="C25" s="18">
        <f t="shared" ref="C25:H25" si="4">-C24+C20</f>
        <v>647106</v>
      </c>
      <c r="D25" s="18">
        <f t="shared" si="4"/>
        <v>390250</v>
      </c>
      <c r="E25" s="18">
        <f t="shared" si="4"/>
        <v>800580</v>
      </c>
      <c r="F25" s="18">
        <f t="shared" si="4"/>
        <v>571620</v>
      </c>
      <c r="G25" s="18">
        <f t="shared" si="4"/>
        <v>1190797.5</v>
      </c>
      <c r="H25" s="46">
        <f t="shared" si="4"/>
        <v>3174474.33</v>
      </c>
      <c r="I25" s="45">
        <f t="shared" ref="I25:N25" si="5">-I24+I20</f>
        <v>0</v>
      </c>
      <c r="J25" s="18">
        <f t="shared" si="5"/>
        <v>0</v>
      </c>
      <c r="K25" s="18">
        <f t="shared" si="5"/>
        <v>0</v>
      </c>
      <c r="L25" s="18">
        <f t="shared" si="5"/>
        <v>0</v>
      </c>
      <c r="M25" s="18">
        <f t="shared" si="5"/>
        <v>0</v>
      </c>
      <c r="N25" s="46">
        <f t="shared" si="5"/>
        <v>0</v>
      </c>
    </row>
    <row r="26" spans="1:14" x14ac:dyDescent="0.25">
      <c r="A26" s="2"/>
      <c r="B26" s="47"/>
      <c r="C26" s="28"/>
      <c r="D26" s="28"/>
      <c r="E26" s="28"/>
      <c r="F26" s="28"/>
      <c r="G26" s="28"/>
      <c r="H26" s="29"/>
      <c r="I26" s="59"/>
      <c r="J26" s="28"/>
      <c r="K26" s="28"/>
      <c r="L26" s="28"/>
      <c r="M26" s="28"/>
      <c r="N26" s="29"/>
    </row>
    <row r="27" spans="1:14" x14ac:dyDescent="0.25">
      <c r="A27" s="9" t="s">
        <v>18</v>
      </c>
      <c r="B27" s="48">
        <f>+'Jan 19 int'!G7/12</f>
        <v>2.3914127238305423E-3</v>
      </c>
      <c r="C27" s="10">
        <f>+'Feb 19 int'!G6/12</f>
        <v>2.3669926918165117E-3</v>
      </c>
      <c r="D27" s="10">
        <f>+'Mar 19 int'!G6/12</f>
        <v>2.3231790881414233E-3</v>
      </c>
      <c r="E27" s="10">
        <f>'Apr 19 int'!G6/12</f>
        <v>2.2185614938513665E-3</v>
      </c>
      <c r="F27" s="10">
        <f>'May 19 int'!G6/12</f>
        <v>2.2311342044819505E-3</v>
      </c>
      <c r="G27" s="10">
        <f>'June 19 int'!G6/12</f>
        <v>2.2083805355303816E-3</v>
      </c>
      <c r="H27" s="49">
        <f>'July 19 int'!G6/12</f>
        <v>2.1623910623279272E-3</v>
      </c>
      <c r="I27" s="63">
        <f t="shared" ref="I27:N27" si="6">(2.594869/12)/100</f>
        <v>2.1623908333333335E-3</v>
      </c>
      <c r="J27" s="64">
        <f t="shared" si="6"/>
        <v>2.1623908333333335E-3</v>
      </c>
      <c r="K27" s="64">
        <f t="shared" si="6"/>
        <v>2.1623908333333335E-3</v>
      </c>
      <c r="L27" s="64">
        <f t="shared" si="6"/>
        <v>2.1623908333333335E-3</v>
      </c>
      <c r="M27" s="64">
        <f t="shared" si="6"/>
        <v>2.1623908333333335E-3</v>
      </c>
      <c r="N27" s="65">
        <f t="shared" si="6"/>
        <v>2.1623908333333335E-3</v>
      </c>
    </row>
    <row r="28" spans="1:14" x14ac:dyDescent="0.25">
      <c r="A28" s="11" t="s">
        <v>19</v>
      </c>
      <c r="B28" s="50">
        <f>(B25)*B27</f>
        <v>0</v>
      </c>
      <c r="C28" s="51">
        <f t="shared" ref="C28:H28" si="7">(C25+B30)*C27</f>
        <v>1531.6951728306155</v>
      </c>
      <c r="D28" s="51">
        <f t="shared" si="7"/>
        <v>2413.5221683529617</v>
      </c>
      <c r="E28" s="51">
        <f t="shared" si="7"/>
        <v>4086.32674504123</v>
      </c>
      <c r="F28" s="51">
        <f t="shared" si="7"/>
        <v>5393.9622619402917</v>
      </c>
      <c r="G28" s="51">
        <f t="shared" si="7"/>
        <v>7980.5992173276109</v>
      </c>
      <c r="H28" s="52">
        <f t="shared" si="7"/>
        <v>14696.115519756575</v>
      </c>
      <c r="I28" s="50">
        <f t="shared" ref="I28" si="8">(I25+H30)*I27</f>
        <v>14727.892708941275</v>
      </c>
      <c r="J28" s="51">
        <f t="shared" ref="J28" si="9">(J25+I30)*J27</f>
        <v>14759.740169129407</v>
      </c>
      <c r="K28" s="51">
        <f t="shared" ref="K28" si="10">(K25+J30)*K27</f>
        <v>14791.656495973515</v>
      </c>
      <c r="L28" s="51">
        <f t="shared" ref="L28" si="11">(L25+K30)*L27</f>
        <v>14823.641838390224</v>
      </c>
      <c r="M28" s="51">
        <f t="shared" ref="M28" si="12">(M25+L30)*M27</f>
        <v>14855.696345618175</v>
      </c>
      <c r="N28" s="52">
        <f t="shared" ref="N28" si="13">(N25+M30)*N27</f>
        <v>14887.820167218722</v>
      </c>
    </row>
    <row r="29" spans="1:14" x14ac:dyDescent="0.25">
      <c r="A29" s="2"/>
      <c r="B29" s="53"/>
      <c r="C29" s="54"/>
      <c r="D29" s="54"/>
      <c r="E29" s="54"/>
      <c r="F29" s="54"/>
      <c r="G29" s="54"/>
      <c r="H29" s="55"/>
      <c r="I29" s="53"/>
      <c r="J29" s="54"/>
      <c r="K29" s="54"/>
      <c r="L29" s="54"/>
      <c r="M29" s="54"/>
      <c r="N29" s="55"/>
    </row>
    <row r="30" spans="1:14" ht="15.75" thickBot="1" x14ac:dyDescent="0.3">
      <c r="A30" s="8" t="s">
        <v>20</v>
      </c>
      <c r="B30" s="56">
        <f>B25+B28</f>
        <v>0</v>
      </c>
      <c r="C30" s="12">
        <f>C25+C28+B30</f>
        <v>648637.6951728306</v>
      </c>
      <c r="D30" s="12">
        <f t="shared" ref="D30:H30" si="14">D25+D28+C30</f>
        <v>1041301.2173411836</v>
      </c>
      <c r="E30" s="12">
        <f t="shared" si="14"/>
        <v>1845967.5440862249</v>
      </c>
      <c r="F30" s="12">
        <f t="shared" si="14"/>
        <v>2422981.5063481652</v>
      </c>
      <c r="G30" s="12">
        <f t="shared" si="14"/>
        <v>3621759.605565493</v>
      </c>
      <c r="H30" s="57">
        <f t="shared" si="14"/>
        <v>6810930.0510852495</v>
      </c>
      <c r="I30" s="56">
        <f t="shared" ref="I30" si="15">I25+I28+H30</f>
        <v>6825657.9437941909</v>
      </c>
      <c r="J30" s="12">
        <f t="shared" ref="J30" si="16">J25+J28+I30</f>
        <v>6840417.6839633202</v>
      </c>
      <c r="K30" s="12">
        <f t="shared" ref="K30" si="17">K25+K28+J30</f>
        <v>6855209.3404592937</v>
      </c>
      <c r="L30" s="12">
        <f t="shared" ref="L30" si="18">L25+L28+K30</f>
        <v>6870032.9822976841</v>
      </c>
      <c r="M30" s="12">
        <f t="shared" ref="M30" si="19">M25+M28+L30</f>
        <v>6884888.6786433021</v>
      </c>
      <c r="N30" s="57">
        <f t="shared" ref="N30" si="20">N25+N28+M30</f>
        <v>6899776.4988105204</v>
      </c>
    </row>
    <row r="37" spans="2:8" x14ac:dyDescent="0.25">
      <c r="B37" s="161"/>
      <c r="C37" s="161"/>
      <c r="D37" s="161"/>
      <c r="E37" s="161"/>
      <c r="F37" s="161"/>
      <c r="G37" s="161"/>
      <c r="H37" s="161"/>
    </row>
    <row r="38" spans="2:8" x14ac:dyDescent="0.25">
      <c r="B38" s="162"/>
      <c r="C38" s="162"/>
      <c r="D38" s="162"/>
      <c r="E38" s="162"/>
      <c r="F38" s="162"/>
      <c r="G38" s="162"/>
      <c r="H38" s="162"/>
    </row>
    <row r="39" spans="2:8" x14ac:dyDescent="0.25">
      <c r="B39" s="162"/>
      <c r="C39" s="162"/>
      <c r="D39" s="162"/>
      <c r="E39" s="162"/>
      <c r="F39" s="162"/>
      <c r="G39" s="162"/>
      <c r="H39" s="162"/>
    </row>
    <row r="40" spans="2:8" x14ac:dyDescent="0.25">
      <c r="B40" s="162"/>
      <c r="C40" s="162"/>
      <c r="D40" s="162"/>
      <c r="E40" s="162"/>
      <c r="F40" s="162"/>
      <c r="G40" s="162"/>
      <c r="H40" s="162"/>
    </row>
  </sheetData>
  <mergeCells count="2">
    <mergeCell ref="B3:H3"/>
    <mergeCell ref="I3:N3"/>
  </mergeCells>
  <pageMargins left="0.7" right="0.7" top="0.75" bottom="0.75" header="0.3" footer="0.3"/>
  <pageSetup scale="38" fitToHeight="0" orientation="landscape" r:id="rId1"/>
  <headerFooter>
    <oddFooter>&amp;CSchedule JNG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7"/>
  <sheetViews>
    <sheetView workbookViewId="0"/>
  </sheetViews>
  <sheetFormatPr defaultRowHeight="15" x14ac:dyDescent="0.25"/>
  <cols>
    <col min="1" max="1" width="14.5703125" bestFit="1" customWidth="1"/>
    <col min="2" max="2" width="15.5703125" style="122" bestFit="1" customWidth="1"/>
    <col min="3" max="3" width="15.42578125" style="123" bestFit="1" customWidth="1"/>
    <col min="4" max="4" width="15.42578125" bestFit="1" customWidth="1"/>
    <col min="5" max="5" width="15.5703125" style="122" bestFit="1" customWidth="1"/>
    <col min="6" max="6" width="12.28515625" style="123" bestFit="1" customWidth="1"/>
    <col min="7" max="7" width="15.42578125" bestFit="1" customWidth="1"/>
    <col min="8" max="8" width="15.42578125" style="122" hidden="1" customWidth="1"/>
    <col min="9" max="9" width="10.28515625" style="123" hidden="1" customWidth="1"/>
    <col min="10" max="10" width="13.42578125" hidden="1" customWidth="1"/>
    <col min="11" max="11" width="14.42578125" style="122" hidden="1" customWidth="1"/>
    <col min="12" max="12" width="10.28515625" style="123" hidden="1" customWidth="1"/>
    <col min="13" max="13" width="11.7109375" hidden="1" customWidth="1"/>
    <col min="14" max="14" width="14.42578125" style="122" hidden="1" customWidth="1"/>
    <col min="15" max="15" width="10.28515625" style="123" hidden="1" customWidth="1"/>
    <col min="16" max="16" width="11.7109375" hidden="1" customWidth="1"/>
    <col min="17" max="17" width="15.42578125" style="122" hidden="1" customWidth="1"/>
    <col min="18" max="18" width="10.28515625" style="123" hidden="1" customWidth="1"/>
    <col min="19" max="19" width="11.7109375" hidden="1" customWidth="1"/>
    <col min="20" max="20" width="15.42578125" style="122" hidden="1" customWidth="1"/>
    <col min="21" max="21" width="10.28515625" style="123" hidden="1" customWidth="1"/>
    <col min="22" max="22" width="11.7109375" hidden="1" customWidth="1"/>
    <col min="23" max="23" width="15.42578125" style="122" hidden="1" customWidth="1"/>
    <col min="24" max="24" width="10.28515625" style="123" hidden="1" customWidth="1"/>
    <col min="25" max="25" width="11.7109375" hidden="1" customWidth="1"/>
    <col min="26" max="26" width="15.42578125" style="122" hidden="1" customWidth="1"/>
    <col min="27" max="27" width="10.28515625" style="123" hidden="1" customWidth="1"/>
    <col min="28" max="28" width="11.7109375" hidden="1" customWidth="1"/>
    <col min="29" max="29" width="15.42578125" style="122" hidden="1" customWidth="1"/>
    <col min="30" max="30" width="10.28515625" style="123" hidden="1" customWidth="1"/>
    <col min="31" max="31" width="11.7109375" hidden="1" customWidth="1"/>
    <col min="32" max="32" width="14.42578125" style="122" hidden="1" customWidth="1"/>
    <col min="33" max="33" width="10.28515625" style="123" hidden="1" customWidth="1"/>
    <col min="34" max="34" width="10.7109375" hidden="1" customWidth="1"/>
    <col min="35" max="35" width="14.42578125" style="122" customWidth="1"/>
    <col min="36" max="36" width="10.28515625" style="123" customWidth="1"/>
    <col min="37" max="37" width="11.7109375" bestFit="1" customWidth="1"/>
    <col min="38" max="38" width="14.42578125" style="122" customWidth="1"/>
    <col min="39" max="39" width="10.28515625" style="123" customWidth="1"/>
    <col min="40" max="40" width="10.7109375" customWidth="1"/>
    <col min="41" max="41" width="15.42578125" style="122" bestFit="1" customWidth="1"/>
    <col min="42" max="42" width="12.28515625" style="123" bestFit="1" customWidth="1"/>
    <col min="43" max="43" width="11.7109375" bestFit="1" customWidth="1"/>
    <col min="44" max="44" width="15.42578125" style="122" bestFit="1" customWidth="1"/>
    <col min="45" max="45" width="10.28515625" style="123" bestFit="1" customWidth="1"/>
    <col min="46" max="46" width="11.7109375" bestFit="1" customWidth="1"/>
    <col min="47" max="47" width="14.42578125" style="122" customWidth="1"/>
    <col min="48" max="48" width="10.28515625" style="123" customWidth="1"/>
    <col min="49" max="49" width="10.7109375" customWidth="1"/>
    <col min="50" max="50" width="14.42578125" style="122" customWidth="1"/>
    <col min="51" max="51" width="10.28515625" style="123" customWidth="1"/>
    <col min="52" max="52" width="10.7109375" customWidth="1"/>
    <col min="53" max="53" width="14.42578125" style="122" customWidth="1"/>
    <col min="54" max="54" width="10.28515625" style="123" customWidth="1"/>
    <col min="55" max="55" width="10.7109375" customWidth="1"/>
    <col min="56" max="56" width="14.42578125" style="122" customWidth="1"/>
    <col min="57" max="57" width="10.28515625" style="123" customWidth="1"/>
    <col min="58" max="58" width="10.7109375" customWidth="1"/>
    <col min="59" max="59" width="14.42578125" style="122" customWidth="1"/>
    <col min="60" max="60" width="10.28515625" style="123" customWidth="1"/>
    <col min="61" max="61" width="10.7109375" customWidth="1"/>
    <col min="62" max="62" width="14.42578125" style="122" customWidth="1"/>
    <col min="63" max="63" width="10.28515625" style="123" customWidth="1"/>
    <col min="64" max="64" width="10.7109375" customWidth="1"/>
    <col min="65" max="65" width="14.42578125" style="122" hidden="1" customWidth="1"/>
    <col min="66" max="66" width="10.28515625" style="123" hidden="1" customWidth="1"/>
    <col min="67" max="67" width="10.7109375" hidden="1" customWidth="1"/>
    <col min="68" max="68" width="14.42578125" style="122" hidden="1" customWidth="1"/>
    <col min="69" max="69" width="10.28515625" style="123" hidden="1" customWidth="1"/>
    <col min="70" max="70" width="10.7109375" hidden="1" customWidth="1"/>
    <col min="71" max="71" width="14.42578125" style="122" hidden="1" customWidth="1"/>
    <col min="72" max="72" width="10.28515625" style="123" hidden="1" customWidth="1"/>
    <col min="73" max="73" width="10.7109375" hidden="1" customWidth="1"/>
    <col min="74" max="74" width="14.42578125" style="122" hidden="1" customWidth="1"/>
    <col min="75" max="75" width="10.28515625" style="123" hidden="1" customWidth="1"/>
    <col min="76" max="76" width="10.7109375" hidden="1" customWidth="1"/>
    <col min="77" max="77" width="14.42578125" style="122" hidden="1" customWidth="1"/>
    <col min="78" max="78" width="10.28515625" style="123" hidden="1" customWidth="1"/>
    <col min="79" max="79" width="10.7109375" hidden="1" customWidth="1"/>
    <col min="80" max="80" width="14.42578125" style="122" hidden="1" customWidth="1"/>
    <col min="81" max="81" width="10.28515625" style="123" hidden="1" customWidth="1"/>
    <col min="82" max="82" width="10.7109375" hidden="1" customWidth="1"/>
    <col min="83" max="83" width="14.42578125" style="122" hidden="1" customWidth="1"/>
    <col min="84" max="84" width="10.28515625" style="123" hidden="1" customWidth="1"/>
    <col min="85" max="85" width="10.7109375" hidden="1" customWidth="1"/>
    <col min="86" max="86" width="14.42578125" style="122" hidden="1" customWidth="1"/>
    <col min="87" max="87" width="10.28515625" style="123" hidden="1" customWidth="1"/>
    <col min="88" max="88" width="10.7109375" hidden="1" customWidth="1"/>
    <col min="89" max="89" width="14.42578125" style="122" hidden="1" customWidth="1"/>
    <col min="90" max="90" width="10.28515625" style="123" hidden="1" customWidth="1"/>
    <col min="91" max="91" width="10.7109375" hidden="1" customWidth="1"/>
    <col min="92" max="92" width="14.42578125" style="122" hidden="1" customWidth="1"/>
    <col min="93" max="93" width="10.28515625" style="123" hidden="1" customWidth="1"/>
    <col min="94" max="94" width="10.7109375" hidden="1" customWidth="1"/>
    <col min="95" max="95" width="14.42578125" style="122" hidden="1" customWidth="1"/>
    <col min="96" max="96" width="10.28515625" style="123" hidden="1" customWidth="1"/>
    <col min="97" max="97" width="10.7109375" hidden="1" customWidth="1"/>
    <col min="98" max="98" width="14.42578125" style="122" hidden="1" customWidth="1"/>
    <col min="99" max="99" width="10.28515625" style="123" hidden="1" customWidth="1"/>
    <col min="100" max="100" width="10.7109375" hidden="1" customWidth="1"/>
    <col min="101" max="101" width="14.42578125" style="122" hidden="1" customWidth="1"/>
    <col min="102" max="102" width="10.28515625" style="123" hidden="1" customWidth="1"/>
    <col min="103" max="103" width="10.7109375" hidden="1" customWidth="1"/>
    <col min="104" max="104" width="14.42578125" style="122" hidden="1" customWidth="1"/>
    <col min="105" max="105" width="10.28515625" style="123" hidden="1" customWidth="1"/>
    <col min="106" max="106" width="10.7109375" hidden="1" customWidth="1"/>
    <col min="107" max="107" width="14.42578125" style="122" hidden="1" customWidth="1"/>
    <col min="108" max="108" width="10.28515625" style="123" hidden="1" customWidth="1"/>
    <col min="109" max="109" width="10.7109375" hidden="1" customWidth="1"/>
    <col min="110" max="110" width="14.42578125" style="122" hidden="1" customWidth="1"/>
    <col min="111" max="111" width="10.28515625" style="123" hidden="1" customWidth="1"/>
    <col min="112" max="112" width="10.7109375" hidden="1" customWidth="1"/>
    <col min="113" max="113" width="14.42578125" style="122" hidden="1" customWidth="1"/>
    <col min="114" max="114" width="10.28515625" style="123" hidden="1" customWidth="1"/>
    <col min="115" max="115" width="10.7109375" hidden="1" customWidth="1"/>
    <col min="116" max="116" width="14.42578125" style="122" hidden="1" customWidth="1"/>
    <col min="117" max="117" width="10.28515625" style="123" hidden="1" customWidth="1"/>
    <col min="118" max="118" width="10.7109375" hidden="1" customWidth="1"/>
    <col min="119" max="119" width="14.42578125" style="122" hidden="1" customWidth="1"/>
    <col min="120" max="120" width="10.28515625" style="123" hidden="1" customWidth="1"/>
    <col min="121" max="121" width="10.7109375" hidden="1" customWidth="1"/>
    <col min="122" max="122" width="14.42578125" style="122" hidden="1" customWidth="1"/>
    <col min="123" max="123" width="10.28515625" style="123" hidden="1" customWidth="1"/>
    <col min="124" max="124" width="10.7109375" hidden="1" customWidth="1"/>
    <col min="125" max="125" width="14.42578125" style="122" hidden="1" customWidth="1"/>
    <col min="126" max="126" width="10.28515625" style="123" hidden="1" customWidth="1"/>
    <col min="127" max="127" width="10.7109375" hidden="1" customWidth="1"/>
    <col min="128" max="128" width="14.42578125" style="122" hidden="1" customWidth="1"/>
    <col min="129" max="129" width="10.28515625" style="123" hidden="1" customWidth="1"/>
    <col min="130" max="130" width="10.7109375" hidden="1" customWidth="1"/>
    <col min="131" max="131" width="2.7109375" customWidth="1"/>
    <col min="132" max="132" width="15.42578125" bestFit="1" customWidth="1"/>
    <col min="133" max="133" width="15.42578125" hidden="1" customWidth="1"/>
    <col min="134" max="134" width="14.42578125" bestFit="1" customWidth="1"/>
    <col min="135" max="135" width="17.7109375" bestFit="1" customWidth="1"/>
    <col min="136" max="136" width="2.7109375" customWidth="1"/>
    <col min="137" max="137" width="15.42578125" hidden="1" customWidth="1"/>
    <col min="138" max="138" width="14.42578125" hidden="1" customWidth="1"/>
    <col min="139" max="139" width="12.42578125" hidden="1" customWidth="1"/>
    <col min="140" max="140" width="2.7109375" hidden="1" customWidth="1"/>
    <col min="141" max="141" width="15.42578125" bestFit="1" customWidth="1"/>
    <col min="142" max="142" width="15.42578125" hidden="1" customWidth="1"/>
    <col min="143" max="143" width="14.42578125" bestFit="1" customWidth="1"/>
    <col min="144" max="144" width="15.42578125" bestFit="1" customWidth="1"/>
    <col min="145" max="145" width="42.85546875" bestFit="1" customWidth="1"/>
    <col min="146" max="146" width="19.42578125" bestFit="1" customWidth="1"/>
    <col min="147" max="147" width="23.140625" bestFit="1" customWidth="1"/>
  </cols>
  <sheetData>
    <row r="1" spans="1:147" s="115" customFormat="1" ht="15.75" x14ac:dyDescent="0.25">
      <c r="A1" s="112" t="s">
        <v>0</v>
      </c>
      <c r="B1" s="113"/>
      <c r="C1" s="114"/>
      <c r="E1" s="113"/>
      <c r="F1" s="114"/>
      <c r="H1" s="113"/>
      <c r="I1" s="114"/>
      <c r="K1" s="113"/>
      <c r="L1" s="114"/>
      <c r="N1" s="113"/>
      <c r="O1" s="114"/>
      <c r="Q1" s="113"/>
      <c r="R1" s="114"/>
      <c r="T1" s="113"/>
      <c r="U1" s="114"/>
      <c r="W1" s="113"/>
      <c r="X1" s="114"/>
      <c r="Z1" s="113"/>
      <c r="AA1" s="114"/>
      <c r="AC1" s="113"/>
      <c r="AD1" s="114"/>
      <c r="AF1" s="113"/>
      <c r="AG1" s="114"/>
      <c r="AI1" s="113"/>
      <c r="AJ1" s="114"/>
      <c r="AL1" s="113"/>
      <c r="AM1" s="114"/>
      <c r="AO1" s="113"/>
      <c r="AP1" s="114"/>
      <c r="AR1" s="113"/>
      <c r="AS1" s="114"/>
      <c r="AU1" s="113"/>
      <c r="AV1" s="114"/>
      <c r="AX1" s="113"/>
      <c r="AY1" s="114"/>
      <c r="BA1" s="113"/>
      <c r="BB1" s="114"/>
      <c r="BD1" s="113"/>
      <c r="BE1" s="114"/>
      <c r="BG1" s="113"/>
      <c r="BH1" s="114"/>
      <c r="BJ1" s="113"/>
      <c r="BK1" s="114"/>
      <c r="BM1" s="113"/>
      <c r="BN1" s="114"/>
      <c r="BP1" s="113"/>
      <c r="BQ1" s="114"/>
      <c r="BS1" s="113"/>
      <c r="BT1" s="114"/>
      <c r="BV1" s="113"/>
      <c r="BW1" s="114"/>
      <c r="BY1" s="113"/>
      <c r="BZ1" s="114"/>
      <c r="CB1" s="113"/>
      <c r="CC1" s="114"/>
      <c r="CE1" s="113"/>
      <c r="CF1" s="114"/>
      <c r="CH1" s="113"/>
      <c r="CI1" s="114"/>
      <c r="CK1" s="113"/>
      <c r="CL1" s="114"/>
      <c r="CN1" s="113"/>
      <c r="CO1" s="114"/>
      <c r="CQ1" s="113"/>
      <c r="CR1" s="114"/>
      <c r="CT1" s="113"/>
      <c r="CU1" s="114"/>
      <c r="CW1" s="113"/>
      <c r="CX1" s="114"/>
      <c r="CZ1" s="113"/>
      <c r="DA1" s="114"/>
      <c r="DC1" s="113"/>
      <c r="DD1" s="114"/>
      <c r="DF1" s="113"/>
      <c r="DG1" s="114"/>
      <c r="DI1" s="113"/>
      <c r="DJ1" s="114"/>
      <c r="DL1" s="113"/>
      <c r="DM1" s="114"/>
      <c r="DO1" s="113"/>
      <c r="DP1" s="114"/>
      <c r="DR1" s="113"/>
      <c r="DS1" s="114"/>
      <c r="DU1" s="113"/>
      <c r="DV1" s="114"/>
      <c r="DX1" s="113"/>
      <c r="DY1" s="114"/>
      <c r="DZ1" s="116"/>
      <c r="ED1" s="117"/>
      <c r="EE1" s="118" t="s">
        <v>257</v>
      </c>
      <c r="EI1" s="117" t="s">
        <v>258</v>
      </c>
      <c r="EM1" s="117"/>
      <c r="EN1" s="117" t="s">
        <v>259</v>
      </c>
      <c r="EO1" s="112" t="s">
        <v>260</v>
      </c>
      <c r="EP1" s="112" t="s">
        <v>261</v>
      </c>
      <c r="EQ1" s="112" t="s">
        <v>262</v>
      </c>
    </row>
    <row r="2" spans="1:147" s="115" customFormat="1" ht="16.5" thickBot="1" x14ac:dyDescent="0.3">
      <c r="A2" s="112" t="s">
        <v>263</v>
      </c>
      <c r="B2" s="113"/>
      <c r="C2" s="114"/>
      <c r="E2" s="119"/>
      <c r="F2" s="114"/>
      <c r="G2" s="117"/>
      <c r="H2" s="113"/>
      <c r="I2" s="114"/>
      <c r="K2" s="113"/>
      <c r="L2" s="114"/>
      <c r="N2" s="113"/>
      <c r="O2" s="114"/>
      <c r="Q2" s="113"/>
      <c r="R2" s="114"/>
      <c r="T2" s="113"/>
      <c r="U2" s="114"/>
      <c r="W2" s="113"/>
      <c r="X2" s="114"/>
      <c r="Z2" s="113"/>
      <c r="AA2" s="114"/>
      <c r="AC2" s="113"/>
      <c r="AD2" s="114"/>
      <c r="AF2" s="113"/>
      <c r="AG2" s="114"/>
      <c r="AI2" s="113"/>
      <c r="AJ2" s="114"/>
      <c r="AL2" s="113"/>
      <c r="AM2" s="114"/>
      <c r="AO2" s="113"/>
      <c r="AP2" s="114"/>
      <c r="AR2" s="113"/>
      <c r="AS2" s="114"/>
      <c r="AU2" s="113"/>
      <c r="AV2" s="114"/>
      <c r="AX2" s="113"/>
      <c r="AY2" s="114"/>
      <c r="BA2" s="113"/>
      <c r="BB2" s="114"/>
      <c r="BD2" s="113"/>
      <c r="BE2" s="114"/>
      <c r="BG2" s="113"/>
      <c r="BH2" s="114"/>
      <c r="BJ2" s="113"/>
      <c r="BK2" s="114"/>
      <c r="BM2" s="113"/>
      <c r="BN2" s="114"/>
      <c r="BP2" s="113"/>
      <c r="BQ2" s="114"/>
      <c r="BS2" s="113"/>
      <c r="BT2" s="114"/>
      <c r="BV2" s="113"/>
      <c r="BW2" s="114"/>
      <c r="BY2" s="113"/>
      <c r="BZ2" s="114"/>
      <c r="CB2" s="113"/>
      <c r="CC2" s="114"/>
      <c r="CE2" s="113"/>
      <c r="CF2" s="114"/>
      <c r="CH2" s="113"/>
      <c r="CI2" s="114"/>
      <c r="CK2" s="113"/>
      <c r="CL2" s="114"/>
      <c r="CN2" s="113"/>
      <c r="CO2" s="114"/>
      <c r="CQ2" s="113"/>
      <c r="CR2" s="114"/>
      <c r="CT2" s="113"/>
      <c r="CU2" s="114"/>
      <c r="CW2" s="113"/>
      <c r="CX2" s="114"/>
      <c r="CZ2" s="113"/>
      <c r="DA2" s="114"/>
      <c r="DC2" s="113"/>
      <c r="DD2" s="114"/>
      <c r="DF2" s="113"/>
      <c r="DG2" s="114"/>
      <c r="DI2" s="113"/>
      <c r="DJ2" s="114"/>
      <c r="DL2" s="113"/>
      <c r="DM2" s="114"/>
      <c r="DO2" s="113"/>
      <c r="DP2" s="114"/>
      <c r="DR2" s="113"/>
      <c r="DS2" s="114"/>
      <c r="DU2" s="113"/>
      <c r="DV2" s="114"/>
      <c r="DX2" s="113"/>
      <c r="DY2" s="114"/>
      <c r="EB2" s="54" t="s">
        <v>264</v>
      </c>
      <c r="EC2" s="54"/>
      <c r="ED2" s="120"/>
      <c r="EE2" s="120">
        <f>EB41</f>
        <v>146425000</v>
      </c>
      <c r="EI2" s="120">
        <f>EG40</f>
        <v>0</v>
      </c>
      <c r="EM2" s="120"/>
      <c r="EN2" s="120">
        <f>EK41</f>
        <v>146425000</v>
      </c>
      <c r="EO2" s="113">
        <v>-50339.76</v>
      </c>
      <c r="EP2" s="113">
        <f>EN2+EO2</f>
        <v>146374660.24000001</v>
      </c>
      <c r="EQ2" s="113">
        <f>EE2+EO2</f>
        <v>146374660.24000001</v>
      </c>
    </row>
    <row r="3" spans="1:147" ht="16.5" thickTop="1" x14ac:dyDescent="0.25">
      <c r="A3" s="121" t="s">
        <v>332</v>
      </c>
      <c r="E3" s="124" t="s">
        <v>266</v>
      </c>
      <c r="F3" s="125"/>
      <c r="G3" s="126"/>
      <c r="EB3" s="54" t="s">
        <v>267</v>
      </c>
      <c r="EC3" s="54"/>
      <c r="ED3" s="120"/>
      <c r="EE3" s="120">
        <f>AVERAGE(EB11:EB41)</f>
        <v>100534677.41935484</v>
      </c>
      <c r="EI3" s="120">
        <f>AVERAGE(EG11:EG40)</f>
        <v>0</v>
      </c>
      <c r="EM3" s="120"/>
      <c r="EN3" s="120">
        <f>AVERAGE(EK11:EK41)</f>
        <v>100534677.41935484</v>
      </c>
    </row>
    <row r="4" spans="1:147" x14ac:dyDescent="0.25">
      <c r="D4" s="54"/>
      <c r="E4" s="130" t="s">
        <v>264</v>
      </c>
      <c r="F4" s="120"/>
      <c r="G4" s="131">
        <f>EQ2</f>
        <v>146374660.24000001</v>
      </c>
      <c r="AI4" s="132" t="s">
        <v>268</v>
      </c>
      <c r="EB4" s="54" t="s">
        <v>269</v>
      </c>
      <c r="EC4" s="54"/>
      <c r="ED4" s="128"/>
      <c r="EE4" s="128">
        <f>IF(EE3=0,0,360*(AVERAGE(ED11:ED41)/EE3))</f>
        <v>2.6773610453783406E-2</v>
      </c>
      <c r="EI4" s="128">
        <f>IF(EI3=0,0,360*(AVERAGE(EH11:EH40)/EI3))</f>
        <v>0</v>
      </c>
      <c r="EM4" s="128"/>
      <c r="EN4" s="128">
        <f>IF(EN3=0,0,360*(AVERAGE(EM11:EM41)/EN3))</f>
        <v>2.6773610453783406E-2</v>
      </c>
      <c r="EO4" s="133" t="s">
        <v>270</v>
      </c>
      <c r="EQ4" s="134" t="s">
        <v>268</v>
      </c>
    </row>
    <row r="5" spans="1:147" ht="15.75" x14ac:dyDescent="0.25">
      <c r="D5" s="54"/>
      <c r="E5" s="130" t="s">
        <v>267</v>
      </c>
      <c r="F5" s="120"/>
      <c r="G5" s="131">
        <f>EE3</f>
        <v>100534677.41935484</v>
      </c>
      <c r="AI5" s="135" t="s">
        <v>259</v>
      </c>
      <c r="EB5" s="136" t="s">
        <v>271</v>
      </c>
      <c r="EC5" s="136"/>
      <c r="ED5" s="120"/>
      <c r="EE5" s="120">
        <f>MAX(EB11:EB41)</f>
        <v>146425000</v>
      </c>
      <c r="EI5" s="120">
        <f>MAX(EG11:EG40)</f>
        <v>0</v>
      </c>
      <c r="EM5" s="120"/>
      <c r="EN5" s="120">
        <f>MAX(EK11:EK41)</f>
        <v>146425000</v>
      </c>
    </row>
    <row r="6" spans="1:147" x14ac:dyDescent="0.25">
      <c r="D6" s="54"/>
      <c r="E6" s="130" t="s">
        <v>269</v>
      </c>
      <c r="F6" s="120"/>
      <c r="G6" s="137">
        <f>EE4</f>
        <v>2.6773610453783406E-2</v>
      </c>
    </row>
    <row r="7" spans="1:147" ht="16.5" thickBot="1" x14ac:dyDescent="0.3">
      <c r="D7" s="54"/>
      <c r="E7" s="138" t="s">
        <v>271</v>
      </c>
      <c r="F7" s="139"/>
      <c r="G7" s="140">
        <f>EE5</f>
        <v>146425000</v>
      </c>
      <c r="AI7" s="135" t="s">
        <v>259</v>
      </c>
      <c r="EB7" s="141" t="s">
        <v>272</v>
      </c>
      <c r="EC7" s="141"/>
      <c r="ED7" s="142"/>
      <c r="EE7" s="142"/>
      <c r="EG7" s="141" t="s">
        <v>273</v>
      </c>
      <c r="EH7" s="142"/>
      <c r="EI7" s="142"/>
      <c r="EJ7" s="143"/>
      <c r="EK7" s="141" t="s">
        <v>274</v>
      </c>
      <c r="EL7" s="141"/>
      <c r="EM7" s="142"/>
      <c r="EN7" s="142"/>
    </row>
    <row r="8" spans="1:147" ht="15.75" thickTop="1" x14ac:dyDescent="0.25">
      <c r="AI8" s="144" t="s">
        <v>275</v>
      </c>
      <c r="AL8" s="144" t="s">
        <v>275</v>
      </c>
      <c r="AO8" s="144" t="s">
        <v>275</v>
      </c>
      <c r="AR8" s="144" t="s">
        <v>275</v>
      </c>
      <c r="AU8" s="144" t="s">
        <v>275</v>
      </c>
      <c r="AX8" s="144" t="s">
        <v>275</v>
      </c>
      <c r="BA8" s="144" t="s">
        <v>275</v>
      </c>
      <c r="BD8" s="144" t="s">
        <v>275</v>
      </c>
      <c r="BG8" s="144" t="s">
        <v>275</v>
      </c>
      <c r="BJ8" s="144" t="s">
        <v>275</v>
      </c>
      <c r="BM8" s="144" t="s">
        <v>275</v>
      </c>
      <c r="BP8" s="144" t="s">
        <v>275</v>
      </c>
      <c r="BS8" s="144" t="s">
        <v>275</v>
      </c>
      <c r="BV8" s="144" t="s">
        <v>275</v>
      </c>
      <c r="BY8" s="144" t="s">
        <v>275</v>
      </c>
      <c r="CB8" s="144" t="s">
        <v>275</v>
      </c>
      <c r="CE8" s="144" t="s">
        <v>275</v>
      </c>
      <c r="CH8" s="144" t="s">
        <v>275</v>
      </c>
      <c r="CK8" s="144" t="s">
        <v>275</v>
      </c>
      <c r="CN8" s="144" t="s">
        <v>275</v>
      </c>
      <c r="CQ8" s="144" t="s">
        <v>275</v>
      </c>
      <c r="CT8" s="144" t="s">
        <v>275</v>
      </c>
      <c r="CW8" s="144" t="s">
        <v>275</v>
      </c>
      <c r="CZ8" s="144" t="s">
        <v>275</v>
      </c>
      <c r="DC8" s="144" t="s">
        <v>275</v>
      </c>
      <c r="DF8" s="144" t="s">
        <v>275</v>
      </c>
      <c r="DI8" s="144" t="s">
        <v>275</v>
      </c>
      <c r="DL8" s="144" t="s">
        <v>275</v>
      </c>
      <c r="DO8" s="144" t="s">
        <v>275</v>
      </c>
      <c r="DR8" s="144" t="s">
        <v>275</v>
      </c>
      <c r="EB8" s="145"/>
      <c r="EC8" s="145"/>
      <c r="ED8" s="145"/>
      <c r="EE8" s="145" t="s">
        <v>276</v>
      </c>
      <c r="EG8" s="145"/>
      <c r="EH8" s="146" t="s">
        <v>258</v>
      </c>
      <c r="EI8" s="145" t="s">
        <v>276</v>
      </c>
      <c r="EJ8" s="145"/>
      <c r="EK8" s="134" t="s">
        <v>277</v>
      </c>
      <c r="EL8" s="134" t="s">
        <v>278</v>
      </c>
      <c r="EM8" s="146" t="s">
        <v>279</v>
      </c>
      <c r="EN8" s="145" t="s">
        <v>276</v>
      </c>
    </row>
    <row r="9" spans="1:147" x14ac:dyDescent="0.25">
      <c r="B9" s="147" t="s">
        <v>280</v>
      </c>
      <c r="C9" s="148"/>
      <c r="D9" s="142"/>
      <c r="E9" s="147" t="s">
        <v>281</v>
      </c>
      <c r="F9" s="148"/>
      <c r="G9" s="142"/>
      <c r="H9" s="147" t="s">
        <v>282</v>
      </c>
      <c r="I9" s="148"/>
      <c r="J9" s="142"/>
      <c r="K9" s="147" t="s">
        <v>283</v>
      </c>
      <c r="L9" s="148"/>
      <c r="M9" s="142"/>
      <c r="N9" s="147" t="s">
        <v>284</v>
      </c>
      <c r="O9" s="148"/>
      <c r="P9" s="142"/>
      <c r="Q9" s="147" t="s">
        <v>285</v>
      </c>
      <c r="R9" s="148"/>
      <c r="S9" s="142"/>
      <c r="T9" s="147" t="s">
        <v>286</v>
      </c>
      <c r="U9" s="148"/>
      <c r="V9" s="142"/>
      <c r="W9" s="147" t="s">
        <v>287</v>
      </c>
      <c r="X9" s="148"/>
      <c r="Y9" s="142"/>
      <c r="Z9" s="147" t="s">
        <v>288</v>
      </c>
      <c r="AA9" s="148"/>
      <c r="AB9" s="142"/>
      <c r="AC9" s="149" t="s">
        <v>289</v>
      </c>
      <c r="AD9" s="148"/>
      <c r="AE9" s="142"/>
      <c r="AF9" s="149" t="s">
        <v>290</v>
      </c>
      <c r="AG9" s="148"/>
      <c r="AH9" s="142"/>
      <c r="AI9" s="147" t="s">
        <v>291</v>
      </c>
      <c r="AJ9" s="148"/>
      <c r="AK9" s="142"/>
      <c r="AL9" s="147" t="s">
        <v>292</v>
      </c>
      <c r="AM9" s="148"/>
      <c r="AN9" s="142"/>
      <c r="AO9" s="147" t="s">
        <v>293</v>
      </c>
      <c r="AP9" s="148"/>
      <c r="AQ9" s="142"/>
      <c r="AR9" s="147" t="s">
        <v>294</v>
      </c>
      <c r="AS9" s="148"/>
      <c r="AT9" s="142"/>
      <c r="AU9" s="147" t="s">
        <v>295</v>
      </c>
      <c r="AV9" s="148"/>
      <c r="AW9" s="142"/>
      <c r="AX9" s="147" t="s">
        <v>296</v>
      </c>
      <c r="AY9" s="148"/>
      <c r="AZ9" s="142"/>
      <c r="BA9" s="147" t="s">
        <v>297</v>
      </c>
      <c r="BB9" s="148"/>
      <c r="BC9" s="142"/>
      <c r="BD9" s="147" t="s">
        <v>298</v>
      </c>
      <c r="BE9" s="148"/>
      <c r="BF9" s="142"/>
      <c r="BG9" s="147" t="s">
        <v>299</v>
      </c>
      <c r="BH9" s="148"/>
      <c r="BI9" s="142"/>
      <c r="BJ9" s="147" t="s">
        <v>300</v>
      </c>
      <c r="BK9" s="148"/>
      <c r="BL9" s="142"/>
      <c r="BM9" s="147" t="s">
        <v>301</v>
      </c>
      <c r="BN9" s="148"/>
      <c r="BO9" s="142"/>
      <c r="BP9" s="147" t="s">
        <v>302</v>
      </c>
      <c r="BQ9" s="148"/>
      <c r="BR9" s="142"/>
      <c r="BS9" s="147" t="s">
        <v>303</v>
      </c>
      <c r="BT9" s="148"/>
      <c r="BU9" s="142"/>
      <c r="BV9" s="147" t="s">
        <v>304</v>
      </c>
      <c r="BW9" s="148"/>
      <c r="BX9" s="142"/>
      <c r="BY9" s="147" t="s">
        <v>305</v>
      </c>
      <c r="BZ9" s="148"/>
      <c r="CA9" s="142"/>
      <c r="CB9" s="147" t="s">
        <v>306</v>
      </c>
      <c r="CC9" s="148"/>
      <c r="CD9" s="142"/>
      <c r="CE9" s="147" t="s">
        <v>307</v>
      </c>
      <c r="CF9" s="148"/>
      <c r="CG9" s="142"/>
      <c r="CH9" s="147" t="s">
        <v>308</v>
      </c>
      <c r="CI9" s="148"/>
      <c r="CJ9" s="142"/>
      <c r="CK9" s="147" t="s">
        <v>309</v>
      </c>
      <c r="CL9" s="148"/>
      <c r="CM9" s="142"/>
      <c r="CN9" s="147" t="s">
        <v>310</v>
      </c>
      <c r="CO9" s="148"/>
      <c r="CP9" s="142"/>
      <c r="CQ9" s="147" t="s">
        <v>311</v>
      </c>
      <c r="CR9" s="148"/>
      <c r="CS9" s="142"/>
      <c r="CT9" s="147" t="s">
        <v>312</v>
      </c>
      <c r="CU9" s="148"/>
      <c r="CV9" s="142"/>
      <c r="CW9" s="147" t="s">
        <v>313</v>
      </c>
      <c r="CX9" s="148"/>
      <c r="CY9" s="142"/>
      <c r="CZ9" s="147" t="s">
        <v>314</v>
      </c>
      <c r="DA9" s="148"/>
      <c r="DB9" s="142"/>
      <c r="DC9" s="147" t="s">
        <v>315</v>
      </c>
      <c r="DD9" s="148"/>
      <c r="DE9" s="142"/>
      <c r="DF9" s="147" t="s">
        <v>316</v>
      </c>
      <c r="DG9" s="148"/>
      <c r="DH9" s="142"/>
      <c r="DI9" s="147" t="s">
        <v>317</v>
      </c>
      <c r="DJ9" s="148"/>
      <c r="DK9" s="142"/>
      <c r="DL9" s="147" t="s">
        <v>318</v>
      </c>
      <c r="DM9" s="148"/>
      <c r="DN9" s="142"/>
      <c r="DO9" s="147" t="s">
        <v>319</v>
      </c>
      <c r="DP9" s="148"/>
      <c r="DQ9" s="142"/>
      <c r="DR9" s="147" t="s">
        <v>320</v>
      </c>
      <c r="DS9" s="148"/>
      <c r="DT9" s="142"/>
      <c r="DU9" s="147" t="s">
        <v>321</v>
      </c>
      <c r="DV9" s="148"/>
      <c r="DW9" s="142"/>
      <c r="DX9" s="150" t="s">
        <v>322</v>
      </c>
      <c r="DY9" s="148"/>
      <c r="DZ9" s="142"/>
      <c r="EA9" s="143"/>
      <c r="EB9" s="134" t="s">
        <v>323</v>
      </c>
      <c r="EC9" s="134" t="s">
        <v>324</v>
      </c>
      <c r="ED9" s="145" t="s">
        <v>325</v>
      </c>
      <c r="EE9" s="145" t="s">
        <v>326</v>
      </c>
      <c r="EG9" s="146" t="s">
        <v>327</v>
      </c>
      <c r="EH9" s="145" t="s">
        <v>325</v>
      </c>
      <c r="EI9" s="145" t="s">
        <v>326</v>
      </c>
      <c r="EJ9" s="145"/>
      <c r="EK9" s="146" t="s">
        <v>279</v>
      </c>
      <c r="EL9" s="146" t="s">
        <v>279</v>
      </c>
      <c r="EM9" s="145" t="s">
        <v>325</v>
      </c>
      <c r="EN9" s="145" t="s">
        <v>326</v>
      </c>
    </row>
    <row r="10" spans="1:147" x14ac:dyDescent="0.25">
      <c r="A10" s="145" t="s">
        <v>328</v>
      </c>
      <c r="B10" s="151" t="s">
        <v>329</v>
      </c>
      <c r="C10" s="152" t="s">
        <v>330</v>
      </c>
      <c r="D10" s="153" t="s">
        <v>25</v>
      </c>
      <c r="E10" s="151" t="s">
        <v>329</v>
      </c>
      <c r="F10" s="152" t="s">
        <v>330</v>
      </c>
      <c r="G10" s="153" t="s">
        <v>25</v>
      </c>
      <c r="H10" s="151" t="s">
        <v>329</v>
      </c>
      <c r="I10" s="152" t="s">
        <v>330</v>
      </c>
      <c r="J10" s="153" t="s">
        <v>25</v>
      </c>
      <c r="K10" s="151" t="s">
        <v>329</v>
      </c>
      <c r="L10" s="152" t="s">
        <v>330</v>
      </c>
      <c r="M10" s="153" t="s">
        <v>25</v>
      </c>
      <c r="N10" s="151" t="s">
        <v>329</v>
      </c>
      <c r="O10" s="152" t="s">
        <v>330</v>
      </c>
      <c r="P10" s="153" t="s">
        <v>25</v>
      </c>
      <c r="Q10" s="151" t="s">
        <v>329</v>
      </c>
      <c r="R10" s="152" t="s">
        <v>330</v>
      </c>
      <c r="S10" s="153" t="s">
        <v>25</v>
      </c>
      <c r="T10" s="151" t="s">
        <v>329</v>
      </c>
      <c r="U10" s="152" t="s">
        <v>330</v>
      </c>
      <c r="V10" s="153" t="s">
        <v>25</v>
      </c>
      <c r="W10" s="151" t="s">
        <v>329</v>
      </c>
      <c r="X10" s="152" t="s">
        <v>330</v>
      </c>
      <c r="Y10" s="153" t="s">
        <v>25</v>
      </c>
      <c r="Z10" s="151" t="s">
        <v>329</v>
      </c>
      <c r="AA10" s="152" t="s">
        <v>330</v>
      </c>
      <c r="AB10" s="153" t="s">
        <v>25</v>
      </c>
      <c r="AC10" s="151" t="s">
        <v>329</v>
      </c>
      <c r="AD10" s="152" t="s">
        <v>330</v>
      </c>
      <c r="AE10" s="153" t="s">
        <v>25</v>
      </c>
      <c r="AF10" s="151" t="s">
        <v>329</v>
      </c>
      <c r="AG10" s="152" t="s">
        <v>330</v>
      </c>
      <c r="AH10" s="153" t="s">
        <v>25</v>
      </c>
      <c r="AI10" s="151" t="s">
        <v>329</v>
      </c>
      <c r="AJ10" s="152" t="s">
        <v>330</v>
      </c>
      <c r="AK10" s="153" t="s">
        <v>25</v>
      </c>
      <c r="AL10" s="151" t="s">
        <v>329</v>
      </c>
      <c r="AM10" s="152" t="s">
        <v>330</v>
      </c>
      <c r="AN10" s="153" t="s">
        <v>25</v>
      </c>
      <c r="AO10" s="151" t="s">
        <v>329</v>
      </c>
      <c r="AP10" s="152" t="s">
        <v>330</v>
      </c>
      <c r="AQ10" s="153" t="s">
        <v>25</v>
      </c>
      <c r="AR10" s="151" t="s">
        <v>329</v>
      </c>
      <c r="AS10" s="152" t="s">
        <v>330</v>
      </c>
      <c r="AT10" s="153" t="s">
        <v>25</v>
      </c>
      <c r="AU10" s="151" t="s">
        <v>329</v>
      </c>
      <c r="AV10" s="152" t="s">
        <v>330</v>
      </c>
      <c r="AW10" s="153" t="s">
        <v>25</v>
      </c>
      <c r="AX10" s="151" t="s">
        <v>329</v>
      </c>
      <c r="AY10" s="152" t="s">
        <v>330</v>
      </c>
      <c r="AZ10" s="153" t="s">
        <v>25</v>
      </c>
      <c r="BA10" s="151" t="s">
        <v>329</v>
      </c>
      <c r="BB10" s="152" t="s">
        <v>330</v>
      </c>
      <c r="BC10" s="153" t="s">
        <v>25</v>
      </c>
      <c r="BD10" s="151" t="s">
        <v>329</v>
      </c>
      <c r="BE10" s="152" t="s">
        <v>330</v>
      </c>
      <c r="BF10" s="153" t="s">
        <v>25</v>
      </c>
      <c r="BG10" s="151" t="s">
        <v>329</v>
      </c>
      <c r="BH10" s="152" t="s">
        <v>330</v>
      </c>
      <c r="BI10" s="153" t="s">
        <v>25</v>
      </c>
      <c r="BJ10" s="151" t="s">
        <v>329</v>
      </c>
      <c r="BK10" s="152" t="s">
        <v>330</v>
      </c>
      <c r="BL10" s="153" t="s">
        <v>25</v>
      </c>
      <c r="BM10" s="151" t="s">
        <v>329</v>
      </c>
      <c r="BN10" s="152" t="s">
        <v>330</v>
      </c>
      <c r="BO10" s="153" t="s">
        <v>25</v>
      </c>
      <c r="BP10" s="151" t="s">
        <v>329</v>
      </c>
      <c r="BQ10" s="152" t="s">
        <v>330</v>
      </c>
      <c r="BR10" s="153" t="s">
        <v>25</v>
      </c>
      <c r="BS10" s="151" t="s">
        <v>329</v>
      </c>
      <c r="BT10" s="152" t="s">
        <v>330</v>
      </c>
      <c r="BU10" s="153" t="s">
        <v>25</v>
      </c>
      <c r="BV10" s="151" t="s">
        <v>329</v>
      </c>
      <c r="BW10" s="152" t="s">
        <v>330</v>
      </c>
      <c r="BX10" s="153" t="s">
        <v>25</v>
      </c>
      <c r="BY10" s="151" t="s">
        <v>329</v>
      </c>
      <c r="BZ10" s="152" t="s">
        <v>330</v>
      </c>
      <c r="CA10" s="153" t="s">
        <v>25</v>
      </c>
      <c r="CB10" s="151" t="s">
        <v>329</v>
      </c>
      <c r="CC10" s="152" t="s">
        <v>330</v>
      </c>
      <c r="CD10" s="153" t="s">
        <v>25</v>
      </c>
      <c r="CE10" s="151" t="s">
        <v>329</v>
      </c>
      <c r="CF10" s="152" t="s">
        <v>330</v>
      </c>
      <c r="CG10" s="153" t="s">
        <v>25</v>
      </c>
      <c r="CH10" s="151" t="s">
        <v>329</v>
      </c>
      <c r="CI10" s="152" t="s">
        <v>330</v>
      </c>
      <c r="CJ10" s="153" t="s">
        <v>25</v>
      </c>
      <c r="CK10" s="151" t="s">
        <v>329</v>
      </c>
      <c r="CL10" s="152" t="s">
        <v>330</v>
      </c>
      <c r="CM10" s="153" t="s">
        <v>25</v>
      </c>
      <c r="CN10" s="151" t="s">
        <v>329</v>
      </c>
      <c r="CO10" s="152" t="s">
        <v>330</v>
      </c>
      <c r="CP10" s="153" t="s">
        <v>25</v>
      </c>
      <c r="CQ10" s="151" t="s">
        <v>329</v>
      </c>
      <c r="CR10" s="152" t="s">
        <v>330</v>
      </c>
      <c r="CS10" s="153" t="s">
        <v>25</v>
      </c>
      <c r="CT10" s="151" t="s">
        <v>329</v>
      </c>
      <c r="CU10" s="152" t="s">
        <v>330</v>
      </c>
      <c r="CV10" s="153" t="s">
        <v>25</v>
      </c>
      <c r="CW10" s="151" t="s">
        <v>329</v>
      </c>
      <c r="CX10" s="152" t="s">
        <v>330</v>
      </c>
      <c r="CY10" s="153" t="s">
        <v>25</v>
      </c>
      <c r="CZ10" s="151" t="s">
        <v>329</v>
      </c>
      <c r="DA10" s="152" t="s">
        <v>330</v>
      </c>
      <c r="DB10" s="153" t="s">
        <v>25</v>
      </c>
      <c r="DC10" s="151" t="s">
        <v>329</v>
      </c>
      <c r="DD10" s="152" t="s">
        <v>330</v>
      </c>
      <c r="DE10" s="153" t="s">
        <v>25</v>
      </c>
      <c r="DF10" s="151" t="s">
        <v>329</v>
      </c>
      <c r="DG10" s="152" t="s">
        <v>330</v>
      </c>
      <c r="DH10" s="153" t="s">
        <v>25</v>
      </c>
      <c r="DI10" s="151" t="s">
        <v>329</v>
      </c>
      <c r="DJ10" s="152" t="s">
        <v>330</v>
      </c>
      <c r="DK10" s="153" t="s">
        <v>25</v>
      </c>
      <c r="DL10" s="151" t="s">
        <v>329</v>
      </c>
      <c r="DM10" s="152" t="s">
        <v>330</v>
      </c>
      <c r="DN10" s="153" t="s">
        <v>25</v>
      </c>
      <c r="DO10" s="151" t="s">
        <v>329</v>
      </c>
      <c r="DP10" s="152" t="s">
        <v>330</v>
      </c>
      <c r="DQ10" s="153" t="s">
        <v>25</v>
      </c>
      <c r="DR10" s="151" t="s">
        <v>329</v>
      </c>
      <c r="DS10" s="152" t="s">
        <v>330</v>
      </c>
      <c r="DT10" s="153" t="s">
        <v>25</v>
      </c>
      <c r="DU10" s="151" t="s">
        <v>329</v>
      </c>
      <c r="DV10" s="152" t="s">
        <v>330</v>
      </c>
      <c r="DW10" s="153" t="s">
        <v>25</v>
      </c>
      <c r="DX10" s="151" t="s">
        <v>329</v>
      </c>
      <c r="DY10" s="152"/>
      <c r="DZ10" s="153"/>
      <c r="EA10" s="153"/>
      <c r="EB10" s="153" t="s">
        <v>331</v>
      </c>
      <c r="EC10" s="153" t="s">
        <v>331</v>
      </c>
      <c r="ED10" s="153" t="s">
        <v>25</v>
      </c>
      <c r="EE10" s="154" t="s">
        <v>330</v>
      </c>
      <c r="EG10" s="153" t="s">
        <v>331</v>
      </c>
      <c r="EH10" s="153" t="s">
        <v>25</v>
      </c>
      <c r="EI10" s="154" t="s">
        <v>330</v>
      </c>
      <c r="EJ10" s="154"/>
      <c r="EK10" s="153" t="s">
        <v>331</v>
      </c>
      <c r="EL10" s="153" t="s">
        <v>331</v>
      </c>
      <c r="EM10" s="153" t="s">
        <v>25</v>
      </c>
      <c r="EN10" s="154" t="s">
        <v>330</v>
      </c>
    </row>
    <row r="11" spans="1:147" x14ac:dyDescent="0.25">
      <c r="A11" s="66">
        <v>43586</v>
      </c>
      <c r="B11" s="122">
        <v>0</v>
      </c>
      <c r="C11" s="123">
        <v>2.7838359999999999E-2</v>
      </c>
      <c r="D11" s="122">
        <f>(B11*C11)/360</f>
        <v>0</v>
      </c>
      <c r="G11" s="122">
        <f>(E11*F11)/360</f>
        <v>0</v>
      </c>
      <c r="J11" s="122">
        <f>(H11*I11)/360</f>
        <v>0</v>
      </c>
      <c r="M11" s="122">
        <f>(K11*L11)/360</f>
        <v>0</v>
      </c>
      <c r="P11" s="122">
        <f>(N11*O11)/360</f>
        <v>0</v>
      </c>
      <c r="S11" s="122">
        <f>(Q11*R11)/360</f>
        <v>0</v>
      </c>
      <c r="V11" s="122">
        <f>(T11*U11)/360</f>
        <v>0</v>
      </c>
      <c r="Y11" s="122">
        <f>(W11*X11)/360</f>
        <v>0</v>
      </c>
      <c r="AB11" s="122">
        <f>(Z11*AA11)/360</f>
        <v>0</v>
      </c>
      <c r="AE11" s="122">
        <v>0</v>
      </c>
      <c r="AH11" s="122">
        <v>0</v>
      </c>
      <c r="AI11" s="155">
        <f>88125000</f>
        <v>88125000</v>
      </c>
      <c r="AJ11" s="156">
        <v>2.6499999999999999E-2</v>
      </c>
      <c r="AK11" s="122">
        <f>(AI11*AJ11)/360</f>
        <v>6486.979166666667</v>
      </c>
      <c r="AL11" s="155"/>
      <c r="AM11" s="156"/>
      <c r="AN11" s="122">
        <f>(AL11*AM11)/360</f>
        <v>0</v>
      </c>
      <c r="AO11" s="155"/>
      <c r="AP11" s="156"/>
      <c r="AQ11" s="122">
        <f>(AO11*AP11)/360</f>
        <v>0</v>
      </c>
      <c r="AT11" s="122">
        <f>(AR11*AS11)/360</f>
        <v>0</v>
      </c>
      <c r="AW11" s="122">
        <f>(AU11*AV11)/360</f>
        <v>0</v>
      </c>
      <c r="AZ11" s="122">
        <f>(AX11*AY11)/360</f>
        <v>0</v>
      </c>
      <c r="BC11" s="122">
        <f>(BA11*BB11)/360</f>
        <v>0</v>
      </c>
      <c r="BF11" s="122">
        <f>(BD11*BE11)/360</f>
        <v>0</v>
      </c>
      <c r="BI11" s="122">
        <f>(BG11*BH11)/360</f>
        <v>0</v>
      </c>
      <c r="BL11" s="122">
        <f>(BJ11*BK11)/360</f>
        <v>0</v>
      </c>
      <c r="BO11" s="122">
        <f>(BM11*BN11)/360</f>
        <v>0</v>
      </c>
      <c r="BR11" s="122">
        <f>(BP11*BQ11)/360</f>
        <v>0</v>
      </c>
      <c r="BU11" s="122">
        <f>(BS11*BT11)/360</f>
        <v>0</v>
      </c>
      <c r="BX11" s="122">
        <f>(BV11*BW11)/360</f>
        <v>0</v>
      </c>
      <c r="CA11" s="122">
        <f>(BY11*BZ11)/360</f>
        <v>0</v>
      </c>
      <c r="CD11" s="122">
        <f>(CB11*CC11)/360</f>
        <v>0</v>
      </c>
      <c r="CG11" s="122">
        <f>(CE11*CF11)/360</f>
        <v>0</v>
      </c>
      <c r="CJ11" s="122">
        <f>(CH11*CI11)/360</f>
        <v>0</v>
      </c>
      <c r="CM11" s="122">
        <f>(CK11*CL11)/360</f>
        <v>0</v>
      </c>
      <c r="CP11" s="122">
        <f>(CN11*CO11)/360</f>
        <v>0</v>
      </c>
      <c r="CS11" s="122">
        <f>(CQ11*CR11)/360</f>
        <v>0</v>
      </c>
      <c r="CV11" s="122">
        <f>(CT11*CU11)/360</f>
        <v>0</v>
      </c>
      <c r="CY11" s="122">
        <f>(CW11*CX11)/360</f>
        <v>0</v>
      </c>
      <c r="DB11" s="122">
        <f>(CZ11*DA11)/360</f>
        <v>0</v>
      </c>
      <c r="DE11" s="122">
        <f>(DC11*DD11)/360</f>
        <v>0</v>
      </c>
      <c r="DH11" s="122">
        <f>(DF11*DG11)/360</f>
        <v>0</v>
      </c>
      <c r="DK11" s="122">
        <f>(DI11*DJ11)/360</f>
        <v>0</v>
      </c>
      <c r="DN11" s="122">
        <f>(DL11*DM11)/360</f>
        <v>0</v>
      </c>
      <c r="DQ11" s="122">
        <f>(DO11*DP11)/360</f>
        <v>0</v>
      </c>
      <c r="DT11" s="122">
        <f>(DR11*DS11)/360</f>
        <v>0</v>
      </c>
      <c r="DW11" s="122">
        <f>(DU11*DV11)/360</f>
        <v>0</v>
      </c>
      <c r="DZ11" s="122"/>
      <c r="EA11" s="122"/>
      <c r="EB11" s="157">
        <f>B11+E11+H11+K11+N11+Q11+T11+W11+Z11+AC11+AF11+AL11+AO11+AR11+AU11+AX11+BA11+BD11+BG11+DU11+AI11+DR11+DO11+DL11+DI11+DF11+DC11+CZ11+CW11+CT11+CQ11+CN11+CK11+CH11+CE11+CB11+BY11+BV11+BS11+BP11+BM11+BJ11</f>
        <v>88125000</v>
      </c>
      <c r="EC11" s="157">
        <f>EB11-EK11+EL11</f>
        <v>0</v>
      </c>
      <c r="ED11" s="122">
        <f>D11+G11+J11+M11+P11+S11+V11+Y11+AB11+AE11+AH11+AK11+AN11+AQ11+AT11+AW11+AZ11+BC11+BF11+BI11+DW11+DT11+DQ11+DN11+DK11+DH11+DE11+DB11+CY11+CV11+CS11+CP11+CM11+CJ11+CG11+CD11+CA11+BX11+BU11+BR11+BO11+BL11</f>
        <v>6486.979166666667</v>
      </c>
      <c r="EE11" s="123">
        <f>IF(EB11&lt;&gt;0,((ED11/EB11)*360),0)</f>
        <v>2.6499999999999999E-2</v>
      </c>
      <c r="EG11" s="157">
        <f>Q11+T11+W11+Z11+AC11+AF11</f>
        <v>0</v>
      </c>
      <c r="EH11" s="122">
        <f>S11+V11+Y11+AB11+AE11+AH11</f>
        <v>0</v>
      </c>
      <c r="EI11" s="123">
        <f>IF(EG11&lt;&gt;0,((EH11/EG11)*360),0)</f>
        <v>0</v>
      </c>
      <c r="EJ11" s="123"/>
      <c r="EK11" s="157">
        <f>DR11+DL11+DI11+DF11+DC11+CZ11+CW11+CT11+CQ11+CN11+CK11+CH11+CE11+CB11+BY11+BV11+BS11+BP11+BM11+BJ11+BG11+BD11+BA11+AX11+AU11+AR11+AO11+AL11+AI11+DO11</f>
        <v>88125000</v>
      </c>
      <c r="EL11" s="157">
        <f>DX11</f>
        <v>0</v>
      </c>
      <c r="EM11" s="157">
        <f>DT11+DQ11+DN11+DK11+DH11+DE11+DB11+CY11+CV11+CS11+CP11+CM11+CJ11+CG11+CD11+CA11+BX11+BU11+BR11+BO11+BL11+BI11+BF11+BC11+AZ11+AW11+AT11+AQ11+AN11+AK11</f>
        <v>6486.979166666667</v>
      </c>
      <c r="EN11" s="123">
        <f>IF(EK11&lt;&gt;0,((EM11/EK11)*360),0)</f>
        <v>2.6499999999999999E-2</v>
      </c>
    </row>
    <row r="12" spans="1:147" x14ac:dyDescent="0.25">
      <c r="A12" s="66">
        <f>1+A11</f>
        <v>43587</v>
      </c>
      <c r="B12" s="122">
        <v>0</v>
      </c>
      <c r="C12" s="123">
        <v>2.7802289999999997E-2</v>
      </c>
      <c r="D12" s="122">
        <f t="shared" ref="D12:D41" si="0">(B12*C12)/360</f>
        <v>0</v>
      </c>
      <c r="G12" s="122">
        <f t="shared" ref="G12:G41" si="1">(E12*F12)/360</f>
        <v>0</v>
      </c>
      <c r="J12" s="122">
        <f t="shared" ref="J12:J41" si="2">(H12*I12)/360</f>
        <v>0</v>
      </c>
      <c r="M12" s="122">
        <f t="shared" ref="M12:M41" si="3">(K12*L12)/360</f>
        <v>0</v>
      </c>
      <c r="P12" s="122">
        <f t="shared" ref="P12:P41" si="4">(N12*O12)/360</f>
        <v>0</v>
      </c>
      <c r="S12" s="122">
        <f t="shared" ref="S12:S41" si="5">(Q12*R12)/360</f>
        <v>0</v>
      </c>
      <c r="V12" s="122">
        <f t="shared" ref="V12:V41" si="6">(T12*U12)/360</f>
        <v>0</v>
      </c>
      <c r="Y12" s="122">
        <f t="shared" ref="Y12:Y41" si="7">(W12*X12)/360</f>
        <v>0</v>
      </c>
      <c r="AB12" s="122">
        <f t="shared" ref="AB12:AB41" si="8">(Z12*AA12)/360</f>
        <v>0</v>
      </c>
      <c r="AE12" s="122">
        <v>0</v>
      </c>
      <c r="AH12" s="122">
        <v>0</v>
      </c>
      <c r="AI12" s="155">
        <f>83150000</f>
        <v>83150000</v>
      </c>
      <c r="AJ12" s="156">
        <v>2.6499999999999999E-2</v>
      </c>
      <c r="AK12" s="122">
        <f t="shared" ref="AK12:AK41" si="9">(AI12*AJ12)/360</f>
        <v>6120.7638888888887</v>
      </c>
      <c r="AL12" s="155"/>
      <c r="AM12" s="156"/>
      <c r="AN12" s="122">
        <f t="shared" ref="AN12:AN41" si="10">(AL12*AM12)/360</f>
        <v>0</v>
      </c>
      <c r="AO12" s="155"/>
      <c r="AP12" s="156"/>
      <c r="AQ12" s="122">
        <f t="shared" ref="AQ12:AQ41" si="11">(AO12*AP12)/360</f>
        <v>0</v>
      </c>
      <c r="AT12" s="122">
        <f t="shared" ref="AT12:AT41" si="12">(AR12*AS12)/360</f>
        <v>0</v>
      </c>
      <c r="AW12" s="122">
        <f t="shared" ref="AW12:AW41" si="13">(AU12*AV12)/360</f>
        <v>0</v>
      </c>
      <c r="AZ12" s="122">
        <f t="shared" ref="AZ12:AZ41" si="14">(AX12*AY12)/360</f>
        <v>0</v>
      </c>
      <c r="BC12" s="122">
        <f t="shared" ref="BC12:BC41" si="15">(BA12*BB12)/360</f>
        <v>0</v>
      </c>
      <c r="BF12" s="122">
        <f t="shared" ref="BF12:BF41" si="16">(BD12*BE12)/360</f>
        <v>0</v>
      </c>
      <c r="BI12" s="122">
        <f t="shared" ref="BI12:BI41" si="17">(BG12*BH12)/360</f>
        <v>0</v>
      </c>
      <c r="BL12" s="122">
        <f t="shared" ref="BL12:BL41" si="18">(BJ12*BK12)/360</f>
        <v>0</v>
      </c>
      <c r="BO12" s="122">
        <f t="shared" ref="BO12:BO41" si="19">(BM12*BN12)/360</f>
        <v>0</v>
      </c>
      <c r="BR12" s="122">
        <f t="shared" ref="BR12:BR41" si="20">(BP12*BQ12)/360</f>
        <v>0</v>
      </c>
      <c r="BU12" s="122">
        <f t="shared" ref="BU12:BU41" si="21">(BS12*BT12)/360</f>
        <v>0</v>
      </c>
      <c r="BX12" s="122">
        <f t="shared" ref="BX12:BX41" si="22">(BV12*BW12)/360</f>
        <v>0</v>
      </c>
      <c r="CA12" s="122">
        <f t="shared" ref="CA12:CA41" si="23">(BY12*BZ12)/360</f>
        <v>0</v>
      </c>
      <c r="CD12" s="122">
        <f t="shared" ref="CD12:CD41" si="24">(CB12*CC12)/360</f>
        <v>0</v>
      </c>
      <c r="CG12" s="122">
        <f t="shared" ref="CG12:CG41" si="25">(CE12*CF12)/360</f>
        <v>0</v>
      </c>
      <c r="CJ12" s="122">
        <f t="shared" ref="CJ12:CJ41" si="26">(CH12*CI12)/360</f>
        <v>0</v>
      </c>
      <c r="CM12" s="122">
        <f t="shared" ref="CM12:CM41" si="27">(CK12*CL12)/360</f>
        <v>0</v>
      </c>
      <c r="CP12" s="122">
        <f t="shared" ref="CP12:CP41" si="28">(CN12*CO12)/360</f>
        <v>0</v>
      </c>
      <c r="CS12" s="122">
        <f t="shared" ref="CS12:CS41" si="29">(CQ12*CR12)/360</f>
        <v>0</v>
      </c>
      <c r="CV12" s="122">
        <f t="shared" ref="CV12:CV41" si="30">(CT12*CU12)/360</f>
        <v>0</v>
      </c>
      <c r="CY12" s="122">
        <f t="shared" ref="CY12:CY41" si="31">(CW12*CX12)/360</f>
        <v>0</v>
      </c>
      <c r="DB12" s="122">
        <f t="shared" ref="DB12:DB41" si="32">(CZ12*DA12)/360</f>
        <v>0</v>
      </c>
      <c r="DE12" s="122">
        <f t="shared" ref="DE12:DE41" si="33">(DC12*DD12)/360</f>
        <v>0</v>
      </c>
      <c r="DH12" s="122">
        <f t="shared" ref="DH12:DH41" si="34">(DF12*DG12)/360</f>
        <v>0</v>
      </c>
      <c r="DK12" s="122">
        <f t="shared" ref="DK12:DK41" si="35">(DI12*DJ12)/360</f>
        <v>0</v>
      </c>
      <c r="DN12" s="122">
        <f t="shared" ref="DN12:DN41" si="36">(DL12*DM12)/360</f>
        <v>0</v>
      </c>
      <c r="DQ12" s="122">
        <f t="shared" ref="DQ12:DQ41" si="37">(DO12*DP12)/360</f>
        <v>0</v>
      </c>
      <c r="DT12" s="122">
        <f t="shared" ref="DT12:DT41" si="38">(DR12*DS12)/360</f>
        <v>0</v>
      </c>
      <c r="DW12" s="122">
        <f t="shared" ref="DW12:DW41" si="39">(DU12*DV12)/360</f>
        <v>0</v>
      </c>
      <c r="DZ12" s="122"/>
      <c r="EA12" s="122"/>
      <c r="EB12" s="157">
        <f t="shared" ref="EB12:EB41" si="40">B12+E12+H12+K12+N12+Q12+T12+W12+Z12+AC12+AF12+AL12+AO12+AR12+AU12+AX12+BA12+BD12+BG12+DU12+AI12+DR12+DO12+DL12+DI12+DF12+DC12+CZ12+CW12+CT12+CQ12+CN12+CK12+CH12+CE12+CB12+BY12+BV12+BS12+BP12+BM12+BJ12</f>
        <v>83150000</v>
      </c>
      <c r="EC12" s="157">
        <f t="shared" ref="EC12:EC41" si="41">EB12-EK12+EL12</f>
        <v>0</v>
      </c>
      <c r="ED12" s="122">
        <f t="shared" ref="ED12:ED41" si="42">D12+G12+J12+M12+P12+S12+V12+Y12+AB12+AE12+AH12+AK12+AN12+AQ12+AT12+AW12+AZ12+BC12+BF12+BI12+DW12+DT12+DQ12+DN12+DK12+DH12+DE12+DB12+CY12+CV12+CS12+CP12+CM12+CJ12+CG12+CD12+CA12+BX12+BU12+BR12+BO12+BL12</f>
        <v>6120.7638888888887</v>
      </c>
      <c r="EE12" s="123">
        <f t="shared" ref="EE12:EE41" si="43">IF(EB12&lt;&gt;0,((ED12/EB12)*360),0)</f>
        <v>2.6499999999999999E-2</v>
      </c>
      <c r="EG12" s="157">
        <f t="shared" ref="EG12:EG41" si="44">Q12+T12+W12+Z12+AC12+AF12</f>
        <v>0</v>
      </c>
      <c r="EH12" s="122">
        <f t="shared" ref="EH12:EH41" si="45">S12+V12+Y12+AB12+AE12+AH12</f>
        <v>0</v>
      </c>
      <c r="EI12" s="123">
        <f t="shared" ref="EI12:EI41" si="46">IF(EG12&lt;&gt;0,((EH12/EG12)*360),0)</f>
        <v>0</v>
      </c>
      <c r="EJ12" s="123"/>
      <c r="EK12" s="157">
        <f t="shared" ref="EK12:EK41" si="47">DR12+DL12+DI12+DF12+DC12+CZ12+CW12+CT12+CQ12+CN12+CK12+CH12+CE12+CB12+BY12+BV12+BS12+BP12+BM12+BJ12+BG12+BD12+BA12+AX12+AU12+AR12+AO12+AL12+AI12+DO12</f>
        <v>83150000</v>
      </c>
      <c r="EL12" s="157">
        <f t="shared" ref="EL12:EL41" si="48">DX12</f>
        <v>0</v>
      </c>
      <c r="EM12" s="157">
        <f t="shared" ref="EM12:EM41" si="49">DT12+DQ12+DN12+DK12+DH12+DE12+DB12+CY12+CV12+CS12+CP12+CM12+CJ12+CG12+CD12+CA12+BX12+BU12+BR12+BO12+BL12+BI12+BF12+BC12+AZ12+AW12+AT12+AQ12+AN12+AK12</f>
        <v>6120.7638888888887</v>
      </c>
      <c r="EN12" s="123">
        <f t="shared" ref="EN12:EN41" si="50">IF(EK12&lt;&gt;0,((EM12/EK12)*360),0)</f>
        <v>2.6499999999999999E-2</v>
      </c>
    </row>
    <row r="13" spans="1:147" x14ac:dyDescent="0.25">
      <c r="A13" s="66">
        <f t="shared" ref="A13:A41" si="51">1+A12</f>
        <v>43588</v>
      </c>
      <c r="B13" s="122">
        <v>0</v>
      </c>
      <c r="C13" s="123">
        <v>2.76869E-2</v>
      </c>
      <c r="D13" s="122">
        <f t="shared" si="0"/>
        <v>0</v>
      </c>
      <c r="G13" s="122">
        <f t="shared" si="1"/>
        <v>0</v>
      </c>
      <c r="J13" s="122">
        <f t="shared" si="2"/>
        <v>0</v>
      </c>
      <c r="M13" s="122">
        <f t="shared" si="3"/>
        <v>0</v>
      </c>
      <c r="P13" s="122">
        <f t="shared" si="4"/>
        <v>0</v>
      </c>
      <c r="S13" s="122">
        <f t="shared" si="5"/>
        <v>0</v>
      </c>
      <c r="V13" s="122">
        <f t="shared" si="6"/>
        <v>0</v>
      </c>
      <c r="Y13" s="122">
        <f t="shared" si="7"/>
        <v>0</v>
      </c>
      <c r="AB13" s="122">
        <f t="shared" si="8"/>
        <v>0</v>
      </c>
      <c r="AE13" s="122">
        <v>0</v>
      </c>
      <c r="AH13" s="122">
        <v>0</v>
      </c>
      <c r="AI13" s="155">
        <f>87600000</f>
        <v>87600000</v>
      </c>
      <c r="AJ13" s="156">
        <v>2.6499999999999999E-2</v>
      </c>
      <c r="AK13" s="122">
        <f t="shared" si="9"/>
        <v>6448.333333333333</v>
      </c>
      <c r="AL13" s="155"/>
      <c r="AM13" s="156"/>
      <c r="AN13" s="122">
        <f t="shared" si="10"/>
        <v>0</v>
      </c>
      <c r="AO13" s="155"/>
      <c r="AP13" s="156"/>
      <c r="AQ13" s="122">
        <f t="shared" si="11"/>
        <v>0</v>
      </c>
      <c r="AT13" s="122">
        <f t="shared" si="12"/>
        <v>0</v>
      </c>
      <c r="AW13" s="122">
        <f t="shared" si="13"/>
        <v>0</v>
      </c>
      <c r="AZ13" s="122">
        <f t="shared" si="14"/>
        <v>0</v>
      </c>
      <c r="BC13" s="122">
        <f t="shared" si="15"/>
        <v>0</v>
      </c>
      <c r="BF13" s="122">
        <f t="shared" si="16"/>
        <v>0</v>
      </c>
      <c r="BI13" s="122">
        <f t="shared" si="17"/>
        <v>0</v>
      </c>
      <c r="BL13" s="122">
        <f t="shared" si="18"/>
        <v>0</v>
      </c>
      <c r="BO13" s="122">
        <f t="shared" si="19"/>
        <v>0</v>
      </c>
      <c r="BR13" s="122">
        <f t="shared" si="20"/>
        <v>0</v>
      </c>
      <c r="BU13" s="122">
        <f t="shared" si="21"/>
        <v>0</v>
      </c>
      <c r="BX13" s="122">
        <f t="shared" si="22"/>
        <v>0</v>
      </c>
      <c r="CA13" s="122">
        <f t="shared" si="23"/>
        <v>0</v>
      </c>
      <c r="CD13" s="122">
        <f t="shared" si="24"/>
        <v>0</v>
      </c>
      <c r="CG13" s="122">
        <f t="shared" si="25"/>
        <v>0</v>
      </c>
      <c r="CJ13" s="122">
        <f t="shared" si="26"/>
        <v>0</v>
      </c>
      <c r="CM13" s="122">
        <f t="shared" si="27"/>
        <v>0</v>
      </c>
      <c r="CP13" s="122">
        <f t="shared" si="28"/>
        <v>0</v>
      </c>
      <c r="CS13" s="122">
        <f t="shared" si="29"/>
        <v>0</v>
      </c>
      <c r="CV13" s="122">
        <f t="shared" si="30"/>
        <v>0</v>
      </c>
      <c r="CY13" s="122">
        <f t="shared" si="31"/>
        <v>0</v>
      </c>
      <c r="DB13" s="122">
        <f t="shared" si="32"/>
        <v>0</v>
      </c>
      <c r="DE13" s="122">
        <f t="shared" si="33"/>
        <v>0</v>
      </c>
      <c r="DH13" s="122">
        <f t="shared" si="34"/>
        <v>0</v>
      </c>
      <c r="DK13" s="122">
        <f t="shared" si="35"/>
        <v>0</v>
      </c>
      <c r="DN13" s="122">
        <f t="shared" si="36"/>
        <v>0</v>
      </c>
      <c r="DQ13" s="122">
        <f t="shared" si="37"/>
        <v>0</v>
      </c>
      <c r="DT13" s="122">
        <f t="shared" si="38"/>
        <v>0</v>
      </c>
      <c r="DW13" s="122">
        <f t="shared" si="39"/>
        <v>0</v>
      </c>
      <c r="DZ13" s="122"/>
      <c r="EA13" s="122"/>
      <c r="EB13" s="157">
        <f t="shared" si="40"/>
        <v>87600000</v>
      </c>
      <c r="EC13" s="157">
        <f t="shared" si="41"/>
        <v>0</v>
      </c>
      <c r="ED13" s="122">
        <f t="shared" si="42"/>
        <v>6448.333333333333</v>
      </c>
      <c r="EE13" s="123">
        <f t="shared" si="43"/>
        <v>2.6499999999999999E-2</v>
      </c>
      <c r="EG13" s="157">
        <f t="shared" si="44"/>
        <v>0</v>
      </c>
      <c r="EH13" s="122">
        <f t="shared" si="45"/>
        <v>0</v>
      </c>
      <c r="EI13" s="123">
        <f t="shared" si="46"/>
        <v>0</v>
      </c>
      <c r="EJ13" s="123"/>
      <c r="EK13" s="157">
        <f t="shared" si="47"/>
        <v>87600000</v>
      </c>
      <c r="EL13" s="157">
        <f t="shared" si="48"/>
        <v>0</v>
      </c>
      <c r="EM13" s="157">
        <f t="shared" si="49"/>
        <v>6448.333333333333</v>
      </c>
      <c r="EN13" s="123">
        <f t="shared" si="50"/>
        <v>2.6499999999999999E-2</v>
      </c>
    </row>
    <row r="14" spans="1:147" x14ac:dyDescent="0.25">
      <c r="A14" s="66">
        <f t="shared" si="51"/>
        <v>43589</v>
      </c>
      <c r="B14" s="122">
        <v>0</v>
      </c>
      <c r="C14" s="123">
        <v>2.76869E-2</v>
      </c>
      <c r="D14" s="122">
        <f t="shared" si="0"/>
        <v>0</v>
      </c>
      <c r="G14" s="122">
        <f t="shared" si="1"/>
        <v>0</v>
      </c>
      <c r="J14" s="122">
        <f t="shared" si="2"/>
        <v>0</v>
      </c>
      <c r="M14" s="122">
        <f t="shared" si="3"/>
        <v>0</v>
      </c>
      <c r="P14" s="122">
        <f t="shared" si="4"/>
        <v>0</v>
      </c>
      <c r="S14" s="122">
        <f t="shared" si="5"/>
        <v>0</v>
      </c>
      <c r="V14" s="122">
        <f t="shared" si="6"/>
        <v>0</v>
      </c>
      <c r="Y14" s="122">
        <f t="shared" si="7"/>
        <v>0</v>
      </c>
      <c r="AB14" s="122">
        <f t="shared" si="8"/>
        <v>0</v>
      </c>
      <c r="AE14" s="122">
        <v>0</v>
      </c>
      <c r="AH14" s="122">
        <v>0</v>
      </c>
      <c r="AI14" s="155">
        <f>87600000</f>
        <v>87600000</v>
      </c>
      <c r="AJ14" s="156">
        <v>2.6499999999999999E-2</v>
      </c>
      <c r="AK14" s="122">
        <f t="shared" si="9"/>
        <v>6448.333333333333</v>
      </c>
      <c r="AL14" s="155"/>
      <c r="AM14" s="156"/>
      <c r="AN14" s="122">
        <f t="shared" si="10"/>
        <v>0</v>
      </c>
      <c r="AO14" s="155"/>
      <c r="AP14" s="156"/>
      <c r="AQ14" s="122">
        <f t="shared" si="11"/>
        <v>0</v>
      </c>
      <c r="AT14" s="122">
        <f t="shared" si="12"/>
        <v>0</v>
      </c>
      <c r="AW14" s="122">
        <f t="shared" si="13"/>
        <v>0</v>
      </c>
      <c r="AZ14" s="122">
        <f t="shared" si="14"/>
        <v>0</v>
      </c>
      <c r="BC14" s="122">
        <f t="shared" si="15"/>
        <v>0</v>
      </c>
      <c r="BF14" s="122">
        <f t="shared" si="16"/>
        <v>0</v>
      </c>
      <c r="BI14" s="122">
        <f t="shared" si="17"/>
        <v>0</v>
      </c>
      <c r="BL14" s="122">
        <f t="shared" si="18"/>
        <v>0</v>
      </c>
      <c r="BO14" s="122">
        <f t="shared" si="19"/>
        <v>0</v>
      </c>
      <c r="BR14" s="122">
        <f t="shared" si="20"/>
        <v>0</v>
      </c>
      <c r="BU14" s="122">
        <f t="shared" si="21"/>
        <v>0</v>
      </c>
      <c r="BX14" s="122">
        <f t="shared" si="22"/>
        <v>0</v>
      </c>
      <c r="CA14" s="122">
        <f t="shared" si="23"/>
        <v>0</v>
      </c>
      <c r="CD14" s="122">
        <f t="shared" si="24"/>
        <v>0</v>
      </c>
      <c r="CG14" s="122">
        <f t="shared" si="25"/>
        <v>0</v>
      </c>
      <c r="CJ14" s="122">
        <f t="shared" si="26"/>
        <v>0</v>
      </c>
      <c r="CM14" s="122">
        <f t="shared" si="27"/>
        <v>0</v>
      </c>
      <c r="CP14" s="122">
        <f t="shared" si="28"/>
        <v>0</v>
      </c>
      <c r="CS14" s="122">
        <f t="shared" si="29"/>
        <v>0</v>
      </c>
      <c r="CV14" s="122">
        <f t="shared" si="30"/>
        <v>0</v>
      </c>
      <c r="CY14" s="122">
        <f t="shared" si="31"/>
        <v>0</v>
      </c>
      <c r="DB14" s="122">
        <f t="shared" si="32"/>
        <v>0</v>
      </c>
      <c r="DE14" s="122">
        <f t="shared" si="33"/>
        <v>0</v>
      </c>
      <c r="DH14" s="122">
        <f t="shared" si="34"/>
        <v>0</v>
      </c>
      <c r="DK14" s="122">
        <f t="shared" si="35"/>
        <v>0</v>
      </c>
      <c r="DN14" s="122">
        <f t="shared" si="36"/>
        <v>0</v>
      </c>
      <c r="DQ14" s="122">
        <f t="shared" si="37"/>
        <v>0</v>
      </c>
      <c r="DT14" s="122">
        <f t="shared" si="38"/>
        <v>0</v>
      </c>
      <c r="DW14" s="122">
        <f t="shared" si="39"/>
        <v>0</v>
      </c>
      <c r="DZ14" s="122"/>
      <c r="EA14" s="122"/>
      <c r="EB14" s="157">
        <f t="shared" si="40"/>
        <v>87600000</v>
      </c>
      <c r="EC14" s="157">
        <f t="shared" si="41"/>
        <v>0</v>
      </c>
      <c r="ED14" s="122">
        <f t="shared" si="42"/>
        <v>6448.333333333333</v>
      </c>
      <c r="EE14" s="123">
        <f t="shared" si="43"/>
        <v>2.6499999999999999E-2</v>
      </c>
      <c r="EG14" s="157">
        <f t="shared" si="44"/>
        <v>0</v>
      </c>
      <c r="EH14" s="122">
        <f t="shared" si="45"/>
        <v>0</v>
      </c>
      <c r="EI14" s="123">
        <f t="shared" si="46"/>
        <v>0</v>
      </c>
      <c r="EJ14" s="123"/>
      <c r="EK14" s="157">
        <f t="shared" si="47"/>
        <v>87600000</v>
      </c>
      <c r="EL14" s="157">
        <f t="shared" si="48"/>
        <v>0</v>
      </c>
      <c r="EM14" s="157">
        <f t="shared" si="49"/>
        <v>6448.333333333333</v>
      </c>
      <c r="EN14" s="123">
        <f t="shared" si="50"/>
        <v>2.6499999999999999E-2</v>
      </c>
    </row>
    <row r="15" spans="1:147" x14ac:dyDescent="0.25">
      <c r="A15" s="66">
        <f t="shared" si="51"/>
        <v>43590</v>
      </c>
      <c r="B15" s="122">
        <v>0</v>
      </c>
      <c r="C15" s="123">
        <v>2.76869E-2</v>
      </c>
      <c r="D15" s="122">
        <f t="shared" si="0"/>
        <v>0</v>
      </c>
      <c r="G15" s="122">
        <f t="shared" si="1"/>
        <v>0</v>
      </c>
      <c r="J15" s="122">
        <f t="shared" si="2"/>
        <v>0</v>
      </c>
      <c r="M15" s="122">
        <f t="shared" si="3"/>
        <v>0</v>
      </c>
      <c r="P15" s="122">
        <f t="shared" si="4"/>
        <v>0</v>
      </c>
      <c r="S15" s="122">
        <f t="shared" si="5"/>
        <v>0</v>
      </c>
      <c r="V15" s="122">
        <f t="shared" si="6"/>
        <v>0</v>
      </c>
      <c r="Y15" s="122">
        <f t="shared" si="7"/>
        <v>0</v>
      </c>
      <c r="AB15" s="122">
        <f t="shared" si="8"/>
        <v>0</v>
      </c>
      <c r="AE15" s="122">
        <v>0</v>
      </c>
      <c r="AH15" s="122">
        <v>0</v>
      </c>
      <c r="AI15" s="155">
        <f>87600000</f>
        <v>87600000</v>
      </c>
      <c r="AJ15" s="156">
        <v>2.6499999999999999E-2</v>
      </c>
      <c r="AK15" s="122">
        <f t="shared" si="9"/>
        <v>6448.333333333333</v>
      </c>
      <c r="AL15" s="155"/>
      <c r="AM15" s="156"/>
      <c r="AN15" s="122">
        <f t="shared" si="10"/>
        <v>0</v>
      </c>
      <c r="AO15" s="155"/>
      <c r="AP15" s="156"/>
      <c r="AQ15" s="122">
        <f t="shared" si="11"/>
        <v>0</v>
      </c>
      <c r="AT15" s="122">
        <f t="shared" si="12"/>
        <v>0</v>
      </c>
      <c r="AW15" s="122">
        <f t="shared" si="13"/>
        <v>0</v>
      </c>
      <c r="AZ15" s="122">
        <f t="shared" si="14"/>
        <v>0</v>
      </c>
      <c r="BC15" s="122">
        <f t="shared" si="15"/>
        <v>0</v>
      </c>
      <c r="BF15" s="122">
        <f t="shared" si="16"/>
        <v>0</v>
      </c>
      <c r="BI15" s="122">
        <f t="shared" si="17"/>
        <v>0</v>
      </c>
      <c r="BL15" s="122">
        <f t="shared" si="18"/>
        <v>0</v>
      </c>
      <c r="BO15" s="122">
        <f t="shared" si="19"/>
        <v>0</v>
      </c>
      <c r="BR15" s="122">
        <f t="shared" si="20"/>
        <v>0</v>
      </c>
      <c r="BU15" s="122">
        <f t="shared" si="21"/>
        <v>0</v>
      </c>
      <c r="BX15" s="122">
        <f t="shared" si="22"/>
        <v>0</v>
      </c>
      <c r="CA15" s="122">
        <f t="shared" si="23"/>
        <v>0</v>
      </c>
      <c r="CD15" s="122">
        <f t="shared" si="24"/>
        <v>0</v>
      </c>
      <c r="CG15" s="122">
        <f t="shared" si="25"/>
        <v>0</v>
      </c>
      <c r="CJ15" s="122">
        <f t="shared" si="26"/>
        <v>0</v>
      </c>
      <c r="CM15" s="122">
        <f t="shared" si="27"/>
        <v>0</v>
      </c>
      <c r="CP15" s="122">
        <f t="shared" si="28"/>
        <v>0</v>
      </c>
      <c r="CS15" s="122">
        <f t="shared" si="29"/>
        <v>0</v>
      </c>
      <c r="CV15" s="122">
        <f t="shared" si="30"/>
        <v>0</v>
      </c>
      <c r="CY15" s="122">
        <f t="shared" si="31"/>
        <v>0</v>
      </c>
      <c r="DB15" s="122">
        <f t="shared" si="32"/>
        <v>0</v>
      </c>
      <c r="DE15" s="122">
        <f t="shared" si="33"/>
        <v>0</v>
      </c>
      <c r="DH15" s="122">
        <f t="shared" si="34"/>
        <v>0</v>
      </c>
      <c r="DK15" s="122">
        <f t="shared" si="35"/>
        <v>0</v>
      </c>
      <c r="DN15" s="122">
        <f t="shared" si="36"/>
        <v>0</v>
      </c>
      <c r="DQ15" s="122">
        <f t="shared" si="37"/>
        <v>0</v>
      </c>
      <c r="DT15" s="122">
        <f t="shared" si="38"/>
        <v>0</v>
      </c>
      <c r="DW15" s="122">
        <f t="shared" si="39"/>
        <v>0</v>
      </c>
      <c r="DZ15" s="122"/>
      <c r="EA15" s="122"/>
      <c r="EB15" s="157">
        <f t="shared" si="40"/>
        <v>87600000</v>
      </c>
      <c r="EC15" s="157">
        <f t="shared" si="41"/>
        <v>0</v>
      </c>
      <c r="ED15" s="122">
        <f t="shared" si="42"/>
        <v>6448.333333333333</v>
      </c>
      <c r="EE15" s="123">
        <f t="shared" si="43"/>
        <v>2.6499999999999999E-2</v>
      </c>
      <c r="EG15" s="157">
        <f t="shared" si="44"/>
        <v>0</v>
      </c>
      <c r="EH15" s="122">
        <f t="shared" si="45"/>
        <v>0</v>
      </c>
      <c r="EI15" s="123">
        <f t="shared" si="46"/>
        <v>0</v>
      </c>
      <c r="EJ15" s="123"/>
      <c r="EK15" s="157">
        <f t="shared" si="47"/>
        <v>87600000</v>
      </c>
      <c r="EL15" s="157">
        <f t="shared" si="48"/>
        <v>0</v>
      </c>
      <c r="EM15" s="157">
        <f t="shared" si="49"/>
        <v>6448.333333333333</v>
      </c>
      <c r="EN15" s="123">
        <f t="shared" si="50"/>
        <v>2.6499999999999999E-2</v>
      </c>
    </row>
    <row r="16" spans="1:147" x14ac:dyDescent="0.25">
      <c r="A16" s="66">
        <f t="shared" si="51"/>
        <v>43591</v>
      </c>
      <c r="B16" s="122">
        <v>0</v>
      </c>
      <c r="C16" s="123">
        <v>2.7551160000000002E-2</v>
      </c>
      <c r="D16" s="122">
        <f t="shared" si="0"/>
        <v>0</v>
      </c>
      <c r="G16" s="122">
        <f t="shared" si="1"/>
        <v>0</v>
      </c>
      <c r="J16" s="122">
        <f t="shared" si="2"/>
        <v>0</v>
      </c>
      <c r="M16" s="122">
        <f t="shared" si="3"/>
        <v>0</v>
      </c>
      <c r="P16" s="122">
        <f t="shared" si="4"/>
        <v>0</v>
      </c>
      <c r="S16" s="122">
        <f t="shared" si="5"/>
        <v>0</v>
      </c>
      <c r="V16" s="122">
        <f t="shared" si="6"/>
        <v>0</v>
      </c>
      <c r="Y16" s="122">
        <f t="shared" si="7"/>
        <v>0</v>
      </c>
      <c r="AB16" s="122">
        <f t="shared" si="8"/>
        <v>0</v>
      </c>
      <c r="AE16" s="122">
        <v>0</v>
      </c>
      <c r="AH16" s="122">
        <v>0</v>
      </c>
      <c r="AI16" s="155">
        <f>87850000</f>
        <v>87850000</v>
      </c>
      <c r="AJ16" s="156">
        <v>2.6499999999999999E-2</v>
      </c>
      <c r="AK16" s="122">
        <f t="shared" si="9"/>
        <v>6466.7361111111113</v>
      </c>
      <c r="AL16" s="155"/>
      <c r="AM16" s="156"/>
      <c r="AN16" s="122">
        <f t="shared" si="10"/>
        <v>0</v>
      </c>
      <c r="AO16" s="155"/>
      <c r="AP16" s="156"/>
      <c r="AQ16" s="122">
        <f t="shared" si="11"/>
        <v>0</v>
      </c>
      <c r="AT16" s="122">
        <f t="shared" si="12"/>
        <v>0</v>
      </c>
      <c r="AW16" s="122">
        <f t="shared" si="13"/>
        <v>0</v>
      </c>
      <c r="AZ16" s="122">
        <f t="shared" si="14"/>
        <v>0</v>
      </c>
      <c r="BC16" s="122">
        <f t="shared" si="15"/>
        <v>0</v>
      </c>
      <c r="BF16" s="122">
        <f t="shared" si="16"/>
        <v>0</v>
      </c>
      <c r="BI16" s="122">
        <f t="shared" si="17"/>
        <v>0</v>
      </c>
      <c r="BL16" s="122">
        <f t="shared" si="18"/>
        <v>0</v>
      </c>
      <c r="BO16" s="122">
        <f t="shared" si="19"/>
        <v>0</v>
      </c>
      <c r="BR16" s="122">
        <f t="shared" si="20"/>
        <v>0</v>
      </c>
      <c r="BU16" s="122">
        <f t="shared" si="21"/>
        <v>0</v>
      </c>
      <c r="BX16" s="122">
        <f t="shared" si="22"/>
        <v>0</v>
      </c>
      <c r="CA16" s="122">
        <f t="shared" si="23"/>
        <v>0</v>
      </c>
      <c r="CD16" s="122">
        <f t="shared" si="24"/>
        <v>0</v>
      </c>
      <c r="CG16" s="122">
        <f t="shared" si="25"/>
        <v>0</v>
      </c>
      <c r="CJ16" s="122">
        <f t="shared" si="26"/>
        <v>0</v>
      </c>
      <c r="CM16" s="122">
        <f t="shared" si="27"/>
        <v>0</v>
      </c>
      <c r="CP16" s="122">
        <f t="shared" si="28"/>
        <v>0</v>
      </c>
      <c r="CS16" s="122">
        <f t="shared" si="29"/>
        <v>0</v>
      </c>
      <c r="CV16" s="122">
        <f t="shared" si="30"/>
        <v>0</v>
      </c>
      <c r="CY16" s="122">
        <f t="shared" si="31"/>
        <v>0</v>
      </c>
      <c r="DB16" s="122">
        <f t="shared" si="32"/>
        <v>0</v>
      </c>
      <c r="DE16" s="122">
        <f t="shared" si="33"/>
        <v>0</v>
      </c>
      <c r="DH16" s="122">
        <f t="shared" si="34"/>
        <v>0</v>
      </c>
      <c r="DK16" s="122">
        <f t="shared" si="35"/>
        <v>0</v>
      </c>
      <c r="DN16" s="122">
        <f t="shared" si="36"/>
        <v>0</v>
      </c>
      <c r="DQ16" s="122">
        <f t="shared" si="37"/>
        <v>0</v>
      </c>
      <c r="DT16" s="122">
        <f t="shared" si="38"/>
        <v>0</v>
      </c>
      <c r="DW16" s="122">
        <f t="shared" si="39"/>
        <v>0</v>
      </c>
      <c r="DZ16" s="122"/>
      <c r="EA16" s="122"/>
      <c r="EB16" s="157">
        <f t="shared" si="40"/>
        <v>87850000</v>
      </c>
      <c r="EC16" s="157">
        <f t="shared" si="41"/>
        <v>0</v>
      </c>
      <c r="ED16" s="122">
        <f t="shared" si="42"/>
        <v>6466.7361111111113</v>
      </c>
      <c r="EE16" s="123">
        <f t="shared" si="43"/>
        <v>2.6499999999999999E-2</v>
      </c>
      <c r="EG16" s="157">
        <f t="shared" si="44"/>
        <v>0</v>
      </c>
      <c r="EH16" s="122">
        <f t="shared" si="45"/>
        <v>0</v>
      </c>
      <c r="EI16" s="123">
        <f t="shared" si="46"/>
        <v>0</v>
      </c>
      <c r="EJ16" s="123"/>
      <c r="EK16" s="157">
        <f t="shared" si="47"/>
        <v>87850000</v>
      </c>
      <c r="EL16" s="157">
        <f t="shared" si="48"/>
        <v>0</v>
      </c>
      <c r="EM16" s="157">
        <f t="shared" si="49"/>
        <v>6466.7361111111113</v>
      </c>
      <c r="EN16" s="123">
        <f t="shared" si="50"/>
        <v>2.6499999999999999E-2</v>
      </c>
    </row>
    <row r="17" spans="1:144" x14ac:dyDescent="0.25">
      <c r="A17" s="66">
        <f t="shared" si="51"/>
        <v>43592</v>
      </c>
      <c r="B17" s="122">
        <v>0</v>
      </c>
      <c r="C17" s="123">
        <v>2.7643559999999998E-2</v>
      </c>
      <c r="D17" s="122">
        <f t="shared" si="0"/>
        <v>0</v>
      </c>
      <c r="G17" s="122">
        <f t="shared" si="1"/>
        <v>0</v>
      </c>
      <c r="J17" s="122">
        <f t="shared" si="2"/>
        <v>0</v>
      </c>
      <c r="M17" s="122">
        <f t="shared" si="3"/>
        <v>0</v>
      </c>
      <c r="P17" s="122">
        <f t="shared" si="4"/>
        <v>0</v>
      </c>
      <c r="S17" s="122">
        <f t="shared" si="5"/>
        <v>0</v>
      </c>
      <c r="V17" s="122">
        <f t="shared" si="6"/>
        <v>0</v>
      </c>
      <c r="Y17" s="122">
        <f t="shared" si="7"/>
        <v>0</v>
      </c>
      <c r="AB17" s="122">
        <f t="shared" si="8"/>
        <v>0</v>
      </c>
      <c r="AE17" s="122">
        <v>0</v>
      </c>
      <c r="AH17" s="122">
        <v>0</v>
      </c>
      <c r="AI17" s="155">
        <f>60425000</f>
        <v>60425000</v>
      </c>
      <c r="AJ17" s="156">
        <v>2.6499999999999999E-2</v>
      </c>
      <c r="AK17" s="122">
        <f t="shared" si="9"/>
        <v>4447.9513888888887</v>
      </c>
      <c r="AL17" s="155">
        <f t="shared" ref="AL17:AL41" si="52">25000000</f>
        <v>25000000</v>
      </c>
      <c r="AM17" s="156">
        <v>2.75E-2</v>
      </c>
      <c r="AN17" s="122">
        <f t="shared" si="10"/>
        <v>1909.7222222222222</v>
      </c>
      <c r="AO17" s="155"/>
      <c r="AP17" s="156"/>
      <c r="AQ17" s="122">
        <f t="shared" si="11"/>
        <v>0</v>
      </c>
      <c r="AT17" s="122">
        <f t="shared" si="12"/>
        <v>0</v>
      </c>
      <c r="AW17" s="122">
        <f t="shared" si="13"/>
        <v>0</v>
      </c>
      <c r="AZ17" s="122">
        <f t="shared" si="14"/>
        <v>0</v>
      </c>
      <c r="BC17" s="122">
        <f t="shared" si="15"/>
        <v>0</v>
      </c>
      <c r="BF17" s="122">
        <f t="shared" si="16"/>
        <v>0</v>
      </c>
      <c r="BI17" s="122">
        <f t="shared" si="17"/>
        <v>0</v>
      </c>
      <c r="BL17" s="122">
        <f t="shared" si="18"/>
        <v>0</v>
      </c>
      <c r="BO17" s="122">
        <f t="shared" si="19"/>
        <v>0</v>
      </c>
      <c r="BR17" s="122">
        <f t="shared" si="20"/>
        <v>0</v>
      </c>
      <c r="BU17" s="122">
        <f t="shared" si="21"/>
        <v>0</v>
      </c>
      <c r="BX17" s="122">
        <f t="shared" si="22"/>
        <v>0</v>
      </c>
      <c r="CA17" s="122">
        <f t="shared" si="23"/>
        <v>0</v>
      </c>
      <c r="CD17" s="122">
        <f t="shared" si="24"/>
        <v>0</v>
      </c>
      <c r="CG17" s="122">
        <f t="shared" si="25"/>
        <v>0</v>
      </c>
      <c r="CJ17" s="122">
        <f t="shared" si="26"/>
        <v>0</v>
      </c>
      <c r="CM17" s="122">
        <f t="shared" si="27"/>
        <v>0</v>
      </c>
      <c r="CP17" s="122">
        <f t="shared" si="28"/>
        <v>0</v>
      </c>
      <c r="CS17" s="122">
        <f t="shared" si="29"/>
        <v>0</v>
      </c>
      <c r="CV17" s="122">
        <f t="shared" si="30"/>
        <v>0</v>
      </c>
      <c r="CY17" s="122">
        <f t="shared" si="31"/>
        <v>0</v>
      </c>
      <c r="DB17" s="122">
        <f t="shared" si="32"/>
        <v>0</v>
      </c>
      <c r="DE17" s="122">
        <f t="shared" si="33"/>
        <v>0</v>
      </c>
      <c r="DH17" s="122">
        <f t="shared" si="34"/>
        <v>0</v>
      </c>
      <c r="DK17" s="122">
        <f t="shared" si="35"/>
        <v>0</v>
      </c>
      <c r="DN17" s="122">
        <f t="shared" si="36"/>
        <v>0</v>
      </c>
      <c r="DQ17" s="122">
        <f t="shared" si="37"/>
        <v>0</v>
      </c>
      <c r="DT17" s="122">
        <f t="shared" si="38"/>
        <v>0</v>
      </c>
      <c r="DW17" s="122">
        <f t="shared" si="39"/>
        <v>0</v>
      </c>
      <c r="DZ17" s="122"/>
      <c r="EA17" s="122"/>
      <c r="EB17" s="157">
        <f t="shared" si="40"/>
        <v>85425000</v>
      </c>
      <c r="EC17" s="157">
        <f t="shared" si="41"/>
        <v>0</v>
      </c>
      <c r="ED17" s="122">
        <f t="shared" si="42"/>
        <v>6357.6736111111113</v>
      </c>
      <c r="EE17" s="123">
        <f t="shared" si="43"/>
        <v>2.6792654375182912E-2</v>
      </c>
      <c r="EG17" s="157">
        <f t="shared" si="44"/>
        <v>0</v>
      </c>
      <c r="EH17" s="122">
        <f t="shared" si="45"/>
        <v>0</v>
      </c>
      <c r="EI17" s="123">
        <f t="shared" si="46"/>
        <v>0</v>
      </c>
      <c r="EJ17" s="123"/>
      <c r="EK17" s="157">
        <f t="shared" si="47"/>
        <v>85425000</v>
      </c>
      <c r="EL17" s="157">
        <f t="shared" si="48"/>
        <v>0</v>
      </c>
      <c r="EM17" s="157">
        <f t="shared" si="49"/>
        <v>6357.6736111111113</v>
      </c>
      <c r="EN17" s="123">
        <f t="shared" si="50"/>
        <v>2.6792654375182912E-2</v>
      </c>
    </row>
    <row r="18" spans="1:144" x14ac:dyDescent="0.25">
      <c r="A18" s="66">
        <f t="shared" si="51"/>
        <v>43593</v>
      </c>
      <c r="B18" s="122">
        <v>0</v>
      </c>
      <c r="C18" s="123">
        <v>2.742727E-2</v>
      </c>
      <c r="D18" s="122">
        <f t="shared" si="0"/>
        <v>0</v>
      </c>
      <c r="G18" s="122">
        <f t="shared" si="1"/>
        <v>0</v>
      </c>
      <c r="J18" s="122">
        <f t="shared" si="2"/>
        <v>0</v>
      </c>
      <c r="M18" s="122">
        <f t="shared" si="3"/>
        <v>0</v>
      </c>
      <c r="P18" s="122">
        <f t="shared" si="4"/>
        <v>0</v>
      </c>
      <c r="S18" s="122">
        <f t="shared" si="5"/>
        <v>0</v>
      </c>
      <c r="V18" s="122">
        <f t="shared" si="6"/>
        <v>0</v>
      </c>
      <c r="Y18" s="122">
        <f t="shared" si="7"/>
        <v>0</v>
      </c>
      <c r="AB18" s="122">
        <f t="shared" si="8"/>
        <v>0</v>
      </c>
      <c r="AE18" s="122">
        <v>0</v>
      </c>
      <c r="AH18" s="122">
        <v>0</v>
      </c>
      <c r="AI18" s="155">
        <f>52075000</f>
        <v>52075000</v>
      </c>
      <c r="AJ18" s="156">
        <v>2.6499999999999999E-2</v>
      </c>
      <c r="AK18" s="122">
        <f t="shared" si="9"/>
        <v>3833.2986111111113</v>
      </c>
      <c r="AL18" s="155">
        <f t="shared" si="52"/>
        <v>25000000</v>
      </c>
      <c r="AM18" s="156">
        <v>2.75E-2</v>
      </c>
      <c r="AN18" s="122">
        <f t="shared" si="10"/>
        <v>1909.7222222222222</v>
      </c>
      <c r="AO18" s="155"/>
      <c r="AP18" s="156"/>
      <c r="AQ18" s="122">
        <f t="shared" si="11"/>
        <v>0</v>
      </c>
      <c r="AT18" s="122">
        <f t="shared" si="12"/>
        <v>0</v>
      </c>
      <c r="AW18" s="122">
        <f t="shared" si="13"/>
        <v>0</v>
      </c>
      <c r="AZ18" s="122">
        <f t="shared" si="14"/>
        <v>0</v>
      </c>
      <c r="BC18" s="122">
        <f t="shared" si="15"/>
        <v>0</v>
      </c>
      <c r="BF18" s="122">
        <f t="shared" si="16"/>
        <v>0</v>
      </c>
      <c r="BI18" s="122">
        <f t="shared" si="17"/>
        <v>0</v>
      </c>
      <c r="BL18" s="122">
        <f t="shared" si="18"/>
        <v>0</v>
      </c>
      <c r="BO18" s="122">
        <f t="shared" si="19"/>
        <v>0</v>
      </c>
      <c r="BR18" s="122">
        <f t="shared" si="20"/>
        <v>0</v>
      </c>
      <c r="BU18" s="122">
        <f t="shared" si="21"/>
        <v>0</v>
      </c>
      <c r="BX18" s="122">
        <f t="shared" si="22"/>
        <v>0</v>
      </c>
      <c r="CA18" s="122">
        <f t="shared" si="23"/>
        <v>0</v>
      </c>
      <c r="CD18" s="122">
        <f t="shared" si="24"/>
        <v>0</v>
      </c>
      <c r="CG18" s="122">
        <f t="shared" si="25"/>
        <v>0</v>
      </c>
      <c r="CJ18" s="122">
        <f t="shared" si="26"/>
        <v>0</v>
      </c>
      <c r="CM18" s="122">
        <f t="shared" si="27"/>
        <v>0</v>
      </c>
      <c r="CP18" s="122">
        <f t="shared" si="28"/>
        <v>0</v>
      </c>
      <c r="CS18" s="122">
        <f t="shared" si="29"/>
        <v>0</v>
      </c>
      <c r="CV18" s="122">
        <f t="shared" si="30"/>
        <v>0</v>
      </c>
      <c r="CY18" s="122">
        <f t="shared" si="31"/>
        <v>0</v>
      </c>
      <c r="DB18" s="122">
        <f t="shared" si="32"/>
        <v>0</v>
      </c>
      <c r="DE18" s="122">
        <f t="shared" si="33"/>
        <v>0</v>
      </c>
      <c r="DH18" s="122">
        <f t="shared" si="34"/>
        <v>0</v>
      </c>
      <c r="DK18" s="122">
        <f t="shared" si="35"/>
        <v>0</v>
      </c>
      <c r="DN18" s="122">
        <f t="shared" si="36"/>
        <v>0</v>
      </c>
      <c r="DQ18" s="122">
        <f t="shared" si="37"/>
        <v>0</v>
      </c>
      <c r="DT18" s="122">
        <f t="shared" si="38"/>
        <v>0</v>
      </c>
      <c r="DW18" s="122">
        <f t="shared" si="39"/>
        <v>0</v>
      </c>
      <c r="DZ18" s="122"/>
      <c r="EA18" s="122"/>
      <c r="EB18" s="157">
        <f t="shared" si="40"/>
        <v>77075000</v>
      </c>
      <c r="EC18" s="157">
        <f t="shared" si="41"/>
        <v>0</v>
      </c>
      <c r="ED18" s="122">
        <f t="shared" si="42"/>
        <v>5743.0208333333339</v>
      </c>
      <c r="EE18" s="123">
        <f t="shared" si="43"/>
        <v>2.6824359390204347E-2</v>
      </c>
      <c r="EG18" s="157">
        <f t="shared" si="44"/>
        <v>0</v>
      </c>
      <c r="EH18" s="122">
        <f t="shared" si="45"/>
        <v>0</v>
      </c>
      <c r="EI18" s="123">
        <f t="shared" si="46"/>
        <v>0</v>
      </c>
      <c r="EJ18" s="123"/>
      <c r="EK18" s="157">
        <f t="shared" si="47"/>
        <v>77075000</v>
      </c>
      <c r="EL18" s="157">
        <f t="shared" si="48"/>
        <v>0</v>
      </c>
      <c r="EM18" s="157">
        <f t="shared" si="49"/>
        <v>5743.0208333333339</v>
      </c>
      <c r="EN18" s="123">
        <f t="shared" si="50"/>
        <v>2.6824359390204347E-2</v>
      </c>
    </row>
    <row r="19" spans="1:144" x14ac:dyDescent="0.25">
      <c r="A19" s="66">
        <f t="shared" si="51"/>
        <v>43594</v>
      </c>
      <c r="B19" s="122">
        <v>0</v>
      </c>
      <c r="C19" s="123">
        <v>2.7411819999999996E-2</v>
      </c>
      <c r="D19" s="122">
        <f t="shared" si="0"/>
        <v>0</v>
      </c>
      <c r="G19" s="122">
        <f t="shared" si="1"/>
        <v>0</v>
      </c>
      <c r="J19" s="122">
        <f t="shared" si="2"/>
        <v>0</v>
      </c>
      <c r="M19" s="122">
        <f t="shared" si="3"/>
        <v>0</v>
      </c>
      <c r="P19" s="122">
        <f t="shared" si="4"/>
        <v>0</v>
      </c>
      <c r="S19" s="122">
        <f t="shared" si="5"/>
        <v>0</v>
      </c>
      <c r="V19" s="122">
        <f t="shared" si="6"/>
        <v>0</v>
      </c>
      <c r="Y19" s="122">
        <f t="shared" si="7"/>
        <v>0</v>
      </c>
      <c r="AB19" s="122">
        <f t="shared" si="8"/>
        <v>0</v>
      </c>
      <c r="AE19" s="122">
        <v>0</v>
      </c>
      <c r="AH19" s="122">
        <v>0</v>
      </c>
      <c r="AI19" s="155">
        <f>49725000</f>
        <v>49725000</v>
      </c>
      <c r="AJ19" s="156">
        <v>2.6499999999999999E-2</v>
      </c>
      <c r="AK19" s="122">
        <f t="shared" si="9"/>
        <v>3660.3125</v>
      </c>
      <c r="AL19" s="155">
        <f t="shared" si="52"/>
        <v>25000000</v>
      </c>
      <c r="AM19" s="156">
        <v>2.75E-2</v>
      </c>
      <c r="AN19" s="122">
        <f t="shared" si="10"/>
        <v>1909.7222222222222</v>
      </c>
      <c r="AO19" s="155"/>
      <c r="AP19" s="156"/>
      <c r="AQ19" s="122">
        <f t="shared" si="11"/>
        <v>0</v>
      </c>
      <c r="AT19" s="122">
        <f t="shared" si="12"/>
        <v>0</v>
      </c>
      <c r="AW19" s="122">
        <f t="shared" si="13"/>
        <v>0</v>
      </c>
      <c r="AZ19" s="122">
        <f t="shared" si="14"/>
        <v>0</v>
      </c>
      <c r="BC19" s="122">
        <f t="shared" si="15"/>
        <v>0</v>
      </c>
      <c r="BF19" s="122">
        <f t="shared" si="16"/>
        <v>0</v>
      </c>
      <c r="BI19" s="122">
        <f t="shared" si="17"/>
        <v>0</v>
      </c>
      <c r="BL19" s="122">
        <f t="shared" si="18"/>
        <v>0</v>
      </c>
      <c r="BO19" s="122">
        <f t="shared" si="19"/>
        <v>0</v>
      </c>
      <c r="BR19" s="122">
        <f t="shared" si="20"/>
        <v>0</v>
      </c>
      <c r="BU19" s="122">
        <f t="shared" si="21"/>
        <v>0</v>
      </c>
      <c r="BX19" s="122">
        <f t="shared" si="22"/>
        <v>0</v>
      </c>
      <c r="CA19" s="122">
        <f t="shared" si="23"/>
        <v>0</v>
      </c>
      <c r="CD19" s="122">
        <f t="shared" si="24"/>
        <v>0</v>
      </c>
      <c r="CG19" s="122">
        <f t="shared" si="25"/>
        <v>0</v>
      </c>
      <c r="CJ19" s="122">
        <f t="shared" si="26"/>
        <v>0</v>
      </c>
      <c r="CM19" s="122">
        <f t="shared" si="27"/>
        <v>0</v>
      </c>
      <c r="CP19" s="122">
        <f t="shared" si="28"/>
        <v>0</v>
      </c>
      <c r="CS19" s="122">
        <f t="shared" si="29"/>
        <v>0</v>
      </c>
      <c r="CV19" s="122">
        <f t="shared" si="30"/>
        <v>0</v>
      </c>
      <c r="CY19" s="122">
        <f t="shared" si="31"/>
        <v>0</v>
      </c>
      <c r="DB19" s="122">
        <f t="shared" si="32"/>
        <v>0</v>
      </c>
      <c r="DE19" s="122">
        <f t="shared" si="33"/>
        <v>0</v>
      </c>
      <c r="DH19" s="122">
        <f t="shared" si="34"/>
        <v>0</v>
      </c>
      <c r="DK19" s="122">
        <f t="shared" si="35"/>
        <v>0</v>
      </c>
      <c r="DN19" s="122">
        <f t="shared" si="36"/>
        <v>0</v>
      </c>
      <c r="DQ19" s="122">
        <f t="shared" si="37"/>
        <v>0</v>
      </c>
      <c r="DT19" s="122">
        <f t="shared" si="38"/>
        <v>0</v>
      </c>
      <c r="DW19" s="122">
        <f t="shared" si="39"/>
        <v>0</v>
      </c>
      <c r="DZ19" s="122"/>
      <c r="EA19" s="122"/>
      <c r="EB19" s="157">
        <f t="shared" si="40"/>
        <v>74725000</v>
      </c>
      <c r="EC19" s="157">
        <f t="shared" si="41"/>
        <v>0</v>
      </c>
      <c r="ED19" s="122">
        <f t="shared" si="42"/>
        <v>5570.0347222222226</v>
      </c>
      <c r="EE19" s="123">
        <f t="shared" si="43"/>
        <v>2.6834560053529612E-2</v>
      </c>
      <c r="EG19" s="157">
        <f t="shared" si="44"/>
        <v>0</v>
      </c>
      <c r="EH19" s="122">
        <f t="shared" si="45"/>
        <v>0</v>
      </c>
      <c r="EI19" s="123">
        <f t="shared" si="46"/>
        <v>0</v>
      </c>
      <c r="EJ19" s="123"/>
      <c r="EK19" s="157">
        <f t="shared" si="47"/>
        <v>74725000</v>
      </c>
      <c r="EL19" s="157">
        <f t="shared" si="48"/>
        <v>0</v>
      </c>
      <c r="EM19" s="157">
        <f t="shared" si="49"/>
        <v>5570.0347222222226</v>
      </c>
      <c r="EN19" s="123">
        <f t="shared" si="50"/>
        <v>2.6834560053529612E-2</v>
      </c>
    </row>
    <row r="20" spans="1:144" x14ac:dyDescent="0.25">
      <c r="A20" s="66">
        <f t="shared" si="51"/>
        <v>43595</v>
      </c>
      <c r="B20" s="122">
        <v>0</v>
      </c>
      <c r="C20" s="123">
        <v>2.7413199999999999E-2</v>
      </c>
      <c r="D20" s="122">
        <f t="shared" si="0"/>
        <v>0</v>
      </c>
      <c r="G20" s="122">
        <f t="shared" si="1"/>
        <v>0</v>
      </c>
      <c r="J20" s="122">
        <f t="shared" si="2"/>
        <v>0</v>
      </c>
      <c r="M20" s="122">
        <f t="shared" si="3"/>
        <v>0</v>
      </c>
      <c r="P20" s="122">
        <f t="shared" si="4"/>
        <v>0</v>
      </c>
      <c r="S20" s="122">
        <f t="shared" si="5"/>
        <v>0</v>
      </c>
      <c r="V20" s="122">
        <f t="shared" si="6"/>
        <v>0</v>
      </c>
      <c r="Y20" s="122">
        <f t="shared" si="7"/>
        <v>0</v>
      </c>
      <c r="AB20" s="122">
        <f t="shared" si="8"/>
        <v>0</v>
      </c>
      <c r="AE20" s="122">
        <v>0</v>
      </c>
      <c r="AH20" s="122">
        <v>0</v>
      </c>
      <c r="AI20" s="155">
        <f>54325000</f>
        <v>54325000</v>
      </c>
      <c r="AJ20" s="156">
        <v>2.6499999999999999E-2</v>
      </c>
      <c r="AK20" s="122">
        <f t="shared" si="9"/>
        <v>3998.9236111111113</v>
      </c>
      <c r="AL20" s="155">
        <f t="shared" si="52"/>
        <v>25000000</v>
      </c>
      <c r="AM20" s="156">
        <v>2.75E-2</v>
      </c>
      <c r="AN20" s="122">
        <f t="shared" si="10"/>
        <v>1909.7222222222222</v>
      </c>
      <c r="AO20" s="155"/>
      <c r="AP20" s="156"/>
      <c r="AQ20" s="122">
        <f t="shared" si="11"/>
        <v>0</v>
      </c>
      <c r="AT20" s="122">
        <f t="shared" si="12"/>
        <v>0</v>
      </c>
      <c r="AW20" s="122">
        <f t="shared" si="13"/>
        <v>0</v>
      </c>
      <c r="AZ20" s="122">
        <f t="shared" si="14"/>
        <v>0</v>
      </c>
      <c r="BC20" s="122">
        <f t="shared" si="15"/>
        <v>0</v>
      </c>
      <c r="BF20" s="122">
        <f t="shared" si="16"/>
        <v>0</v>
      </c>
      <c r="BI20" s="122">
        <f t="shared" si="17"/>
        <v>0</v>
      </c>
      <c r="BL20" s="122">
        <f t="shared" si="18"/>
        <v>0</v>
      </c>
      <c r="BO20" s="122">
        <f t="shared" si="19"/>
        <v>0</v>
      </c>
      <c r="BR20" s="122">
        <f t="shared" si="20"/>
        <v>0</v>
      </c>
      <c r="BU20" s="122">
        <f t="shared" si="21"/>
        <v>0</v>
      </c>
      <c r="BX20" s="122">
        <f t="shared" si="22"/>
        <v>0</v>
      </c>
      <c r="CA20" s="122">
        <f t="shared" si="23"/>
        <v>0</v>
      </c>
      <c r="CD20" s="122">
        <f t="shared" si="24"/>
        <v>0</v>
      </c>
      <c r="CG20" s="122">
        <f t="shared" si="25"/>
        <v>0</v>
      </c>
      <c r="CJ20" s="122">
        <f t="shared" si="26"/>
        <v>0</v>
      </c>
      <c r="CM20" s="122">
        <f t="shared" si="27"/>
        <v>0</v>
      </c>
      <c r="CP20" s="122">
        <f t="shared" si="28"/>
        <v>0</v>
      </c>
      <c r="CS20" s="122">
        <f t="shared" si="29"/>
        <v>0</v>
      </c>
      <c r="CV20" s="122">
        <f t="shared" si="30"/>
        <v>0</v>
      </c>
      <c r="CY20" s="122">
        <f t="shared" si="31"/>
        <v>0</v>
      </c>
      <c r="DB20" s="122">
        <f t="shared" si="32"/>
        <v>0</v>
      </c>
      <c r="DE20" s="122">
        <f t="shared" si="33"/>
        <v>0</v>
      </c>
      <c r="DH20" s="122">
        <f t="shared" si="34"/>
        <v>0</v>
      </c>
      <c r="DK20" s="122">
        <f t="shared" si="35"/>
        <v>0</v>
      </c>
      <c r="DN20" s="122">
        <f t="shared" si="36"/>
        <v>0</v>
      </c>
      <c r="DQ20" s="122">
        <f t="shared" si="37"/>
        <v>0</v>
      </c>
      <c r="DT20" s="122">
        <f t="shared" si="38"/>
        <v>0</v>
      </c>
      <c r="DW20" s="122">
        <f t="shared" si="39"/>
        <v>0</v>
      </c>
      <c r="DZ20" s="122"/>
      <c r="EA20" s="122"/>
      <c r="EB20" s="157">
        <f t="shared" si="40"/>
        <v>79325000</v>
      </c>
      <c r="EC20" s="157">
        <f t="shared" si="41"/>
        <v>0</v>
      </c>
      <c r="ED20" s="122">
        <f t="shared" si="42"/>
        <v>5908.6458333333339</v>
      </c>
      <c r="EE20" s="123">
        <f t="shared" si="43"/>
        <v>2.6815159155373469E-2</v>
      </c>
      <c r="EG20" s="157">
        <f t="shared" si="44"/>
        <v>0</v>
      </c>
      <c r="EH20" s="122">
        <f t="shared" si="45"/>
        <v>0</v>
      </c>
      <c r="EI20" s="123">
        <f t="shared" si="46"/>
        <v>0</v>
      </c>
      <c r="EJ20" s="123"/>
      <c r="EK20" s="157">
        <f t="shared" si="47"/>
        <v>79325000</v>
      </c>
      <c r="EL20" s="157">
        <f t="shared" si="48"/>
        <v>0</v>
      </c>
      <c r="EM20" s="157">
        <f t="shared" si="49"/>
        <v>5908.6458333333339</v>
      </c>
      <c r="EN20" s="123">
        <f t="shared" si="50"/>
        <v>2.6815159155373469E-2</v>
      </c>
    </row>
    <row r="21" spans="1:144" x14ac:dyDescent="0.25">
      <c r="A21" s="66">
        <f t="shared" si="51"/>
        <v>43596</v>
      </c>
      <c r="B21" s="122">
        <v>0</v>
      </c>
      <c r="C21" s="123">
        <v>2.7413199999999999E-2</v>
      </c>
      <c r="D21" s="122">
        <f t="shared" si="0"/>
        <v>0</v>
      </c>
      <c r="G21" s="122">
        <f t="shared" si="1"/>
        <v>0</v>
      </c>
      <c r="J21" s="122">
        <f t="shared" si="2"/>
        <v>0</v>
      </c>
      <c r="M21" s="122">
        <f t="shared" si="3"/>
        <v>0</v>
      </c>
      <c r="P21" s="122">
        <f t="shared" si="4"/>
        <v>0</v>
      </c>
      <c r="S21" s="122">
        <f t="shared" si="5"/>
        <v>0</v>
      </c>
      <c r="V21" s="122">
        <f t="shared" si="6"/>
        <v>0</v>
      </c>
      <c r="Y21" s="122">
        <f t="shared" si="7"/>
        <v>0</v>
      </c>
      <c r="AB21" s="122">
        <f t="shared" si="8"/>
        <v>0</v>
      </c>
      <c r="AE21" s="122">
        <v>0</v>
      </c>
      <c r="AH21" s="122">
        <v>0</v>
      </c>
      <c r="AI21" s="155">
        <f>54325000</f>
        <v>54325000</v>
      </c>
      <c r="AJ21" s="156">
        <v>2.6499999999999999E-2</v>
      </c>
      <c r="AK21" s="122">
        <f t="shared" si="9"/>
        <v>3998.9236111111113</v>
      </c>
      <c r="AL21" s="155">
        <f t="shared" si="52"/>
        <v>25000000</v>
      </c>
      <c r="AM21" s="156">
        <v>2.75E-2</v>
      </c>
      <c r="AN21" s="122">
        <f t="shared" si="10"/>
        <v>1909.7222222222222</v>
      </c>
      <c r="AO21" s="155"/>
      <c r="AP21" s="156"/>
      <c r="AQ21" s="122">
        <f t="shared" si="11"/>
        <v>0</v>
      </c>
      <c r="AT21" s="122">
        <f t="shared" si="12"/>
        <v>0</v>
      </c>
      <c r="AW21" s="122">
        <f t="shared" si="13"/>
        <v>0</v>
      </c>
      <c r="AZ21" s="122">
        <f t="shared" si="14"/>
        <v>0</v>
      </c>
      <c r="BC21" s="122">
        <f t="shared" si="15"/>
        <v>0</v>
      </c>
      <c r="BF21" s="122">
        <f t="shared" si="16"/>
        <v>0</v>
      </c>
      <c r="BI21" s="122">
        <f t="shared" si="17"/>
        <v>0</v>
      </c>
      <c r="BL21" s="122">
        <f t="shared" si="18"/>
        <v>0</v>
      </c>
      <c r="BO21" s="122">
        <f t="shared" si="19"/>
        <v>0</v>
      </c>
      <c r="BR21" s="122">
        <f t="shared" si="20"/>
        <v>0</v>
      </c>
      <c r="BU21" s="122">
        <f t="shared" si="21"/>
        <v>0</v>
      </c>
      <c r="BX21" s="122">
        <f t="shared" si="22"/>
        <v>0</v>
      </c>
      <c r="CA21" s="122">
        <f t="shared" si="23"/>
        <v>0</v>
      </c>
      <c r="CD21" s="122">
        <f t="shared" si="24"/>
        <v>0</v>
      </c>
      <c r="CG21" s="122">
        <f t="shared" si="25"/>
        <v>0</v>
      </c>
      <c r="CJ21" s="122">
        <f t="shared" si="26"/>
        <v>0</v>
      </c>
      <c r="CM21" s="122">
        <f t="shared" si="27"/>
        <v>0</v>
      </c>
      <c r="CP21" s="122">
        <f t="shared" si="28"/>
        <v>0</v>
      </c>
      <c r="CS21" s="122">
        <f t="shared" si="29"/>
        <v>0</v>
      </c>
      <c r="CV21" s="122">
        <f t="shared" si="30"/>
        <v>0</v>
      </c>
      <c r="CY21" s="122">
        <f t="shared" si="31"/>
        <v>0</v>
      </c>
      <c r="DB21" s="122">
        <f t="shared" si="32"/>
        <v>0</v>
      </c>
      <c r="DE21" s="122">
        <f t="shared" si="33"/>
        <v>0</v>
      </c>
      <c r="DH21" s="122">
        <f t="shared" si="34"/>
        <v>0</v>
      </c>
      <c r="DK21" s="122">
        <f t="shared" si="35"/>
        <v>0</v>
      </c>
      <c r="DN21" s="122">
        <f t="shared" si="36"/>
        <v>0</v>
      </c>
      <c r="DQ21" s="122">
        <f t="shared" si="37"/>
        <v>0</v>
      </c>
      <c r="DT21" s="122">
        <f t="shared" si="38"/>
        <v>0</v>
      </c>
      <c r="DW21" s="122">
        <f t="shared" si="39"/>
        <v>0</v>
      </c>
      <c r="DZ21" s="122"/>
      <c r="EA21" s="122"/>
      <c r="EB21" s="157">
        <f t="shared" si="40"/>
        <v>79325000</v>
      </c>
      <c r="EC21" s="157">
        <f t="shared" si="41"/>
        <v>0</v>
      </c>
      <c r="ED21" s="122">
        <f t="shared" si="42"/>
        <v>5908.6458333333339</v>
      </c>
      <c r="EE21" s="123">
        <f t="shared" si="43"/>
        <v>2.6815159155373469E-2</v>
      </c>
      <c r="EG21" s="157">
        <f t="shared" si="44"/>
        <v>0</v>
      </c>
      <c r="EH21" s="122">
        <f t="shared" si="45"/>
        <v>0</v>
      </c>
      <c r="EI21" s="123">
        <f t="shared" si="46"/>
        <v>0</v>
      </c>
      <c r="EJ21" s="123"/>
      <c r="EK21" s="157">
        <f t="shared" si="47"/>
        <v>79325000</v>
      </c>
      <c r="EL21" s="157">
        <f t="shared" si="48"/>
        <v>0</v>
      </c>
      <c r="EM21" s="157">
        <f t="shared" si="49"/>
        <v>5908.6458333333339</v>
      </c>
      <c r="EN21" s="123">
        <f t="shared" si="50"/>
        <v>2.6815159155373469E-2</v>
      </c>
    </row>
    <row r="22" spans="1:144" x14ac:dyDescent="0.25">
      <c r="A22" s="66">
        <f t="shared" si="51"/>
        <v>43597</v>
      </c>
      <c r="B22" s="122">
        <v>0</v>
      </c>
      <c r="C22" s="123">
        <v>2.7413199999999999E-2</v>
      </c>
      <c r="D22" s="122">
        <f t="shared" si="0"/>
        <v>0</v>
      </c>
      <c r="G22" s="122">
        <f t="shared" si="1"/>
        <v>0</v>
      </c>
      <c r="J22" s="122">
        <f t="shared" si="2"/>
        <v>0</v>
      </c>
      <c r="M22" s="122">
        <f t="shared" si="3"/>
        <v>0</v>
      </c>
      <c r="P22" s="122">
        <f t="shared" si="4"/>
        <v>0</v>
      </c>
      <c r="S22" s="122">
        <f t="shared" si="5"/>
        <v>0</v>
      </c>
      <c r="V22" s="122">
        <f t="shared" si="6"/>
        <v>0</v>
      </c>
      <c r="Y22" s="122">
        <f t="shared" si="7"/>
        <v>0</v>
      </c>
      <c r="AB22" s="122">
        <f t="shared" si="8"/>
        <v>0</v>
      </c>
      <c r="AE22" s="122">
        <v>0</v>
      </c>
      <c r="AH22" s="122">
        <v>0</v>
      </c>
      <c r="AI22" s="155">
        <f>54325000</f>
        <v>54325000</v>
      </c>
      <c r="AJ22" s="156">
        <v>2.6499999999999999E-2</v>
      </c>
      <c r="AK22" s="122">
        <f t="shared" si="9"/>
        <v>3998.9236111111113</v>
      </c>
      <c r="AL22" s="155">
        <f t="shared" si="52"/>
        <v>25000000</v>
      </c>
      <c r="AM22" s="156">
        <v>2.75E-2</v>
      </c>
      <c r="AN22" s="122">
        <f t="shared" si="10"/>
        <v>1909.7222222222222</v>
      </c>
      <c r="AO22" s="155"/>
      <c r="AP22" s="156"/>
      <c r="AQ22" s="122">
        <f t="shared" si="11"/>
        <v>0</v>
      </c>
      <c r="AT22" s="122">
        <f t="shared" si="12"/>
        <v>0</v>
      </c>
      <c r="AW22" s="122">
        <f t="shared" si="13"/>
        <v>0</v>
      </c>
      <c r="AZ22" s="122">
        <f t="shared" si="14"/>
        <v>0</v>
      </c>
      <c r="BC22" s="122">
        <f t="shared" si="15"/>
        <v>0</v>
      </c>
      <c r="BF22" s="122">
        <f t="shared" si="16"/>
        <v>0</v>
      </c>
      <c r="BI22" s="122">
        <f t="shared" si="17"/>
        <v>0</v>
      </c>
      <c r="BL22" s="122">
        <f t="shared" si="18"/>
        <v>0</v>
      </c>
      <c r="BO22" s="122">
        <f t="shared" si="19"/>
        <v>0</v>
      </c>
      <c r="BR22" s="122">
        <f t="shared" si="20"/>
        <v>0</v>
      </c>
      <c r="BU22" s="122">
        <f t="shared" si="21"/>
        <v>0</v>
      </c>
      <c r="BX22" s="122">
        <f t="shared" si="22"/>
        <v>0</v>
      </c>
      <c r="CA22" s="122">
        <f t="shared" si="23"/>
        <v>0</v>
      </c>
      <c r="CD22" s="122">
        <f t="shared" si="24"/>
        <v>0</v>
      </c>
      <c r="CG22" s="122">
        <f t="shared" si="25"/>
        <v>0</v>
      </c>
      <c r="CJ22" s="122">
        <f t="shared" si="26"/>
        <v>0</v>
      </c>
      <c r="CM22" s="122">
        <f t="shared" si="27"/>
        <v>0</v>
      </c>
      <c r="CP22" s="122">
        <f t="shared" si="28"/>
        <v>0</v>
      </c>
      <c r="CS22" s="122">
        <f t="shared" si="29"/>
        <v>0</v>
      </c>
      <c r="CV22" s="122">
        <f t="shared" si="30"/>
        <v>0</v>
      </c>
      <c r="CY22" s="122">
        <f t="shared" si="31"/>
        <v>0</v>
      </c>
      <c r="DB22" s="122">
        <f t="shared" si="32"/>
        <v>0</v>
      </c>
      <c r="DE22" s="122">
        <f t="shared" si="33"/>
        <v>0</v>
      </c>
      <c r="DH22" s="122">
        <f t="shared" si="34"/>
        <v>0</v>
      </c>
      <c r="DK22" s="122">
        <f t="shared" si="35"/>
        <v>0</v>
      </c>
      <c r="DN22" s="122">
        <f t="shared" si="36"/>
        <v>0</v>
      </c>
      <c r="DQ22" s="122">
        <f t="shared" si="37"/>
        <v>0</v>
      </c>
      <c r="DT22" s="122">
        <f t="shared" si="38"/>
        <v>0</v>
      </c>
      <c r="DW22" s="122">
        <f t="shared" si="39"/>
        <v>0</v>
      </c>
      <c r="DZ22" s="122"/>
      <c r="EA22" s="122"/>
      <c r="EB22" s="157">
        <f t="shared" si="40"/>
        <v>79325000</v>
      </c>
      <c r="EC22" s="157">
        <f t="shared" si="41"/>
        <v>0</v>
      </c>
      <c r="ED22" s="122">
        <f t="shared" si="42"/>
        <v>5908.6458333333339</v>
      </c>
      <c r="EE22" s="123">
        <f t="shared" si="43"/>
        <v>2.6815159155373469E-2</v>
      </c>
      <c r="EG22" s="157">
        <f t="shared" si="44"/>
        <v>0</v>
      </c>
      <c r="EH22" s="122">
        <f t="shared" si="45"/>
        <v>0</v>
      </c>
      <c r="EI22" s="123">
        <f t="shared" si="46"/>
        <v>0</v>
      </c>
      <c r="EJ22" s="123"/>
      <c r="EK22" s="157">
        <f t="shared" si="47"/>
        <v>79325000</v>
      </c>
      <c r="EL22" s="157">
        <f t="shared" si="48"/>
        <v>0</v>
      </c>
      <c r="EM22" s="157">
        <f t="shared" si="49"/>
        <v>5908.6458333333339</v>
      </c>
      <c r="EN22" s="123">
        <f t="shared" si="50"/>
        <v>2.6815159155373469E-2</v>
      </c>
    </row>
    <row r="23" spans="1:144" x14ac:dyDescent="0.25">
      <c r="A23" s="66">
        <f t="shared" si="51"/>
        <v>43598</v>
      </c>
      <c r="B23" s="122">
        <v>0</v>
      </c>
      <c r="C23" s="123">
        <v>2.7406340000000001E-2</v>
      </c>
      <c r="D23" s="122">
        <f t="shared" si="0"/>
        <v>0</v>
      </c>
      <c r="G23" s="122">
        <f t="shared" si="1"/>
        <v>0</v>
      </c>
      <c r="J23" s="122">
        <f t="shared" si="2"/>
        <v>0</v>
      </c>
      <c r="M23" s="122">
        <f t="shared" si="3"/>
        <v>0</v>
      </c>
      <c r="P23" s="122">
        <f t="shared" si="4"/>
        <v>0</v>
      </c>
      <c r="S23" s="122">
        <f t="shared" si="5"/>
        <v>0</v>
      </c>
      <c r="V23" s="122">
        <f t="shared" si="6"/>
        <v>0</v>
      </c>
      <c r="Y23" s="122">
        <f t="shared" si="7"/>
        <v>0</v>
      </c>
      <c r="AB23" s="122">
        <f t="shared" si="8"/>
        <v>0</v>
      </c>
      <c r="AE23" s="122">
        <v>0</v>
      </c>
      <c r="AH23" s="122">
        <v>0</v>
      </c>
      <c r="AI23" s="155">
        <f>64325000</f>
        <v>64325000</v>
      </c>
      <c r="AJ23" s="156">
        <v>2.6499999999999999E-2</v>
      </c>
      <c r="AK23" s="122">
        <f t="shared" si="9"/>
        <v>4735.0347222222226</v>
      </c>
      <c r="AL23" s="155">
        <f t="shared" si="52"/>
        <v>25000000</v>
      </c>
      <c r="AM23" s="156">
        <v>2.75E-2</v>
      </c>
      <c r="AN23" s="122">
        <f t="shared" si="10"/>
        <v>1909.7222222222222</v>
      </c>
      <c r="AO23" s="155"/>
      <c r="AP23" s="156"/>
      <c r="AQ23" s="122">
        <f t="shared" si="11"/>
        <v>0</v>
      </c>
      <c r="AT23" s="122">
        <f t="shared" si="12"/>
        <v>0</v>
      </c>
      <c r="AW23" s="122">
        <f t="shared" si="13"/>
        <v>0</v>
      </c>
      <c r="AZ23" s="122">
        <f t="shared" si="14"/>
        <v>0</v>
      </c>
      <c r="BC23" s="122">
        <f t="shared" si="15"/>
        <v>0</v>
      </c>
      <c r="BF23" s="122">
        <f t="shared" si="16"/>
        <v>0</v>
      </c>
      <c r="BI23" s="122">
        <f t="shared" si="17"/>
        <v>0</v>
      </c>
      <c r="BL23" s="122">
        <f t="shared" si="18"/>
        <v>0</v>
      </c>
      <c r="BO23" s="122">
        <f t="shared" si="19"/>
        <v>0</v>
      </c>
      <c r="BR23" s="122">
        <f t="shared" si="20"/>
        <v>0</v>
      </c>
      <c r="BU23" s="122">
        <f t="shared" si="21"/>
        <v>0</v>
      </c>
      <c r="BX23" s="122">
        <f t="shared" si="22"/>
        <v>0</v>
      </c>
      <c r="CA23" s="122">
        <f t="shared" si="23"/>
        <v>0</v>
      </c>
      <c r="CD23" s="122">
        <f t="shared" si="24"/>
        <v>0</v>
      </c>
      <c r="CG23" s="122">
        <f t="shared" si="25"/>
        <v>0</v>
      </c>
      <c r="CJ23" s="122">
        <f t="shared" si="26"/>
        <v>0</v>
      </c>
      <c r="CM23" s="122">
        <f t="shared" si="27"/>
        <v>0</v>
      </c>
      <c r="CP23" s="122">
        <f t="shared" si="28"/>
        <v>0</v>
      </c>
      <c r="CS23" s="122">
        <f t="shared" si="29"/>
        <v>0</v>
      </c>
      <c r="CV23" s="122">
        <f t="shared" si="30"/>
        <v>0</v>
      </c>
      <c r="CY23" s="122">
        <f t="shared" si="31"/>
        <v>0</v>
      </c>
      <c r="DB23" s="122">
        <f t="shared" si="32"/>
        <v>0</v>
      </c>
      <c r="DE23" s="122">
        <f t="shared" si="33"/>
        <v>0</v>
      </c>
      <c r="DH23" s="122">
        <f t="shared" si="34"/>
        <v>0</v>
      </c>
      <c r="DK23" s="122">
        <f t="shared" si="35"/>
        <v>0</v>
      </c>
      <c r="DN23" s="122">
        <f t="shared" si="36"/>
        <v>0</v>
      </c>
      <c r="DQ23" s="122">
        <f t="shared" si="37"/>
        <v>0</v>
      </c>
      <c r="DT23" s="122">
        <f t="shared" si="38"/>
        <v>0</v>
      </c>
      <c r="DW23" s="122">
        <f t="shared" si="39"/>
        <v>0</v>
      </c>
      <c r="DZ23" s="122"/>
      <c r="EA23" s="122"/>
      <c r="EB23" s="157">
        <f t="shared" si="40"/>
        <v>89325000</v>
      </c>
      <c r="EC23" s="157">
        <f t="shared" si="41"/>
        <v>0</v>
      </c>
      <c r="ED23" s="122">
        <f t="shared" si="42"/>
        <v>6644.7569444444453</v>
      </c>
      <c r="EE23" s="123">
        <f t="shared" si="43"/>
        <v>2.6779876854184162E-2</v>
      </c>
      <c r="EG23" s="157">
        <f t="shared" si="44"/>
        <v>0</v>
      </c>
      <c r="EH23" s="122">
        <f t="shared" si="45"/>
        <v>0</v>
      </c>
      <c r="EI23" s="123">
        <f t="shared" si="46"/>
        <v>0</v>
      </c>
      <c r="EJ23" s="123"/>
      <c r="EK23" s="157">
        <f t="shared" si="47"/>
        <v>89325000</v>
      </c>
      <c r="EL23" s="157">
        <f t="shared" si="48"/>
        <v>0</v>
      </c>
      <c r="EM23" s="157">
        <f t="shared" si="49"/>
        <v>6644.7569444444453</v>
      </c>
      <c r="EN23" s="123">
        <f t="shared" si="50"/>
        <v>2.6779876854184162E-2</v>
      </c>
    </row>
    <row r="24" spans="1:144" x14ac:dyDescent="0.25">
      <c r="A24" s="66">
        <f t="shared" si="51"/>
        <v>43599</v>
      </c>
      <c r="B24" s="122">
        <v>0</v>
      </c>
      <c r="C24" s="123">
        <v>2.7406050000000001E-2</v>
      </c>
      <c r="D24" s="122">
        <f t="shared" si="0"/>
        <v>0</v>
      </c>
      <c r="G24" s="122">
        <f t="shared" si="1"/>
        <v>0</v>
      </c>
      <c r="J24" s="122">
        <f t="shared" si="2"/>
        <v>0</v>
      </c>
      <c r="M24" s="122">
        <f t="shared" si="3"/>
        <v>0</v>
      </c>
      <c r="P24" s="122">
        <f t="shared" si="4"/>
        <v>0</v>
      </c>
      <c r="S24" s="122">
        <f t="shared" si="5"/>
        <v>0</v>
      </c>
      <c r="V24" s="122">
        <f t="shared" si="6"/>
        <v>0</v>
      </c>
      <c r="Y24" s="122">
        <f t="shared" si="7"/>
        <v>0</v>
      </c>
      <c r="AB24" s="122">
        <f t="shared" si="8"/>
        <v>0</v>
      </c>
      <c r="AE24" s="122">
        <v>0</v>
      </c>
      <c r="AH24" s="122">
        <v>0</v>
      </c>
      <c r="AI24" s="155">
        <f>65100000</f>
        <v>65100000</v>
      </c>
      <c r="AJ24" s="156">
        <v>2.6499999999999999E-2</v>
      </c>
      <c r="AK24" s="122">
        <f t="shared" si="9"/>
        <v>4792.083333333333</v>
      </c>
      <c r="AL24" s="155">
        <f t="shared" si="52"/>
        <v>25000000</v>
      </c>
      <c r="AM24" s="156">
        <v>2.75E-2</v>
      </c>
      <c r="AN24" s="122">
        <f t="shared" si="10"/>
        <v>1909.7222222222222</v>
      </c>
      <c r="AO24" s="155"/>
      <c r="AP24" s="156"/>
      <c r="AQ24" s="122">
        <f t="shared" si="11"/>
        <v>0</v>
      </c>
      <c r="AT24" s="122">
        <f t="shared" si="12"/>
        <v>0</v>
      </c>
      <c r="AW24" s="122">
        <f t="shared" si="13"/>
        <v>0</v>
      </c>
      <c r="AZ24" s="122">
        <f t="shared" si="14"/>
        <v>0</v>
      </c>
      <c r="BC24" s="122">
        <f t="shared" si="15"/>
        <v>0</v>
      </c>
      <c r="BF24" s="122">
        <f t="shared" si="16"/>
        <v>0</v>
      </c>
      <c r="BI24" s="122">
        <f t="shared" si="17"/>
        <v>0</v>
      </c>
      <c r="BL24" s="122">
        <f t="shared" si="18"/>
        <v>0</v>
      </c>
      <c r="BO24" s="122">
        <f t="shared" si="19"/>
        <v>0</v>
      </c>
      <c r="BR24" s="122">
        <f t="shared" si="20"/>
        <v>0</v>
      </c>
      <c r="BU24" s="122">
        <f t="shared" si="21"/>
        <v>0</v>
      </c>
      <c r="BX24" s="122">
        <f t="shared" si="22"/>
        <v>0</v>
      </c>
      <c r="CA24" s="122">
        <f t="shared" si="23"/>
        <v>0</v>
      </c>
      <c r="CD24" s="122">
        <f t="shared" si="24"/>
        <v>0</v>
      </c>
      <c r="CG24" s="122">
        <f t="shared" si="25"/>
        <v>0</v>
      </c>
      <c r="CJ24" s="122">
        <f t="shared" si="26"/>
        <v>0</v>
      </c>
      <c r="CM24" s="122">
        <f t="shared" si="27"/>
        <v>0</v>
      </c>
      <c r="CP24" s="122">
        <f t="shared" si="28"/>
        <v>0</v>
      </c>
      <c r="CS24" s="122">
        <f t="shared" si="29"/>
        <v>0</v>
      </c>
      <c r="CV24" s="122">
        <f t="shared" si="30"/>
        <v>0</v>
      </c>
      <c r="CY24" s="122">
        <f t="shared" si="31"/>
        <v>0</v>
      </c>
      <c r="DB24" s="122">
        <f t="shared" si="32"/>
        <v>0</v>
      </c>
      <c r="DE24" s="122">
        <f t="shared" si="33"/>
        <v>0</v>
      </c>
      <c r="DH24" s="122">
        <f t="shared" si="34"/>
        <v>0</v>
      </c>
      <c r="DK24" s="122">
        <f t="shared" si="35"/>
        <v>0</v>
      </c>
      <c r="DN24" s="122">
        <f t="shared" si="36"/>
        <v>0</v>
      </c>
      <c r="DQ24" s="122">
        <f t="shared" si="37"/>
        <v>0</v>
      </c>
      <c r="DT24" s="122">
        <f t="shared" si="38"/>
        <v>0</v>
      </c>
      <c r="DW24" s="122">
        <f t="shared" si="39"/>
        <v>0</v>
      </c>
      <c r="DZ24" s="122"/>
      <c r="EA24" s="122"/>
      <c r="EB24" s="157">
        <f t="shared" si="40"/>
        <v>90100000</v>
      </c>
      <c r="EC24" s="157">
        <f t="shared" si="41"/>
        <v>0</v>
      </c>
      <c r="ED24" s="122">
        <f t="shared" si="42"/>
        <v>6701.8055555555547</v>
      </c>
      <c r="EE24" s="123">
        <f t="shared" si="43"/>
        <v>2.6777469478357376E-2</v>
      </c>
      <c r="EG24" s="157">
        <f t="shared" si="44"/>
        <v>0</v>
      </c>
      <c r="EH24" s="122">
        <f t="shared" si="45"/>
        <v>0</v>
      </c>
      <c r="EI24" s="123">
        <f t="shared" si="46"/>
        <v>0</v>
      </c>
      <c r="EJ24" s="123"/>
      <c r="EK24" s="157">
        <f t="shared" si="47"/>
        <v>90100000</v>
      </c>
      <c r="EL24" s="157">
        <f t="shared" si="48"/>
        <v>0</v>
      </c>
      <c r="EM24" s="157">
        <f t="shared" si="49"/>
        <v>6701.8055555555547</v>
      </c>
      <c r="EN24" s="123">
        <f t="shared" si="50"/>
        <v>2.6777469478357376E-2</v>
      </c>
    </row>
    <row r="25" spans="1:144" x14ac:dyDescent="0.25">
      <c r="A25" s="66">
        <f t="shared" si="51"/>
        <v>43600</v>
      </c>
      <c r="B25" s="122">
        <v>0</v>
      </c>
      <c r="C25" s="123">
        <v>2.74661E-2</v>
      </c>
      <c r="D25" s="122">
        <f t="shared" si="0"/>
        <v>0</v>
      </c>
      <c r="G25" s="122">
        <f t="shared" si="1"/>
        <v>0</v>
      </c>
      <c r="J25" s="122">
        <f t="shared" si="2"/>
        <v>0</v>
      </c>
      <c r="M25" s="122">
        <f t="shared" si="3"/>
        <v>0</v>
      </c>
      <c r="P25" s="122">
        <f t="shared" si="4"/>
        <v>0</v>
      </c>
      <c r="S25" s="122">
        <f t="shared" si="5"/>
        <v>0</v>
      </c>
      <c r="V25" s="122">
        <f t="shared" si="6"/>
        <v>0</v>
      </c>
      <c r="Y25" s="122">
        <f t="shared" si="7"/>
        <v>0</v>
      </c>
      <c r="AB25" s="122">
        <f t="shared" si="8"/>
        <v>0</v>
      </c>
      <c r="AE25" s="122">
        <v>0</v>
      </c>
      <c r="AH25" s="122">
        <v>0</v>
      </c>
      <c r="AI25" s="155">
        <f>65725000</f>
        <v>65725000</v>
      </c>
      <c r="AJ25" s="156">
        <v>2.6499999999999999E-2</v>
      </c>
      <c r="AK25" s="122">
        <f t="shared" si="9"/>
        <v>4838.0902777777774</v>
      </c>
      <c r="AL25" s="155">
        <f t="shared" si="52"/>
        <v>25000000</v>
      </c>
      <c r="AM25" s="156">
        <v>2.75E-2</v>
      </c>
      <c r="AN25" s="122">
        <f t="shared" si="10"/>
        <v>1909.7222222222222</v>
      </c>
      <c r="AO25" s="155">
        <f t="shared" ref="AO25:AO41" si="53">25000000</f>
        <v>25000000</v>
      </c>
      <c r="AP25" s="156">
        <v>2.7699999999999999E-2</v>
      </c>
      <c r="AQ25" s="122">
        <f t="shared" si="11"/>
        <v>1923.6111111111111</v>
      </c>
      <c r="AT25" s="122">
        <f t="shared" si="12"/>
        <v>0</v>
      </c>
      <c r="AW25" s="122">
        <f t="shared" si="13"/>
        <v>0</v>
      </c>
      <c r="AZ25" s="122">
        <f t="shared" si="14"/>
        <v>0</v>
      </c>
      <c r="BC25" s="122">
        <f t="shared" si="15"/>
        <v>0</v>
      </c>
      <c r="BF25" s="122">
        <f t="shared" si="16"/>
        <v>0</v>
      </c>
      <c r="BI25" s="122">
        <f t="shared" si="17"/>
        <v>0</v>
      </c>
      <c r="BL25" s="122">
        <f t="shared" si="18"/>
        <v>0</v>
      </c>
      <c r="BO25" s="122">
        <f t="shared" si="19"/>
        <v>0</v>
      </c>
      <c r="BR25" s="122">
        <f t="shared" si="20"/>
        <v>0</v>
      </c>
      <c r="BU25" s="122">
        <f t="shared" si="21"/>
        <v>0</v>
      </c>
      <c r="BX25" s="122">
        <f t="shared" si="22"/>
        <v>0</v>
      </c>
      <c r="CA25" s="122">
        <f t="shared" si="23"/>
        <v>0</v>
      </c>
      <c r="CD25" s="122">
        <f t="shared" si="24"/>
        <v>0</v>
      </c>
      <c r="CG25" s="122">
        <f t="shared" si="25"/>
        <v>0</v>
      </c>
      <c r="CJ25" s="122">
        <f t="shared" si="26"/>
        <v>0</v>
      </c>
      <c r="CM25" s="122">
        <f t="shared" si="27"/>
        <v>0</v>
      </c>
      <c r="CP25" s="122">
        <f t="shared" si="28"/>
        <v>0</v>
      </c>
      <c r="CS25" s="122">
        <f t="shared" si="29"/>
        <v>0</v>
      </c>
      <c r="CV25" s="122">
        <f t="shared" si="30"/>
        <v>0</v>
      </c>
      <c r="CY25" s="122">
        <f t="shared" si="31"/>
        <v>0</v>
      </c>
      <c r="DB25" s="122">
        <f t="shared" si="32"/>
        <v>0</v>
      </c>
      <c r="DE25" s="122">
        <f t="shared" si="33"/>
        <v>0</v>
      </c>
      <c r="DH25" s="122">
        <f t="shared" si="34"/>
        <v>0</v>
      </c>
      <c r="DK25" s="122">
        <f t="shared" si="35"/>
        <v>0</v>
      </c>
      <c r="DN25" s="122">
        <f t="shared" si="36"/>
        <v>0</v>
      </c>
      <c r="DQ25" s="122">
        <f t="shared" si="37"/>
        <v>0</v>
      </c>
      <c r="DT25" s="122">
        <f t="shared" si="38"/>
        <v>0</v>
      </c>
      <c r="DW25" s="122">
        <f t="shared" si="39"/>
        <v>0</v>
      </c>
      <c r="DZ25" s="122"/>
      <c r="EA25" s="122"/>
      <c r="EB25" s="157">
        <f t="shared" si="40"/>
        <v>115725000</v>
      </c>
      <c r="EC25" s="157">
        <f t="shared" si="41"/>
        <v>0</v>
      </c>
      <c r="ED25" s="122">
        <f t="shared" si="42"/>
        <v>8671.4236111111113</v>
      </c>
      <c r="EE25" s="123">
        <f t="shared" si="43"/>
        <v>2.6975264635990495E-2</v>
      </c>
      <c r="EG25" s="157">
        <f t="shared" si="44"/>
        <v>0</v>
      </c>
      <c r="EH25" s="122">
        <f t="shared" si="45"/>
        <v>0</v>
      </c>
      <c r="EI25" s="123">
        <f t="shared" si="46"/>
        <v>0</v>
      </c>
      <c r="EJ25" s="123"/>
      <c r="EK25" s="157">
        <f t="shared" si="47"/>
        <v>115725000</v>
      </c>
      <c r="EL25" s="157">
        <f t="shared" si="48"/>
        <v>0</v>
      </c>
      <c r="EM25" s="157">
        <f t="shared" si="49"/>
        <v>8671.4236111111095</v>
      </c>
      <c r="EN25" s="123">
        <f t="shared" si="50"/>
        <v>2.6975264635990488E-2</v>
      </c>
    </row>
    <row r="26" spans="1:144" x14ac:dyDescent="0.25">
      <c r="A26" s="66">
        <f t="shared" si="51"/>
        <v>43601</v>
      </c>
      <c r="B26" s="122">
        <v>0</v>
      </c>
      <c r="C26" s="123">
        <v>2.7488009999999997E-2</v>
      </c>
      <c r="D26" s="122">
        <f t="shared" si="0"/>
        <v>0</v>
      </c>
      <c r="G26" s="122">
        <f t="shared" si="1"/>
        <v>0</v>
      </c>
      <c r="J26" s="122">
        <f t="shared" si="2"/>
        <v>0</v>
      </c>
      <c r="M26" s="122">
        <f t="shared" si="3"/>
        <v>0</v>
      </c>
      <c r="P26" s="122">
        <f t="shared" si="4"/>
        <v>0</v>
      </c>
      <c r="S26" s="122">
        <f t="shared" si="5"/>
        <v>0</v>
      </c>
      <c r="V26" s="122">
        <f t="shared" si="6"/>
        <v>0</v>
      </c>
      <c r="Y26" s="122">
        <f t="shared" si="7"/>
        <v>0</v>
      </c>
      <c r="AB26" s="122">
        <f t="shared" si="8"/>
        <v>0</v>
      </c>
      <c r="AE26" s="122">
        <v>0</v>
      </c>
      <c r="AH26" s="122">
        <v>0</v>
      </c>
      <c r="AI26" s="155">
        <f>57425000</f>
        <v>57425000</v>
      </c>
      <c r="AJ26" s="156">
        <v>2.6499999999999999E-2</v>
      </c>
      <c r="AK26" s="122">
        <f t="shared" si="9"/>
        <v>4227.1180555555557</v>
      </c>
      <c r="AL26" s="155">
        <f t="shared" si="52"/>
        <v>25000000</v>
      </c>
      <c r="AM26" s="156">
        <v>2.75E-2</v>
      </c>
      <c r="AN26" s="122">
        <f t="shared" si="10"/>
        <v>1909.7222222222222</v>
      </c>
      <c r="AO26" s="155">
        <f t="shared" si="53"/>
        <v>25000000</v>
      </c>
      <c r="AP26" s="156">
        <v>2.7699999999999999E-2</v>
      </c>
      <c r="AQ26" s="122">
        <f t="shared" si="11"/>
        <v>1923.6111111111111</v>
      </c>
      <c r="AT26" s="122">
        <f t="shared" si="12"/>
        <v>0</v>
      </c>
      <c r="AW26" s="122">
        <f t="shared" si="13"/>
        <v>0</v>
      </c>
      <c r="AZ26" s="122">
        <f t="shared" si="14"/>
        <v>0</v>
      </c>
      <c r="BC26" s="122">
        <f t="shared" si="15"/>
        <v>0</v>
      </c>
      <c r="BF26" s="122">
        <f t="shared" si="16"/>
        <v>0</v>
      </c>
      <c r="BI26" s="122">
        <f t="shared" si="17"/>
        <v>0</v>
      </c>
      <c r="BL26" s="122">
        <f t="shared" si="18"/>
        <v>0</v>
      </c>
      <c r="BO26" s="122">
        <f t="shared" si="19"/>
        <v>0</v>
      </c>
      <c r="BR26" s="122">
        <f t="shared" si="20"/>
        <v>0</v>
      </c>
      <c r="BU26" s="122">
        <f t="shared" si="21"/>
        <v>0</v>
      </c>
      <c r="BX26" s="122">
        <f t="shared" si="22"/>
        <v>0</v>
      </c>
      <c r="CA26" s="122">
        <f t="shared" si="23"/>
        <v>0</v>
      </c>
      <c r="CD26" s="122">
        <f t="shared" si="24"/>
        <v>0</v>
      </c>
      <c r="CG26" s="122">
        <f t="shared" si="25"/>
        <v>0</v>
      </c>
      <c r="CJ26" s="122">
        <f t="shared" si="26"/>
        <v>0</v>
      </c>
      <c r="CM26" s="122">
        <f t="shared" si="27"/>
        <v>0</v>
      </c>
      <c r="CP26" s="122">
        <f t="shared" si="28"/>
        <v>0</v>
      </c>
      <c r="CS26" s="122">
        <f t="shared" si="29"/>
        <v>0</v>
      </c>
      <c r="CV26" s="122">
        <f t="shared" si="30"/>
        <v>0</v>
      </c>
      <c r="CY26" s="122">
        <f t="shared" si="31"/>
        <v>0</v>
      </c>
      <c r="DB26" s="122">
        <f t="shared" si="32"/>
        <v>0</v>
      </c>
      <c r="DE26" s="122">
        <f t="shared" si="33"/>
        <v>0</v>
      </c>
      <c r="DH26" s="122">
        <f t="shared" si="34"/>
        <v>0</v>
      </c>
      <c r="DK26" s="122">
        <f t="shared" si="35"/>
        <v>0</v>
      </c>
      <c r="DN26" s="122">
        <f t="shared" si="36"/>
        <v>0</v>
      </c>
      <c r="DQ26" s="122">
        <f t="shared" si="37"/>
        <v>0</v>
      </c>
      <c r="DT26" s="122">
        <f t="shared" si="38"/>
        <v>0</v>
      </c>
      <c r="DW26" s="122">
        <f t="shared" si="39"/>
        <v>0</v>
      </c>
      <c r="DZ26" s="122"/>
      <c r="EA26" s="122"/>
      <c r="EB26" s="157">
        <f t="shared" si="40"/>
        <v>107425000</v>
      </c>
      <c r="EC26" s="157">
        <f t="shared" si="41"/>
        <v>0</v>
      </c>
      <c r="ED26" s="122">
        <f t="shared" si="42"/>
        <v>8060.4513888888887</v>
      </c>
      <c r="EE26" s="123">
        <f t="shared" si="43"/>
        <v>2.7011985105887832E-2</v>
      </c>
      <c r="EG26" s="157">
        <f t="shared" si="44"/>
        <v>0</v>
      </c>
      <c r="EH26" s="122">
        <f t="shared" si="45"/>
        <v>0</v>
      </c>
      <c r="EI26" s="123">
        <f t="shared" si="46"/>
        <v>0</v>
      </c>
      <c r="EJ26" s="123"/>
      <c r="EK26" s="157">
        <f t="shared" si="47"/>
        <v>107425000</v>
      </c>
      <c r="EL26" s="157">
        <f t="shared" si="48"/>
        <v>0</v>
      </c>
      <c r="EM26" s="157">
        <f t="shared" si="49"/>
        <v>8060.4513888888887</v>
      </c>
      <c r="EN26" s="123">
        <f t="shared" si="50"/>
        <v>2.7011985105887832E-2</v>
      </c>
    </row>
    <row r="27" spans="1:144" x14ac:dyDescent="0.25">
      <c r="A27" s="66">
        <f t="shared" si="51"/>
        <v>43602</v>
      </c>
      <c r="B27" s="122">
        <v>0</v>
      </c>
      <c r="C27" s="123">
        <v>2.7531139999999999E-2</v>
      </c>
      <c r="D27" s="122">
        <f t="shared" si="0"/>
        <v>0</v>
      </c>
      <c r="G27" s="122">
        <f t="shared" si="1"/>
        <v>0</v>
      </c>
      <c r="J27" s="122">
        <f t="shared" si="2"/>
        <v>0</v>
      </c>
      <c r="M27" s="122">
        <f t="shared" si="3"/>
        <v>0</v>
      </c>
      <c r="P27" s="122">
        <f t="shared" si="4"/>
        <v>0</v>
      </c>
      <c r="S27" s="122">
        <f t="shared" si="5"/>
        <v>0</v>
      </c>
      <c r="V27" s="122">
        <f t="shared" si="6"/>
        <v>0</v>
      </c>
      <c r="Y27" s="122">
        <f t="shared" si="7"/>
        <v>0</v>
      </c>
      <c r="AB27" s="122">
        <f t="shared" si="8"/>
        <v>0</v>
      </c>
      <c r="AE27" s="122">
        <v>0</v>
      </c>
      <c r="AH27" s="122">
        <v>0</v>
      </c>
      <c r="AI27" s="155">
        <f>52350000</f>
        <v>52350000</v>
      </c>
      <c r="AJ27" s="156">
        <v>2.6499999999999999E-2</v>
      </c>
      <c r="AK27" s="122">
        <f t="shared" si="9"/>
        <v>3853.5416666666665</v>
      </c>
      <c r="AL27" s="155">
        <f t="shared" si="52"/>
        <v>25000000</v>
      </c>
      <c r="AM27" s="156">
        <v>2.75E-2</v>
      </c>
      <c r="AN27" s="122">
        <f t="shared" si="10"/>
        <v>1909.7222222222222</v>
      </c>
      <c r="AO27" s="155">
        <f t="shared" si="53"/>
        <v>25000000</v>
      </c>
      <c r="AP27" s="156">
        <v>2.7699999999999999E-2</v>
      </c>
      <c r="AQ27" s="122">
        <f t="shared" si="11"/>
        <v>1923.6111111111111</v>
      </c>
      <c r="AT27" s="122">
        <f t="shared" si="12"/>
        <v>0</v>
      </c>
      <c r="AW27" s="122">
        <f t="shared" si="13"/>
        <v>0</v>
      </c>
      <c r="AZ27" s="122">
        <f t="shared" si="14"/>
        <v>0</v>
      </c>
      <c r="BC27" s="122">
        <f t="shared" si="15"/>
        <v>0</v>
      </c>
      <c r="BF27" s="122">
        <f t="shared" si="16"/>
        <v>0</v>
      </c>
      <c r="BI27" s="122">
        <f t="shared" si="17"/>
        <v>0</v>
      </c>
      <c r="BL27" s="122">
        <f t="shared" si="18"/>
        <v>0</v>
      </c>
      <c r="BO27" s="122">
        <f t="shared" si="19"/>
        <v>0</v>
      </c>
      <c r="BR27" s="122">
        <f t="shared" si="20"/>
        <v>0</v>
      </c>
      <c r="BU27" s="122">
        <f t="shared" si="21"/>
        <v>0</v>
      </c>
      <c r="BX27" s="122">
        <f t="shared" si="22"/>
        <v>0</v>
      </c>
      <c r="CA27" s="122">
        <f t="shared" si="23"/>
        <v>0</v>
      </c>
      <c r="CD27" s="122">
        <f t="shared" si="24"/>
        <v>0</v>
      </c>
      <c r="CG27" s="122">
        <f t="shared" si="25"/>
        <v>0</v>
      </c>
      <c r="CJ27" s="122">
        <f t="shared" si="26"/>
        <v>0</v>
      </c>
      <c r="CM27" s="122">
        <f t="shared" si="27"/>
        <v>0</v>
      </c>
      <c r="CP27" s="122">
        <f t="shared" si="28"/>
        <v>0</v>
      </c>
      <c r="CS27" s="122">
        <f t="shared" si="29"/>
        <v>0</v>
      </c>
      <c r="CV27" s="122">
        <f t="shared" si="30"/>
        <v>0</v>
      </c>
      <c r="CY27" s="122">
        <f t="shared" si="31"/>
        <v>0</v>
      </c>
      <c r="DB27" s="122">
        <f t="shared" si="32"/>
        <v>0</v>
      </c>
      <c r="DE27" s="122">
        <f t="shared" si="33"/>
        <v>0</v>
      </c>
      <c r="DH27" s="122">
        <f t="shared" si="34"/>
        <v>0</v>
      </c>
      <c r="DK27" s="122">
        <f t="shared" si="35"/>
        <v>0</v>
      </c>
      <c r="DN27" s="122">
        <f t="shared" si="36"/>
        <v>0</v>
      </c>
      <c r="DQ27" s="122">
        <f t="shared" si="37"/>
        <v>0</v>
      </c>
      <c r="DT27" s="122">
        <f t="shared" si="38"/>
        <v>0</v>
      </c>
      <c r="DW27" s="122">
        <f t="shared" si="39"/>
        <v>0</v>
      </c>
      <c r="DZ27" s="122"/>
      <c r="EA27" s="122"/>
      <c r="EB27" s="157">
        <f t="shared" si="40"/>
        <v>102350000</v>
      </c>
      <c r="EC27" s="157">
        <f t="shared" si="41"/>
        <v>0</v>
      </c>
      <c r="ED27" s="122">
        <f t="shared" si="42"/>
        <v>7686.875</v>
      </c>
      <c r="EE27" s="123">
        <f t="shared" si="43"/>
        <v>2.7037371763556427E-2</v>
      </c>
      <c r="EG27" s="157">
        <f t="shared" si="44"/>
        <v>0</v>
      </c>
      <c r="EH27" s="122">
        <f t="shared" si="45"/>
        <v>0</v>
      </c>
      <c r="EI27" s="123">
        <f t="shared" si="46"/>
        <v>0</v>
      </c>
      <c r="EJ27" s="123"/>
      <c r="EK27" s="157">
        <f t="shared" si="47"/>
        <v>102350000</v>
      </c>
      <c r="EL27" s="157">
        <f t="shared" si="48"/>
        <v>0</v>
      </c>
      <c r="EM27" s="157">
        <f t="shared" si="49"/>
        <v>7686.875</v>
      </c>
      <c r="EN27" s="123">
        <f t="shared" si="50"/>
        <v>2.7037371763556427E-2</v>
      </c>
    </row>
    <row r="28" spans="1:144" x14ac:dyDescent="0.25">
      <c r="A28" s="66">
        <f t="shared" si="51"/>
        <v>43603</v>
      </c>
      <c r="B28" s="122">
        <v>0</v>
      </c>
      <c r="C28" s="123">
        <v>2.7531139999999999E-2</v>
      </c>
      <c r="D28" s="122">
        <f t="shared" si="0"/>
        <v>0</v>
      </c>
      <c r="G28" s="122">
        <f t="shared" si="1"/>
        <v>0</v>
      </c>
      <c r="J28" s="122">
        <f t="shared" si="2"/>
        <v>0</v>
      </c>
      <c r="M28" s="122">
        <f t="shared" si="3"/>
        <v>0</v>
      </c>
      <c r="P28" s="122">
        <f t="shared" si="4"/>
        <v>0</v>
      </c>
      <c r="S28" s="122">
        <f t="shared" si="5"/>
        <v>0</v>
      </c>
      <c r="V28" s="122">
        <f t="shared" si="6"/>
        <v>0</v>
      </c>
      <c r="Y28" s="122">
        <f t="shared" si="7"/>
        <v>0</v>
      </c>
      <c r="AB28" s="122">
        <f t="shared" si="8"/>
        <v>0</v>
      </c>
      <c r="AE28" s="122">
        <v>0</v>
      </c>
      <c r="AH28" s="122">
        <v>0</v>
      </c>
      <c r="AI28" s="155">
        <f>52350000</f>
        <v>52350000</v>
      </c>
      <c r="AJ28" s="156">
        <v>2.6499999999999999E-2</v>
      </c>
      <c r="AK28" s="122">
        <f t="shared" si="9"/>
        <v>3853.5416666666665</v>
      </c>
      <c r="AL28" s="155">
        <f t="shared" si="52"/>
        <v>25000000</v>
      </c>
      <c r="AM28" s="156">
        <v>2.75E-2</v>
      </c>
      <c r="AN28" s="122">
        <f t="shared" si="10"/>
        <v>1909.7222222222222</v>
      </c>
      <c r="AO28" s="155">
        <f t="shared" si="53"/>
        <v>25000000</v>
      </c>
      <c r="AP28" s="156">
        <v>2.7699999999999999E-2</v>
      </c>
      <c r="AQ28" s="122">
        <f t="shared" si="11"/>
        <v>1923.6111111111111</v>
      </c>
      <c r="AT28" s="122">
        <f t="shared" si="12"/>
        <v>0</v>
      </c>
      <c r="AW28" s="122">
        <f t="shared" si="13"/>
        <v>0</v>
      </c>
      <c r="AZ28" s="122">
        <f t="shared" si="14"/>
        <v>0</v>
      </c>
      <c r="BC28" s="122">
        <f t="shared" si="15"/>
        <v>0</v>
      </c>
      <c r="BF28" s="122">
        <f t="shared" si="16"/>
        <v>0</v>
      </c>
      <c r="BI28" s="122">
        <f t="shared" si="17"/>
        <v>0</v>
      </c>
      <c r="BL28" s="122">
        <f t="shared" si="18"/>
        <v>0</v>
      </c>
      <c r="BO28" s="122">
        <f t="shared" si="19"/>
        <v>0</v>
      </c>
      <c r="BR28" s="122">
        <f t="shared" si="20"/>
        <v>0</v>
      </c>
      <c r="BU28" s="122">
        <f t="shared" si="21"/>
        <v>0</v>
      </c>
      <c r="BX28" s="122">
        <f t="shared" si="22"/>
        <v>0</v>
      </c>
      <c r="CA28" s="122">
        <f t="shared" si="23"/>
        <v>0</v>
      </c>
      <c r="CD28" s="122">
        <f t="shared" si="24"/>
        <v>0</v>
      </c>
      <c r="CG28" s="122">
        <f t="shared" si="25"/>
        <v>0</v>
      </c>
      <c r="CJ28" s="122">
        <f t="shared" si="26"/>
        <v>0</v>
      </c>
      <c r="CM28" s="122">
        <f t="shared" si="27"/>
        <v>0</v>
      </c>
      <c r="CP28" s="122">
        <f t="shared" si="28"/>
        <v>0</v>
      </c>
      <c r="CS28" s="122">
        <f t="shared" si="29"/>
        <v>0</v>
      </c>
      <c r="CV28" s="122">
        <f t="shared" si="30"/>
        <v>0</v>
      </c>
      <c r="CY28" s="122">
        <f t="shared" si="31"/>
        <v>0</v>
      </c>
      <c r="DB28" s="122">
        <f t="shared" si="32"/>
        <v>0</v>
      </c>
      <c r="DE28" s="122">
        <f t="shared" si="33"/>
        <v>0</v>
      </c>
      <c r="DH28" s="122">
        <f t="shared" si="34"/>
        <v>0</v>
      </c>
      <c r="DK28" s="122">
        <f t="shared" si="35"/>
        <v>0</v>
      </c>
      <c r="DN28" s="122">
        <f t="shared" si="36"/>
        <v>0</v>
      </c>
      <c r="DQ28" s="122">
        <f t="shared" si="37"/>
        <v>0</v>
      </c>
      <c r="DT28" s="122">
        <f t="shared" si="38"/>
        <v>0</v>
      </c>
      <c r="DW28" s="122">
        <f t="shared" si="39"/>
        <v>0</v>
      </c>
      <c r="DZ28" s="122"/>
      <c r="EA28" s="122"/>
      <c r="EB28" s="157">
        <f t="shared" si="40"/>
        <v>102350000</v>
      </c>
      <c r="EC28" s="157">
        <f t="shared" si="41"/>
        <v>0</v>
      </c>
      <c r="ED28" s="122">
        <f t="shared" si="42"/>
        <v>7686.875</v>
      </c>
      <c r="EE28" s="123">
        <f t="shared" si="43"/>
        <v>2.7037371763556427E-2</v>
      </c>
      <c r="EG28" s="157">
        <f t="shared" si="44"/>
        <v>0</v>
      </c>
      <c r="EH28" s="122">
        <f t="shared" si="45"/>
        <v>0</v>
      </c>
      <c r="EI28" s="123">
        <f t="shared" si="46"/>
        <v>0</v>
      </c>
      <c r="EJ28" s="123"/>
      <c r="EK28" s="157">
        <f t="shared" si="47"/>
        <v>102350000</v>
      </c>
      <c r="EL28" s="157">
        <f t="shared" si="48"/>
        <v>0</v>
      </c>
      <c r="EM28" s="157">
        <f t="shared" si="49"/>
        <v>7686.875</v>
      </c>
      <c r="EN28" s="123">
        <f t="shared" si="50"/>
        <v>2.7037371763556427E-2</v>
      </c>
    </row>
    <row r="29" spans="1:144" x14ac:dyDescent="0.25">
      <c r="A29" s="66">
        <f t="shared" si="51"/>
        <v>43604</v>
      </c>
      <c r="B29" s="122">
        <v>0</v>
      </c>
      <c r="C29" s="123">
        <v>2.7531139999999999E-2</v>
      </c>
      <c r="D29" s="122">
        <f t="shared" si="0"/>
        <v>0</v>
      </c>
      <c r="G29" s="122">
        <f t="shared" si="1"/>
        <v>0</v>
      </c>
      <c r="J29" s="122">
        <f t="shared" si="2"/>
        <v>0</v>
      </c>
      <c r="M29" s="122">
        <f t="shared" si="3"/>
        <v>0</v>
      </c>
      <c r="P29" s="122">
        <f t="shared" si="4"/>
        <v>0</v>
      </c>
      <c r="S29" s="122">
        <f t="shared" si="5"/>
        <v>0</v>
      </c>
      <c r="V29" s="122">
        <f t="shared" si="6"/>
        <v>0</v>
      </c>
      <c r="Y29" s="122">
        <f t="shared" si="7"/>
        <v>0</v>
      </c>
      <c r="AB29" s="122">
        <f t="shared" si="8"/>
        <v>0</v>
      </c>
      <c r="AE29" s="122">
        <v>0</v>
      </c>
      <c r="AH29" s="122">
        <v>0</v>
      </c>
      <c r="AI29" s="155">
        <f>52350000</f>
        <v>52350000</v>
      </c>
      <c r="AJ29" s="156">
        <v>2.6499999999999999E-2</v>
      </c>
      <c r="AK29" s="122">
        <f t="shared" si="9"/>
        <v>3853.5416666666665</v>
      </c>
      <c r="AL29" s="155">
        <f t="shared" si="52"/>
        <v>25000000</v>
      </c>
      <c r="AM29" s="156">
        <v>2.75E-2</v>
      </c>
      <c r="AN29" s="122">
        <f t="shared" si="10"/>
        <v>1909.7222222222222</v>
      </c>
      <c r="AO29" s="155">
        <f t="shared" si="53"/>
        <v>25000000</v>
      </c>
      <c r="AP29" s="156">
        <v>2.7699999999999999E-2</v>
      </c>
      <c r="AQ29" s="122">
        <f t="shared" si="11"/>
        <v>1923.6111111111111</v>
      </c>
      <c r="AT29" s="122">
        <f t="shared" si="12"/>
        <v>0</v>
      </c>
      <c r="AW29" s="122">
        <f t="shared" si="13"/>
        <v>0</v>
      </c>
      <c r="AZ29" s="122">
        <f t="shared" si="14"/>
        <v>0</v>
      </c>
      <c r="BC29" s="122">
        <f t="shared" si="15"/>
        <v>0</v>
      </c>
      <c r="BF29" s="122">
        <f t="shared" si="16"/>
        <v>0</v>
      </c>
      <c r="BI29" s="122">
        <f t="shared" si="17"/>
        <v>0</v>
      </c>
      <c r="BL29" s="122">
        <f t="shared" si="18"/>
        <v>0</v>
      </c>
      <c r="BO29" s="122">
        <f t="shared" si="19"/>
        <v>0</v>
      </c>
      <c r="BR29" s="122">
        <f t="shared" si="20"/>
        <v>0</v>
      </c>
      <c r="BU29" s="122">
        <f t="shared" si="21"/>
        <v>0</v>
      </c>
      <c r="BX29" s="122">
        <f t="shared" si="22"/>
        <v>0</v>
      </c>
      <c r="CA29" s="122">
        <f t="shared" si="23"/>
        <v>0</v>
      </c>
      <c r="CD29" s="122">
        <f t="shared" si="24"/>
        <v>0</v>
      </c>
      <c r="CG29" s="122">
        <f t="shared" si="25"/>
        <v>0</v>
      </c>
      <c r="CJ29" s="122">
        <f t="shared" si="26"/>
        <v>0</v>
      </c>
      <c r="CM29" s="122">
        <f t="shared" si="27"/>
        <v>0</v>
      </c>
      <c r="CP29" s="122">
        <f t="shared" si="28"/>
        <v>0</v>
      </c>
      <c r="CS29" s="122">
        <f t="shared" si="29"/>
        <v>0</v>
      </c>
      <c r="CV29" s="122">
        <f t="shared" si="30"/>
        <v>0</v>
      </c>
      <c r="CY29" s="122">
        <f t="shared" si="31"/>
        <v>0</v>
      </c>
      <c r="DB29" s="122">
        <f t="shared" si="32"/>
        <v>0</v>
      </c>
      <c r="DE29" s="122">
        <f t="shared" si="33"/>
        <v>0</v>
      </c>
      <c r="DH29" s="122">
        <f t="shared" si="34"/>
        <v>0</v>
      </c>
      <c r="DK29" s="122">
        <f t="shared" si="35"/>
        <v>0</v>
      </c>
      <c r="DN29" s="122">
        <f t="shared" si="36"/>
        <v>0</v>
      </c>
      <c r="DQ29" s="122">
        <f t="shared" si="37"/>
        <v>0</v>
      </c>
      <c r="DT29" s="122">
        <f t="shared" si="38"/>
        <v>0</v>
      </c>
      <c r="DW29" s="122">
        <f t="shared" si="39"/>
        <v>0</v>
      </c>
      <c r="DZ29" s="122"/>
      <c r="EA29" s="122"/>
      <c r="EB29" s="157">
        <f t="shared" si="40"/>
        <v>102350000</v>
      </c>
      <c r="EC29" s="157">
        <f t="shared" si="41"/>
        <v>0</v>
      </c>
      <c r="ED29" s="122">
        <f t="shared" si="42"/>
        <v>7686.875</v>
      </c>
      <c r="EE29" s="123">
        <f t="shared" si="43"/>
        <v>2.7037371763556427E-2</v>
      </c>
      <c r="EG29" s="157">
        <f t="shared" si="44"/>
        <v>0</v>
      </c>
      <c r="EH29" s="122">
        <f t="shared" si="45"/>
        <v>0</v>
      </c>
      <c r="EI29" s="123">
        <f t="shared" si="46"/>
        <v>0</v>
      </c>
      <c r="EJ29" s="123"/>
      <c r="EK29" s="157">
        <f t="shared" si="47"/>
        <v>102350000</v>
      </c>
      <c r="EL29" s="157">
        <f t="shared" si="48"/>
        <v>0</v>
      </c>
      <c r="EM29" s="157">
        <f t="shared" si="49"/>
        <v>7686.875</v>
      </c>
      <c r="EN29" s="123">
        <f t="shared" si="50"/>
        <v>2.7037371763556427E-2</v>
      </c>
    </row>
    <row r="30" spans="1:144" x14ac:dyDescent="0.25">
      <c r="A30" s="66">
        <f t="shared" si="51"/>
        <v>43605</v>
      </c>
      <c r="B30" s="122">
        <v>0</v>
      </c>
      <c r="C30" s="123">
        <v>2.7523010000000001E-2</v>
      </c>
      <c r="D30" s="122">
        <f t="shared" si="0"/>
        <v>0</v>
      </c>
      <c r="G30" s="122">
        <f t="shared" si="1"/>
        <v>0</v>
      </c>
      <c r="J30" s="122">
        <f t="shared" si="2"/>
        <v>0</v>
      </c>
      <c r="M30" s="122">
        <f t="shared" si="3"/>
        <v>0</v>
      </c>
      <c r="P30" s="122">
        <f t="shared" si="4"/>
        <v>0</v>
      </c>
      <c r="S30" s="122">
        <f t="shared" si="5"/>
        <v>0</v>
      </c>
      <c r="V30" s="122">
        <f t="shared" si="6"/>
        <v>0</v>
      </c>
      <c r="Y30" s="122">
        <f t="shared" si="7"/>
        <v>0</v>
      </c>
      <c r="AB30" s="122">
        <f t="shared" si="8"/>
        <v>0</v>
      </c>
      <c r="AE30" s="122">
        <v>0</v>
      </c>
      <c r="AH30" s="122">
        <v>0</v>
      </c>
      <c r="AI30" s="155">
        <f>70050000</f>
        <v>70050000</v>
      </c>
      <c r="AJ30" s="156">
        <v>2.63E-2</v>
      </c>
      <c r="AK30" s="122">
        <f t="shared" si="9"/>
        <v>5117.541666666667</v>
      </c>
      <c r="AL30" s="155">
        <f t="shared" si="52"/>
        <v>25000000</v>
      </c>
      <c r="AM30" s="156">
        <v>2.75E-2</v>
      </c>
      <c r="AN30" s="122">
        <f t="shared" si="10"/>
        <v>1909.7222222222222</v>
      </c>
      <c r="AO30" s="155">
        <f t="shared" si="53"/>
        <v>25000000</v>
      </c>
      <c r="AP30" s="156">
        <v>2.7699999999999999E-2</v>
      </c>
      <c r="AQ30" s="122">
        <f t="shared" si="11"/>
        <v>1923.6111111111111</v>
      </c>
      <c r="AT30" s="122">
        <f t="shared" si="12"/>
        <v>0</v>
      </c>
      <c r="AW30" s="122">
        <f t="shared" si="13"/>
        <v>0</v>
      </c>
      <c r="AZ30" s="122">
        <f t="shared" si="14"/>
        <v>0</v>
      </c>
      <c r="BC30" s="122">
        <f t="shared" si="15"/>
        <v>0</v>
      </c>
      <c r="BF30" s="122">
        <f t="shared" si="16"/>
        <v>0</v>
      </c>
      <c r="BI30" s="122">
        <f t="shared" si="17"/>
        <v>0</v>
      </c>
      <c r="BL30" s="122">
        <f t="shared" si="18"/>
        <v>0</v>
      </c>
      <c r="BO30" s="122">
        <f t="shared" si="19"/>
        <v>0</v>
      </c>
      <c r="BR30" s="122">
        <f t="shared" si="20"/>
        <v>0</v>
      </c>
      <c r="BU30" s="122">
        <f t="shared" si="21"/>
        <v>0</v>
      </c>
      <c r="BX30" s="122">
        <f t="shared" si="22"/>
        <v>0</v>
      </c>
      <c r="CA30" s="122">
        <f t="shared" si="23"/>
        <v>0</v>
      </c>
      <c r="CD30" s="122">
        <f t="shared" si="24"/>
        <v>0</v>
      </c>
      <c r="CG30" s="122">
        <f t="shared" si="25"/>
        <v>0</v>
      </c>
      <c r="CJ30" s="122">
        <f t="shared" si="26"/>
        <v>0</v>
      </c>
      <c r="CM30" s="122">
        <f t="shared" si="27"/>
        <v>0</v>
      </c>
      <c r="CP30" s="122">
        <f t="shared" si="28"/>
        <v>0</v>
      </c>
      <c r="CS30" s="122">
        <f t="shared" si="29"/>
        <v>0</v>
      </c>
      <c r="CV30" s="122">
        <f t="shared" si="30"/>
        <v>0</v>
      </c>
      <c r="CY30" s="122">
        <f t="shared" si="31"/>
        <v>0</v>
      </c>
      <c r="DB30" s="122">
        <f t="shared" si="32"/>
        <v>0</v>
      </c>
      <c r="DE30" s="122">
        <f t="shared" si="33"/>
        <v>0</v>
      </c>
      <c r="DH30" s="122">
        <f t="shared" si="34"/>
        <v>0</v>
      </c>
      <c r="DK30" s="122">
        <f t="shared" si="35"/>
        <v>0</v>
      </c>
      <c r="DN30" s="122">
        <f t="shared" si="36"/>
        <v>0</v>
      </c>
      <c r="DQ30" s="122">
        <f t="shared" si="37"/>
        <v>0</v>
      </c>
      <c r="DT30" s="122">
        <f t="shared" si="38"/>
        <v>0</v>
      </c>
      <c r="DW30" s="122">
        <f t="shared" si="39"/>
        <v>0</v>
      </c>
      <c r="DZ30" s="122"/>
      <c r="EA30" s="122"/>
      <c r="EB30" s="157">
        <f t="shared" si="40"/>
        <v>120050000</v>
      </c>
      <c r="EC30" s="157">
        <f t="shared" si="41"/>
        <v>0</v>
      </c>
      <c r="ED30" s="122">
        <f t="shared" si="42"/>
        <v>8950.875</v>
      </c>
      <c r="EE30" s="123">
        <f t="shared" si="43"/>
        <v>2.6841441066222407E-2</v>
      </c>
      <c r="EG30" s="157">
        <f t="shared" si="44"/>
        <v>0</v>
      </c>
      <c r="EH30" s="122">
        <f t="shared" si="45"/>
        <v>0</v>
      </c>
      <c r="EI30" s="123">
        <f t="shared" si="46"/>
        <v>0</v>
      </c>
      <c r="EJ30" s="123"/>
      <c r="EK30" s="157">
        <f t="shared" si="47"/>
        <v>120050000</v>
      </c>
      <c r="EL30" s="157">
        <f t="shared" si="48"/>
        <v>0</v>
      </c>
      <c r="EM30" s="157">
        <f t="shared" si="49"/>
        <v>8950.875</v>
      </c>
      <c r="EN30" s="123">
        <f t="shared" si="50"/>
        <v>2.6841441066222407E-2</v>
      </c>
    </row>
    <row r="31" spans="1:144" x14ac:dyDescent="0.25">
      <c r="A31" s="66">
        <f t="shared" si="51"/>
        <v>43606</v>
      </c>
      <c r="B31" s="122">
        <v>0</v>
      </c>
      <c r="C31" s="123">
        <v>2.7519200000000001E-2</v>
      </c>
      <c r="D31" s="122">
        <f t="shared" si="0"/>
        <v>0</v>
      </c>
      <c r="G31" s="122">
        <f t="shared" si="1"/>
        <v>0</v>
      </c>
      <c r="J31" s="122">
        <f t="shared" si="2"/>
        <v>0</v>
      </c>
      <c r="M31" s="122">
        <f t="shared" si="3"/>
        <v>0</v>
      </c>
      <c r="P31" s="122">
        <f t="shared" si="4"/>
        <v>0</v>
      </c>
      <c r="S31" s="122">
        <f t="shared" si="5"/>
        <v>0</v>
      </c>
      <c r="V31" s="122">
        <f t="shared" si="6"/>
        <v>0</v>
      </c>
      <c r="Y31" s="122">
        <f t="shared" si="7"/>
        <v>0</v>
      </c>
      <c r="AB31" s="122">
        <f t="shared" si="8"/>
        <v>0</v>
      </c>
      <c r="AE31" s="122">
        <v>0</v>
      </c>
      <c r="AH31" s="122">
        <v>0</v>
      </c>
      <c r="AI31" s="155">
        <f>63575000</f>
        <v>63575000</v>
      </c>
      <c r="AJ31" s="156">
        <v>2.63E-2</v>
      </c>
      <c r="AK31" s="122">
        <f t="shared" si="9"/>
        <v>4644.5069444444443</v>
      </c>
      <c r="AL31" s="155">
        <f t="shared" si="52"/>
        <v>25000000</v>
      </c>
      <c r="AM31" s="156">
        <v>2.75E-2</v>
      </c>
      <c r="AN31" s="122">
        <f t="shared" si="10"/>
        <v>1909.7222222222222</v>
      </c>
      <c r="AO31" s="155">
        <f t="shared" si="53"/>
        <v>25000000</v>
      </c>
      <c r="AP31" s="156">
        <v>2.7699999999999999E-2</v>
      </c>
      <c r="AQ31" s="122">
        <f t="shared" si="11"/>
        <v>1923.6111111111111</v>
      </c>
      <c r="AT31" s="122">
        <f t="shared" si="12"/>
        <v>0</v>
      </c>
      <c r="AW31" s="122">
        <f t="shared" si="13"/>
        <v>0</v>
      </c>
      <c r="AZ31" s="122">
        <f t="shared" si="14"/>
        <v>0</v>
      </c>
      <c r="BC31" s="122">
        <f t="shared" si="15"/>
        <v>0</v>
      </c>
      <c r="BF31" s="122">
        <f t="shared" si="16"/>
        <v>0</v>
      </c>
      <c r="BI31" s="122">
        <f t="shared" si="17"/>
        <v>0</v>
      </c>
      <c r="BL31" s="122">
        <f t="shared" si="18"/>
        <v>0</v>
      </c>
      <c r="BO31" s="122">
        <f t="shared" si="19"/>
        <v>0</v>
      </c>
      <c r="BR31" s="122">
        <f t="shared" si="20"/>
        <v>0</v>
      </c>
      <c r="BU31" s="122">
        <f t="shared" si="21"/>
        <v>0</v>
      </c>
      <c r="BX31" s="122">
        <f t="shared" si="22"/>
        <v>0</v>
      </c>
      <c r="CA31" s="122">
        <f t="shared" si="23"/>
        <v>0</v>
      </c>
      <c r="CD31" s="122">
        <f t="shared" si="24"/>
        <v>0</v>
      </c>
      <c r="CG31" s="122">
        <f t="shared" si="25"/>
        <v>0</v>
      </c>
      <c r="CJ31" s="122">
        <f t="shared" si="26"/>
        <v>0</v>
      </c>
      <c r="CM31" s="122">
        <f t="shared" si="27"/>
        <v>0</v>
      </c>
      <c r="CP31" s="122">
        <f t="shared" si="28"/>
        <v>0</v>
      </c>
      <c r="CS31" s="122">
        <f t="shared" si="29"/>
        <v>0</v>
      </c>
      <c r="CV31" s="122">
        <f t="shared" si="30"/>
        <v>0</v>
      </c>
      <c r="CY31" s="122">
        <f t="shared" si="31"/>
        <v>0</v>
      </c>
      <c r="DB31" s="122">
        <f t="shared" si="32"/>
        <v>0</v>
      </c>
      <c r="DE31" s="122">
        <f t="shared" si="33"/>
        <v>0</v>
      </c>
      <c r="DH31" s="122">
        <f t="shared" si="34"/>
        <v>0</v>
      </c>
      <c r="DK31" s="122">
        <f t="shared" si="35"/>
        <v>0</v>
      </c>
      <c r="DN31" s="122">
        <f t="shared" si="36"/>
        <v>0</v>
      </c>
      <c r="DQ31" s="122">
        <f t="shared" si="37"/>
        <v>0</v>
      </c>
      <c r="DT31" s="122">
        <f t="shared" si="38"/>
        <v>0</v>
      </c>
      <c r="DW31" s="122">
        <f t="shared" si="39"/>
        <v>0</v>
      </c>
      <c r="DZ31" s="122"/>
      <c r="EA31" s="122"/>
      <c r="EB31" s="157">
        <f t="shared" si="40"/>
        <v>113575000</v>
      </c>
      <c r="EC31" s="157">
        <f t="shared" si="41"/>
        <v>0</v>
      </c>
      <c r="ED31" s="122">
        <f t="shared" si="42"/>
        <v>8477.8402777777774</v>
      </c>
      <c r="EE31" s="123">
        <f t="shared" si="43"/>
        <v>2.6872309046885316E-2</v>
      </c>
      <c r="EG31" s="157">
        <f t="shared" si="44"/>
        <v>0</v>
      </c>
      <c r="EH31" s="122">
        <f t="shared" si="45"/>
        <v>0</v>
      </c>
      <c r="EI31" s="123">
        <f t="shared" si="46"/>
        <v>0</v>
      </c>
      <c r="EJ31" s="123"/>
      <c r="EK31" s="157">
        <f t="shared" si="47"/>
        <v>113575000</v>
      </c>
      <c r="EL31" s="157">
        <f t="shared" si="48"/>
        <v>0</v>
      </c>
      <c r="EM31" s="157">
        <f t="shared" si="49"/>
        <v>8477.8402777777774</v>
      </c>
      <c r="EN31" s="123">
        <f t="shared" si="50"/>
        <v>2.6872309046885316E-2</v>
      </c>
    </row>
    <row r="32" spans="1:144" x14ac:dyDescent="0.25">
      <c r="A32" s="66">
        <f t="shared" si="51"/>
        <v>43607</v>
      </c>
      <c r="B32" s="122">
        <v>0</v>
      </c>
      <c r="C32" s="123">
        <v>2.7506270000000003E-2</v>
      </c>
      <c r="D32" s="122">
        <f t="shared" si="0"/>
        <v>0</v>
      </c>
      <c r="G32" s="122">
        <f t="shared" si="1"/>
        <v>0</v>
      </c>
      <c r="J32" s="122">
        <f t="shared" si="2"/>
        <v>0</v>
      </c>
      <c r="M32" s="122">
        <f t="shared" si="3"/>
        <v>0</v>
      </c>
      <c r="P32" s="122">
        <f t="shared" si="4"/>
        <v>0</v>
      </c>
      <c r="S32" s="122">
        <f t="shared" si="5"/>
        <v>0</v>
      </c>
      <c r="V32" s="122">
        <f t="shared" si="6"/>
        <v>0</v>
      </c>
      <c r="Y32" s="122">
        <f t="shared" si="7"/>
        <v>0</v>
      </c>
      <c r="AB32" s="122">
        <f t="shared" si="8"/>
        <v>0</v>
      </c>
      <c r="AE32" s="122">
        <v>0</v>
      </c>
      <c r="AH32" s="122">
        <v>0</v>
      </c>
      <c r="AI32" s="155">
        <f>59025000</f>
        <v>59025000</v>
      </c>
      <c r="AJ32" s="156">
        <v>2.63E-2</v>
      </c>
      <c r="AK32" s="122">
        <f t="shared" si="9"/>
        <v>4312.104166666667</v>
      </c>
      <c r="AL32" s="155">
        <f t="shared" si="52"/>
        <v>25000000</v>
      </c>
      <c r="AM32" s="156">
        <v>2.75E-2</v>
      </c>
      <c r="AN32" s="122">
        <f t="shared" si="10"/>
        <v>1909.7222222222222</v>
      </c>
      <c r="AO32" s="155">
        <f t="shared" si="53"/>
        <v>25000000</v>
      </c>
      <c r="AP32" s="156">
        <v>2.7699999999999999E-2</v>
      </c>
      <c r="AQ32" s="122">
        <f t="shared" si="11"/>
        <v>1923.6111111111111</v>
      </c>
      <c r="AT32" s="122">
        <f t="shared" si="12"/>
        <v>0</v>
      </c>
      <c r="AW32" s="122">
        <f t="shared" si="13"/>
        <v>0</v>
      </c>
      <c r="AZ32" s="122">
        <f t="shared" si="14"/>
        <v>0</v>
      </c>
      <c r="BC32" s="122">
        <f t="shared" si="15"/>
        <v>0</v>
      </c>
      <c r="BF32" s="122">
        <f t="shared" si="16"/>
        <v>0</v>
      </c>
      <c r="BI32" s="122">
        <f t="shared" si="17"/>
        <v>0</v>
      </c>
      <c r="BL32" s="122">
        <f t="shared" si="18"/>
        <v>0</v>
      </c>
      <c r="BO32" s="122">
        <f t="shared" si="19"/>
        <v>0</v>
      </c>
      <c r="BR32" s="122">
        <f t="shared" si="20"/>
        <v>0</v>
      </c>
      <c r="BU32" s="122">
        <f t="shared" si="21"/>
        <v>0</v>
      </c>
      <c r="BX32" s="122">
        <f t="shared" si="22"/>
        <v>0</v>
      </c>
      <c r="CA32" s="122">
        <f t="shared" si="23"/>
        <v>0</v>
      </c>
      <c r="CD32" s="122">
        <f t="shared" si="24"/>
        <v>0</v>
      </c>
      <c r="CG32" s="122">
        <f t="shared" si="25"/>
        <v>0</v>
      </c>
      <c r="CJ32" s="122">
        <f t="shared" si="26"/>
        <v>0</v>
      </c>
      <c r="CM32" s="122">
        <f t="shared" si="27"/>
        <v>0</v>
      </c>
      <c r="CP32" s="122">
        <f t="shared" si="28"/>
        <v>0</v>
      </c>
      <c r="CS32" s="122">
        <f t="shared" si="29"/>
        <v>0</v>
      </c>
      <c r="CV32" s="122">
        <f t="shared" si="30"/>
        <v>0</v>
      </c>
      <c r="CY32" s="122">
        <f t="shared" si="31"/>
        <v>0</v>
      </c>
      <c r="DB32" s="122">
        <f t="shared" si="32"/>
        <v>0</v>
      </c>
      <c r="DE32" s="122">
        <f t="shared" si="33"/>
        <v>0</v>
      </c>
      <c r="DH32" s="122">
        <f t="shared" si="34"/>
        <v>0</v>
      </c>
      <c r="DK32" s="122">
        <f t="shared" si="35"/>
        <v>0</v>
      </c>
      <c r="DN32" s="122">
        <f t="shared" si="36"/>
        <v>0</v>
      </c>
      <c r="DQ32" s="122">
        <f t="shared" si="37"/>
        <v>0</v>
      </c>
      <c r="DT32" s="122">
        <f t="shared" si="38"/>
        <v>0</v>
      </c>
      <c r="DW32" s="122">
        <f t="shared" si="39"/>
        <v>0</v>
      </c>
      <c r="DZ32" s="122"/>
      <c r="EA32" s="122"/>
      <c r="EB32" s="157">
        <f t="shared" si="40"/>
        <v>109025000</v>
      </c>
      <c r="EC32" s="157">
        <f t="shared" si="41"/>
        <v>0</v>
      </c>
      <c r="ED32" s="122">
        <f t="shared" si="42"/>
        <v>8145.4375</v>
      </c>
      <c r="EE32" s="123">
        <f t="shared" si="43"/>
        <v>2.6896193533593214E-2</v>
      </c>
      <c r="EG32" s="157">
        <f t="shared" si="44"/>
        <v>0</v>
      </c>
      <c r="EH32" s="122">
        <f t="shared" si="45"/>
        <v>0</v>
      </c>
      <c r="EI32" s="123">
        <f t="shared" si="46"/>
        <v>0</v>
      </c>
      <c r="EJ32" s="123"/>
      <c r="EK32" s="157">
        <f t="shared" si="47"/>
        <v>109025000</v>
      </c>
      <c r="EL32" s="157">
        <f t="shared" si="48"/>
        <v>0</v>
      </c>
      <c r="EM32" s="157">
        <f t="shared" si="49"/>
        <v>8145.4375</v>
      </c>
      <c r="EN32" s="123">
        <f t="shared" si="50"/>
        <v>2.6896193533593214E-2</v>
      </c>
    </row>
    <row r="33" spans="1:144" x14ac:dyDescent="0.25">
      <c r="A33" s="66">
        <f t="shared" si="51"/>
        <v>43608</v>
      </c>
      <c r="B33" s="122">
        <v>0</v>
      </c>
      <c r="C33" s="123">
        <v>2.750505E-2</v>
      </c>
      <c r="D33" s="122">
        <f t="shared" si="0"/>
        <v>0</v>
      </c>
      <c r="G33" s="122">
        <f t="shared" si="1"/>
        <v>0</v>
      </c>
      <c r="J33" s="122">
        <f t="shared" si="2"/>
        <v>0</v>
      </c>
      <c r="M33" s="122">
        <f t="shared" si="3"/>
        <v>0</v>
      </c>
      <c r="P33" s="122">
        <f t="shared" si="4"/>
        <v>0</v>
      </c>
      <c r="S33" s="122">
        <f t="shared" si="5"/>
        <v>0</v>
      </c>
      <c r="V33" s="122">
        <f t="shared" si="6"/>
        <v>0</v>
      </c>
      <c r="Y33" s="122">
        <f t="shared" si="7"/>
        <v>0</v>
      </c>
      <c r="AB33" s="122">
        <f t="shared" si="8"/>
        <v>0</v>
      </c>
      <c r="AE33" s="122">
        <v>0</v>
      </c>
      <c r="AH33" s="122">
        <v>0</v>
      </c>
      <c r="AI33" s="155">
        <f>53150000</f>
        <v>53150000</v>
      </c>
      <c r="AJ33" s="156">
        <v>2.63E-2</v>
      </c>
      <c r="AK33" s="122">
        <f t="shared" si="9"/>
        <v>3882.9027777777778</v>
      </c>
      <c r="AL33" s="155">
        <f t="shared" si="52"/>
        <v>25000000</v>
      </c>
      <c r="AM33" s="156">
        <v>2.75E-2</v>
      </c>
      <c r="AN33" s="122">
        <f t="shared" si="10"/>
        <v>1909.7222222222222</v>
      </c>
      <c r="AO33" s="155">
        <f t="shared" si="53"/>
        <v>25000000</v>
      </c>
      <c r="AP33" s="156">
        <v>2.7699999999999999E-2</v>
      </c>
      <c r="AQ33" s="122">
        <f t="shared" si="11"/>
        <v>1923.6111111111111</v>
      </c>
      <c r="AT33" s="122">
        <f t="shared" si="12"/>
        <v>0</v>
      </c>
      <c r="AW33" s="122">
        <f t="shared" si="13"/>
        <v>0</v>
      </c>
      <c r="AZ33" s="122">
        <f t="shared" si="14"/>
        <v>0</v>
      </c>
      <c r="BC33" s="122">
        <f t="shared" si="15"/>
        <v>0</v>
      </c>
      <c r="BF33" s="122">
        <f t="shared" si="16"/>
        <v>0</v>
      </c>
      <c r="BI33" s="122">
        <f t="shared" si="17"/>
        <v>0</v>
      </c>
      <c r="BL33" s="122">
        <f t="shared" si="18"/>
        <v>0</v>
      </c>
      <c r="BO33" s="122">
        <f t="shared" si="19"/>
        <v>0</v>
      </c>
      <c r="BR33" s="122">
        <f t="shared" si="20"/>
        <v>0</v>
      </c>
      <c r="BU33" s="122">
        <f t="shared" si="21"/>
        <v>0</v>
      </c>
      <c r="BX33" s="122">
        <f t="shared" si="22"/>
        <v>0</v>
      </c>
      <c r="CA33" s="122">
        <f t="shared" si="23"/>
        <v>0</v>
      </c>
      <c r="CD33" s="122">
        <f t="shared" si="24"/>
        <v>0</v>
      </c>
      <c r="CG33" s="122">
        <f t="shared" si="25"/>
        <v>0</v>
      </c>
      <c r="CJ33" s="122">
        <f t="shared" si="26"/>
        <v>0</v>
      </c>
      <c r="CM33" s="122">
        <f t="shared" si="27"/>
        <v>0</v>
      </c>
      <c r="CP33" s="122">
        <f t="shared" si="28"/>
        <v>0</v>
      </c>
      <c r="CS33" s="122">
        <f t="shared" si="29"/>
        <v>0</v>
      </c>
      <c r="CV33" s="122">
        <f t="shared" si="30"/>
        <v>0</v>
      </c>
      <c r="CY33" s="122">
        <f t="shared" si="31"/>
        <v>0</v>
      </c>
      <c r="DB33" s="122">
        <f t="shared" si="32"/>
        <v>0</v>
      </c>
      <c r="DE33" s="122">
        <f t="shared" si="33"/>
        <v>0</v>
      </c>
      <c r="DH33" s="122">
        <f t="shared" si="34"/>
        <v>0</v>
      </c>
      <c r="DK33" s="122">
        <f t="shared" si="35"/>
        <v>0</v>
      </c>
      <c r="DN33" s="122">
        <f t="shared" si="36"/>
        <v>0</v>
      </c>
      <c r="DQ33" s="122">
        <f t="shared" si="37"/>
        <v>0</v>
      </c>
      <c r="DT33" s="122">
        <f t="shared" si="38"/>
        <v>0</v>
      </c>
      <c r="DW33" s="122">
        <f t="shared" si="39"/>
        <v>0</v>
      </c>
      <c r="DZ33" s="122"/>
      <c r="EA33" s="122"/>
      <c r="EB33" s="157">
        <f t="shared" si="40"/>
        <v>103150000</v>
      </c>
      <c r="EC33" s="157">
        <f t="shared" si="41"/>
        <v>0</v>
      </c>
      <c r="ED33" s="122">
        <f t="shared" si="42"/>
        <v>7716.2361111111113</v>
      </c>
      <c r="EE33" s="123">
        <f t="shared" si="43"/>
        <v>2.6930150266602036E-2</v>
      </c>
      <c r="EG33" s="157">
        <f t="shared" si="44"/>
        <v>0</v>
      </c>
      <c r="EH33" s="122">
        <f t="shared" si="45"/>
        <v>0</v>
      </c>
      <c r="EI33" s="123">
        <f t="shared" si="46"/>
        <v>0</v>
      </c>
      <c r="EJ33" s="123"/>
      <c r="EK33" s="157">
        <f t="shared" si="47"/>
        <v>103150000</v>
      </c>
      <c r="EL33" s="157">
        <f t="shared" si="48"/>
        <v>0</v>
      </c>
      <c r="EM33" s="157">
        <f t="shared" si="49"/>
        <v>7716.2361111111113</v>
      </c>
      <c r="EN33" s="123">
        <f t="shared" si="50"/>
        <v>2.6930150266602036E-2</v>
      </c>
    </row>
    <row r="34" spans="1:144" x14ac:dyDescent="0.25">
      <c r="A34" s="66">
        <f t="shared" si="51"/>
        <v>43609</v>
      </c>
      <c r="B34" s="122">
        <v>0</v>
      </c>
      <c r="C34" s="123">
        <v>2.748743E-2</v>
      </c>
      <c r="D34" s="122">
        <f t="shared" si="0"/>
        <v>0</v>
      </c>
      <c r="G34" s="122">
        <f t="shared" si="1"/>
        <v>0</v>
      </c>
      <c r="J34" s="122">
        <f t="shared" si="2"/>
        <v>0</v>
      </c>
      <c r="M34" s="122">
        <f t="shared" si="3"/>
        <v>0</v>
      </c>
      <c r="P34" s="122">
        <f t="shared" si="4"/>
        <v>0</v>
      </c>
      <c r="S34" s="122">
        <f t="shared" si="5"/>
        <v>0</v>
      </c>
      <c r="V34" s="122">
        <f t="shared" si="6"/>
        <v>0</v>
      </c>
      <c r="Y34" s="122">
        <f t="shared" si="7"/>
        <v>0</v>
      </c>
      <c r="AB34" s="122">
        <f t="shared" si="8"/>
        <v>0</v>
      </c>
      <c r="AE34" s="122">
        <v>0</v>
      </c>
      <c r="AH34" s="122">
        <v>0</v>
      </c>
      <c r="AI34" s="155">
        <f>55750000</f>
        <v>55750000</v>
      </c>
      <c r="AJ34" s="156">
        <v>2.63E-2</v>
      </c>
      <c r="AK34" s="122">
        <f t="shared" si="9"/>
        <v>4072.8472222222222</v>
      </c>
      <c r="AL34" s="155">
        <f t="shared" si="52"/>
        <v>25000000</v>
      </c>
      <c r="AM34" s="156">
        <v>2.75E-2</v>
      </c>
      <c r="AN34" s="122">
        <f t="shared" si="10"/>
        <v>1909.7222222222222</v>
      </c>
      <c r="AO34" s="155">
        <f t="shared" si="53"/>
        <v>25000000</v>
      </c>
      <c r="AP34" s="156">
        <v>2.7699999999999999E-2</v>
      </c>
      <c r="AQ34" s="122">
        <f t="shared" si="11"/>
        <v>1923.6111111111111</v>
      </c>
      <c r="AT34" s="122">
        <f t="shared" si="12"/>
        <v>0</v>
      </c>
      <c r="AW34" s="122">
        <f t="shared" si="13"/>
        <v>0</v>
      </c>
      <c r="AZ34" s="122">
        <f t="shared" si="14"/>
        <v>0</v>
      </c>
      <c r="BC34" s="122">
        <f t="shared" si="15"/>
        <v>0</v>
      </c>
      <c r="BF34" s="122">
        <f t="shared" si="16"/>
        <v>0</v>
      </c>
      <c r="BI34" s="122">
        <f t="shared" si="17"/>
        <v>0</v>
      </c>
      <c r="BL34" s="122">
        <f t="shared" si="18"/>
        <v>0</v>
      </c>
      <c r="BO34" s="122">
        <f t="shared" si="19"/>
        <v>0</v>
      </c>
      <c r="BR34" s="122">
        <f t="shared" si="20"/>
        <v>0</v>
      </c>
      <c r="BU34" s="122">
        <f t="shared" si="21"/>
        <v>0</v>
      </c>
      <c r="BX34" s="122">
        <f t="shared" si="22"/>
        <v>0</v>
      </c>
      <c r="CA34" s="122">
        <f t="shared" si="23"/>
        <v>0</v>
      </c>
      <c r="CD34" s="122">
        <f t="shared" si="24"/>
        <v>0</v>
      </c>
      <c r="CG34" s="122">
        <f t="shared" si="25"/>
        <v>0</v>
      </c>
      <c r="CJ34" s="122">
        <f t="shared" si="26"/>
        <v>0</v>
      </c>
      <c r="CM34" s="122">
        <f t="shared" si="27"/>
        <v>0</v>
      </c>
      <c r="CP34" s="122">
        <f t="shared" si="28"/>
        <v>0</v>
      </c>
      <c r="CS34" s="122">
        <f t="shared" si="29"/>
        <v>0</v>
      </c>
      <c r="CV34" s="122">
        <f t="shared" si="30"/>
        <v>0</v>
      </c>
      <c r="CY34" s="122">
        <f t="shared" si="31"/>
        <v>0</v>
      </c>
      <c r="DB34" s="122">
        <f t="shared" si="32"/>
        <v>0</v>
      </c>
      <c r="DE34" s="122">
        <f t="shared" si="33"/>
        <v>0</v>
      </c>
      <c r="DH34" s="122">
        <f t="shared" si="34"/>
        <v>0</v>
      </c>
      <c r="DK34" s="122">
        <f t="shared" si="35"/>
        <v>0</v>
      </c>
      <c r="DN34" s="122">
        <f t="shared" si="36"/>
        <v>0</v>
      </c>
      <c r="DQ34" s="122">
        <f t="shared" si="37"/>
        <v>0</v>
      </c>
      <c r="DT34" s="122">
        <f t="shared" si="38"/>
        <v>0</v>
      </c>
      <c r="DW34" s="122">
        <f t="shared" si="39"/>
        <v>0</v>
      </c>
      <c r="DZ34" s="122"/>
      <c r="EA34" s="122"/>
      <c r="EB34" s="157">
        <f t="shared" si="40"/>
        <v>105750000</v>
      </c>
      <c r="EC34" s="157">
        <f t="shared" si="41"/>
        <v>0</v>
      </c>
      <c r="ED34" s="122">
        <f t="shared" si="42"/>
        <v>7906.1805555555557</v>
      </c>
      <c r="EE34" s="123">
        <f t="shared" si="43"/>
        <v>2.6914657210401892E-2</v>
      </c>
      <c r="EG34" s="157">
        <f t="shared" si="44"/>
        <v>0</v>
      </c>
      <c r="EH34" s="122">
        <f t="shared" si="45"/>
        <v>0</v>
      </c>
      <c r="EI34" s="123">
        <f t="shared" si="46"/>
        <v>0</v>
      </c>
      <c r="EJ34" s="123"/>
      <c r="EK34" s="157">
        <f t="shared" si="47"/>
        <v>105750000</v>
      </c>
      <c r="EL34" s="157">
        <f t="shared" si="48"/>
        <v>0</v>
      </c>
      <c r="EM34" s="157">
        <f t="shared" si="49"/>
        <v>7906.1805555555547</v>
      </c>
      <c r="EN34" s="123">
        <f t="shared" si="50"/>
        <v>2.6914657210401888E-2</v>
      </c>
    </row>
    <row r="35" spans="1:144" x14ac:dyDescent="0.25">
      <c r="A35" s="66">
        <f t="shared" si="51"/>
        <v>43610</v>
      </c>
      <c r="B35" s="122">
        <v>0</v>
      </c>
      <c r="C35" s="123">
        <v>2.748743E-2</v>
      </c>
      <c r="D35" s="122">
        <f t="shared" si="0"/>
        <v>0</v>
      </c>
      <c r="G35" s="122">
        <f t="shared" si="1"/>
        <v>0</v>
      </c>
      <c r="J35" s="122">
        <f t="shared" si="2"/>
        <v>0</v>
      </c>
      <c r="M35" s="122">
        <f t="shared" si="3"/>
        <v>0</v>
      </c>
      <c r="P35" s="122">
        <f t="shared" si="4"/>
        <v>0</v>
      </c>
      <c r="S35" s="122">
        <f t="shared" si="5"/>
        <v>0</v>
      </c>
      <c r="V35" s="122">
        <f t="shared" si="6"/>
        <v>0</v>
      </c>
      <c r="Y35" s="122">
        <f t="shared" si="7"/>
        <v>0</v>
      </c>
      <c r="AB35" s="122">
        <f t="shared" si="8"/>
        <v>0</v>
      </c>
      <c r="AE35" s="122">
        <v>0</v>
      </c>
      <c r="AH35" s="122">
        <v>0</v>
      </c>
      <c r="AI35" s="155">
        <f>55750000</f>
        <v>55750000</v>
      </c>
      <c r="AJ35" s="156">
        <v>2.63E-2</v>
      </c>
      <c r="AK35" s="122">
        <f t="shared" si="9"/>
        <v>4072.8472222222222</v>
      </c>
      <c r="AL35" s="155">
        <f t="shared" si="52"/>
        <v>25000000</v>
      </c>
      <c r="AM35" s="156">
        <v>2.75E-2</v>
      </c>
      <c r="AN35" s="122">
        <f t="shared" si="10"/>
        <v>1909.7222222222222</v>
      </c>
      <c r="AO35" s="155">
        <f t="shared" si="53"/>
        <v>25000000</v>
      </c>
      <c r="AP35" s="156">
        <v>2.7699999999999999E-2</v>
      </c>
      <c r="AQ35" s="122">
        <f t="shared" si="11"/>
        <v>1923.6111111111111</v>
      </c>
      <c r="AT35" s="122">
        <f t="shared" si="12"/>
        <v>0</v>
      </c>
      <c r="AW35" s="122">
        <f t="shared" si="13"/>
        <v>0</v>
      </c>
      <c r="AZ35" s="122">
        <f t="shared" si="14"/>
        <v>0</v>
      </c>
      <c r="BC35" s="122">
        <f t="shared" si="15"/>
        <v>0</v>
      </c>
      <c r="BF35" s="122">
        <f t="shared" si="16"/>
        <v>0</v>
      </c>
      <c r="BI35" s="122">
        <f t="shared" si="17"/>
        <v>0</v>
      </c>
      <c r="BL35" s="122">
        <f t="shared" si="18"/>
        <v>0</v>
      </c>
      <c r="BO35" s="122">
        <f t="shared" si="19"/>
        <v>0</v>
      </c>
      <c r="BR35" s="122">
        <f t="shared" si="20"/>
        <v>0</v>
      </c>
      <c r="BU35" s="122">
        <f t="shared" si="21"/>
        <v>0</v>
      </c>
      <c r="BX35" s="122">
        <f t="shared" si="22"/>
        <v>0</v>
      </c>
      <c r="CA35" s="122">
        <f t="shared" si="23"/>
        <v>0</v>
      </c>
      <c r="CD35" s="122">
        <f t="shared" si="24"/>
        <v>0</v>
      </c>
      <c r="CG35" s="122">
        <f t="shared" si="25"/>
        <v>0</v>
      </c>
      <c r="CJ35" s="122">
        <f t="shared" si="26"/>
        <v>0</v>
      </c>
      <c r="CM35" s="122">
        <f t="shared" si="27"/>
        <v>0</v>
      </c>
      <c r="CP35" s="122">
        <f t="shared" si="28"/>
        <v>0</v>
      </c>
      <c r="CS35" s="122">
        <f t="shared" si="29"/>
        <v>0</v>
      </c>
      <c r="CV35" s="122">
        <f t="shared" si="30"/>
        <v>0</v>
      </c>
      <c r="CY35" s="122">
        <f t="shared" si="31"/>
        <v>0</v>
      </c>
      <c r="DB35" s="122">
        <f t="shared" si="32"/>
        <v>0</v>
      </c>
      <c r="DE35" s="122">
        <f t="shared" si="33"/>
        <v>0</v>
      </c>
      <c r="DH35" s="122">
        <f t="shared" si="34"/>
        <v>0</v>
      </c>
      <c r="DK35" s="122">
        <f t="shared" si="35"/>
        <v>0</v>
      </c>
      <c r="DN35" s="122">
        <f t="shared" si="36"/>
        <v>0</v>
      </c>
      <c r="DQ35" s="122">
        <f t="shared" si="37"/>
        <v>0</v>
      </c>
      <c r="DT35" s="122">
        <f t="shared" si="38"/>
        <v>0</v>
      </c>
      <c r="DW35" s="122">
        <f t="shared" si="39"/>
        <v>0</v>
      </c>
      <c r="DZ35" s="122"/>
      <c r="EA35" s="122"/>
      <c r="EB35" s="157">
        <f t="shared" si="40"/>
        <v>105750000</v>
      </c>
      <c r="EC35" s="157">
        <f t="shared" si="41"/>
        <v>0</v>
      </c>
      <c r="ED35" s="122">
        <f t="shared" si="42"/>
        <v>7906.1805555555557</v>
      </c>
      <c r="EE35" s="123">
        <f t="shared" si="43"/>
        <v>2.6914657210401892E-2</v>
      </c>
      <c r="EG35" s="157">
        <f t="shared" si="44"/>
        <v>0</v>
      </c>
      <c r="EH35" s="122">
        <f t="shared" si="45"/>
        <v>0</v>
      </c>
      <c r="EI35" s="123">
        <f t="shared" si="46"/>
        <v>0</v>
      </c>
      <c r="EJ35" s="123"/>
      <c r="EK35" s="157">
        <f t="shared" si="47"/>
        <v>105750000</v>
      </c>
      <c r="EL35" s="157">
        <f t="shared" si="48"/>
        <v>0</v>
      </c>
      <c r="EM35" s="157">
        <f t="shared" si="49"/>
        <v>7906.1805555555547</v>
      </c>
      <c r="EN35" s="123">
        <f t="shared" si="50"/>
        <v>2.6914657210401888E-2</v>
      </c>
    </row>
    <row r="36" spans="1:144" x14ac:dyDescent="0.25">
      <c r="A36" s="66">
        <f t="shared" si="51"/>
        <v>43611</v>
      </c>
      <c r="B36" s="122">
        <v>0</v>
      </c>
      <c r="C36" s="123">
        <v>2.748743E-2</v>
      </c>
      <c r="D36" s="122">
        <f t="shared" si="0"/>
        <v>0</v>
      </c>
      <c r="G36" s="122">
        <f t="shared" si="1"/>
        <v>0</v>
      </c>
      <c r="J36" s="122">
        <f t="shared" si="2"/>
        <v>0</v>
      </c>
      <c r="M36" s="122">
        <f t="shared" si="3"/>
        <v>0</v>
      </c>
      <c r="P36" s="122">
        <f t="shared" si="4"/>
        <v>0</v>
      </c>
      <c r="S36" s="122">
        <f t="shared" si="5"/>
        <v>0</v>
      </c>
      <c r="V36" s="122">
        <f t="shared" si="6"/>
        <v>0</v>
      </c>
      <c r="Y36" s="122">
        <f t="shared" si="7"/>
        <v>0</v>
      </c>
      <c r="AB36" s="122">
        <f t="shared" si="8"/>
        <v>0</v>
      </c>
      <c r="AE36" s="122">
        <v>0</v>
      </c>
      <c r="AH36" s="122">
        <v>0</v>
      </c>
      <c r="AI36" s="155">
        <f>55750000</f>
        <v>55750000</v>
      </c>
      <c r="AJ36" s="156">
        <v>2.63E-2</v>
      </c>
      <c r="AK36" s="122">
        <f t="shared" si="9"/>
        <v>4072.8472222222222</v>
      </c>
      <c r="AL36" s="155">
        <f t="shared" si="52"/>
        <v>25000000</v>
      </c>
      <c r="AM36" s="156">
        <v>2.75E-2</v>
      </c>
      <c r="AN36" s="122">
        <f t="shared" si="10"/>
        <v>1909.7222222222222</v>
      </c>
      <c r="AO36" s="155">
        <f t="shared" si="53"/>
        <v>25000000</v>
      </c>
      <c r="AP36" s="156">
        <v>2.7699999999999999E-2</v>
      </c>
      <c r="AQ36" s="122">
        <f t="shared" si="11"/>
        <v>1923.6111111111111</v>
      </c>
      <c r="AT36" s="122">
        <f t="shared" si="12"/>
        <v>0</v>
      </c>
      <c r="AW36" s="122">
        <f t="shared" si="13"/>
        <v>0</v>
      </c>
      <c r="AZ36" s="122">
        <f t="shared" si="14"/>
        <v>0</v>
      </c>
      <c r="BC36" s="122">
        <f t="shared" si="15"/>
        <v>0</v>
      </c>
      <c r="BF36" s="122">
        <f t="shared" si="16"/>
        <v>0</v>
      </c>
      <c r="BI36" s="122">
        <f t="shared" si="17"/>
        <v>0</v>
      </c>
      <c r="BL36" s="122">
        <f t="shared" si="18"/>
        <v>0</v>
      </c>
      <c r="BO36" s="122">
        <f t="shared" si="19"/>
        <v>0</v>
      </c>
      <c r="BR36" s="122">
        <f t="shared" si="20"/>
        <v>0</v>
      </c>
      <c r="BU36" s="122">
        <f t="shared" si="21"/>
        <v>0</v>
      </c>
      <c r="BX36" s="122">
        <f t="shared" si="22"/>
        <v>0</v>
      </c>
      <c r="CA36" s="122">
        <f t="shared" si="23"/>
        <v>0</v>
      </c>
      <c r="CD36" s="122">
        <f t="shared" si="24"/>
        <v>0</v>
      </c>
      <c r="CG36" s="122">
        <f t="shared" si="25"/>
        <v>0</v>
      </c>
      <c r="CJ36" s="122">
        <f t="shared" si="26"/>
        <v>0</v>
      </c>
      <c r="CM36" s="122">
        <f t="shared" si="27"/>
        <v>0</v>
      </c>
      <c r="CP36" s="122">
        <f t="shared" si="28"/>
        <v>0</v>
      </c>
      <c r="CS36" s="122">
        <f t="shared" si="29"/>
        <v>0</v>
      </c>
      <c r="CV36" s="122">
        <f t="shared" si="30"/>
        <v>0</v>
      </c>
      <c r="CY36" s="122">
        <f t="shared" si="31"/>
        <v>0</v>
      </c>
      <c r="DB36" s="122">
        <f t="shared" si="32"/>
        <v>0</v>
      </c>
      <c r="DE36" s="122">
        <f t="shared" si="33"/>
        <v>0</v>
      </c>
      <c r="DH36" s="122">
        <f t="shared" si="34"/>
        <v>0</v>
      </c>
      <c r="DK36" s="122">
        <f t="shared" si="35"/>
        <v>0</v>
      </c>
      <c r="DN36" s="122">
        <f t="shared" si="36"/>
        <v>0</v>
      </c>
      <c r="DQ36" s="122">
        <f t="shared" si="37"/>
        <v>0</v>
      </c>
      <c r="DT36" s="122">
        <f t="shared" si="38"/>
        <v>0</v>
      </c>
      <c r="DW36" s="122">
        <f t="shared" si="39"/>
        <v>0</v>
      </c>
      <c r="DZ36" s="122"/>
      <c r="EA36" s="122"/>
      <c r="EB36" s="157">
        <f t="shared" si="40"/>
        <v>105750000</v>
      </c>
      <c r="EC36" s="157">
        <f t="shared" si="41"/>
        <v>0</v>
      </c>
      <c r="ED36" s="122">
        <f t="shared" si="42"/>
        <v>7906.1805555555557</v>
      </c>
      <c r="EE36" s="123">
        <f t="shared" si="43"/>
        <v>2.6914657210401892E-2</v>
      </c>
      <c r="EG36" s="157">
        <f t="shared" si="44"/>
        <v>0</v>
      </c>
      <c r="EH36" s="122">
        <f t="shared" si="45"/>
        <v>0</v>
      </c>
      <c r="EI36" s="123">
        <f t="shared" si="46"/>
        <v>0</v>
      </c>
      <c r="EJ36" s="123"/>
      <c r="EK36" s="157">
        <f t="shared" si="47"/>
        <v>105750000</v>
      </c>
      <c r="EL36" s="157">
        <f t="shared" si="48"/>
        <v>0</v>
      </c>
      <c r="EM36" s="157">
        <f t="shared" si="49"/>
        <v>7906.1805555555547</v>
      </c>
      <c r="EN36" s="123">
        <f t="shared" si="50"/>
        <v>2.6914657210401888E-2</v>
      </c>
    </row>
    <row r="37" spans="1:144" x14ac:dyDescent="0.25">
      <c r="A37" s="66">
        <f t="shared" si="51"/>
        <v>43612</v>
      </c>
      <c r="B37" s="122">
        <v>0</v>
      </c>
      <c r="C37" s="123">
        <v>2.748743E-2</v>
      </c>
      <c r="D37" s="122">
        <f t="shared" si="0"/>
        <v>0</v>
      </c>
      <c r="G37" s="122">
        <f t="shared" si="1"/>
        <v>0</v>
      </c>
      <c r="J37" s="122">
        <f t="shared" si="2"/>
        <v>0</v>
      </c>
      <c r="M37" s="122">
        <f t="shared" si="3"/>
        <v>0</v>
      </c>
      <c r="P37" s="122">
        <f t="shared" si="4"/>
        <v>0</v>
      </c>
      <c r="S37" s="122">
        <f t="shared" si="5"/>
        <v>0</v>
      </c>
      <c r="V37" s="122">
        <f t="shared" si="6"/>
        <v>0</v>
      </c>
      <c r="Y37" s="122">
        <f t="shared" si="7"/>
        <v>0</v>
      </c>
      <c r="AB37" s="122">
        <f t="shared" si="8"/>
        <v>0</v>
      </c>
      <c r="AE37" s="122">
        <v>0</v>
      </c>
      <c r="AH37" s="122">
        <v>0</v>
      </c>
      <c r="AI37" s="155">
        <f>55750000</f>
        <v>55750000</v>
      </c>
      <c r="AJ37" s="156">
        <v>2.63E-2</v>
      </c>
      <c r="AK37" s="122">
        <f t="shared" si="9"/>
        <v>4072.8472222222222</v>
      </c>
      <c r="AL37" s="155">
        <f t="shared" si="52"/>
        <v>25000000</v>
      </c>
      <c r="AM37" s="156">
        <v>2.75E-2</v>
      </c>
      <c r="AN37" s="122">
        <f t="shared" si="10"/>
        <v>1909.7222222222222</v>
      </c>
      <c r="AO37" s="155">
        <f t="shared" si="53"/>
        <v>25000000</v>
      </c>
      <c r="AP37" s="156">
        <v>2.7699999999999999E-2</v>
      </c>
      <c r="AQ37" s="122">
        <f t="shared" si="11"/>
        <v>1923.6111111111111</v>
      </c>
      <c r="AT37" s="122">
        <f t="shared" si="12"/>
        <v>0</v>
      </c>
      <c r="AW37" s="122">
        <f t="shared" si="13"/>
        <v>0</v>
      </c>
      <c r="AZ37" s="122">
        <f t="shared" si="14"/>
        <v>0</v>
      </c>
      <c r="BC37" s="122">
        <f t="shared" si="15"/>
        <v>0</v>
      </c>
      <c r="BF37" s="122">
        <f t="shared" si="16"/>
        <v>0</v>
      </c>
      <c r="BI37" s="122">
        <f t="shared" si="17"/>
        <v>0</v>
      </c>
      <c r="BL37" s="122">
        <f t="shared" si="18"/>
        <v>0</v>
      </c>
      <c r="BO37" s="122">
        <f t="shared" si="19"/>
        <v>0</v>
      </c>
      <c r="BR37" s="122">
        <f t="shared" si="20"/>
        <v>0</v>
      </c>
      <c r="BU37" s="122">
        <f t="shared" si="21"/>
        <v>0</v>
      </c>
      <c r="BX37" s="122">
        <f t="shared" si="22"/>
        <v>0</v>
      </c>
      <c r="CA37" s="122">
        <f t="shared" si="23"/>
        <v>0</v>
      </c>
      <c r="CD37" s="122">
        <f t="shared" si="24"/>
        <v>0</v>
      </c>
      <c r="CG37" s="122">
        <f t="shared" si="25"/>
        <v>0</v>
      </c>
      <c r="CJ37" s="122">
        <f t="shared" si="26"/>
        <v>0</v>
      </c>
      <c r="CM37" s="122">
        <f t="shared" si="27"/>
        <v>0</v>
      </c>
      <c r="CP37" s="122">
        <f t="shared" si="28"/>
        <v>0</v>
      </c>
      <c r="CS37" s="122">
        <f t="shared" si="29"/>
        <v>0</v>
      </c>
      <c r="CV37" s="122">
        <f t="shared" si="30"/>
        <v>0</v>
      </c>
      <c r="CY37" s="122">
        <f t="shared" si="31"/>
        <v>0</v>
      </c>
      <c r="DB37" s="122">
        <f t="shared" si="32"/>
        <v>0</v>
      </c>
      <c r="DE37" s="122">
        <f t="shared" si="33"/>
        <v>0</v>
      </c>
      <c r="DH37" s="122">
        <f t="shared" si="34"/>
        <v>0</v>
      </c>
      <c r="DK37" s="122">
        <f t="shared" si="35"/>
        <v>0</v>
      </c>
      <c r="DN37" s="122">
        <f t="shared" si="36"/>
        <v>0</v>
      </c>
      <c r="DQ37" s="122">
        <f t="shared" si="37"/>
        <v>0</v>
      </c>
      <c r="DT37" s="122">
        <f t="shared" si="38"/>
        <v>0</v>
      </c>
      <c r="DW37" s="122">
        <f t="shared" si="39"/>
        <v>0</v>
      </c>
      <c r="DZ37" s="122"/>
      <c r="EA37" s="122"/>
      <c r="EB37" s="157">
        <f t="shared" si="40"/>
        <v>105750000</v>
      </c>
      <c r="EC37" s="157">
        <f t="shared" si="41"/>
        <v>0</v>
      </c>
      <c r="ED37" s="122">
        <f t="shared" si="42"/>
        <v>7906.1805555555557</v>
      </c>
      <c r="EE37" s="123">
        <f t="shared" si="43"/>
        <v>2.6914657210401892E-2</v>
      </c>
      <c r="EG37" s="157">
        <f t="shared" si="44"/>
        <v>0</v>
      </c>
      <c r="EH37" s="122">
        <f t="shared" si="45"/>
        <v>0</v>
      </c>
      <c r="EI37" s="123">
        <f t="shared" si="46"/>
        <v>0</v>
      </c>
      <c r="EJ37" s="123"/>
      <c r="EK37" s="157">
        <f t="shared" si="47"/>
        <v>105750000</v>
      </c>
      <c r="EL37" s="157">
        <f t="shared" si="48"/>
        <v>0</v>
      </c>
      <c r="EM37" s="157">
        <f t="shared" si="49"/>
        <v>7906.1805555555547</v>
      </c>
      <c r="EN37" s="123">
        <f t="shared" si="50"/>
        <v>2.6914657210401888E-2</v>
      </c>
    </row>
    <row r="38" spans="1:144" x14ac:dyDescent="0.25">
      <c r="A38" s="66">
        <f t="shared" si="51"/>
        <v>43613</v>
      </c>
      <c r="B38" s="122">
        <v>0</v>
      </c>
      <c r="C38" s="123">
        <v>2.7457850000000002E-2</v>
      </c>
      <c r="D38" s="122">
        <f t="shared" si="0"/>
        <v>0</v>
      </c>
      <c r="G38" s="122">
        <f t="shared" si="1"/>
        <v>0</v>
      </c>
      <c r="J38" s="122">
        <f t="shared" si="2"/>
        <v>0</v>
      </c>
      <c r="M38" s="122">
        <f t="shared" si="3"/>
        <v>0</v>
      </c>
      <c r="P38" s="122">
        <f t="shared" si="4"/>
        <v>0</v>
      </c>
      <c r="S38" s="122">
        <f t="shared" si="5"/>
        <v>0</v>
      </c>
      <c r="V38" s="122">
        <f t="shared" si="6"/>
        <v>0</v>
      </c>
      <c r="Y38" s="122">
        <f t="shared" si="7"/>
        <v>0</v>
      </c>
      <c r="AB38" s="122">
        <f t="shared" si="8"/>
        <v>0</v>
      </c>
      <c r="AE38" s="122">
        <v>0</v>
      </c>
      <c r="AH38" s="122">
        <v>0</v>
      </c>
      <c r="AI38" s="155">
        <f>81375000</f>
        <v>81375000</v>
      </c>
      <c r="AJ38" s="156">
        <v>2.5999999999999999E-2</v>
      </c>
      <c r="AK38" s="122">
        <f t="shared" si="9"/>
        <v>5877.083333333333</v>
      </c>
      <c r="AL38" s="155">
        <f t="shared" si="52"/>
        <v>25000000</v>
      </c>
      <c r="AM38" s="156">
        <v>2.75E-2</v>
      </c>
      <c r="AN38" s="122">
        <f t="shared" si="10"/>
        <v>1909.7222222222222</v>
      </c>
      <c r="AO38" s="155">
        <f t="shared" si="53"/>
        <v>25000000</v>
      </c>
      <c r="AP38" s="156">
        <v>2.7699999999999999E-2</v>
      </c>
      <c r="AQ38" s="122">
        <f t="shared" si="11"/>
        <v>1923.6111111111111</v>
      </c>
      <c r="AT38" s="122">
        <f t="shared" si="12"/>
        <v>0</v>
      </c>
      <c r="AW38" s="122">
        <f t="shared" si="13"/>
        <v>0</v>
      </c>
      <c r="AZ38" s="122">
        <f t="shared" si="14"/>
        <v>0</v>
      </c>
      <c r="BC38" s="122">
        <f t="shared" si="15"/>
        <v>0</v>
      </c>
      <c r="BF38" s="122">
        <f t="shared" si="16"/>
        <v>0</v>
      </c>
      <c r="BI38" s="122">
        <f t="shared" si="17"/>
        <v>0</v>
      </c>
      <c r="BL38" s="122">
        <f t="shared" si="18"/>
        <v>0</v>
      </c>
      <c r="BO38" s="122">
        <f t="shared" si="19"/>
        <v>0</v>
      </c>
      <c r="BR38" s="122">
        <f t="shared" si="20"/>
        <v>0</v>
      </c>
      <c r="BU38" s="122">
        <f t="shared" si="21"/>
        <v>0</v>
      </c>
      <c r="BX38" s="122">
        <f t="shared" si="22"/>
        <v>0</v>
      </c>
      <c r="CA38" s="122">
        <f t="shared" si="23"/>
        <v>0</v>
      </c>
      <c r="CD38" s="122">
        <f t="shared" si="24"/>
        <v>0</v>
      </c>
      <c r="CG38" s="122">
        <f t="shared" si="25"/>
        <v>0</v>
      </c>
      <c r="CJ38" s="122">
        <f t="shared" si="26"/>
        <v>0</v>
      </c>
      <c r="CM38" s="122">
        <f t="shared" si="27"/>
        <v>0</v>
      </c>
      <c r="CP38" s="122">
        <f t="shared" si="28"/>
        <v>0</v>
      </c>
      <c r="CS38" s="122">
        <f t="shared" si="29"/>
        <v>0</v>
      </c>
      <c r="CV38" s="122">
        <f t="shared" si="30"/>
        <v>0</v>
      </c>
      <c r="CY38" s="122">
        <f t="shared" si="31"/>
        <v>0</v>
      </c>
      <c r="DB38" s="122">
        <f t="shared" si="32"/>
        <v>0</v>
      </c>
      <c r="DE38" s="122">
        <f t="shared" si="33"/>
        <v>0</v>
      </c>
      <c r="DH38" s="122">
        <f t="shared" si="34"/>
        <v>0</v>
      </c>
      <c r="DK38" s="122">
        <f t="shared" si="35"/>
        <v>0</v>
      </c>
      <c r="DN38" s="122">
        <f t="shared" si="36"/>
        <v>0</v>
      </c>
      <c r="DQ38" s="122">
        <f t="shared" si="37"/>
        <v>0</v>
      </c>
      <c r="DT38" s="122">
        <f t="shared" si="38"/>
        <v>0</v>
      </c>
      <c r="DW38" s="122">
        <f t="shared" si="39"/>
        <v>0</v>
      </c>
      <c r="DZ38" s="122"/>
      <c r="EA38" s="122"/>
      <c r="EB38" s="157">
        <f t="shared" si="40"/>
        <v>131375000</v>
      </c>
      <c r="EC38" s="157">
        <f t="shared" si="41"/>
        <v>0</v>
      </c>
      <c r="ED38" s="122">
        <f t="shared" si="42"/>
        <v>9710.4166666666661</v>
      </c>
      <c r="EE38" s="123">
        <f t="shared" si="43"/>
        <v>2.6608943862987629E-2</v>
      </c>
      <c r="EG38" s="157">
        <f t="shared" si="44"/>
        <v>0</v>
      </c>
      <c r="EH38" s="122">
        <f t="shared" si="45"/>
        <v>0</v>
      </c>
      <c r="EI38" s="123">
        <f t="shared" si="46"/>
        <v>0</v>
      </c>
      <c r="EJ38" s="123"/>
      <c r="EK38" s="157">
        <f t="shared" si="47"/>
        <v>131375000</v>
      </c>
      <c r="EL38" s="157">
        <f t="shared" si="48"/>
        <v>0</v>
      </c>
      <c r="EM38" s="157">
        <f t="shared" si="49"/>
        <v>9710.4166666666661</v>
      </c>
      <c r="EN38" s="123">
        <f t="shared" si="50"/>
        <v>2.6608943862987629E-2</v>
      </c>
    </row>
    <row r="39" spans="1:144" x14ac:dyDescent="0.25">
      <c r="A39" s="66">
        <f t="shared" si="51"/>
        <v>43614</v>
      </c>
      <c r="B39" s="122">
        <v>0</v>
      </c>
      <c r="C39" s="123">
        <v>2.7462799999999999E-2</v>
      </c>
      <c r="D39" s="122">
        <f t="shared" si="0"/>
        <v>0</v>
      </c>
      <c r="G39" s="122">
        <f t="shared" si="1"/>
        <v>0</v>
      </c>
      <c r="J39" s="122">
        <f t="shared" si="2"/>
        <v>0</v>
      </c>
      <c r="M39" s="122">
        <f t="shared" si="3"/>
        <v>0</v>
      </c>
      <c r="P39" s="122">
        <f t="shared" si="4"/>
        <v>0</v>
      </c>
      <c r="S39" s="122">
        <f t="shared" si="5"/>
        <v>0</v>
      </c>
      <c r="V39" s="122">
        <f t="shared" si="6"/>
        <v>0</v>
      </c>
      <c r="Y39" s="122">
        <f t="shared" si="7"/>
        <v>0</v>
      </c>
      <c r="AB39" s="122">
        <f t="shared" si="8"/>
        <v>0</v>
      </c>
      <c r="AE39" s="122">
        <v>0</v>
      </c>
      <c r="AH39" s="122">
        <v>0</v>
      </c>
      <c r="AI39" s="155">
        <f>79650000</f>
        <v>79650000</v>
      </c>
      <c r="AJ39" s="156">
        <v>2.5999999999999999E-2</v>
      </c>
      <c r="AK39" s="122">
        <f t="shared" si="9"/>
        <v>5752.5</v>
      </c>
      <c r="AL39" s="155">
        <f t="shared" si="52"/>
        <v>25000000</v>
      </c>
      <c r="AM39" s="156">
        <v>2.75E-2</v>
      </c>
      <c r="AN39" s="122">
        <f t="shared" si="10"/>
        <v>1909.7222222222222</v>
      </c>
      <c r="AO39" s="155">
        <f t="shared" si="53"/>
        <v>25000000</v>
      </c>
      <c r="AP39" s="156">
        <v>2.7699999999999999E-2</v>
      </c>
      <c r="AQ39" s="122">
        <f t="shared" si="11"/>
        <v>1923.6111111111111</v>
      </c>
      <c r="AT39" s="122">
        <f t="shared" si="12"/>
        <v>0</v>
      </c>
      <c r="AW39" s="122">
        <f t="shared" si="13"/>
        <v>0</v>
      </c>
      <c r="AZ39" s="122">
        <f t="shared" si="14"/>
        <v>0</v>
      </c>
      <c r="BC39" s="122">
        <f t="shared" si="15"/>
        <v>0</v>
      </c>
      <c r="BF39" s="122">
        <f t="shared" si="16"/>
        <v>0</v>
      </c>
      <c r="BI39" s="122">
        <f t="shared" si="17"/>
        <v>0</v>
      </c>
      <c r="BL39" s="122">
        <f t="shared" si="18"/>
        <v>0</v>
      </c>
      <c r="BO39" s="122">
        <f t="shared" si="19"/>
        <v>0</v>
      </c>
      <c r="BR39" s="122">
        <f t="shared" si="20"/>
        <v>0</v>
      </c>
      <c r="BU39" s="122">
        <f t="shared" si="21"/>
        <v>0</v>
      </c>
      <c r="BX39" s="122">
        <f t="shared" si="22"/>
        <v>0</v>
      </c>
      <c r="CA39" s="122">
        <f t="shared" si="23"/>
        <v>0</v>
      </c>
      <c r="CD39" s="122">
        <f t="shared" si="24"/>
        <v>0</v>
      </c>
      <c r="CG39" s="122">
        <f t="shared" si="25"/>
        <v>0</v>
      </c>
      <c r="CJ39" s="122">
        <f t="shared" si="26"/>
        <v>0</v>
      </c>
      <c r="CM39" s="122">
        <f t="shared" si="27"/>
        <v>0</v>
      </c>
      <c r="CP39" s="122">
        <f t="shared" si="28"/>
        <v>0</v>
      </c>
      <c r="CS39" s="122">
        <f t="shared" si="29"/>
        <v>0</v>
      </c>
      <c r="CV39" s="122">
        <f t="shared" si="30"/>
        <v>0</v>
      </c>
      <c r="CY39" s="122">
        <f t="shared" si="31"/>
        <v>0</v>
      </c>
      <c r="DB39" s="122">
        <f t="shared" si="32"/>
        <v>0</v>
      </c>
      <c r="DE39" s="122">
        <f t="shared" si="33"/>
        <v>0</v>
      </c>
      <c r="DH39" s="122">
        <f t="shared" si="34"/>
        <v>0</v>
      </c>
      <c r="DK39" s="122">
        <f t="shared" si="35"/>
        <v>0</v>
      </c>
      <c r="DN39" s="122">
        <f t="shared" si="36"/>
        <v>0</v>
      </c>
      <c r="DQ39" s="122">
        <f t="shared" si="37"/>
        <v>0</v>
      </c>
      <c r="DT39" s="122">
        <f t="shared" si="38"/>
        <v>0</v>
      </c>
      <c r="DW39" s="122">
        <f t="shared" si="39"/>
        <v>0</v>
      </c>
      <c r="DZ39" s="122"/>
      <c r="EA39" s="122"/>
      <c r="EB39" s="157">
        <f t="shared" si="40"/>
        <v>129650000</v>
      </c>
      <c r="EC39" s="157">
        <f t="shared" si="41"/>
        <v>0</v>
      </c>
      <c r="ED39" s="122">
        <f t="shared" si="42"/>
        <v>9585.8333333333339</v>
      </c>
      <c r="EE39" s="123">
        <f t="shared" si="43"/>
        <v>2.661704589278828E-2</v>
      </c>
      <c r="EG39" s="157">
        <f t="shared" si="44"/>
        <v>0</v>
      </c>
      <c r="EH39" s="122">
        <f t="shared" si="45"/>
        <v>0</v>
      </c>
      <c r="EI39" s="123">
        <f t="shared" si="46"/>
        <v>0</v>
      </c>
      <c r="EJ39" s="123"/>
      <c r="EK39" s="157">
        <f t="shared" si="47"/>
        <v>129650000</v>
      </c>
      <c r="EL39" s="157">
        <f t="shared" si="48"/>
        <v>0</v>
      </c>
      <c r="EM39" s="157">
        <f t="shared" si="49"/>
        <v>9585.8333333333321</v>
      </c>
      <c r="EN39" s="123">
        <f t="shared" si="50"/>
        <v>2.6617045892788273E-2</v>
      </c>
    </row>
    <row r="40" spans="1:144" x14ac:dyDescent="0.25">
      <c r="A40" s="66">
        <f t="shared" si="51"/>
        <v>43615</v>
      </c>
      <c r="B40" s="122">
        <v>0</v>
      </c>
      <c r="C40" s="123">
        <v>2.742876E-2</v>
      </c>
      <c r="D40" s="122">
        <f t="shared" si="0"/>
        <v>0</v>
      </c>
      <c r="G40" s="122">
        <f t="shared" si="1"/>
        <v>0</v>
      </c>
      <c r="J40" s="122">
        <f t="shared" si="2"/>
        <v>0</v>
      </c>
      <c r="M40" s="122">
        <f t="shared" si="3"/>
        <v>0</v>
      </c>
      <c r="P40" s="122">
        <f t="shared" si="4"/>
        <v>0</v>
      </c>
      <c r="S40" s="122">
        <f t="shared" si="5"/>
        <v>0</v>
      </c>
      <c r="V40" s="122">
        <f t="shared" si="6"/>
        <v>0</v>
      </c>
      <c r="Y40" s="122">
        <f t="shared" si="7"/>
        <v>0</v>
      </c>
      <c r="AB40" s="122">
        <f t="shared" si="8"/>
        <v>0</v>
      </c>
      <c r="AE40" s="122">
        <v>0</v>
      </c>
      <c r="AH40" s="122">
        <v>0</v>
      </c>
      <c r="AI40" s="155">
        <v>83575000</v>
      </c>
      <c r="AJ40" s="156">
        <v>2.5899999999999999E-2</v>
      </c>
      <c r="AK40" s="122">
        <f t="shared" si="9"/>
        <v>6012.7569444444443</v>
      </c>
      <c r="AL40" s="155">
        <f t="shared" si="52"/>
        <v>25000000</v>
      </c>
      <c r="AM40" s="156">
        <v>2.75E-2</v>
      </c>
      <c r="AN40" s="122">
        <f t="shared" si="10"/>
        <v>1909.7222222222222</v>
      </c>
      <c r="AO40" s="155">
        <f t="shared" si="53"/>
        <v>25000000</v>
      </c>
      <c r="AP40" s="156">
        <v>2.7699999999999999E-2</v>
      </c>
      <c r="AQ40" s="122">
        <f t="shared" si="11"/>
        <v>1923.6111111111111</v>
      </c>
      <c r="AT40" s="122">
        <f t="shared" si="12"/>
        <v>0</v>
      </c>
      <c r="AW40" s="122">
        <f t="shared" si="13"/>
        <v>0</v>
      </c>
      <c r="AZ40" s="122">
        <f t="shared" si="14"/>
        <v>0</v>
      </c>
      <c r="BC40" s="122">
        <f t="shared" si="15"/>
        <v>0</v>
      </c>
      <c r="BF40" s="122">
        <f t="shared" si="16"/>
        <v>0</v>
      </c>
      <c r="BI40" s="122">
        <f t="shared" si="17"/>
        <v>0</v>
      </c>
      <c r="BL40" s="122">
        <f t="shared" si="18"/>
        <v>0</v>
      </c>
      <c r="BO40" s="122">
        <f t="shared" si="19"/>
        <v>0</v>
      </c>
      <c r="BR40" s="122">
        <f t="shared" si="20"/>
        <v>0</v>
      </c>
      <c r="BU40" s="122">
        <f t="shared" si="21"/>
        <v>0</v>
      </c>
      <c r="BX40" s="122">
        <f t="shared" si="22"/>
        <v>0</v>
      </c>
      <c r="CA40" s="122">
        <f t="shared" si="23"/>
        <v>0</v>
      </c>
      <c r="CD40" s="122">
        <f t="shared" si="24"/>
        <v>0</v>
      </c>
      <c r="CG40" s="122">
        <f t="shared" si="25"/>
        <v>0</v>
      </c>
      <c r="CJ40" s="122">
        <f t="shared" si="26"/>
        <v>0</v>
      </c>
      <c r="CM40" s="122">
        <f t="shared" si="27"/>
        <v>0</v>
      </c>
      <c r="CP40" s="122">
        <f t="shared" si="28"/>
        <v>0</v>
      </c>
      <c r="CS40" s="122">
        <f t="shared" si="29"/>
        <v>0</v>
      </c>
      <c r="CV40" s="122">
        <f t="shared" si="30"/>
        <v>0</v>
      </c>
      <c r="CY40" s="122">
        <f t="shared" si="31"/>
        <v>0</v>
      </c>
      <c r="DB40" s="122">
        <f t="shared" si="32"/>
        <v>0</v>
      </c>
      <c r="DE40" s="122">
        <f t="shared" si="33"/>
        <v>0</v>
      </c>
      <c r="DH40" s="122">
        <f t="shared" si="34"/>
        <v>0</v>
      </c>
      <c r="DK40" s="122">
        <f t="shared" si="35"/>
        <v>0</v>
      </c>
      <c r="DN40" s="122">
        <f t="shared" si="36"/>
        <v>0</v>
      </c>
      <c r="DQ40" s="122">
        <f t="shared" si="37"/>
        <v>0</v>
      </c>
      <c r="DT40" s="122">
        <f t="shared" si="38"/>
        <v>0</v>
      </c>
      <c r="DW40" s="122">
        <f t="shared" si="39"/>
        <v>0</v>
      </c>
      <c r="DZ40" s="120"/>
      <c r="EA40" s="122"/>
      <c r="EB40" s="157">
        <f t="shared" si="40"/>
        <v>133575000</v>
      </c>
      <c r="EC40" s="157">
        <f t="shared" si="41"/>
        <v>0</v>
      </c>
      <c r="ED40" s="122">
        <f t="shared" si="42"/>
        <v>9846.0902777777774</v>
      </c>
      <c r="EE40" s="123">
        <f t="shared" si="43"/>
        <v>2.6536346621748079E-2</v>
      </c>
      <c r="EG40" s="157">
        <f t="shared" si="44"/>
        <v>0</v>
      </c>
      <c r="EH40" s="122">
        <f t="shared" si="45"/>
        <v>0</v>
      </c>
      <c r="EI40" s="123">
        <f t="shared" si="46"/>
        <v>0</v>
      </c>
      <c r="EJ40" s="123"/>
      <c r="EK40" s="157">
        <f t="shared" si="47"/>
        <v>133575000</v>
      </c>
      <c r="EL40" s="157">
        <f t="shared" si="48"/>
        <v>0</v>
      </c>
      <c r="EM40" s="157">
        <f t="shared" si="49"/>
        <v>9846.0902777777774</v>
      </c>
      <c r="EN40" s="123">
        <f t="shared" si="50"/>
        <v>2.6536346621748079E-2</v>
      </c>
    </row>
    <row r="41" spans="1:144" x14ac:dyDescent="0.25">
      <c r="A41" s="66">
        <f t="shared" si="51"/>
        <v>43616</v>
      </c>
      <c r="B41" s="122">
        <v>0</v>
      </c>
      <c r="C41" s="123">
        <v>2.7406239999999998E-2</v>
      </c>
      <c r="D41" s="122">
        <f t="shared" si="0"/>
        <v>0</v>
      </c>
      <c r="G41" s="122">
        <f t="shared" si="1"/>
        <v>0</v>
      </c>
      <c r="J41" s="122">
        <f t="shared" si="2"/>
        <v>0</v>
      </c>
      <c r="M41" s="122">
        <f t="shared" si="3"/>
        <v>0</v>
      </c>
      <c r="P41" s="122">
        <f t="shared" si="4"/>
        <v>0</v>
      </c>
      <c r="S41" s="122">
        <f t="shared" si="5"/>
        <v>0</v>
      </c>
      <c r="V41" s="122">
        <f t="shared" si="6"/>
        <v>0</v>
      </c>
      <c r="Y41" s="122">
        <f t="shared" si="7"/>
        <v>0</v>
      </c>
      <c r="AB41" s="122">
        <f t="shared" si="8"/>
        <v>0</v>
      </c>
      <c r="AE41" s="122">
        <v>0</v>
      </c>
      <c r="AH41" s="122">
        <v>0</v>
      </c>
      <c r="AI41" s="155">
        <f>96425000</f>
        <v>96425000</v>
      </c>
      <c r="AJ41" s="156">
        <v>2.5899999999999999E-2</v>
      </c>
      <c r="AK41" s="122">
        <f t="shared" si="9"/>
        <v>6937.2430555555557</v>
      </c>
      <c r="AL41" s="155">
        <f t="shared" si="52"/>
        <v>25000000</v>
      </c>
      <c r="AM41" s="156">
        <v>2.75E-2</v>
      </c>
      <c r="AN41" s="122">
        <f t="shared" si="10"/>
        <v>1909.7222222222222</v>
      </c>
      <c r="AO41" s="155">
        <f t="shared" si="53"/>
        <v>25000000</v>
      </c>
      <c r="AP41" s="156">
        <v>2.7699999999999999E-2</v>
      </c>
      <c r="AQ41" s="122">
        <f t="shared" si="11"/>
        <v>1923.6111111111111</v>
      </c>
      <c r="AT41" s="122">
        <f t="shared" si="12"/>
        <v>0</v>
      </c>
      <c r="AW41" s="122">
        <f t="shared" si="13"/>
        <v>0</v>
      </c>
      <c r="AZ41" s="122">
        <f t="shared" si="14"/>
        <v>0</v>
      </c>
      <c r="BC41" s="122">
        <f t="shared" si="15"/>
        <v>0</v>
      </c>
      <c r="BF41" s="122">
        <f t="shared" si="16"/>
        <v>0</v>
      </c>
      <c r="BI41" s="122">
        <f t="shared" si="17"/>
        <v>0</v>
      </c>
      <c r="BL41" s="122">
        <f t="shared" si="18"/>
        <v>0</v>
      </c>
      <c r="BO41" s="122">
        <f t="shared" si="19"/>
        <v>0</v>
      </c>
      <c r="BR41" s="122">
        <f t="shared" si="20"/>
        <v>0</v>
      </c>
      <c r="BU41" s="122">
        <f t="shared" si="21"/>
        <v>0</v>
      </c>
      <c r="BX41" s="122">
        <f t="shared" si="22"/>
        <v>0</v>
      </c>
      <c r="CA41" s="122">
        <f t="shared" si="23"/>
        <v>0</v>
      </c>
      <c r="CD41" s="122">
        <f t="shared" si="24"/>
        <v>0</v>
      </c>
      <c r="CG41" s="122">
        <f t="shared" si="25"/>
        <v>0</v>
      </c>
      <c r="CJ41" s="122">
        <f t="shared" si="26"/>
        <v>0</v>
      </c>
      <c r="CM41" s="122">
        <f t="shared" si="27"/>
        <v>0</v>
      </c>
      <c r="CP41" s="122">
        <f t="shared" si="28"/>
        <v>0</v>
      </c>
      <c r="CS41" s="122">
        <f t="shared" si="29"/>
        <v>0</v>
      </c>
      <c r="CV41" s="122">
        <f t="shared" si="30"/>
        <v>0</v>
      </c>
      <c r="CY41" s="122">
        <f t="shared" si="31"/>
        <v>0</v>
      </c>
      <c r="DB41" s="122">
        <f t="shared" si="32"/>
        <v>0</v>
      </c>
      <c r="DE41" s="122">
        <f t="shared" si="33"/>
        <v>0</v>
      </c>
      <c r="DH41" s="122">
        <f t="shared" si="34"/>
        <v>0</v>
      </c>
      <c r="DK41" s="122">
        <f t="shared" si="35"/>
        <v>0</v>
      </c>
      <c r="DN41" s="122">
        <f t="shared" si="36"/>
        <v>0</v>
      </c>
      <c r="DQ41" s="122">
        <f t="shared" si="37"/>
        <v>0</v>
      </c>
      <c r="DT41" s="122">
        <f t="shared" si="38"/>
        <v>0</v>
      </c>
      <c r="DW41" s="122">
        <f t="shared" si="39"/>
        <v>0</v>
      </c>
      <c r="DZ41" s="120"/>
      <c r="EA41" s="122"/>
      <c r="EB41" s="157">
        <f t="shared" si="40"/>
        <v>146425000</v>
      </c>
      <c r="EC41" s="157">
        <f t="shared" si="41"/>
        <v>0</v>
      </c>
      <c r="ED41" s="122">
        <f t="shared" si="42"/>
        <v>10770.576388888889</v>
      </c>
      <c r="EE41" s="123">
        <f t="shared" si="43"/>
        <v>2.6480501963462522E-2</v>
      </c>
      <c r="EG41" s="157">
        <f t="shared" si="44"/>
        <v>0</v>
      </c>
      <c r="EH41" s="122">
        <f t="shared" si="45"/>
        <v>0</v>
      </c>
      <c r="EI41" s="123">
        <f t="shared" si="46"/>
        <v>0</v>
      </c>
      <c r="EJ41" s="123"/>
      <c r="EK41" s="157">
        <f t="shared" si="47"/>
        <v>146425000</v>
      </c>
      <c r="EL41" s="157">
        <f t="shared" si="48"/>
        <v>0</v>
      </c>
      <c r="EM41" s="157">
        <f t="shared" si="49"/>
        <v>10770.576388888889</v>
      </c>
      <c r="EN41" s="123">
        <f t="shared" si="50"/>
        <v>2.6480501963462522E-2</v>
      </c>
    </row>
    <row r="42" spans="1:144" x14ac:dyDescent="0.25">
      <c r="A42" s="158" t="s">
        <v>238</v>
      </c>
      <c r="D42" s="159">
        <f>SUM(D11:D41)</f>
        <v>0</v>
      </c>
      <c r="G42" s="159">
        <f>SUM(G11:G41)</f>
        <v>0</v>
      </c>
      <c r="J42" s="159">
        <f>SUM(J11:J41)</f>
        <v>0</v>
      </c>
      <c r="M42" s="159">
        <f>SUM(M11:M41)</f>
        <v>0</v>
      </c>
      <c r="P42" s="159">
        <f>SUM(P11:P41)</f>
        <v>0</v>
      </c>
      <c r="S42" s="159">
        <f>SUM(S11:S41)</f>
        <v>0</v>
      </c>
      <c r="V42" s="159">
        <f>SUM(V11:V41)</f>
        <v>0</v>
      </c>
      <c r="Y42" s="159">
        <f>SUM(Y11:Y41)</f>
        <v>0</v>
      </c>
      <c r="AB42" s="159">
        <f>SUM(AB11:AB41)</f>
        <v>0</v>
      </c>
      <c r="AE42" s="159">
        <f>SUM(AE11:AE41)</f>
        <v>0</v>
      </c>
      <c r="AH42" s="159">
        <f>SUM(AH11:AH41)</f>
        <v>0</v>
      </c>
      <c r="AK42" s="159">
        <f>SUM(AK11:AK41)</f>
        <v>151338.79166666669</v>
      </c>
      <c r="AN42" s="159">
        <f>SUM(AN11:AN41)</f>
        <v>47743.055555555533</v>
      </c>
      <c r="AQ42" s="159">
        <f>SUM(AQ11:AQ41)</f>
        <v>32701.388888888876</v>
      </c>
      <c r="AT42" s="159">
        <f>SUM(AT11:AT41)</f>
        <v>0</v>
      </c>
      <c r="AW42" s="159">
        <f>SUM(AW11:AW41)</f>
        <v>0</v>
      </c>
      <c r="AZ42" s="159">
        <f>SUM(AZ11:AZ41)</f>
        <v>0</v>
      </c>
      <c r="BC42" s="159">
        <f>SUM(BC11:BC41)</f>
        <v>0</v>
      </c>
      <c r="BF42" s="159">
        <f>SUM(BF11:BF41)</f>
        <v>0</v>
      </c>
      <c r="BI42" s="159">
        <f>SUM(BI11:BI41)</f>
        <v>0</v>
      </c>
      <c r="BL42" s="159">
        <f>SUM(BL11:BL41)</f>
        <v>0</v>
      </c>
      <c r="BO42" s="159">
        <f>SUM(BO11:BO41)</f>
        <v>0</v>
      </c>
      <c r="BR42" s="159">
        <f>SUM(BR11:BR41)</f>
        <v>0</v>
      </c>
      <c r="BU42" s="159">
        <f>SUM(BU11:BU41)</f>
        <v>0</v>
      </c>
      <c r="BX42" s="159">
        <f>SUM(BX11:BX41)</f>
        <v>0</v>
      </c>
      <c r="CA42" s="159">
        <f>SUM(CA11:CA41)</f>
        <v>0</v>
      </c>
      <c r="CD42" s="159">
        <f>SUM(CD11:CD41)</f>
        <v>0</v>
      </c>
      <c r="CG42" s="159">
        <f>SUM(CG11:CG41)</f>
        <v>0</v>
      </c>
      <c r="CJ42" s="159">
        <f>SUM(CJ11:CJ41)</f>
        <v>0</v>
      </c>
      <c r="CM42" s="159">
        <f>SUM(CM11:CM41)</f>
        <v>0</v>
      </c>
      <c r="CP42" s="159">
        <f>SUM(CP11:CP41)</f>
        <v>0</v>
      </c>
      <c r="CS42" s="159">
        <f>SUM(CS11:CS41)</f>
        <v>0</v>
      </c>
      <c r="CV42" s="159">
        <f>SUM(CV11:CV41)</f>
        <v>0</v>
      </c>
      <c r="CY42" s="159">
        <f>SUM(CY11:CY41)</f>
        <v>0</v>
      </c>
      <c r="DB42" s="159">
        <f>SUM(DB11:DB41)</f>
        <v>0</v>
      </c>
      <c r="DE42" s="159">
        <f>SUM(DE11:DE41)</f>
        <v>0</v>
      </c>
      <c r="DH42" s="159">
        <f>SUM(DH11:DH41)</f>
        <v>0</v>
      </c>
      <c r="DK42" s="159">
        <f>SUM(DK11:DK41)</f>
        <v>0</v>
      </c>
      <c r="DN42" s="159">
        <f>SUM(DN11:DN41)</f>
        <v>0</v>
      </c>
      <c r="DQ42" s="159">
        <f>SUM(DQ11:DQ41)</f>
        <v>0</v>
      </c>
      <c r="DT42" s="159">
        <f>SUM(DT11:DT41)</f>
        <v>0</v>
      </c>
      <c r="DW42" s="159">
        <f>SUM(DW11:DW41)</f>
        <v>0</v>
      </c>
      <c r="DZ42" s="120"/>
      <c r="EA42" s="120"/>
      <c r="EB42" s="122"/>
      <c r="EC42" s="122"/>
      <c r="ED42" s="159">
        <f>SUM(ED11:ED41)</f>
        <v>231783.23611111115</v>
      </c>
      <c r="EE42" s="123"/>
      <c r="EG42" s="122"/>
      <c r="EH42" s="159">
        <f>SUM(EH11:EH41)</f>
        <v>0</v>
      </c>
      <c r="EI42" s="123"/>
      <c r="EJ42" s="123"/>
      <c r="EK42" s="122"/>
      <c r="EL42" s="122"/>
      <c r="EM42" s="159">
        <f>SUM(EM11:EM41)</f>
        <v>231783.23611111115</v>
      </c>
      <c r="EN42" s="123"/>
    </row>
    <row r="44" spans="1:144" x14ac:dyDescent="0.25">
      <c r="EM44" s="160"/>
    </row>
    <row r="45" spans="1:144" x14ac:dyDescent="0.25">
      <c r="EM45" s="160"/>
    </row>
    <row r="46" spans="1:144" x14ac:dyDescent="0.25">
      <c r="EM46" s="122"/>
    </row>
    <row r="47" spans="1:144" x14ac:dyDescent="0.25">
      <c r="EM47" s="12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7"/>
  <sheetViews>
    <sheetView workbookViewId="0">
      <selection activeCell="F26" sqref="F26"/>
    </sheetView>
  </sheetViews>
  <sheetFormatPr defaultRowHeight="15" x14ac:dyDescent="0.25"/>
  <cols>
    <col min="1" max="1" width="14.5703125" bestFit="1" customWidth="1"/>
    <col min="2" max="2" width="15.5703125" style="122" bestFit="1" customWidth="1"/>
    <col min="3" max="3" width="15.42578125" style="123" bestFit="1" customWidth="1"/>
    <col min="4" max="4" width="15.42578125" bestFit="1" customWidth="1"/>
    <col min="5" max="5" width="15.5703125" style="122" bestFit="1" customWidth="1"/>
    <col min="6" max="6" width="12.28515625" style="123" bestFit="1" customWidth="1"/>
    <col min="7" max="7" width="15.42578125" bestFit="1" customWidth="1"/>
    <col min="8" max="8" width="15.42578125" style="122" hidden="1" customWidth="1"/>
    <col min="9" max="9" width="10.28515625" style="123" hidden="1" customWidth="1"/>
    <col min="10" max="10" width="13.42578125" hidden="1" customWidth="1"/>
    <col min="11" max="11" width="14.42578125" style="122" hidden="1" customWidth="1"/>
    <col min="12" max="12" width="10.28515625" style="123" hidden="1" customWidth="1"/>
    <col min="13" max="13" width="11.7109375" hidden="1" customWidth="1"/>
    <col min="14" max="14" width="14.42578125" style="122" hidden="1" customWidth="1"/>
    <col min="15" max="15" width="10.28515625" style="123" hidden="1" customWidth="1"/>
    <col min="16" max="16" width="11.7109375" hidden="1" customWidth="1"/>
    <col min="17" max="17" width="15.42578125" style="122" hidden="1" customWidth="1"/>
    <col min="18" max="18" width="10.28515625" style="123" hidden="1" customWidth="1"/>
    <col min="19" max="19" width="11.7109375" hidden="1" customWidth="1"/>
    <col min="20" max="20" width="15.42578125" style="122" hidden="1" customWidth="1"/>
    <col min="21" max="21" width="10.28515625" style="123" hidden="1" customWidth="1"/>
    <col min="22" max="22" width="11.7109375" hidden="1" customWidth="1"/>
    <col min="23" max="23" width="15.42578125" style="122" hidden="1" customWidth="1"/>
    <col min="24" max="24" width="10.28515625" style="123" hidden="1" customWidth="1"/>
    <col min="25" max="25" width="11.7109375" hidden="1" customWidth="1"/>
    <col min="26" max="26" width="15.42578125" style="122" hidden="1" customWidth="1"/>
    <col min="27" max="27" width="10.28515625" style="123" hidden="1" customWidth="1"/>
    <col min="28" max="28" width="11.7109375" hidden="1" customWidth="1"/>
    <col min="29" max="29" width="15.42578125" style="122" hidden="1" customWidth="1"/>
    <col min="30" max="30" width="10.28515625" style="123" hidden="1" customWidth="1"/>
    <col min="31" max="31" width="11.7109375" hidden="1" customWidth="1"/>
    <col min="32" max="32" width="14.42578125" style="122" hidden="1" customWidth="1"/>
    <col min="33" max="33" width="10.28515625" style="123" hidden="1" customWidth="1"/>
    <col min="34" max="34" width="10.7109375" hidden="1" customWidth="1"/>
    <col min="35" max="35" width="14.42578125" style="122" customWidth="1"/>
    <col min="36" max="36" width="10.28515625" style="123" customWidth="1"/>
    <col min="37" max="37" width="11.7109375" bestFit="1" customWidth="1"/>
    <col min="38" max="38" width="14.42578125" style="122" customWidth="1"/>
    <col min="39" max="39" width="10.28515625" style="123" customWidth="1"/>
    <col min="40" max="40" width="10.7109375" customWidth="1"/>
    <col min="41" max="41" width="15.42578125" style="122" bestFit="1" customWidth="1"/>
    <col min="42" max="42" width="12.28515625" style="123" bestFit="1" customWidth="1"/>
    <col min="43" max="43" width="11.7109375" bestFit="1" customWidth="1"/>
    <col min="44" max="44" width="15.42578125" style="122" bestFit="1" customWidth="1"/>
    <col min="45" max="45" width="10.28515625" style="123" bestFit="1" customWidth="1"/>
    <col min="46" max="46" width="11.7109375" bestFit="1" customWidth="1"/>
    <col min="47" max="47" width="14.42578125" style="122" customWidth="1"/>
    <col min="48" max="48" width="10.28515625" style="123" customWidth="1"/>
    <col min="49" max="49" width="10.7109375" customWidth="1"/>
    <col min="50" max="50" width="14.42578125" style="122" customWidth="1"/>
    <col min="51" max="51" width="10.28515625" style="123" customWidth="1"/>
    <col min="52" max="52" width="10.7109375" customWidth="1"/>
    <col min="53" max="53" width="14.42578125" style="122" customWidth="1"/>
    <col min="54" max="54" width="10.28515625" style="123" customWidth="1"/>
    <col min="55" max="55" width="10.7109375" customWidth="1"/>
    <col min="56" max="56" width="14.42578125" style="122" customWidth="1"/>
    <col min="57" max="57" width="10.28515625" style="123" customWidth="1"/>
    <col min="58" max="58" width="10.7109375" customWidth="1"/>
    <col min="59" max="59" width="14.42578125" style="122" customWidth="1"/>
    <col min="60" max="60" width="10.28515625" style="123" customWidth="1"/>
    <col min="61" max="61" width="10.7109375" customWidth="1"/>
    <col min="62" max="62" width="14.42578125" style="122" customWidth="1"/>
    <col min="63" max="63" width="10.28515625" style="123" customWidth="1"/>
    <col min="64" max="64" width="10.7109375" customWidth="1"/>
    <col min="65" max="65" width="14.42578125" style="122" hidden="1" customWidth="1"/>
    <col min="66" max="66" width="10.28515625" style="123" hidden="1" customWidth="1"/>
    <col min="67" max="67" width="10.7109375" hidden="1" customWidth="1"/>
    <col min="68" max="68" width="14.42578125" style="122" hidden="1" customWidth="1"/>
    <col min="69" max="69" width="10.28515625" style="123" hidden="1" customWidth="1"/>
    <col min="70" max="70" width="10.7109375" hidden="1" customWidth="1"/>
    <col min="71" max="71" width="14.42578125" style="122" hidden="1" customWidth="1"/>
    <col min="72" max="72" width="10.28515625" style="123" hidden="1" customWidth="1"/>
    <col min="73" max="73" width="10.7109375" hidden="1" customWidth="1"/>
    <col min="74" max="74" width="14.42578125" style="122" hidden="1" customWidth="1"/>
    <col min="75" max="75" width="10.28515625" style="123" hidden="1" customWidth="1"/>
    <col min="76" max="76" width="10.7109375" hidden="1" customWidth="1"/>
    <col min="77" max="77" width="14.42578125" style="122" hidden="1" customWidth="1"/>
    <col min="78" max="78" width="10.28515625" style="123" hidden="1" customWidth="1"/>
    <col min="79" max="79" width="10.7109375" hidden="1" customWidth="1"/>
    <col min="80" max="80" width="14.42578125" style="122" hidden="1" customWidth="1"/>
    <col min="81" max="81" width="10.28515625" style="123" hidden="1" customWidth="1"/>
    <col min="82" max="82" width="10.7109375" hidden="1" customWidth="1"/>
    <col min="83" max="83" width="14.42578125" style="122" hidden="1" customWidth="1"/>
    <col min="84" max="84" width="10.28515625" style="123" hidden="1" customWidth="1"/>
    <col min="85" max="85" width="10.7109375" hidden="1" customWidth="1"/>
    <col min="86" max="86" width="14.42578125" style="122" hidden="1" customWidth="1"/>
    <col min="87" max="87" width="10.28515625" style="123" hidden="1" customWidth="1"/>
    <col min="88" max="88" width="10.7109375" hidden="1" customWidth="1"/>
    <col min="89" max="89" width="14.42578125" style="122" hidden="1" customWidth="1"/>
    <col min="90" max="90" width="10.28515625" style="123" hidden="1" customWidth="1"/>
    <col min="91" max="91" width="10.7109375" hidden="1" customWidth="1"/>
    <col min="92" max="92" width="14.42578125" style="122" hidden="1" customWidth="1"/>
    <col min="93" max="93" width="10.28515625" style="123" hidden="1" customWidth="1"/>
    <col min="94" max="94" width="10.7109375" hidden="1" customWidth="1"/>
    <col min="95" max="95" width="14.42578125" style="122" hidden="1" customWidth="1"/>
    <col min="96" max="96" width="10.28515625" style="123" hidden="1" customWidth="1"/>
    <col min="97" max="97" width="10.7109375" hidden="1" customWidth="1"/>
    <col min="98" max="98" width="14.42578125" style="122" hidden="1" customWidth="1"/>
    <col min="99" max="99" width="10.28515625" style="123" hidden="1" customWidth="1"/>
    <col min="100" max="100" width="10.7109375" hidden="1" customWidth="1"/>
    <col min="101" max="101" width="14.42578125" style="122" hidden="1" customWidth="1"/>
    <col min="102" max="102" width="10.28515625" style="123" hidden="1" customWidth="1"/>
    <col min="103" max="103" width="10.7109375" hidden="1" customWidth="1"/>
    <col min="104" max="104" width="14.42578125" style="122" hidden="1" customWidth="1"/>
    <col min="105" max="105" width="10.28515625" style="123" hidden="1" customWidth="1"/>
    <col min="106" max="106" width="10.7109375" hidden="1" customWidth="1"/>
    <col min="107" max="107" width="14.42578125" style="122" hidden="1" customWidth="1"/>
    <col min="108" max="108" width="10.28515625" style="123" hidden="1" customWidth="1"/>
    <col min="109" max="109" width="10.7109375" hidden="1" customWidth="1"/>
    <col min="110" max="110" width="14.42578125" style="122" hidden="1" customWidth="1"/>
    <col min="111" max="111" width="10.28515625" style="123" hidden="1" customWidth="1"/>
    <col min="112" max="112" width="10.7109375" hidden="1" customWidth="1"/>
    <col min="113" max="113" width="14.42578125" style="122" hidden="1" customWidth="1"/>
    <col min="114" max="114" width="10.28515625" style="123" hidden="1" customWidth="1"/>
    <col min="115" max="115" width="10.7109375" hidden="1" customWidth="1"/>
    <col min="116" max="116" width="14.42578125" style="122" hidden="1" customWidth="1"/>
    <col min="117" max="117" width="10.28515625" style="123" hidden="1" customWidth="1"/>
    <col min="118" max="118" width="10.7109375" hidden="1" customWidth="1"/>
    <col min="119" max="119" width="14.42578125" style="122" hidden="1" customWidth="1"/>
    <col min="120" max="120" width="10.28515625" style="123" hidden="1" customWidth="1"/>
    <col min="121" max="121" width="10.7109375" hidden="1" customWidth="1"/>
    <col min="122" max="122" width="14.42578125" style="122" hidden="1" customWidth="1"/>
    <col min="123" max="123" width="10.28515625" style="123" hidden="1" customWidth="1"/>
    <col min="124" max="124" width="10.7109375" hidden="1" customWidth="1"/>
    <col min="125" max="125" width="14.42578125" style="122" hidden="1" customWidth="1"/>
    <col min="126" max="126" width="10.28515625" style="123" hidden="1" customWidth="1"/>
    <col min="127" max="127" width="10.7109375" hidden="1" customWidth="1"/>
    <col min="128" max="128" width="14.42578125" style="122" hidden="1" customWidth="1"/>
    <col min="129" max="129" width="10.28515625" style="123" hidden="1" customWidth="1"/>
    <col min="130" max="130" width="10.7109375" hidden="1" customWidth="1"/>
    <col min="131" max="131" width="2.7109375" hidden="1" customWidth="1"/>
    <col min="132" max="132" width="15.42578125" bestFit="1" customWidth="1"/>
    <col min="133" max="133" width="15.42578125" hidden="1" customWidth="1"/>
    <col min="134" max="134" width="14.42578125" bestFit="1" customWidth="1"/>
    <col min="135" max="135" width="17.7109375" bestFit="1" customWidth="1"/>
    <col min="136" max="136" width="2.7109375" customWidth="1"/>
    <col min="137" max="137" width="15.42578125" hidden="1" customWidth="1"/>
    <col min="138" max="138" width="14.42578125" hidden="1" customWidth="1"/>
    <col min="139" max="139" width="12.42578125" hidden="1" customWidth="1"/>
    <col min="140" max="140" width="2.7109375" hidden="1" customWidth="1"/>
    <col min="141" max="141" width="15.42578125" bestFit="1" customWidth="1"/>
    <col min="142" max="142" width="15.42578125" hidden="1" customWidth="1"/>
    <col min="143" max="143" width="14.42578125" bestFit="1" customWidth="1"/>
    <col min="144" max="144" width="15.42578125" bestFit="1" customWidth="1"/>
    <col min="145" max="145" width="42.85546875" bestFit="1" customWidth="1"/>
    <col min="146" max="146" width="19.42578125" bestFit="1" customWidth="1"/>
    <col min="147" max="147" width="23.140625" bestFit="1" customWidth="1"/>
  </cols>
  <sheetData>
    <row r="1" spans="1:147" s="115" customFormat="1" ht="15.75" x14ac:dyDescent="0.25">
      <c r="A1" s="112" t="s">
        <v>0</v>
      </c>
      <c r="B1" s="113"/>
      <c r="C1" s="114"/>
      <c r="E1" s="113"/>
      <c r="F1" s="114"/>
      <c r="H1" s="113"/>
      <c r="I1" s="114"/>
      <c r="K1" s="113"/>
      <c r="L1" s="114"/>
      <c r="N1" s="113"/>
      <c r="O1" s="114"/>
      <c r="Q1" s="113"/>
      <c r="R1" s="114"/>
      <c r="T1" s="113"/>
      <c r="U1" s="114"/>
      <c r="W1" s="113"/>
      <c r="X1" s="114"/>
      <c r="Z1" s="113"/>
      <c r="AA1" s="114"/>
      <c r="AC1" s="113"/>
      <c r="AD1" s="114"/>
      <c r="AF1" s="113"/>
      <c r="AG1" s="114"/>
      <c r="AI1" s="113"/>
      <c r="AJ1" s="114"/>
      <c r="AL1" s="113"/>
      <c r="AM1" s="114"/>
      <c r="AO1" s="113"/>
      <c r="AP1" s="114"/>
      <c r="AR1" s="113"/>
      <c r="AS1" s="114"/>
      <c r="AU1" s="113"/>
      <c r="AV1" s="114"/>
      <c r="AX1" s="113"/>
      <c r="AY1" s="114"/>
      <c r="BA1" s="113"/>
      <c r="BB1" s="114"/>
      <c r="BD1" s="113"/>
      <c r="BE1" s="114"/>
      <c r="BG1" s="113"/>
      <c r="BH1" s="114"/>
      <c r="BJ1" s="113"/>
      <c r="BK1" s="114"/>
      <c r="BM1" s="113"/>
      <c r="BN1" s="114"/>
      <c r="BP1" s="113"/>
      <c r="BQ1" s="114"/>
      <c r="BS1" s="113"/>
      <c r="BT1" s="114"/>
      <c r="BV1" s="113"/>
      <c r="BW1" s="114"/>
      <c r="BY1" s="113"/>
      <c r="BZ1" s="114"/>
      <c r="CB1" s="113"/>
      <c r="CC1" s="114"/>
      <c r="CE1" s="113"/>
      <c r="CF1" s="114"/>
      <c r="CH1" s="113"/>
      <c r="CI1" s="114"/>
      <c r="CK1" s="113"/>
      <c r="CL1" s="114"/>
      <c r="CN1" s="113"/>
      <c r="CO1" s="114"/>
      <c r="CQ1" s="113"/>
      <c r="CR1" s="114"/>
      <c r="CT1" s="113"/>
      <c r="CU1" s="114"/>
      <c r="CW1" s="113"/>
      <c r="CX1" s="114"/>
      <c r="CZ1" s="113"/>
      <c r="DA1" s="114"/>
      <c r="DC1" s="113"/>
      <c r="DD1" s="114"/>
      <c r="DF1" s="113"/>
      <c r="DG1" s="114"/>
      <c r="DI1" s="113"/>
      <c r="DJ1" s="114"/>
      <c r="DL1" s="113"/>
      <c r="DM1" s="114"/>
      <c r="DO1" s="113"/>
      <c r="DP1" s="114"/>
      <c r="DR1" s="113"/>
      <c r="DS1" s="114"/>
      <c r="DU1" s="113"/>
      <c r="DV1" s="114"/>
      <c r="DX1" s="113"/>
      <c r="DY1" s="114"/>
      <c r="DZ1" s="116"/>
      <c r="ED1" s="117"/>
      <c r="EE1" s="118" t="s">
        <v>257</v>
      </c>
      <c r="EI1" s="117" t="s">
        <v>258</v>
      </c>
      <c r="EM1" s="117"/>
      <c r="EN1" s="117" t="s">
        <v>259</v>
      </c>
      <c r="EO1" s="112" t="s">
        <v>260</v>
      </c>
      <c r="EP1" s="112" t="s">
        <v>261</v>
      </c>
      <c r="EQ1" s="112" t="s">
        <v>262</v>
      </c>
    </row>
    <row r="2" spans="1:147" s="115" customFormat="1" ht="16.5" thickBot="1" x14ac:dyDescent="0.3">
      <c r="A2" s="112" t="s">
        <v>263</v>
      </c>
      <c r="B2" s="113"/>
      <c r="C2" s="114"/>
      <c r="E2" s="119"/>
      <c r="F2" s="114"/>
      <c r="G2" s="117"/>
      <c r="H2" s="113"/>
      <c r="I2" s="114"/>
      <c r="K2" s="113"/>
      <c r="L2" s="114"/>
      <c r="N2" s="113"/>
      <c r="O2" s="114"/>
      <c r="Q2" s="113"/>
      <c r="R2" s="114"/>
      <c r="T2" s="113"/>
      <c r="U2" s="114"/>
      <c r="W2" s="113"/>
      <c r="X2" s="114"/>
      <c r="Z2" s="113"/>
      <c r="AA2" s="114"/>
      <c r="AC2" s="113"/>
      <c r="AD2" s="114"/>
      <c r="AF2" s="113"/>
      <c r="AG2" s="114"/>
      <c r="AI2" s="113"/>
      <c r="AJ2" s="114"/>
      <c r="AL2" s="113"/>
      <c r="AM2" s="114"/>
      <c r="AO2" s="113"/>
      <c r="AP2" s="114"/>
      <c r="AR2" s="113"/>
      <c r="AS2" s="114"/>
      <c r="AU2" s="113"/>
      <c r="AV2" s="114"/>
      <c r="AX2" s="113"/>
      <c r="AY2" s="114"/>
      <c r="BA2" s="113"/>
      <c r="BB2" s="114"/>
      <c r="BD2" s="113"/>
      <c r="BE2" s="114"/>
      <c r="BG2" s="113"/>
      <c r="BH2" s="114"/>
      <c r="BJ2" s="113"/>
      <c r="BK2" s="114"/>
      <c r="BM2" s="113"/>
      <c r="BN2" s="114"/>
      <c r="BP2" s="113"/>
      <c r="BQ2" s="114"/>
      <c r="BS2" s="113"/>
      <c r="BT2" s="114"/>
      <c r="BV2" s="113"/>
      <c r="BW2" s="114"/>
      <c r="BY2" s="113"/>
      <c r="BZ2" s="114"/>
      <c r="CB2" s="113"/>
      <c r="CC2" s="114"/>
      <c r="CE2" s="113"/>
      <c r="CF2" s="114"/>
      <c r="CH2" s="113"/>
      <c r="CI2" s="114"/>
      <c r="CK2" s="113"/>
      <c r="CL2" s="114"/>
      <c r="CN2" s="113"/>
      <c r="CO2" s="114"/>
      <c r="CQ2" s="113"/>
      <c r="CR2" s="114"/>
      <c r="CT2" s="113"/>
      <c r="CU2" s="114"/>
      <c r="CW2" s="113"/>
      <c r="CX2" s="114"/>
      <c r="CZ2" s="113"/>
      <c r="DA2" s="114"/>
      <c r="DC2" s="113"/>
      <c r="DD2" s="114"/>
      <c r="DF2" s="113"/>
      <c r="DG2" s="114"/>
      <c r="DI2" s="113"/>
      <c r="DJ2" s="114"/>
      <c r="DL2" s="113"/>
      <c r="DM2" s="114"/>
      <c r="DO2" s="113"/>
      <c r="DP2" s="114"/>
      <c r="DR2" s="113"/>
      <c r="DS2" s="114"/>
      <c r="DU2" s="113"/>
      <c r="DV2" s="114"/>
      <c r="DX2" s="113"/>
      <c r="DY2" s="114"/>
      <c r="EB2" s="54" t="s">
        <v>264</v>
      </c>
      <c r="EC2" s="54"/>
      <c r="ED2" s="120"/>
      <c r="EE2" s="120">
        <f>EB40</f>
        <v>205225000</v>
      </c>
      <c r="EI2" s="120">
        <f>EG40</f>
        <v>0</v>
      </c>
      <c r="EM2" s="120"/>
      <c r="EN2" s="120">
        <f>EK40</f>
        <v>205225000</v>
      </c>
      <c r="EO2" s="113">
        <v>-20641.669999999998</v>
      </c>
      <c r="EP2" s="113">
        <f>EN2+EO2</f>
        <v>205204358.33000001</v>
      </c>
      <c r="EQ2" s="113">
        <f>EE2+EO2</f>
        <v>205204358.33000001</v>
      </c>
    </row>
    <row r="3" spans="1:147" ht="16.5" thickTop="1" x14ac:dyDescent="0.25">
      <c r="A3" s="121" t="s">
        <v>337</v>
      </c>
      <c r="E3" s="124" t="s">
        <v>266</v>
      </c>
      <c r="F3" s="125"/>
      <c r="G3" s="126"/>
      <c r="EB3" s="54" t="s">
        <v>267</v>
      </c>
      <c r="EC3" s="54"/>
      <c r="ED3" s="120"/>
      <c r="EE3" s="120">
        <f>AVERAGE(EB11:EB40)</f>
        <v>132703333.33333333</v>
      </c>
      <c r="EI3" s="120">
        <f>AVERAGE(EG11:EG40)</f>
        <v>0</v>
      </c>
      <c r="EM3" s="120"/>
      <c r="EN3" s="120">
        <f>AVERAGE(EK11:EK40)</f>
        <v>132703333.33333333</v>
      </c>
    </row>
    <row r="4" spans="1:147" x14ac:dyDescent="0.25">
      <c r="D4" s="54"/>
      <c r="E4" s="130" t="s">
        <v>264</v>
      </c>
      <c r="F4" s="120"/>
      <c r="G4" s="131">
        <f>EQ2</f>
        <v>205204358.33000001</v>
      </c>
      <c r="AI4" s="132" t="s">
        <v>268</v>
      </c>
      <c r="EB4" s="54" t="s">
        <v>269</v>
      </c>
      <c r="EC4" s="54"/>
      <c r="ED4" s="128"/>
      <c r="EE4" s="128">
        <f>IF(EE3=0,0,360*(AVERAGE(ED11:ED40)/EE3))</f>
        <v>2.6500566426364579E-2</v>
      </c>
      <c r="EI4" s="128">
        <f>IF(EI3=0,0,360*(AVERAGE(EH11:EH40)/EI3))</f>
        <v>0</v>
      </c>
      <c r="EM4" s="128"/>
      <c r="EN4" s="128">
        <f>IF(EN3=0,0,360*(AVERAGE(EM11:EM40)/EN3))</f>
        <v>2.6500566426364579E-2</v>
      </c>
      <c r="EO4" s="133" t="s">
        <v>270</v>
      </c>
      <c r="EQ4" s="134" t="s">
        <v>268</v>
      </c>
    </row>
    <row r="5" spans="1:147" ht="15.75" x14ac:dyDescent="0.25">
      <c r="D5" s="54"/>
      <c r="E5" s="130" t="s">
        <v>267</v>
      </c>
      <c r="F5" s="120"/>
      <c r="G5" s="131">
        <f>EE3</f>
        <v>132703333.33333333</v>
      </c>
      <c r="AI5" s="135" t="s">
        <v>259</v>
      </c>
      <c r="EB5" s="136" t="s">
        <v>271</v>
      </c>
      <c r="EC5" s="136"/>
      <c r="ED5" s="120"/>
      <c r="EE5" s="120">
        <f>MAX(EB11:EB40)</f>
        <v>205225000</v>
      </c>
      <c r="EI5" s="120">
        <f>MAX(EG11:EG40)</f>
        <v>0</v>
      </c>
      <c r="EM5" s="120"/>
      <c r="EN5" s="120">
        <f>MAX(EK11:EK40)</f>
        <v>205225000</v>
      </c>
    </row>
    <row r="6" spans="1:147" x14ac:dyDescent="0.25">
      <c r="D6" s="54"/>
      <c r="E6" s="130" t="s">
        <v>269</v>
      </c>
      <c r="F6" s="120"/>
      <c r="G6" s="137">
        <f>EE4</f>
        <v>2.6500566426364579E-2</v>
      </c>
    </row>
    <row r="7" spans="1:147" ht="16.5" thickBot="1" x14ac:dyDescent="0.3">
      <c r="D7" s="54"/>
      <c r="E7" s="138" t="s">
        <v>271</v>
      </c>
      <c r="F7" s="139"/>
      <c r="G7" s="140">
        <f>EE5</f>
        <v>205225000</v>
      </c>
      <c r="AI7" s="135" t="s">
        <v>259</v>
      </c>
      <c r="EB7" s="141" t="s">
        <v>272</v>
      </c>
      <c r="EC7" s="141"/>
      <c r="ED7" s="142"/>
      <c r="EE7" s="142"/>
      <c r="EG7" s="141" t="s">
        <v>273</v>
      </c>
      <c r="EH7" s="142"/>
      <c r="EI7" s="142"/>
      <c r="EJ7" s="143"/>
      <c r="EK7" s="141" t="s">
        <v>274</v>
      </c>
      <c r="EL7" s="141"/>
      <c r="EM7" s="142"/>
      <c r="EN7" s="142"/>
    </row>
    <row r="8" spans="1:147" ht="15.75" thickTop="1" x14ac:dyDescent="0.25">
      <c r="AI8" s="144" t="s">
        <v>275</v>
      </c>
      <c r="AL8" s="144" t="s">
        <v>275</v>
      </c>
      <c r="AO8" s="144" t="s">
        <v>275</v>
      </c>
      <c r="AR8" s="144" t="s">
        <v>275</v>
      </c>
      <c r="AU8" s="144" t="s">
        <v>275</v>
      </c>
      <c r="AX8" s="144" t="s">
        <v>275</v>
      </c>
      <c r="BA8" s="144" t="s">
        <v>275</v>
      </c>
      <c r="BD8" s="144" t="s">
        <v>275</v>
      </c>
      <c r="BG8" s="144" t="s">
        <v>275</v>
      </c>
      <c r="BJ8" s="144" t="s">
        <v>275</v>
      </c>
      <c r="BM8" s="144" t="s">
        <v>275</v>
      </c>
      <c r="BP8" s="144" t="s">
        <v>275</v>
      </c>
      <c r="BS8" s="144" t="s">
        <v>275</v>
      </c>
      <c r="BV8" s="144" t="s">
        <v>275</v>
      </c>
      <c r="BY8" s="144" t="s">
        <v>275</v>
      </c>
      <c r="CB8" s="144" t="s">
        <v>275</v>
      </c>
      <c r="CE8" s="144" t="s">
        <v>275</v>
      </c>
      <c r="CH8" s="144" t="s">
        <v>275</v>
      </c>
      <c r="CK8" s="144" t="s">
        <v>275</v>
      </c>
      <c r="CN8" s="144" t="s">
        <v>275</v>
      </c>
      <c r="CQ8" s="144" t="s">
        <v>275</v>
      </c>
      <c r="CT8" s="144" t="s">
        <v>275</v>
      </c>
      <c r="CW8" s="144" t="s">
        <v>275</v>
      </c>
      <c r="CZ8" s="144" t="s">
        <v>275</v>
      </c>
      <c r="DC8" s="144" t="s">
        <v>275</v>
      </c>
      <c r="DF8" s="144" t="s">
        <v>275</v>
      </c>
      <c r="DI8" s="144" t="s">
        <v>275</v>
      </c>
      <c r="DL8" s="144" t="s">
        <v>275</v>
      </c>
      <c r="DO8" s="144" t="s">
        <v>275</v>
      </c>
      <c r="DR8" s="144" t="s">
        <v>275</v>
      </c>
      <c r="EB8" s="145"/>
      <c r="EC8" s="145"/>
      <c r="ED8" s="145"/>
      <c r="EE8" s="145" t="s">
        <v>276</v>
      </c>
      <c r="EG8" s="145"/>
      <c r="EH8" s="146" t="s">
        <v>258</v>
      </c>
      <c r="EI8" s="145" t="s">
        <v>276</v>
      </c>
      <c r="EJ8" s="145"/>
      <c r="EK8" s="134" t="s">
        <v>277</v>
      </c>
      <c r="EL8" s="134" t="s">
        <v>278</v>
      </c>
      <c r="EM8" s="146" t="s">
        <v>279</v>
      </c>
      <c r="EN8" s="145" t="s">
        <v>276</v>
      </c>
    </row>
    <row r="9" spans="1:147" x14ac:dyDescent="0.25">
      <c r="B9" s="147" t="s">
        <v>280</v>
      </c>
      <c r="C9" s="148"/>
      <c r="D9" s="142"/>
      <c r="E9" s="147" t="s">
        <v>281</v>
      </c>
      <c r="F9" s="148"/>
      <c r="G9" s="142"/>
      <c r="H9" s="147" t="s">
        <v>282</v>
      </c>
      <c r="I9" s="148"/>
      <c r="J9" s="142"/>
      <c r="K9" s="147" t="s">
        <v>283</v>
      </c>
      <c r="L9" s="148"/>
      <c r="M9" s="142"/>
      <c r="N9" s="147" t="s">
        <v>284</v>
      </c>
      <c r="O9" s="148"/>
      <c r="P9" s="142"/>
      <c r="Q9" s="147" t="s">
        <v>285</v>
      </c>
      <c r="R9" s="148"/>
      <c r="S9" s="142"/>
      <c r="T9" s="147" t="s">
        <v>286</v>
      </c>
      <c r="U9" s="148"/>
      <c r="V9" s="142"/>
      <c r="W9" s="147" t="s">
        <v>287</v>
      </c>
      <c r="X9" s="148"/>
      <c r="Y9" s="142"/>
      <c r="Z9" s="147" t="s">
        <v>288</v>
      </c>
      <c r="AA9" s="148"/>
      <c r="AB9" s="142"/>
      <c r="AC9" s="149" t="s">
        <v>289</v>
      </c>
      <c r="AD9" s="148"/>
      <c r="AE9" s="142"/>
      <c r="AF9" s="149" t="s">
        <v>290</v>
      </c>
      <c r="AG9" s="148"/>
      <c r="AH9" s="142"/>
      <c r="AI9" s="147" t="s">
        <v>291</v>
      </c>
      <c r="AJ9" s="148"/>
      <c r="AK9" s="142"/>
      <c r="AL9" s="147" t="s">
        <v>292</v>
      </c>
      <c r="AM9" s="148"/>
      <c r="AN9" s="142"/>
      <c r="AO9" s="147" t="s">
        <v>293</v>
      </c>
      <c r="AP9" s="148"/>
      <c r="AQ9" s="142"/>
      <c r="AR9" s="147" t="s">
        <v>294</v>
      </c>
      <c r="AS9" s="148"/>
      <c r="AT9" s="142"/>
      <c r="AU9" s="147" t="s">
        <v>295</v>
      </c>
      <c r="AV9" s="148"/>
      <c r="AW9" s="142"/>
      <c r="AX9" s="147" t="s">
        <v>296</v>
      </c>
      <c r="AY9" s="148"/>
      <c r="AZ9" s="142"/>
      <c r="BA9" s="147" t="s">
        <v>297</v>
      </c>
      <c r="BB9" s="148"/>
      <c r="BC9" s="142"/>
      <c r="BD9" s="147" t="s">
        <v>298</v>
      </c>
      <c r="BE9" s="148"/>
      <c r="BF9" s="142"/>
      <c r="BG9" s="147" t="s">
        <v>299</v>
      </c>
      <c r="BH9" s="148"/>
      <c r="BI9" s="142"/>
      <c r="BJ9" s="147" t="s">
        <v>300</v>
      </c>
      <c r="BK9" s="148"/>
      <c r="BL9" s="142"/>
      <c r="BM9" s="147" t="s">
        <v>301</v>
      </c>
      <c r="BN9" s="148"/>
      <c r="BO9" s="142"/>
      <c r="BP9" s="147" t="s">
        <v>302</v>
      </c>
      <c r="BQ9" s="148"/>
      <c r="BR9" s="142"/>
      <c r="BS9" s="147" t="s">
        <v>303</v>
      </c>
      <c r="BT9" s="148"/>
      <c r="BU9" s="142"/>
      <c r="BV9" s="147" t="s">
        <v>304</v>
      </c>
      <c r="BW9" s="148"/>
      <c r="BX9" s="142"/>
      <c r="BY9" s="147" t="s">
        <v>305</v>
      </c>
      <c r="BZ9" s="148"/>
      <c r="CA9" s="142"/>
      <c r="CB9" s="147" t="s">
        <v>306</v>
      </c>
      <c r="CC9" s="148"/>
      <c r="CD9" s="142"/>
      <c r="CE9" s="147" t="s">
        <v>307</v>
      </c>
      <c r="CF9" s="148"/>
      <c r="CG9" s="142"/>
      <c r="CH9" s="147" t="s">
        <v>308</v>
      </c>
      <c r="CI9" s="148"/>
      <c r="CJ9" s="142"/>
      <c r="CK9" s="147" t="s">
        <v>309</v>
      </c>
      <c r="CL9" s="148"/>
      <c r="CM9" s="142"/>
      <c r="CN9" s="147" t="s">
        <v>310</v>
      </c>
      <c r="CO9" s="148"/>
      <c r="CP9" s="142"/>
      <c r="CQ9" s="147" t="s">
        <v>311</v>
      </c>
      <c r="CR9" s="148"/>
      <c r="CS9" s="142"/>
      <c r="CT9" s="147" t="s">
        <v>312</v>
      </c>
      <c r="CU9" s="148"/>
      <c r="CV9" s="142"/>
      <c r="CW9" s="147" t="s">
        <v>313</v>
      </c>
      <c r="CX9" s="148"/>
      <c r="CY9" s="142"/>
      <c r="CZ9" s="147" t="s">
        <v>314</v>
      </c>
      <c r="DA9" s="148"/>
      <c r="DB9" s="142"/>
      <c r="DC9" s="147" t="s">
        <v>315</v>
      </c>
      <c r="DD9" s="148"/>
      <c r="DE9" s="142"/>
      <c r="DF9" s="147" t="s">
        <v>316</v>
      </c>
      <c r="DG9" s="148"/>
      <c r="DH9" s="142"/>
      <c r="DI9" s="147" t="s">
        <v>317</v>
      </c>
      <c r="DJ9" s="148"/>
      <c r="DK9" s="142"/>
      <c r="DL9" s="147" t="s">
        <v>318</v>
      </c>
      <c r="DM9" s="148"/>
      <c r="DN9" s="142"/>
      <c r="DO9" s="147" t="s">
        <v>319</v>
      </c>
      <c r="DP9" s="148"/>
      <c r="DQ9" s="142"/>
      <c r="DR9" s="147" t="s">
        <v>320</v>
      </c>
      <c r="DS9" s="148"/>
      <c r="DT9" s="142"/>
      <c r="DU9" s="147" t="s">
        <v>321</v>
      </c>
      <c r="DV9" s="148"/>
      <c r="DW9" s="142"/>
      <c r="DX9" s="150" t="s">
        <v>322</v>
      </c>
      <c r="DY9" s="148"/>
      <c r="DZ9" s="142"/>
      <c r="EA9" s="143"/>
      <c r="EB9" s="134" t="s">
        <v>323</v>
      </c>
      <c r="EC9" s="134" t="s">
        <v>324</v>
      </c>
      <c r="ED9" s="145" t="s">
        <v>325</v>
      </c>
      <c r="EE9" s="145" t="s">
        <v>326</v>
      </c>
      <c r="EG9" s="146" t="s">
        <v>327</v>
      </c>
      <c r="EH9" s="145" t="s">
        <v>325</v>
      </c>
      <c r="EI9" s="145" t="s">
        <v>326</v>
      </c>
      <c r="EJ9" s="145"/>
      <c r="EK9" s="146" t="s">
        <v>279</v>
      </c>
      <c r="EL9" s="146" t="s">
        <v>279</v>
      </c>
      <c r="EM9" s="145" t="s">
        <v>325</v>
      </c>
      <c r="EN9" s="145" t="s">
        <v>326</v>
      </c>
    </row>
    <row r="10" spans="1:147" x14ac:dyDescent="0.25">
      <c r="A10" s="145" t="s">
        <v>328</v>
      </c>
      <c r="B10" s="151" t="s">
        <v>329</v>
      </c>
      <c r="C10" s="152" t="s">
        <v>330</v>
      </c>
      <c r="D10" s="153" t="s">
        <v>25</v>
      </c>
      <c r="E10" s="151" t="s">
        <v>329</v>
      </c>
      <c r="F10" s="152" t="s">
        <v>330</v>
      </c>
      <c r="G10" s="153" t="s">
        <v>25</v>
      </c>
      <c r="H10" s="151" t="s">
        <v>329</v>
      </c>
      <c r="I10" s="152" t="s">
        <v>330</v>
      </c>
      <c r="J10" s="153" t="s">
        <v>25</v>
      </c>
      <c r="K10" s="151" t="s">
        <v>329</v>
      </c>
      <c r="L10" s="152" t="s">
        <v>330</v>
      </c>
      <c r="M10" s="153" t="s">
        <v>25</v>
      </c>
      <c r="N10" s="151" t="s">
        <v>329</v>
      </c>
      <c r="O10" s="152" t="s">
        <v>330</v>
      </c>
      <c r="P10" s="153" t="s">
        <v>25</v>
      </c>
      <c r="Q10" s="151" t="s">
        <v>329</v>
      </c>
      <c r="R10" s="152" t="s">
        <v>330</v>
      </c>
      <c r="S10" s="153" t="s">
        <v>25</v>
      </c>
      <c r="T10" s="151" t="s">
        <v>329</v>
      </c>
      <c r="U10" s="152" t="s">
        <v>330</v>
      </c>
      <c r="V10" s="153" t="s">
        <v>25</v>
      </c>
      <c r="W10" s="151" t="s">
        <v>329</v>
      </c>
      <c r="X10" s="152" t="s">
        <v>330</v>
      </c>
      <c r="Y10" s="153" t="s">
        <v>25</v>
      </c>
      <c r="Z10" s="151" t="s">
        <v>329</v>
      </c>
      <c r="AA10" s="152" t="s">
        <v>330</v>
      </c>
      <c r="AB10" s="153" t="s">
        <v>25</v>
      </c>
      <c r="AC10" s="151" t="s">
        <v>329</v>
      </c>
      <c r="AD10" s="152" t="s">
        <v>330</v>
      </c>
      <c r="AE10" s="153" t="s">
        <v>25</v>
      </c>
      <c r="AF10" s="151" t="s">
        <v>329</v>
      </c>
      <c r="AG10" s="152" t="s">
        <v>330</v>
      </c>
      <c r="AH10" s="153" t="s">
        <v>25</v>
      </c>
      <c r="AI10" s="151" t="s">
        <v>329</v>
      </c>
      <c r="AJ10" s="152" t="s">
        <v>330</v>
      </c>
      <c r="AK10" s="153" t="s">
        <v>25</v>
      </c>
      <c r="AL10" s="151" t="s">
        <v>329</v>
      </c>
      <c r="AM10" s="152" t="s">
        <v>330</v>
      </c>
      <c r="AN10" s="153" t="s">
        <v>25</v>
      </c>
      <c r="AO10" s="151" t="s">
        <v>329</v>
      </c>
      <c r="AP10" s="152" t="s">
        <v>330</v>
      </c>
      <c r="AQ10" s="153" t="s">
        <v>25</v>
      </c>
      <c r="AR10" s="151" t="s">
        <v>329</v>
      </c>
      <c r="AS10" s="152" t="s">
        <v>330</v>
      </c>
      <c r="AT10" s="153" t="s">
        <v>25</v>
      </c>
      <c r="AU10" s="151" t="s">
        <v>329</v>
      </c>
      <c r="AV10" s="152" t="s">
        <v>330</v>
      </c>
      <c r="AW10" s="153" t="s">
        <v>25</v>
      </c>
      <c r="AX10" s="151" t="s">
        <v>329</v>
      </c>
      <c r="AY10" s="152" t="s">
        <v>330</v>
      </c>
      <c r="AZ10" s="153" t="s">
        <v>25</v>
      </c>
      <c r="BA10" s="151" t="s">
        <v>329</v>
      </c>
      <c r="BB10" s="152" t="s">
        <v>330</v>
      </c>
      <c r="BC10" s="153" t="s">
        <v>25</v>
      </c>
      <c r="BD10" s="151" t="s">
        <v>329</v>
      </c>
      <c r="BE10" s="152" t="s">
        <v>330</v>
      </c>
      <c r="BF10" s="153" t="s">
        <v>25</v>
      </c>
      <c r="BG10" s="151" t="s">
        <v>329</v>
      </c>
      <c r="BH10" s="152" t="s">
        <v>330</v>
      </c>
      <c r="BI10" s="153" t="s">
        <v>25</v>
      </c>
      <c r="BJ10" s="151" t="s">
        <v>329</v>
      </c>
      <c r="BK10" s="152" t="s">
        <v>330</v>
      </c>
      <c r="BL10" s="153" t="s">
        <v>25</v>
      </c>
      <c r="BM10" s="151" t="s">
        <v>329</v>
      </c>
      <c r="BN10" s="152" t="s">
        <v>330</v>
      </c>
      <c r="BO10" s="153" t="s">
        <v>25</v>
      </c>
      <c r="BP10" s="151" t="s">
        <v>329</v>
      </c>
      <c r="BQ10" s="152" t="s">
        <v>330</v>
      </c>
      <c r="BR10" s="153" t="s">
        <v>25</v>
      </c>
      <c r="BS10" s="151" t="s">
        <v>329</v>
      </c>
      <c r="BT10" s="152" t="s">
        <v>330</v>
      </c>
      <c r="BU10" s="153" t="s">
        <v>25</v>
      </c>
      <c r="BV10" s="151" t="s">
        <v>329</v>
      </c>
      <c r="BW10" s="152" t="s">
        <v>330</v>
      </c>
      <c r="BX10" s="153" t="s">
        <v>25</v>
      </c>
      <c r="BY10" s="151" t="s">
        <v>329</v>
      </c>
      <c r="BZ10" s="152" t="s">
        <v>330</v>
      </c>
      <c r="CA10" s="153" t="s">
        <v>25</v>
      </c>
      <c r="CB10" s="151" t="s">
        <v>329</v>
      </c>
      <c r="CC10" s="152" t="s">
        <v>330</v>
      </c>
      <c r="CD10" s="153" t="s">
        <v>25</v>
      </c>
      <c r="CE10" s="151" t="s">
        <v>329</v>
      </c>
      <c r="CF10" s="152" t="s">
        <v>330</v>
      </c>
      <c r="CG10" s="153" t="s">
        <v>25</v>
      </c>
      <c r="CH10" s="151" t="s">
        <v>329</v>
      </c>
      <c r="CI10" s="152" t="s">
        <v>330</v>
      </c>
      <c r="CJ10" s="153" t="s">
        <v>25</v>
      </c>
      <c r="CK10" s="151" t="s">
        <v>329</v>
      </c>
      <c r="CL10" s="152" t="s">
        <v>330</v>
      </c>
      <c r="CM10" s="153" t="s">
        <v>25</v>
      </c>
      <c r="CN10" s="151" t="s">
        <v>329</v>
      </c>
      <c r="CO10" s="152" t="s">
        <v>330</v>
      </c>
      <c r="CP10" s="153" t="s">
        <v>25</v>
      </c>
      <c r="CQ10" s="151" t="s">
        <v>329</v>
      </c>
      <c r="CR10" s="152" t="s">
        <v>330</v>
      </c>
      <c r="CS10" s="153" t="s">
        <v>25</v>
      </c>
      <c r="CT10" s="151" t="s">
        <v>329</v>
      </c>
      <c r="CU10" s="152" t="s">
        <v>330</v>
      </c>
      <c r="CV10" s="153" t="s">
        <v>25</v>
      </c>
      <c r="CW10" s="151" t="s">
        <v>329</v>
      </c>
      <c r="CX10" s="152" t="s">
        <v>330</v>
      </c>
      <c r="CY10" s="153" t="s">
        <v>25</v>
      </c>
      <c r="CZ10" s="151" t="s">
        <v>329</v>
      </c>
      <c r="DA10" s="152" t="s">
        <v>330</v>
      </c>
      <c r="DB10" s="153" t="s">
        <v>25</v>
      </c>
      <c r="DC10" s="151" t="s">
        <v>329</v>
      </c>
      <c r="DD10" s="152" t="s">
        <v>330</v>
      </c>
      <c r="DE10" s="153" t="s">
        <v>25</v>
      </c>
      <c r="DF10" s="151" t="s">
        <v>329</v>
      </c>
      <c r="DG10" s="152" t="s">
        <v>330</v>
      </c>
      <c r="DH10" s="153" t="s">
        <v>25</v>
      </c>
      <c r="DI10" s="151" t="s">
        <v>329</v>
      </c>
      <c r="DJ10" s="152" t="s">
        <v>330</v>
      </c>
      <c r="DK10" s="153" t="s">
        <v>25</v>
      </c>
      <c r="DL10" s="151" t="s">
        <v>329</v>
      </c>
      <c r="DM10" s="152" t="s">
        <v>330</v>
      </c>
      <c r="DN10" s="153" t="s">
        <v>25</v>
      </c>
      <c r="DO10" s="151" t="s">
        <v>329</v>
      </c>
      <c r="DP10" s="152" t="s">
        <v>330</v>
      </c>
      <c r="DQ10" s="153" t="s">
        <v>25</v>
      </c>
      <c r="DR10" s="151" t="s">
        <v>329</v>
      </c>
      <c r="DS10" s="152" t="s">
        <v>330</v>
      </c>
      <c r="DT10" s="153" t="s">
        <v>25</v>
      </c>
      <c r="DU10" s="151" t="s">
        <v>329</v>
      </c>
      <c r="DV10" s="152" t="s">
        <v>330</v>
      </c>
      <c r="DW10" s="153" t="s">
        <v>25</v>
      </c>
      <c r="DX10" s="151" t="s">
        <v>329</v>
      </c>
      <c r="DY10" s="152"/>
      <c r="DZ10" s="153"/>
      <c r="EA10" s="153"/>
      <c r="EB10" s="153" t="s">
        <v>331</v>
      </c>
      <c r="EC10" s="153" t="s">
        <v>331</v>
      </c>
      <c r="ED10" s="153" t="s">
        <v>25</v>
      </c>
      <c r="EE10" s="154" t="s">
        <v>330</v>
      </c>
      <c r="EG10" s="153" t="s">
        <v>331</v>
      </c>
      <c r="EH10" s="153" t="s">
        <v>25</v>
      </c>
      <c r="EI10" s="154" t="s">
        <v>330</v>
      </c>
      <c r="EJ10" s="154"/>
      <c r="EK10" s="153" t="s">
        <v>331</v>
      </c>
      <c r="EL10" s="153" t="s">
        <v>331</v>
      </c>
      <c r="EM10" s="153" t="s">
        <v>25</v>
      </c>
      <c r="EN10" s="154" t="s">
        <v>330</v>
      </c>
    </row>
    <row r="11" spans="1:147" x14ac:dyDescent="0.25">
      <c r="A11" s="66">
        <v>43617</v>
      </c>
      <c r="D11" s="122">
        <f>(B11*C11)/360</f>
        <v>0</v>
      </c>
      <c r="G11" s="122">
        <f>(E11*F11)/360</f>
        <v>0</v>
      </c>
      <c r="J11" s="122">
        <f>(H11*I11)/360</f>
        <v>0</v>
      </c>
      <c r="M11" s="122">
        <f>(K11*L11)/360</f>
        <v>0</v>
      </c>
      <c r="P11" s="122">
        <f>(N11*O11)/360</f>
        <v>0</v>
      </c>
      <c r="S11" s="122">
        <f>(Q11*R11)/360</f>
        <v>0</v>
      </c>
      <c r="V11" s="122">
        <f>(T11*U11)/360</f>
        <v>0</v>
      </c>
      <c r="Y11" s="122">
        <f>(W11*X11)/360</f>
        <v>0</v>
      </c>
      <c r="AB11" s="122">
        <f>(Z11*AA11)/360</f>
        <v>0</v>
      </c>
      <c r="AE11" s="122">
        <v>0</v>
      </c>
      <c r="AH11" s="122">
        <v>0</v>
      </c>
      <c r="AI11" s="155">
        <f>96425000</f>
        <v>96425000</v>
      </c>
      <c r="AJ11" s="156">
        <v>2.5899999999999999E-2</v>
      </c>
      <c r="AK11" s="122">
        <f>(AI11*AJ11)/360</f>
        <v>6937.2430555555557</v>
      </c>
      <c r="AL11" s="155">
        <f t="shared" ref="AL11:AL16" si="0">25000000</f>
        <v>25000000</v>
      </c>
      <c r="AM11" s="156">
        <v>2.75E-2</v>
      </c>
      <c r="AN11" s="122">
        <f>(AL11*AM11)/360</f>
        <v>1909.7222222222222</v>
      </c>
      <c r="AO11" s="155">
        <f t="shared" ref="AO11:AO23" si="1">25000000</f>
        <v>25000000</v>
      </c>
      <c r="AP11" s="156">
        <v>2.7699999999999999E-2</v>
      </c>
      <c r="AQ11" s="122">
        <f>(AO11*AP11)/360</f>
        <v>1923.6111111111111</v>
      </c>
      <c r="AR11" s="155"/>
      <c r="AS11" s="156"/>
      <c r="AT11" s="122">
        <f>(AR11*AS11)/360</f>
        <v>0</v>
      </c>
      <c r="AW11" s="122">
        <f>(AU11*AV11)/360</f>
        <v>0</v>
      </c>
      <c r="AZ11" s="122">
        <f>(AX11*AY11)/360</f>
        <v>0</v>
      </c>
      <c r="BC11" s="122">
        <f>(BA11*BB11)/360</f>
        <v>0</v>
      </c>
      <c r="BF11" s="122">
        <f>(BD11*BE11)/360</f>
        <v>0</v>
      </c>
      <c r="BI11" s="122">
        <f>(BG11*BH11)/360</f>
        <v>0</v>
      </c>
      <c r="BL11" s="122">
        <f>(BJ11*BK11)/360</f>
        <v>0</v>
      </c>
      <c r="BO11" s="122">
        <f>(BM11*BN11)/360</f>
        <v>0</v>
      </c>
      <c r="BR11" s="122">
        <f>(BP11*BQ11)/360</f>
        <v>0</v>
      </c>
      <c r="BU11" s="122">
        <f>(BS11*BT11)/360</f>
        <v>0</v>
      </c>
      <c r="BX11" s="122">
        <f>(BV11*BW11)/360</f>
        <v>0</v>
      </c>
      <c r="CA11" s="122">
        <f>(BY11*BZ11)/360</f>
        <v>0</v>
      </c>
      <c r="CD11" s="122">
        <f>(CB11*CC11)/360</f>
        <v>0</v>
      </c>
      <c r="CG11" s="122">
        <f>(CE11*CF11)/360</f>
        <v>0</v>
      </c>
      <c r="CJ11" s="122">
        <f>(CH11*CI11)/360</f>
        <v>0</v>
      </c>
      <c r="CM11" s="122">
        <f>(CK11*CL11)/360</f>
        <v>0</v>
      </c>
      <c r="CP11" s="122">
        <f>(CN11*CO11)/360</f>
        <v>0</v>
      </c>
      <c r="CS11" s="122">
        <f>(CQ11*CR11)/360</f>
        <v>0</v>
      </c>
      <c r="CV11" s="122">
        <f>(CT11*CU11)/360</f>
        <v>0</v>
      </c>
      <c r="CY11" s="122">
        <f>(CW11*CX11)/360</f>
        <v>0</v>
      </c>
      <c r="DB11" s="122">
        <f>(CZ11*DA11)/360</f>
        <v>0</v>
      </c>
      <c r="DE11" s="122">
        <f>(DC11*DD11)/360</f>
        <v>0</v>
      </c>
      <c r="DH11" s="122">
        <f>(DF11*DG11)/360</f>
        <v>0</v>
      </c>
      <c r="DK11" s="122">
        <f>(DI11*DJ11)/360</f>
        <v>0</v>
      </c>
      <c r="DN11" s="122">
        <f>(DL11*DM11)/360</f>
        <v>0</v>
      </c>
      <c r="DQ11" s="122">
        <f>(DO11*DP11)/360</f>
        <v>0</v>
      </c>
      <c r="DT11" s="122">
        <f>(DR11*DS11)/360</f>
        <v>0</v>
      </c>
      <c r="DW11" s="122">
        <f>(DU11*DV11)/360</f>
        <v>0</v>
      </c>
      <c r="DZ11" s="122"/>
      <c r="EA11" s="122"/>
      <c r="EB11" s="157">
        <f>B11+E11+H11+K11+N11+Q11+T11+W11+Z11+AC11+AF11+AL11+AO11+AR11+AU11+AX11+BA11+BD11+BG11+DU11+AI11+DR11+DO11+DL11+DI11+DF11+DC11+CZ11+CW11+CT11+CQ11+CN11+CK11+CH11+CE11+CB11+BY11+BV11+BS11+BP11+BM11+BJ11</f>
        <v>146425000</v>
      </c>
      <c r="EC11" s="157">
        <f>EB11-EK11+EL11</f>
        <v>0</v>
      </c>
      <c r="ED11" s="122">
        <f>D11+G11+J11+M11+P11+S11+V11+Y11+AB11+AE11+AH11+AK11+AN11+AQ11+AT11+AW11+AZ11+BC11+BF11+BI11+DW11+DT11+DQ11+DN11+DK11+DH11+DE11+DB11+CY11+CV11+CS11+CP11+CM11+CJ11+CG11+CD11+CA11+BX11+BU11+BR11+BO11+BL11</f>
        <v>10770.576388888889</v>
      </c>
      <c r="EE11" s="123">
        <f>IF(EB11&lt;&gt;0,((ED11/EB11)*360),0)</f>
        <v>2.6480501963462522E-2</v>
      </c>
      <c r="EG11" s="157">
        <f>Q11+T11+W11+Z11+AC11+AF11</f>
        <v>0</v>
      </c>
      <c r="EH11" s="122">
        <f>S11+V11+Y11+AB11+AE11+AH11</f>
        <v>0</v>
      </c>
      <c r="EI11" s="123">
        <f>IF(EG11&lt;&gt;0,((EH11/EG11)*360),0)</f>
        <v>0</v>
      </c>
      <c r="EJ11" s="123"/>
      <c r="EK11" s="157">
        <f>DR11+DL11+DI11+DF11+DC11+CZ11+CW11+CT11+CQ11+CN11+CK11+CH11+CE11+CB11+BY11+BV11+BS11+BP11+BM11+BJ11+BG11+BD11+BA11+AX11+AU11+AR11+AO11+AL11+AI11+DO11</f>
        <v>146425000</v>
      </c>
      <c r="EL11" s="157">
        <f>DX11</f>
        <v>0</v>
      </c>
      <c r="EM11" s="157">
        <f>DT11+DQ11+DN11+DK11+DH11+DE11+DB11+CY11+CV11+CS11+CP11+CM11+CJ11+CG11+CD11+CA11+BX11+BU11+BR11+BO11+BL11+BI11+BF11+BC11+AZ11+AW11+AT11+AQ11+AN11+AK11</f>
        <v>10770.576388888889</v>
      </c>
      <c r="EN11" s="123">
        <f>IF(EK11&lt;&gt;0,((EM11/EK11)*360),0)</f>
        <v>2.6480501963462522E-2</v>
      </c>
      <c r="EO11" s="160"/>
      <c r="EP11" s="122"/>
    </row>
    <row r="12" spans="1:147" x14ac:dyDescent="0.25">
      <c r="A12" s="66">
        <f>1+A11</f>
        <v>43618</v>
      </c>
      <c r="D12" s="122">
        <f t="shared" ref="D12:D40" si="2">(B12*C12)/360</f>
        <v>0</v>
      </c>
      <c r="G12" s="122">
        <f t="shared" ref="G12:G40" si="3">(E12*F12)/360</f>
        <v>0</v>
      </c>
      <c r="J12" s="122">
        <f t="shared" ref="J12:J40" si="4">(H12*I12)/360</f>
        <v>0</v>
      </c>
      <c r="M12" s="122">
        <f t="shared" ref="M12:M40" si="5">(K12*L12)/360</f>
        <v>0</v>
      </c>
      <c r="P12" s="122">
        <f t="shared" ref="P12:P40" si="6">(N12*O12)/360</f>
        <v>0</v>
      </c>
      <c r="S12" s="122">
        <f t="shared" ref="S12:S40" si="7">(Q12*R12)/360</f>
        <v>0</v>
      </c>
      <c r="V12" s="122">
        <f t="shared" ref="V12:V40" si="8">(T12*U12)/360</f>
        <v>0</v>
      </c>
      <c r="Y12" s="122">
        <f t="shared" ref="Y12:Y40" si="9">(W12*X12)/360</f>
        <v>0</v>
      </c>
      <c r="AB12" s="122">
        <f t="shared" ref="AB12:AB40" si="10">(Z12*AA12)/360</f>
        <v>0</v>
      </c>
      <c r="AE12" s="122">
        <v>0</v>
      </c>
      <c r="AH12" s="122">
        <v>0</v>
      </c>
      <c r="AI12" s="155">
        <f>96425000</f>
        <v>96425000</v>
      </c>
      <c r="AJ12" s="156">
        <v>2.5899999999999999E-2</v>
      </c>
      <c r="AK12" s="122">
        <f t="shared" ref="AK12:AK40" si="11">(AI12*AJ12)/360</f>
        <v>6937.2430555555557</v>
      </c>
      <c r="AL12" s="155">
        <f t="shared" si="0"/>
        <v>25000000</v>
      </c>
      <c r="AM12" s="156">
        <v>2.75E-2</v>
      </c>
      <c r="AN12" s="122">
        <f t="shared" ref="AN12:AN40" si="12">(AL12*AM12)/360</f>
        <v>1909.7222222222222</v>
      </c>
      <c r="AO12" s="155">
        <f t="shared" si="1"/>
        <v>25000000</v>
      </c>
      <c r="AP12" s="156">
        <v>2.7699999999999999E-2</v>
      </c>
      <c r="AQ12" s="122">
        <f t="shared" ref="AQ12:AQ40" si="13">(AO12*AP12)/360</f>
        <v>1923.6111111111111</v>
      </c>
      <c r="AR12" s="155"/>
      <c r="AS12" s="156"/>
      <c r="AT12" s="122">
        <f t="shared" ref="AT12:AT40" si="14">(AR12*AS12)/360</f>
        <v>0</v>
      </c>
      <c r="AW12" s="122">
        <f t="shared" ref="AW12:AW40" si="15">(AU12*AV12)/360</f>
        <v>0</v>
      </c>
      <c r="AZ12" s="122">
        <f t="shared" ref="AZ12:AZ40" si="16">(AX12*AY12)/360</f>
        <v>0</v>
      </c>
      <c r="BC12" s="122">
        <f t="shared" ref="BC12:BC40" si="17">(BA12*BB12)/360</f>
        <v>0</v>
      </c>
      <c r="BF12" s="122">
        <f t="shared" ref="BF12:BF40" si="18">(BD12*BE12)/360</f>
        <v>0</v>
      </c>
      <c r="BI12" s="122">
        <f t="shared" ref="BI12:BI40" si="19">(BG12*BH12)/360</f>
        <v>0</v>
      </c>
      <c r="BL12" s="122">
        <f t="shared" ref="BL12:BL40" si="20">(BJ12*BK12)/360</f>
        <v>0</v>
      </c>
      <c r="BO12" s="122">
        <f t="shared" ref="BO12:BO40" si="21">(BM12*BN12)/360</f>
        <v>0</v>
      </c>
      <c r="BR12" s="122">
        <f t="shared" ref="BR12:BR40" si="22">(BP12*BQ12)/360</f>
        <v>0</v>
      </c>
      <c r="BU12" s="122">
        <f t="shared" ref="BU12:BU40" si="23">(BS12*BT12)/360</f>
        <v>0</v>
      </c>
      <c r="BX12" s="122">
        <f t="shared" ref="BX12:BX40" si="24">(BV12*BW12)/360</f>
        <v>0</v>
      </c>
      <c r="CA12" s="122">
        <f t="shared" ref="CA12:CA40" si="25">(BY12*BZ12)/360</f>
        <v>0</v>
      </c>
      <c r="CD12" s="122">
        <f t="shared" ref="CD12:CD40" si="26">(CB12*CC12)/360</f>
        <v>0</v>
      </c>
      <c r="CG12" s="122">
        <f t="shared" ref="CG12:CG40" si="27">(CE12*CF12)/360</f>
        <v>0</v>
      </c>
      <c r="CJ12" s="122">
        <f t="shared" ref="CJ12:CJ40" si="28">(CH12*CI12)/360</f>
        <v>0</v>
      </c>
      <c r="CM12" s="122">
        <f t="shared" ref="CM12:CM40" si="29">(CK12*CL12)/360</f>
        <v>0</v>
      </c>
      <c r="CP12" s="122">
        <f t="shared" ref="CP12:CP40" si="30">(CN12*CO12)/360</f>
        <v>0</v>
      </c>
      <c r="CS12" s="122">
        <f t="shared" ref="CS12:CS40" si="31">(CQ12*CR12)/360</f>
        <v>0</v>
      </c>
      <c r="CV12" s="122">
        <f t="shared" ref="CV12:CV40" si="32">(CT12*CU12)/360</f>
        <v>0</v>
      </c>
      <c r="CY12" s="122">
        <f t="shared" ref="CY12:CY40" si="33">(CW12*CX12)/360</f>
        <v>0</v>
      </c>
      <c r="DB12" s="122">
        <f t="shared" ref="DB12:DB40" si="34">(CZ12*DA12)/360</f>
        <v>0</v>
      </c>
      <c r="DE12" s="122">
        <f t="shared" ref="DE12:DE40" si="35">(DC12*DD12)/360</f>
        <v>0</v>
      </c>
      <c r="DH12" s="122">
        <f t="shared" ref="DH12:DH40" si="36">(DF12*DG12)/360</f>
        <v>0</v>
      </c>
      <c r="DK12" s="122">
        <f t="shared" ref="DK12:DK40" si="37">(DI12*DJ12)/360</f>
        <v>0</v>
      </c>
      <c r="DN12" s="122">
        <f t="shared" ref="DN12:DN40" si="38">(DL12*DM12)/360</f>
        <v>0</v>
      </c>
      <c r="DQ12" s="122">
        <f t="shared" ref="DQ12:DQ40" si="39">(DO12*DP12)/360</f>
        <v>0</v>
      </c>
      <c r="DT12" s="122">
        <f t="shared" ref="DT12:DT40" si="40">(DR12*DS12)/360</f>
        <v>0</v>
      </c>
      <c r="DW12" s="122">
        <f t="shared" ref="DW12:DW40" si="41">(DU12*DV12)/360</f>
        <v>0</v>
      </c>
      <c r="DZ12" s="122"/>
      <c r="EA12" s="122"/>
      <c r="EB12" s="157">
        <f t="shared" ref="EB12:EB40" si="42">B12+E12+H12+K12+N12+Q12+T12+W12+Z12+AC12+AF12+AL12+AO12+AR12+AU12+AX12+BA12+BD12+BG12+DU12+AI12+DR12+DO12+DL12+DI12+DF12+DC12+CZ12+CW12+CT12+CQ12+CN12+CK12+CH12+CE12+CB12+BY12+BV12+BS12+BP12+BM12+BJ12</f>
        <v>146425000</v>
      </c>
      <c r="EC12" s="157">
        <f t="shared" ref="EC12:EC40" si="43">EB12-EK12+EL12</f>
        <v>0</v>
      </c>
      <c r="ED12" s="122">
        <f t="shared" ref="ED12:ED40" si="44">D12+G12+J12+M12+P12+S12+V12+Y12+AB12+AE12+AH12+AK12+AN12+AQ12+AT12+AW12+AZ12+BC12+BF12+BI12+DW12+DT12+DQ12+DN12+DK12+DH12+DE12+DB12+CY12+CV12+CS12+CP12+CM12+CJ12+CG12+CD12+CA12+BX12+BU12+BR12+BO12+BL12</f>
        <v>10770.576388888889</v>
      </c>
      <c r="EE12" s="123">
        <f t="shared" ref="EE12:EE40" si="45">IF(EB12&lt;&gt;0,((ED12/EB12)*360),0)</f>
        <v>2.6480501963462522E-2</v>
      </c>
      <c r="EG12" s="157">
        <f t="shared" ref="EG12:EG40" si="46">Q12+T12+W12+Z12+AC12+AF12</f>
        <v>0</v>
      </c>
      <c r="EH12" s="122">
        <f t="shared" ref="EH12:EH40" si="47">S12+V12+Y12+AB12+AE12+AH12</f>
        <v>0</v>
      </c>
      <c r="EI12" s="123">
        <f t="shared" ref="EI12:EI40" si="48">IF(EG12&lt;&gt;0,((EH12/EG12)*360),0)</f>
        <v>0</v>
      </c>
      <c r="EJ12" s="123"/>
      <c r="EK12" s="157">
        <f t="shared" ref="EK12:EK40" si="49">DR12+DL12+DI12+DF12+DC12+CZ12+CW12+CT12+CQ12+CN12+CK12+CH12+CE12+CB12+BY12+BV12+BS12+BP12+BM12+BJ12+BG12+BD12+BA12+AX12+AU12+AR12+AO12+AL12+AI12+DO12</f>
        <v>146425000</v>
      </c>
      <c r="EL12" s="157">
        <f t="shared" ref="EL12:EL40" si="50">DX12</f>
        <v>0</v>
      </c>
      <c r="EM12" s="157">
        <f t="shared" ref="EM12:EM40" si="51">DT12+DQ12+DN12+DK12+DH12+DE12+DB12+CY12+CV12+CS12+CP12+CM12+CJ12+CG12+CD12+CA12+BX12+BU12+BR12+BO12+BL12+BI12+BF12+BC12+AZ12+AW12+AT12+AQ12+AN12+AK12</f>
        <v>10770.576388888889</v>
      </c>
      <c r="EN12" s="123">
        <f t="shared" ref="EN12:EN40" si="52">IF(EK12&lt;&gt;0,((EM12/EK12)*360),0)</f>
        <v>2.6480501963462522E-2</v>
      </c>
      <c r="EO12" s="160"/>
      <c r="EP12" s="122"/>
    </row>
    <row r="13" spans="1:147" x14ac:dyDescent="0.25">
      <c r="A13" s="66">
        <f t="shared" ref="A13:A40" si="53">1+A12</f>
        <v>43619</v>
      </c>
      <c r="D13" s="122">
        <f t="shared" si="2"/>
        <v>0</v>
      </c>
      <c r="G13" s="122">
        <f t="shared" si="3"/>
        <v>0</v>
      </c>
      <c r="J13" s="122">
        <f t="shared" si="4"/>
        <v>0</v>
      </c>
      <c r="M13" s="122">
        <f t="shared" si="5"/>
        <v>0</v>
      </c>
      <c r="P13" s="122">
        <f t="shared" si="6"/>
        <v>0</v>
      </c>
      <c r="S13" s="122">
        <f t="shared" si="7"/>
        <v>0</v>
      </c>
      <c r="V13" s="122">
        <f t="shared" si="8"/>
        <v>0</v>
      </c>
      <c r="Y13" s="122">
        <f t="shared" si="9"/>
        <v>0</v>
      </c>
      <c r="AB13" s="122">
        <f t="shared" si="10"/>
        <v>0</v>
      </c>
      <c r="AE13" s="122">
        <v>0</v>
      </c>
      <c r="AH13" s="122">
        <v>0</v>
      </c>
      <c r="AI13" s="155">
        <f>70200000</f>
        <v>70200000</v>
      </c>
      <c r="AJ13" s="156">
        <v>2.5899999999999999E-2</v>
      </c>
      <c r="AK13" s="122">
        <f t="shared" si="11"/>
        <v>5050.5</v>
      </c>
      <c r="AL13" s="155">
        <f t="shared" si="0"/>
        <v>25000000</v>
      </c>
      <c r="AM13" s="156">
        <v>2.75E-2</v>
      </c>
      <c r="AN13" s="122">
        <f t="shared" si="12"/>
        <v>1909.7222222222222</v>
      </c>
      <c r="AO13" s="155">
        <f t="shared" si="1"/>
        <v>25000000</v>
      </c>
      <c r="AP13" s="156">
        <v>2.7699999999999999E-2</v>
      </c>
      <c r="AQ13" s="122">
        <f t="shared" si="13"/>
        <v>1923.6111111111111</v>
      </c>
      <c r="AR13" s="155">
        <f t="shared" ref="AR13:AR40" si="54">30000000</f>
        <v>30000000</v>
      </c>
      <c r="AS13" s="156">
        <v>2.7199999999999998E-2</v>
      </c>
      <c r="AT13" s="122">
        <f t="shared" si="14"/>
        <v>2266.6666666666665</v>
      </c>
      <c r="AW13" s="122">
        <f t="shared" si="15"/>
        <v>0</v>
      </c>
      <c r="AZ13" s="122">
        <f t="shared" si="16"/>
        <v>0</v>
      </c>
      <c r="BC13" s="122">
        <f t="shared" si="17"/>
        <v>0</v>
      </c>
      <c r="BF13" s="122">
        <f t="shared" si="18"/>
        <v>0</v>
      </c>
      <c r="BI13" s="122">
        <f t="shared" si="19"/>
        <v>0</v>
      </c>
      <c r="BL13" s="122">
        <f t="shared" si="20"/>
        <v>0</v>
      </c>
      <c r="BO13" s="122">
        <f t="shared" si="21"/>
        <v>0</v>
      </c>
      <c r="BR13" s="122">
        <f t="shared" si="22"/>
        <v>0</v>
      </c>
      <c r="BU13" s="122">
        <f t="shared" si="23"/>
        <v>0</v>
      </c>
      <c r="BX13" s="122">
        <f t="shared" si="24"/>
        <v>0</v>
      </c>
      <c r="CA13" s="122">
        <f t="shared" si="25"/>
        <v>0</v>
      </c>
      <c r="CD13" s="122">
        <f t="shared" si="26"/>
        <v>0</v>
      </c>
      <c r="CG13" s="122">
        <f t="shared" si="27"/>
        <v>0</v>
      </c>
      <c r="CJ13" s="122">
        <f t="shared" si="28"/>
        <v>0</v>
      </c>
      <c r="CM13" s="122">
        <f t="shared" si="29"/>
        <v>0</v>
      </c>
      <c r="CP13" s="122">
        <f t="shared" si="30"/>
        <v>0</v>
      </c>
      <c r="CS13" s="122">
        <f t="shared" si="31"/>
        <v>0</v>
      </c>
      <c r="CV13" s="122">
        <f t="shared" si="32"/>
        <v>0</v>
      </c>
      <c r="CY13" s="122">
        <f t="shared" si="33"/>
        <v>0</v>
      </c>
      <c r="DB13" s="122">
        <f t="shared" si="34"/>
        <v>0</v>
      </c>
      <c r="DE13" s="122">
        <f t="shared" si="35"/>
        <v>0</v>
      </c>
      <c r="DH13" s="122">
        <f t="shared" si="36"/>
        <v>0</v>
      </c>
      <c r="DK13" s="122">
        <f t="shared" si="37"/>
        <v>0</v>
      </c>
      <c r="DN13" s="122">
        <f t="shared" si="38"/>
        <v>0</v>
      </c>
      <c r="DQ13" s="122">
        <f t="shared" si="39"/>
        <v>0</v>
      </c>
      <c r="DT13" s="122">
        <f t="shared" si="40"/>
        <v>0</v>
      </c>
      <c r="DW13" s="122">
        <f t="shared" si="41"/>
        <v>0</v>
      </c>
      <c r="DZ13" s="122"/>
      <c r="EA13" s="122"/>
      <c r="EB13" s="157">
        <f t="shared" si="42"/>
        <v>150200000</v>
      </c>
      <c r="EC13" s="157">
        <f t="shared" si="43"/>
        <v>0</v>
      </c>
      <c r="ED13" s="122">
        <f t="shared" si="44"/>
        <v>11150.5</v>
      </c>
      <c r="EE13" s="123">
        <f t="shared" si="45"/>
        <v>2.672556591211718E-2</v>
      </c>
      <c r="EG13" s="157">
        <f t="shared" si="46"/>
        <v>0</v>
      </c>
      <c r="EH13" s="122">
        <f t="shared" si="47"/>
        <v>0</v>
      </c>
      <c r="EI13" s="123">
        <f t="shared" si="48"/>
        <v>0</v>
      </c>
      <c r="EJ13" s="123"/>
      <c r="EK13" s="157">
        <f t="shared" si="49"/>
        <v>150200000</v>
      </c>
      <c r="EL13" s="157">
        <f t="shared" si="50"/>
        <v>0</v>
      </c>
      <c r="EM13" s="157">
        <f t="shared" si="51"/>
        <v>11150.5</v>
      </c>
      <c r="EN13" s="123">
        <f t="shared" si="52"/>
        <v>2.672556591211718E-2</v>
      </c>
      <c r="EO13" s="122"/>
      <c r="EP13" s="122"/>
    </row>
    <row r="14" spans="1:147" x14ac:dyDescent="0.25">
      <c r="A14" s="66">
        <f t="shared" si="53"/>
        <v>43620</v>
      </c>
      <c r="D14" s="122">
        <f t="shared" si="2"/>
        <v>0</v>
      </c>
      <c r="G14" s="122">
        <f t="shared" si="3"/>
        <v>0</v>
      </c>
      <c r="J14" s="122">
        <f t="shared" si="4"/>
        <v>0</v>
      </c>
      <c r="M14" s="122">
        <f t="shared" si="5"/>
        <v>0</v>
      </c>
      <c r="P14" s="122">
        <f t="shared" si="6"/>
        <v>0</v>
      </c>
      <c r="S14" s="122">
        <f t="shared" si="7"/>
        <v>0</v>
      </c>
      <c r="V14" s="122">
        <f t="shared" si="8"/>
        <v>0</v>
      </c>
      <c r="Y14" s="122">
        <f t="shared" si="9"/>
        <v>0</v>
      </c>
      <c r="AB14" s="122">
        <f t="shared" si="10"/>
        <v>0</v>
      </c>
      <c r="AE14" s="122">
        <v>0</v>
      </c>
      <c r="AH14" s="122">
        <v>0</v>
      </c>
      <c r="AI14" s="155">
        <f>67475000</f>
        <v>67475000</v>
      </c>
      <c r="AJ14" s="156">
        <v>2.5899999999999999E-2</v>
      </c>
      <c r="AK14" s="122">
        <f t="shared" si="11"/>
        <v>4854.4513888888887</v>
      </c>
      <c r="AL14" s="155">
        <f t="shared" si="0"/>
        <v>25000000</v>
      </c>
      <c r="AM14" s="156">
        <v>2.75E-2</v>
      </c>
      <c r="AN14" s="122">
        <f t="shared" si="12"/>
        <v>1909.7222222222222</v>
      </c>
      <c r="AO14" s="155">
        <f t="shared" si="1"/>
        <v>25000000</v>
      </c>
      <c r="AP14" s="156">
        <v>2.7699999999999999E-2</v>
      </c>
      <c r="AQ14" s="122">
        <f t="shared" si="13"/>
        <v>1923.6111111111111</v>
      </c>
      <c r="AR14" s="155">
        <f t="shared" si="54"/>
        <v>30000000</v>
      </c>
      <c r="AS14" s="156">
        <v>2.7199999999999998E-2</v>
      </c>
      <c r="AT14" s="122">
        <f t="shared" si="14"/>
        <v>2266.6666666666665</v>
      </c>
      <c r="AW14" s="122">
        <f t="shared" si="15"/>
        <v>0</v>
      </c>
      <c r="AZ14" s="122">
        <f t="shared" si="16"/>
        <v>0</v>
      </c>
      <c r="BC14" s="122">
        <f t="shared" si="17"/>
        <v>0</v>
      </c>
      <c r="BF14" s="122">
        <f t="shared" si="18"/>
        <v>0</v>
      </c>
      <c r="BI14" s="122">
        <f t="shared" si="19"/>
        <v>0</v>
      </c>
      <c r="BL14" s="122">
        <f t="shared" si="20"/>
        <v>0</v>
      </c>
      <c r="BO14" s="122">
        <f t="shared" si="21"/>
        <v>0</v>
      </c>
      <c r="BR14" s="122">
        <f t="shared" si="22"/>
        <v>0</v>
      </c>
      <c r="BU14" s="122">
        <f t="shared" si="23"/>
        <v>0</v>
      </c>
      <c r="BX14" s="122">
        <f t="shared" si="24"/>
        <v>0</v>
      </c>
      <c r="CA14" s="122">
        <f t="shared" si="25"/>
        <v>0</v>
      </c>
      <c r="CD14" s="122">
        <f t="shared" si="26"/>
        <v>0</v>
      </c>
      <c r="CG14" s="122">
        <f t="shared" si="27"/>
        <v>0</v>
      </c>
      <c r="CJ14" s="122">
        <f t="shared" si="28"/>
        <v>0</v>
      </c>
      <c r="CM14" s="122">
        <f t="shared" si="29"/>
        <v>0</v>
      </c>
      <c r="CP14" s="122">
        <f t="shared" si="30"/>
        <v>0</v>
      </c>
      <c r="CS14" s="122">
        <f t="shared" si="31"/>
        <v>0</v>
      </c>
      <c r="CV14" s="122">
        <f t="shared" si="32"/>
        <v>0</v>
      </c>
      <c r="CY14" s="122">
        <f t="shared" si="33"/>
        <v>0</v>
      </c>
      <c r="DB14" s="122">
        <f t="shared" si="34"/>
        <v>0</v>
      </c>
      <c r="DE14" s="122">
        <f t="shared" si="35"/>
        <v>0</v>
      </c>
      <c r="DH14" s="122">
        <f t="shared" si="36"/>
        <v>0</v>
      </c>
      <c r="DK14" s="122">
        <f t="shared" si="37"/>
        <v>0</v>
      </c>
      <c r="DN14" s="122">
        <f t="shared" si="38"/>
        <v>0</v>
      </c>
      <c r="DQ14" s="122">
        <f t="shared" si="39"/>
        <v>0</v>
      </c>
      <c r="DT14" s="122">
        <f t="shared" si="40"/>
        <v>0</v>
      </c>
      <c r="DW14" s="122">
        <f t="shared" si="41"/>
        <v>0</v>
      </c>
      <c r="DZ14" s="122"/>
      <c r="EA14" s="122"/>
      <c r="EB14" s="157">
        <f t="shared" si="42"/>
        <v>147475000</v>
      </c>
      <c r="EC14" s="157">
        <f t="shared" si="43"/>
        <v>0</v>
      </c>
      <c r="ED14" s="122">
        <f t="shared" si="44"/>
        <v>10954.451388888889</v>
      </c>
      <c r="EE14" s="123">
        <f t="shared" si="45"/>
        <v>2.6740820478047125E-2</v>
      </c>
      <c r="EG14" s="157">
        <f t="shared" si="46"/>
        <v>0</v>
      </c>
      <c r="EH14" s="122">
        <f t="shared" si="47"/>
        <v>0</v>
      </c>
      <c r="EI14" s="123">
        <f t="shared" si="48"/>
        <v>0</v>
      </c>
      <c r="EJ14" s="123"/>
      <c r="EK14" s="157">
        <f t="shared" si="49"/>
        <v>147475000</v>
      </c>
      <c r="EL14" s="157">
        <f t="shared" si="50"/>
        <v>0</v>
      </c>
      <c r="EM14" s="157">
        <f t="shared" si="51"/>
        <v>10954.451388888889</v>
      </c>
      <c r="EN14" s="123">
        <f t="shared" si="52"/>
        <v>2.6740820478047125E-2</v>
      </c>
      <c r="EO14" s="122"/>
      <c r="EP14" s="122"/>
    </row>
    <row r="15" spans="1:147" x14ac:dyDescent="0.25">
      <c r="A15" s="66">
        <f t="shared" si="53"/>
        <v>43621</v>
      </c>
      <c r="D15" s="122">
        <f t="shared" si="2"/>
        <v>0</v>
      </c>
      <c r="G15" s="122">
        <f t="shared" si="3"/>
        <v>0</v>
      </c>
      <c r="J15" s="122">
        <f t="shared" si="4"/>
        <v>0</v>
      </c>
      <c r="M15" s="122">
        <f t="shared" si="5"/>
        <v>0</v>
      </c>
      <c r="P15" s="122">
        <f t="shared" si="6"/>
        <v>0</v>
      </c>
      <c r="S15" s="122">
        <f t="shared" si="7"/>
        <v>0</v>
      </c>
      <c r="V15" s="122">
        <f t="shared" si="8"/>
        <v>0</v>
      </c>
      <c r="Y15" s="122">
        <f t="shared" si="9"/>
        <v>0</v>
      </c>
      <c r="AB15" s="122">
        <f t="shared" si="10"/>
        <v>0</v>
      </c>
      <c r="AE15" s="122">
        <v>0</v>
      </c>
      <c r="AH15" s="122">
        <v>0</v>
      </c>
      <c r="AI15" s="155">
        <f>62625000</f>
        <v>62625000</v>
      </c>
      <c r="AJ15" s="156">
        <v>2.58E-2</v>
      </c>
      <c r="AK15" s="122">
        <f t="shared" si="11"/>
        <v>4488.125</v>
      </c>
      <c r="AL15" s="155">
        <f t="shared" si="0"/>
        <v>25000000</v>
      </c>
      <c r="AM15" s="156">
        <v>2.75E-2</v>
      </c>
      <c r="AN15" s="122">
        <f t="shared" si="12"/>
        <v>1909.7222222222222</v>
      </c>
      <c r="AO15" s="155">
        <f t="shared" si="1"/>
        <v>25000000</v>
      </c>
      <c r="AP15" s="156">
        <v>2.7699999999999999E-2</v>
      </c>
      <c r="AQ15" s="122">
        <f t="shared" si="13"/>
        <v>1923.6111111111111</v>
      </c>
      <c r="AR15" s="155">
        <f t="shared" si="54"/>
        <v>30000000</v>
      </c>
      <c r="AS15" s="156">
        <v>2.7199999999999998E-2</v>
      </c>
      <c r="AT15" s="122">
        <f t="shared" si="14"/>
        <v>2266.6666666666665</v>
      </c>
      <c r="AW15" s="122">
        <f t="shared" si="15"/>
        <v>0</v>
      </c>
      <c r="AZ15" s="122">
        <f t="shared" si="16"/>
        <v>0</v>
      </c>
      <c r="BC15" s="122">
        <f t="shared" si="17"/>
        <v>0</v>
      </c>
      <c r="BF15" s="122">
        <f t="shared" si="18"/>
        <v>0</v>
      </c>
      <c r="BI15" s="122">
        <f t="shared" si="19"/>
        <v>0</v>
      </c>
      <c r="BL15" s="122">
        <f t="shared" si="20"/>
        <v>0</v>
      </c>
      <c r="BO15" s="122">
        <f t="shared" si="21"/>
        <v>0</v>
      </c>
      <c r="BR15" s="122">
        <f t="shared" si="22"/>
        <v>0</v>
      </c>
      <c r="BU15" s="122">
        <f t="shared" si="23"/>
        <v>0</v>
      </c>
      <c r="BX15" s="122">
        <f t="shared" si="24"/>
        <v>0</v>
      </c>
      <c r="CA15" s="122">
        <f t="shared" si="25"/>
        <v>0</v>
      </c>
      <c r="CD15" s="122">
        <f t="shared" si="26"/>
        <v>0</v>
      </c>
      <c r="CG15" s="122">
        <f t="shared" si="27"/>
        <v>0</v>
      </c>
      <c r="CJ15" s="122">
        <f t="shared" si="28"/>
        <v>0</v>
      </c>
      <c r="CM15" s="122">
        <f t="shared" si="29"/>
        <v>0</v>
      </c>
      <c r="CP15" s="122">
        <f t="shared" si="30"/>
        <v>0</v>
      </c>
      <c r="CS15" s="122">
        <f t="shared" si="31"/>
        <v>0</v>
      </c>
      <c r="CV15" s="122">
        <f t="shared" si="32"/>
        <v>0</v>
      </c>
      <c r="CY15" s="122">
        <f t="shared" si="33"/>
        <v>0</v>
      </c>
      <c r="DB15" s="122">
        <f t="shared" si="34"/>
        <v>0</v>
      </c>
      <c r="DE15" s="122">
        <f t="shared" si="35"/>
        <v>0</v>
      </c>
      <c r="DH15" s="122">
        <f t="shared" si="36"/>
        <v>0</v>
      </c>
      <c r="DK15" s="122">
        <f t="shared" si="37"/>
        <v>0</v>
      </c>
      <c r="DN15" s="122">
        <f t="shared" si="38"/>
        <v>0</v>
      </c>
      <c r="DQ15" s="122">
        <f t="shared" si="39"/>
        <v>0</v>
      </c>
      <c r="DT15" s="122">
        <f t="shared" si="40"/>
        <v>0</v>
      </c>
      <c r="DW15" s="122">
        <f t="shared" si="41"/>
        <v>0</v>
      </c>
      <c r="DZ15" s="122"/>
      <c r="EA15" s="122"/>
      <c r="EB15" s="157">
        <f t="shared" si="42"/>
        <v>142625000</v>
      </c>
      <c r="EC15" s="157">
        <f t="shared" si="43"/>
        <v>0</v>
      </c>
      <c r="ED15" s="122">
        <f t="shared" si="44"/>
        <v>10588.125</v>
      </c>
      <c r="EE15" s="123">
        <f t="shared" si="45"/>
        <v>2.6725503943908852E-2</v>
      </c>
      <c r="EG15" s="157">
        <f t="shared" si="46"/>
        <v>0</v>
      </c>
      <c r="EH15" s="122">
        <f t="shared" si="47"/>
        <v>0</v>
      </c>
      <c r="EI15" s="123">
        <f t="shared" si="48"/>
        <v>0</v>
      </c>
      <c r="EJ15" s="123"/>
      <c r="EK15" s="157">
        <f t="shared" si="49"/>
        <v>142625000</v>
      </c>
      <c r="EL15" s="157">
        <f t="shared" si="50"/>
        <v>0</v>
      </c>
      <c r="EM15" s="157">
        <f t="shared" si="51"/>
        <v>10588.125</v>
      </c>
      <c r="EN15" s="123">
        <f t="shared" si="52"/>
        <v>2.6725503943908852E-2</v>
      </c>
      <c r="EP15" s="122"/>
    </row>
    <row r="16" spans="1:147" x14ac:dyDescent="0.25">
      <c r="A16" s="66">
        <f t="shared" si="53"/>
        <v>43622</v>
      </c>
      <c r="D16" s="122">
        <f t="shared" si="2"/>
        <v>0</v>
      </c>
      <c r="G16" s="122">
        <f t="shared" si="3"/>
        <v>0</v>
      </c>
      <c r="J16" s="122">
        <f t="shared" si="4"/>
        <v>0</v>
      </c>
      <c r="M16" s="122">
        <f t="shared" si="5"/>
        <v>0</v>
      </c>
      <c r="P16" s="122">
        <f t="shared" si="6"/>
        <v>0</v>
      </c>
      <c r="S16" s="122">
        <f t="shared" si="7"/>
        <v>0</v>
      </c>
      <c r="V16" s="122">
        <f t="shared" si="8"/>
        <v>0</v>
      </c>
      <c r="Y16" s="122">
        <f t="shared" si="9"/>
        <v>0</v>
      </c>
      <c r="AB16" s="122">
        <f t="shared" si="10"/>
        <v>0</v>
      </c>
      <c r="AE16" s="122">
        <v>0</v>
      </c>
      <c r="AH16" s="122">
        <v>0</v>
      </c>
      <c r="AI16" s="155">
        <f>58000000</f>
        <v>58000000</v>
      </c>
      <c r="AJ16" s="156">
        <v>2.58E-2</v>
      </c>
      <c r="AK16" s="122">
        <f t="shared" si="11"/>
        <v>4156.666666666667</v>
      </c>
      <c r="AL16" s="155">
        <f t="shared" si="0"/>
        <v>25000000</v>
      </c>
      <c r="AM16" s="156">
        <v>2.75E-2</v>
      </c>
      <c r="AN16" s="122">
        <f t="shared" si="12"/>
        <v>1909.7222222222222</v>
      </c>
      <c r="AO16" s="155">
        <f t="shared" si="1"/>
        <v>25000000</v>
      </c>
      <c r="AP16" s="156">
        <v>2.7699999999999999E-2</v>
      </c>
      <c r="AQ16" s="122">
        <f t="shared" si="13"/>
        <v>1923.6111111111111</v>
      </c>
      <c r="AR16" s="155">
        <f t="shared" si="54"/>
        <v>30000000</v>
      </c>
      <c r="AS16" s="156">
        <v>2.7199999999999998E-2</v>
      </c>
      <c r="AT16" s="122">
        <f t="shared" si="14"/>
        <v>2266.6666666666665</v>
      </c>
      <c r="AW16" s="122">
        <f t="shared" si="15"/>
        <v>0</v>
      </c>
      <c r="AZ16" s="122">
        <f t="shared" si="16"/>
        <v>0</v>
      </c>
      <c r="BC16" s="122">
        <f t="shared" si="17"/>
        <v>0</v>
      </c>
      <c r="BF16" s="122">
        <f t="shared" si="18"/>
        <v>0</v>
      </c>
      <c r="BI16" s="122">
        <f t="shared" si="19"/>
        <v>0</v>
      </c>
      <c r="BL16" s="122">
        <f t="shared" si="20"/>
        <v>0</v>
      </c>
      <c r="BO16" s="122">
        <f t="shared" si="21"/>
        <v>0</v>
      </c>
      <c r="BR16" s="122">
        <f t="shared" si="22"/>
        <v>0</v>
      </c>
      <c r="BU16" s="122">
        <f t="shared" si="23"/>
        <v>0</v>
      </c>
      <c r="BX16" s="122">
        <f t="shared" si="24"/>
        <v>0</v>
      </c>
      <c r="CA16" s="122">
        <f t="shared" si="25"/>
        <v>0</v>
      </c>
      <c r="CD16" s="122">
        <f t="shared" si="26"/>
        <v>0</v>
      </c>
      <c r="CG16" s="122">
        <f t="shared" si="27"/>
        <v>0</v>
      </c>
      <c r="CJ16" s="122">
        <f t="shared" si="28"/>
        <v>0</v>
      </c>
      <c r="CM16" s="122">
        <f t="shared" si="29"/>
        <v>0</v>
      </c>
      <c r="CP16" s="122">
        <f t="shared" si="30"/>
        <v>0</v>
      </c>
      <c r="CS16" s="122">
        <f t="shared" si="31"/>
        <v>0</v>
      </c>
      <c r="CV16" s="122">
        <f t="shared" si="32"/>
        <v>0</v>
      </c>
      <c r="CY16" s="122">
        <f t="shared" si="33"/>
        <v>0</v>
      </c>
      <c r="DB16" s="122">
        <f t="shared" si="34"/>
        <v>0</v>
      </c>
      <c r="DE16" s="122">
        <f t="shared" si="35"/>
        <v>0</v>
      </c>
      <c r="DH16" s="122">
        <f t="shared" si="36"/>
        <v>0</v>
      </c>
      <c r="DK16" s="122">
        <f t="shared" si="37"/>
        <v>0</v>
      </c>
      <c r="DN16" s="122">
        <f t="shared" si="38"/>
        <v>0</v>
      </c>
      <c r="DQ16" s="122">
        <f t="shared" si="39"/>
        <v>0</v>
      </c>
      <c r="DT16" s="122">
        <f t="shared" si="40"/>
        <v>0</v>
      </c>
      <c r="DW16" s="122">
        <f t="shared" si="41"/>
        <v>0</v>
      </c>
      <c r="DZ16" s="122"/>
      <c r="EA16" s="122"/>
      <c r="EB16" s="157">
        <f t="shared" si="42"/>
        <v>138000000</v>
      </c>
      <c r="EC16" s="157">
        <f t="shared" si="43"/>
        <v>0</v>
      </c>
      <c r="ED16" s="122">
        <f t="shared" si="44"/>
        <v>10256.666666666666</v>
      </c>
      <c r="EE16" s="123">
        <f t="shared" si="45"/>
        <v>2.6756521739130432E-2</v>
      </c>
      <c r="EG16" s="157">
        <f t="shared" si="46"/>
        <v>0</v>
      </c>
      <c r="EH16" s="122">
        <f t="shared" si="47"/>
        <v>0</v>
      </c>
      <c r="EI16" s="123">
        <f t="shared" si="48"/>
        <v>0</v>
      </c>
      <c r="EJ16" s="123"/>
      <c r="EK16" s="157">
        <f t="shared" si="49"/>
        <v>138000000</v>
      </c>
      <c r="EL16" s="157">
        <f t="shared" si="50"/>
        <v>0</v>
      </c>
      <c r="EM16" s="157">
        <f t="shared" si="51"/>
        <v>10256.666666666668</v>
      </c>
      <c r="EN16" s="123">
        <f t="shared" si="52"/>
        <v>2.6756521739130436E-2</v>
      </c>
      <c r="EP16" s="122"/>
    </row>
    <row r="17" spans="1:146" x14ac:dyDescent="0.25">
      <c r="A17" s="66">
        <f t="shared" si="53"/>
        <v>43623</v>
      </c>
      <c r="D17" s="122">
        <f t="shared" si="2"/>
        <v>0</v>
      </c>
      <c r="G17" s="122">
        <f t="shared" si="3"/>
        <v>0</v>
      </c>
      <c r="J17" s="122">
        <f t="shared" si="4"/>
        <v>0</v>
      </c>
      <c r="M17" s="122">
        <f t="shared" si="5"/>
        <v>0</v>
      </c>
      <c r="P17" s="122">
        <f t="shared" si="6"/>
        <v>0</v>
      </c>
      <c r="S17" s="122">
        <f t="shared" si="7"/>
        <v>0</v>
      </c>
      <c r="V17" s="122">
        <f t="shared" si="8"/>
        <v>0</v>
      </c>
      <c r="Y17" s="122">
        <f t="shared" si="9"/>
        <v>0</v>
      </c>
      <c r="AB17" s="122">
        <f t="shared" si="10"/>
        <v>0</v>
      </c>
      <c r="AE17" s="122">
        <v>0</v>
      </c>
      <c r="AH17" s="122">
        <v>0</v>
      </c>
      <c r="AI17" s="155">
        <f>46950000</f>
        <v>46950000</v>
      </c>
      <c r="AJ17" s="156">
        <v>2.58E-2</v>
      </c>
      <c r="AK17" s="122">
        <f t="shared" si="11"/>
        <v>3364.75</v>
      </c>
      <c r="AL17" s="155">
        <f t="shared" ref="AL17:AL40" si="55">35000000</f>
        <v>35000000</v>
      </c>
      <c r="AM17" s="156">
        <v>2.7E-2</v>
      </c>
      <c r="AN17" s="122">
        <f t="shared" si="12"/>
        <v>2625</v>
      </c>
      <c r="AO17" s="155">
        <f t="shared" si="1"/>
        <v>25000000</v>
      </c>
      <c r="AP17" s="156">
        <v>2.7699999999999999E-2</v>
      </c>
      <c r="AQ17" s="122">
        <f t="shared" si="13"/>
        <v>1923.6111111111111</v>
      </c>
      <c r="AR17" s="155">
        <f t="shared" si="54"/>
        <v>30000000</v>
      </c>
      <c r="AS17" s="156">
        <v>2.7199999999999998E-2</v>
      </c>
      <c r="AT17" s="122">
        <f t="shared" si="14"/>
        <v>2266.6666666666665</v>
      </c>
      <c r="AW17" s="122">
        <f t="shared" si="15"/>
        <v>0</v>
      </c>
      <c r="AZ17" s="122">
        <f t="shared" si="16"/>
        <v>0</v>
      </c>
      <c r="BC17" s="122">
        <f t="shared" si="17"/>
        <v>0</v>
      </c>
      <c r="BF17" s="122">
        <f t="shared" si="18"/>
        <v>0</v>
      </c>
      <c r="BI17" s="122">
        <f t="shared" si="19"/>
        <v>0</v>
      </c>
      <c r="BL17" s="122">
        <f t="shared" si="20"/>
        <v>0</v>
      </c>
      <c r="BO17" s="122">
        <f t="shared" si="21"/>
        <v>0</v>
      </c>
      <c r="BR17" s="122">
        <f t="shared" si="22"/>
        <v>0</v>
      </c>
      <c r="BU17" s="122">
        <f t="shared" si="23"/>
        <v>0</v>
      </c>
      <c r="BX17" s="122">
        <f t="shared" si="24"/>
        <v>0</v>
      </c>
      <c r="CA17" s="122">
        <f t="shared" si="25"/>
        <v>0</v>
      </c>
      <c r="CD17" s="122">
        <f t="shared" si="26"/>
        <v>0</v>
      </c>
      <c r="CG17" s="122">
        <f t="shared" si="27"/>
        <v>0</v>
      </c>
      <c r="CJ17" s="122">
        <f t="shared" si="28"/>
        <v>0</v>
      </c>
      <c r="CM17" s="122">
        <f t="shared" si="29"/>
        <v>0</v>
      </c>
      <c r="CP17" s="122">
        <f t="shared" si="30"/>
        <v>0</v>
      </c>
      <c r="CS17" s="122">
        <f t="shared" si="31"/>
        <v>0</v>
      </c>
      <c r="CV17" s="122">
        <f t="shared" si="32"/>
        <v>0</v>
      </c>
      <c r="CY17" s="122">
        <f t="shared" si="33"/>
        <v>0</v>
      </c>
      <c r="DB17" s="122">
        <f t="shared" si="34"/>
        <v>0</v>
      </c>
      <c r="DE17" s="122">
        <f t="shared" si="35"/>
        <v>0</v>
      </c>
      <c r="DH17" s="122">
        <f t="shared" si="36"/>
        <v>0</v>
      </c>
      <c r="DK17" s="122">
        <f t="shared" si="37"/>
        <v>0</v>
      </c>
      <c r="DN17" s="122">
        <f t="shared" si="38"/>
        <v>0</v>
      </c>
      <c r="DQ17" s="122">
        <f t="shared" si="39"/>
        <v>0</v>
      </c>
      <c r="DT17" s="122">
        <f t="shared" si="40"/>
        <v>0</v>
      </c>
      <c r="DW17" s="122">
        <f t="shared" si="41"/>
        <v>0</v>
      </c>
      <c r="DZ17" s="122"/>
      <c r="EA17" s="122"/>
      <c r="EB17" s="157">
        <f t="shared" si="42"/>
        <v>136950000</v>
      </c>
      <c r="EC17" s="157">
        <f t="shared" si="43"/>
        <v>0</v>
      </c>
      <c r="ED17" s="122">
        <f t="shared" si="44"/>
        <v>10180.027777777777</v>
      </c>
      <c r="EE17" s="123">
        <f t="shared" si="45"/>
        <v>2.6760204454180356E-2</v>
      </c>
      <c r="EG17" s="157">
        <f t="shared" si="46"/>
        <v>0</v>
      </c>
      <c r="EH17" s="122">
        <f t="shared" si="47"/>
        <v>0</v>
      </c>
      <c r="EI17" s="123">
        <f t="shared" si="48"/>
        <v>0</v>
      </c>
      <c r="EJ17" s="123"/>
      <c r="EK17" s="157">
        <f t="shared" si="49"/>
        <v>136950000</v>
      </c>
      <c r="EL17" s="157">
        <f t="shared" si="50"/>
        <v>0</v>
      </c>
      <c r="EM17" s="157">
        <f t="shared" si="51"/>
        <v>10180.027777777777</v>
      </c>
      <c r="EN17" s="123">
        <f t="shared" si="52"/>
        <v>2.6760204454180356E-2</v>
      </c>
      <c r="EP17" s="122"/>
    </row>
    <row r="18" spans="1:146" x14ac:dyDescent="0.25">
      <c r="A18" s="66">
        <f t="shared" si="53"/>
        <v>43624</v>
      </c>
      <c r="D18" s="122">
        <f t="shared" si="2"/>
        <v>0</v>
      </c>
      <c r="G18" s="122">
        <f t="shared" si="3"/>
        <v>0</v>
      </c>
      <c r="J18" s="122">
        <f t="shared" si="4"/>
        <v>0</v>
      </c>
      <c r="M18" s="122">
        <f t="shared" si="5"/>
        <v>0</v>
      </c>
      <c r="P18" s="122">
        <f t="shared" si="6"/>
        <v>0</v>
      </c>
      <c r="S18" s="122">
        <f t="shared" si="7"/>
        <v>0</v>
      </c>
      <c r="V18" s="122">
        <f t="shared" si="8"/>
        <v>0</v>
      </c>
      <c r="Y18" s="122">
        <f t="shared" si="9"/>
        <v>0</v>
      </c>
      <c r="AB18" s="122">
        <f t="shared" si="10"/>
        <v>0</v>
      </c>
      <c r="AE18" s="122">
        <v>0</v>
      </c>
      <c r="AH18" s="122">
        <v>0</v>
      </c>
      <c r="AI18" s="155">
        <f>46950000</f>
        <v>46950000</v>
      </c>
      <c r="AJ18" s="156">
        <v>2.58E-2</v>
      </c>
      <c r="AK18" s="122">
        <f t="shared" si="11"/>
        <v>3364.75</v>
      </c>
      <c r="AL18" s="155">
        <f t="shared" si="55"/>
        <v>35000000</v>
      </c>
      <c r="AM18" s="156">
        <v>2.7E-2</v>
      </c>
      <c r="AN18" s="122">
        <f t="shared" si="12"/>
        <v>2625</v>
      </c>
      <c r="AO18" s="155">
        <f t="shared" si="1"/>
        <v>25000000</v>
      </c>
      <c r="AP18" s="156">
        <v>2.7699999999999999E-2</v>
      </c>
      <c r="AQ18" s="122">
        <f t="shared" si="13"/>
        <v>1923.6111111111111</v>
      </c>
      <c r="AR18" s="155">
        <f t="shared" si="54"/>
        <v>30000000</v>
      </c>
      <c r="AS18" s="156">
        <v>2.7199999999999998E-2</v>
      </c>
      <c r="AT18" s="122">
        <f t="shared" si="14"/>
        <v>2266.6666666666665</v>
      </c>
      <c r="AW18" s="122">
        <f t="shared" si="15"/>
        <v>0</v>
      </c>
      <c r="AZ18" s="122">
        <f t="shared" si="16"/>
        <v>0</v>
      </c>
      <c r="BC18" s="122">
        <f t="shared" si="17"/>
        <v>0</v>
      </c>
      <c r="BF18" s="122">
        <f t="shared" si="18"/>
        <v>0</v>
      </c>
      <c r="BI18" s="122">
        <f t="shared" si="19"/>
        <v>0</v>
      </c>
      <c r="BL18" s="122">
        <f t="shared" si="20"/>
        <v>0</v>
      </c>
      <c r="BO18" s="122">
        <f t="shared" si="21"/>
        <v>0</v>
      </c>
      <c r="BR18" s="122">
        <f t="shared" si="22"/>
        <v>0</v>
      </c>
      <c r="BU18" s="122">
        <f t="shared" si="23"/>
        <v>0</v>
      </c>
      <c r="BX18" s="122">
        <f t="shared" si="24"/>
        <v>0</v>
      </c>
      <c r="CA18" s="122">
        <f t="shared" si="25"/>
        <v>0</v>
      </c>
      <c r="CD18" s="122">
        <f t="shared" si="26"/>
        <v>0</v>
      </c>
      <c r="CG18" s="122">
        <f t="shared" si="27"/>
        <v>0</v>
      </c>
      <c r="CJ18" s="122">
        <f t="shared" si="28"/>
        <v>0</v>
      </c>
      <c r="CM18" s="122">
        <f t="shared" si="29"/>
        <v>0</v>
      </c>
      <c r="CP18" s="122">
        <f t="shared" si="30"/>
        <v>0</v>
      </c>
      <c r="CS18" s="122">
        <f t="shared" si="31"/>
        <v>0</v>
      </c>
      <c r="CV18" s="122">
        <f t="shared" si="32"/>
        <v>0</v>
      </c>
      <c r="CY18" s="122">
        <f t="shared" si="33"/>
        <v>0</v>
      </c>
      <c r="DB18" s="122">
        <f t="shared" si="34"/>
        <v>0</v>
      </c>
      <c r="DE18" s="122">
        <f t="shared" si="35"/>
        <v>0</v>
      </c>
      <c r="DH18" s="122">
        <f t="shared" si="36"/>
        <v>0</v>
      </c>
      <c r="DK18" s="122">
        <f t="shared" si="37"/>
        <v>0</v>
      </c>
      <c r="DN18" s="122">
        <f t="shared" si="38"/>
        <v>0</v>
      </c>
      <c r="DQ18" s="122">
        <f t="shared" si="39"/>
        <v>0</v>
      </c>
      <c r="DT18" s="122">
        <f t="shared" si="40"/>
        <v>0</v>
      </c>
      <c r="DW18" s="122">
        <f t="shared" si="41"/>
        <v>0</v>
      </c>
      <c r="DZ18" s="122"/>
      <c r="EA18" s="122"/>
      <c r="EB18" s="157">
        <f t="shared" si="42"/>
        <v>136950000</v>
      </c>
      <c r="EC18" s="157">
        <f t="shared" si="43"/>
        <v>0</v>
      </c>
      <c r="ED18" s="122">
        <f t="shared" si="44"/>
        <v>10180.027777777777</v>
      </c>
      <c r="EE18" s="123">
        <f t="shared" si="45"/>
        <v>2.6760204454180356E-2</v>
      </c>
      <c r="EG18" s="157">
        <f t="shared" si="46"/>
        <v>0</v>
      </c>
      <c r="EH18" s="122">
        <f t="shared" si="47"/>
        <v>0</v>
      </c>
      <c r="EI18" s="123">
        <f t="shared" si="48"/>
        <v>0</v>
      </c>
      <c r="EJ18" s="123"/>
      <c r="EK18" s="157">
        <f t="shared" si="49"/>
        <v>136950000</v>
      </c>
      <c r="EL18" s="157">
        <f t="shared" si="50"/>
        <v>0</v>
      </c>
      <c r="EM18" s="157">
        <f t="shared" si="51"/>
        <v>10180.027777777777</v>
      </c>
      <c r="EN18" s="123">
        <f t="shared" si="52"/>
        <v>2.6760204454180356E-2</v>
      </c>
      <c r="EP18" s="122"/>
    </row>
    <row r="19" spans="1:146" x14ac:dyDescent="0.25">
      <c r="A19" s="66">
        <f t="shared" si="53"/>
        <v>43625</v>
      </c>
      <c r="D19" s="122">
        <f t="shared" si="2"/>
        <v>0</v>
      </c>
      <c r="G19" s="122">
        <f t="shared" si="3"/>
        <v>0</v>
      </c>
      <c r="J19" s="122">
        <f t="shared" si="4"/>
        <v>0</v>
      </c>
      <c r="M19" s="122">
        <f t="shared" si="5"/>
        <v>0</v>
      </c>
      <c r="P19" s="122">
        <f t="shared" si="6"/>
        <v>0</v>
      </c>
      <c r="S19" s="122">
        <f t="shared" si="7"/>
        <v>0</v>
      </c>
      <c r="V19" s="122">
        <f t="shared" si="8"/>
        <v>0</v>
      </c>
      <c r="Y19" s="122">
        <f t="shared" si="9"/>
        <v>0</v>
      </c>
      <c r="AB19" s="122">
        <f t="shared" si="10"/>
        <v>0</v>
      </c>
      <c r="AE19" s="122">
        <v>0</v>
      </c>
      <c r="AH19" s="122">
        <v>0</v>
      </c>
      <c r="AI19" s="155">
        <f>46950000</f>
        <v>46950000</v>
      </c>
      <c r="AJ19" s="156">
        <v>2.58E-2</v>
      </c>
      <c r="AK19" s="122">
        <f t="shared" si="11"/>
        <v>3364.75</v>
      </c>
      <c r="AL19" s="155">
        <f t="shared" si="55"/>
        <v>35000000</v>
      </c>
      <c r="AM19" s="156">
        <v>2.7E-2</v>
      </c>
      <c r="AN19" s="122">
        <f t="shared" si="12"/>
        <v>2625</v>
      </c>
      <c r="AO19" s="155">
        <f t="shared" si="1"/>
        <v>25000000</v>
      </c>
      <c r="AP19" s="156">
        <v>2.7699999999999999E-2</v>
      </c>
      <c r="AQ19" s="122">
        <f t="shared" si="13"/>
        <v>1923.6111111111111</v>
      </c>
      <c r="AR19" s="155">
        <f t="shared" si="54"/>
        <v>30000000</v>
      </c>
      <c r="AS19" s="156">
        <v>2.7199999999999998E-2</v>
      </c>
      <c r="AT19" s="122">
        <f t="shared" si="14"/>
        <v>2266.6666666666665</v>
      </c>
      <c r="AW19" s="122">
        <f t="shared" si="15"/>
        <v>0</v>
      </c>
      <c r="AZ19" s="122">
        <f t="shared" si="16"/>
        <v>0</v>
      </c>
      <c r="BC19" s="122">
        <f t="shared" si="17"/>
        <v>0</v>
      </c>
      <c r="BF19" s="122">
        <f t="shared" si="18"/>
        <v>0</v>
      </c>
      <c r="BI19" s="122">
        <f t="shared" si="19"/>
        <v>0</v>
      </c>
      <c r="BL19" s="122">
        <f t="shared" si="20"/>
        <v>0</v>
      </c>
      <c r="BO19" s="122">
        <f t="shared" si="21"/>
        <v>0</v>
      </c>
      <c r="BR19" s="122">
        <f t="shared" si="22"/>
        <v>0</v>
      </c>
      <c r="BU19" s="122">
        <f t="shared" si="23"/>
        <v>0</v>
      </c>
      <c r="BX19" s="122">
        <f t="shared" si="24"/>
        <v>0</v>
      </c>
      <c r="CA19" s="122">
        <f t="shared" si="25"/>
        <v>0</v>
      </c>
      <c r="CD19" s="122">
        <f t="shared" si="26"/>
        <v>0</v>
      </c>
      <c r="CG19" s="122">
        <f t="shared" si="27"/>
        <v>0</v>
      </c>
      <c r="CJ19" s="122">
        <f t="shared" si="28"/>
        <v>0</v>
      </c>
      <c r="CM19" s="122">
        <f t="shared" si="29"/>
        <v>0</v>
      </c>
      <c r="CP19" s="122">
        <f t="shared" si="30"/>
        <v>0</v>
      </c>
      <c r="CS19" s="122">
        <f t="shared" si="31"/>
        <v>0</v>
      </c>
      <c r="CV19" s="122">
        <f t="shared" si="32"/>
        <v>0</v>
      </c>
      <c r="CY19" s="122">
        <f t="shared" si="33"/>
        <v>0</v>
      </c>
      <c r="DB19" s="122">
        <f t="shared" si="34"/>
        <v>0</v>
      </c>
      <c r="DE19" s="122">
        <f t="shared" si="35"/>
        <v>0</v>
      </c>
      <c r="DH19" s="122">
        <f t="shared" si="36"/>
        <v>0</v>
      </c>
      <c r="DK19" s="122">
        <f t="shared" si="37"/>
        <v>0</v>
      </c>
      <c r="DN19" s="122">
        <f t="shared" si="38"/>
        <v>0</v>
      </c>
      <c r="DQ19" s="122">
        <f t="shared" si="39"/>
        <v>0</v>
      </c>
      <c r="DT19" s="122">
        <f t="shared" si="40"/>
        <v>0</v>
      </c>
      <c r="DW19" s="122">
        <f t="shared" si="41"/>
        <v>0</v>
      </c>
      <c r="DZ19" s="122"/>
      <c r="EA19" s="122"/>
      <c r="EB19" s="157">
        <f t="shared" si="42"/>
        <v>136950000</v>
      </c>
      <c r="EC19" s="157">
        <f t="shared" si="43"/>
        <v>0</v>
      </c>
      <c r="ED19" s="122">
        <f t="shared" si="44"/>
        <v>10180.027777777777</v>
      </c>
      <c r="EE19" s="123">
        <f t="shared" si="45"/>
        <v>2.6760204454180356E-2</v>
      </c>
      <c r="EG19" s="157">
        <f t="shared" si="46"/>
        <v>0</v>
      </c>
      <c r="EH19" s="122">
        <f t="shared" si="47"/>
        <v>0</v>
      </c>
      <c r="EI19" s="123">
        <f t="shared" si="48"/>
        <v>0</v>
      </c>
      <c r="EJ19" s="123"/>
      <c r="EK19" s="157">
        <f t="shared" si="49"/>
        <v>136950000</v>
      </c>
      <c r="EL19" s="157">
        <f t="shared" si="50"/>
        <v>0</v>
      </c>
      <c r="EM19" s="157">
        <f t="shared" si="51"/>
        <v>10180.027777777777</v>
      </c>
      <c r="EN19" s="123">
        <f t="shared" si="52"/>
        <v>2.6760204454180356E-2</v>
      </c>
      <c r="EP19" s="122"/>
    </row>
    <row r="20" spans="1:146" x14ac:dyDescent="0.25">
      <c r="A20" s="66">
        <f t="shared" si="53"/>
        <v>43626</v>
      </c>
      <c r="D20" s="122">
        <f t="shared" si="2"/>
        <v>0</v>
      </c>
      <c r="G20" s="122">
        <f t="shared" si="3"/>
        <v>0</v>
      </c>
      <c r="J20" s="122">
        <f t="shared" si="4"/>
        <v>0</v>
      </c>
      <c r="M20" s="122">
        <f t="shared" si="5"/>
        <v>0</v>
      </c>
      <c r="P20" s="122">
        <f t="shared" si="6"/>
        <v>0</v>
      </c>
      <c r="S20" s="122">
        <f t="shared" si="7"/>
        <v>0</v>
      </c>
      <c r="V20" s="122">
        <f t="shared" si="8"/>
        <v>0</v>
      </c>
      <c r="Y20" s="122">
        <f t="shared" si="9"/>
        <v>0</v>
      </c>
      <c r="AB20" s="122">
        <f t="shared" si="10"/>
        <v>0</v>
      </c>
      <c r="AE20" s="122">
        <v>0</v>
      </c>
      <c r="AH20" s="122">
        <v>0</v>
      </c>
      <c r="AI20" s="155">
        <f>44700000</f>
        <v>44700000</v>
      </c>
      <c r="AJ20" s="156">
        <v>2.58E-2</v>
      </c>
      <c r="AK20" s="122">
        <f t="shared" si="11"/>
        <v>3203.5</v>
      </c>
      <c r="AL20" s="155">
        <f t="shared" si="55"/>
        <v>35000000</v>
      </c>
      <c r="AM20" s="156">
        <v>2.7E-2</v>
      </c>
      <c r="AN20" s="122">
        <f t="shared" si="12"/>
        <v>2625</v>
      </c>
      <c r="AO20" s="155">
        <f t="shared" si="1"/>
        <v>25000000</v>
      </c>
      <c r="AP20" s="156">
        <v>2.7699999999999999E-2</v>
      </c>
      <c r="AQ20" s="122">
        <f t="shared" si="13"/>
        <v>1923.6111111111111</v>
      </c>
      <c r="AR20" s="155">
        <f t="shared" si="54"/>
        <v>30000000</v>
      </c>
      <c r="AS20" s="156">
        <v>2.7199999999999998E-2</v>
      </c>
      <c r="AT20" s="122">
        <f t="shared" si="14"/>
        <v>2266.6666666666665</v>
      </c>
      <c r="AW20" s="122">
        <f t="shared" si="15"/>
        <v>0</v>
      </c>
      <c r="AZ20" s="122">
        <f t="shared" si="16"/>
        <v>0</v>
      </c>
      <c r="BC20" s="122">
        <f t="shared" si="17"/>
        <v>0</v>
      </c>
      <c r="BF20" s="122">
        <f t="shared" si="18"/>
        <v>0</v>
      </c>
      <c r="BI20" s="122">
        <f t="shared" si="19"/>
        <v>0</v>
      </c>
      <c r="BL20" s="122">
        <f t="shared" si="20"/>
        <v>0</v>
      </c>
      <c r="BO20" s="122">
        <f t="shared" si="21"/>
        <v>0</v>
      </c>
      <c r="BR20" s="122">
        <f t="shared" si="22"/>
        <v>0</v>
      </c>
      <c r="BU20" s="122">
        <f t="shared" si="23"/>
        <v>0</v>
      </c>
      <c r="BX20" s="122">
        <f t="shared" si="24"/>
        <v>0</v>
      </c>
      <c r="CA20" s="122">
        <f t="shared" si="25"/>
        <v>0</v>
      </c>
      <c r="CD20" s="122">
        <f t="shared" si="26"/>
        <v>0</v>
      </c>
      <c r="CG20" s="122">
        <f t="shared" si="27"/>
        <v>0</v>
      </c>
      <c r="CJ20" s="122">
        <f t="shared" si="28"/>
        <v>0</v>
      </c>
      <c r="CM20" s="122">
        <f t="shared" si="29"/>
        <v>0</v>
      </c>
      <c r="CP20" s="122">
        <f t="shared" si="30"/>
        <v>0</v>
      </c>
      <c r="CS20" s="122">
        <f t="shared" si="31"/>
        <v>0</v>
      </c>
      <c r="CV20" s="122">
        <f t="shared" si="32"/>
        <v>0</v>
      </c>
      <c r="CY20" s="122">
        <f t="shared" si="33"/>
        <v>0</v>
      </c>
      <c r="DB20" s="122">
        <f t="shared" si="34"/>
        <v>0</v>
      </c>
      <c r="DE20" s="122">
        <f t="shared" si="35"/>
        <v>0</v>
      </c>
      <c r="DH20" s="122">
        <f t="shared" si="36"/>
        <v>0</v>
      </c>
      <c r="DK20" s="122">
        <f t="shared" si="37"/>
        <v>0</v>
      </c>
      <c r="DN20" s="122">
        <f t="shared" si="38"/>
        <v>0</v>
      </c>
      <c r="DQ20" s="122">
        <f t="shared" si="39"/>
        <v>0</v>
      </c>
      <c r="DT20" s="122">
        <f t="shared" si="40"/>
        <v>0</v>
      </c>
      <c r="DW20" s="122">
        <f t="shared" si="41"/>
        <v>0</v>
      </c>
      <c r="DZ20" s="122"/>
      <c r="EA20" s="122"/>
      <c r="EB20" s="157">
        <f t="shared" si="42"/>
        <v>134700000</v>
      </c>
      <c r="EC20" s="157">
        <f t="shared" si="43"/>
        <v>0</v>
      </c>
      <c r="ED20" s="122">
        <f t="shared" si="44"/>
        <v>10018.777777777777</v>
      </c>
      <c r="EE20" s="123">
        <f t="shared" si="45"/>
        <v>2.6776243504083148E-2</v>
      </c>
      <c r="EG20" s="157">
        <f t="shared" si="46"/>
        <v>0</v>
      </c>
      <c r="EH20" s="122">
        <f t="shared" si="47"/>
        <v>0</v>
      </c>
      <c r="EI20" s="123">
        <f t="shared" si="48"/>
        <v>0</v>
      </c>
      <c r="EJ20" s="123"/>
      <c r="EK20" s="157">
        <f t="shared" si="49"/>
        <v>134700000</v>
      </c>
      <c r="EL20" s="157">
        <f t="shared" si="50"/>
        <v>0</v>
      </c>
      <c r="EM20" s="157">
        <f t="shared" si="51"/>
        <v>10018.777777777777</v>
      </c>
      <c r="EN20" s="123">
        <f t="shared" si="52"/>
        <v>2.6776243504083148E-2</v>
      </c>
      <c r="EP20" s="122"/>
    </row>
    <row r="21" spans="1:146" x14ac:dyDescent="0.25">
      <c r="A21" s="66">
        <f t="shared" si="53"/>
        <v>43627</v>
      </c>
      <c r="D21" s="122">
        <f t="shared" si="2"/>
        <v>0</v>
      </c>
      <c r="G21" s="122">
        <f t="shared" si="3"/>
        <v>0</v>
      </c>
      <c r="J21" s="122">
        <f t="shared" si="4"/>
        <v>0</v>
      </c>
      <c r="M21" s="122">
        <f t="shared" si="5"/>
        <v>0</v>
      </c>
      <c r="P21" s="122">
        <f t="shared" si="6"/>
        <v>0</v>
      </c>
      <c r="S21" s="122">
        <f t="shared" si="7"/>
        <v>0</v>
      </c>
      <c r="V21" s="122">
        <f t="shared" si="8"/>
        <v>0</v>
      </c>
      <c r="Y21" s="122">
        <f t="shared" si="9"/>
        <v>0</v>
      </c>
      <c r="AB21" s="122">
        <f t="shared" si="10"/>
        <v>0</v>
      </c>
      <c r="AE21" s="122">
        <v>0</v>
      </c>
      <c r="AH21" s="122">
        <v>0</v>
      </c>
      <c r="AI21" s="155">
        <f>34800000</f>
        <v>34800000</v>
      </c>
      <c r="AJ21" s="156">
        <v>2.58E-2</v>
      </c>
      <c r="AK21" s="122">
        <f t="shared" si="11"/>
        <v>2494</v>
      </c>
      <c r="AL21" s="155">
        <f t="shared" si="55"/>
        <v>35000000</v>
      </c>
      <c r="AM21" s="156">
        <v>2.7E-2</v>
      </c>
      <c r="AN21" s="122">
        <f t="shared" si="12"/>
        <v>2625</v>
      </c>
      <c r="AO21" s="155">
        <f t="shared" si="1"/>
        <v>25000000</v>
      </c>
      <c r="AP21" s="156">
        <v>2.7699999999999999E-2</v>
      </c>
      <c r="AQ21" s="122">
        <f t="shared" si="13"/>
        <v>1923.6111111111111</v>
      </c>
      <c r="AR21" s="155">
        <f t="shared" si="54"/>
        <v>30000000</v>
      </c>
      <c r="AS21" s="156">
        <v>2.7199999999999998E-2</v>
      </c>
      <c r="AT21" s="122">
        <f t="shared" si="14"/>
        <v>2266.6666666666665</v>
      </c>
      <c r="AW21" s="122">
        <f t="shared" si="15"/>
        <v>0</v>
      </c>
      <c r="AZ21" s="122">
        <f t="shared" si="16"/>
        <v>0</v>
      </c>
      <c r="BC21" s="122">
        <f t="shared" si="17"/>
        <v>0</v>
      </c>
      <c r="BF21" s="122">
        <f t="shared" si="18"/>
        <v>0</v>
      </c>
      <c r="BI21" s="122">
        <f t="shared" si="19"/>
        <v>0</v>
      </c>
      <c r="BL21" s="122">
        <f t="shared" si="20"/>
        <v>0</v>
      </c>
      <c r="BO21" s="122">
        <f t="shared" si="21"/>
        <v>0</v>
      </c>
      <c r="BR21" s="122">
        <f t="shared" si="22"/>
        <v>0</v>
      </c>
      <c r="BU21" s="122">
        <f t="shared" si="23"/>
        <v>0</v>
      </c>
      <c r="BX21" s="122">
        <f t="shared" si="24"/>
        <v>0</v>
      </c>
      <c r="CA21" s="122">
        <f t="shared" si="25"/>
        <v>0</v>
      </c>
      <c r="CD21" s="122">
        <f t="shared" si="26"/>
        <v>0</v>
      </c>
      <c r="CG21" s="122">
        <f t="shared" si="27"/>
        <v>0</v>
      </c>
      <c r="CJ21" s="122">
        <f t="shared" si="28"/>
        <v>0</v>
      </c>
      <c r="CM21" s="122">
        <f t="shared" si="29"/>
        <v>0</v>
      </c>
      <c r="CP21" s="122">
        <f t="shared" si="30"/>
        <v>0</v>
      </c>
      <c r="CS21" s="122">
        <f t="shared" si="31"/>
        <v>0</v>
      </c>
      <c r="CV21" s="122">
        <f t="shared" si="32"/>
        <v>0</v>
      </c>
      <c r="CY21" s="122">
        <f t="shared" si="33"/>
        <v>0</v>
      </c>
      <c r="DB21" s="122">
        <f t="shared" si="34"/>
        <v>0</v>
      </c>
      <c r="DE21" s="122">
        <f t="shared" si="35"/>
        <v>0</v>
      </c>
      <c r="DH21" s="122">
        <f t="shared" si="36"/>
        <v>0</v>
      </c>
      <c r="DK21" s="122">
        <f t="shared" si="37"/>
        <v>0</v>
      </c>
      <c r="DN21" s="122">
        <f t="shared" si="38"/>
        <v>0</v>
      </c>
      <c r="DQ21" s="122">
        <f t="shared" si="39"/>
        <v>0</v>
      </c>
      <c r="DT21" s="122">
        <f t="shared" si="40"/>
        <v>0</v>
      </c>
      <c r="DW21" s="122">
        <f t="shared" si="41"/>
        <v>0</v>
      </c>
      <c r="DZ21" s="122"/>
      <c r="EA21" s="122"/>
      <c r="EB21" s="157">
        <f t="shared" si="42"/>
        <v>124800000</v>
      </c>
      <c r="EC21" s="157">
        <f t="shared" si="43"/>
        <v>0</v>
      </c>
      <c r="ED21" s="122">
        <f t="shared" si="44"/>
        <v>9309.2777777777774</v>
      </c>
      <c r="EE21" s="123">
        <f t="shared" si="45"/>
        <v>2.6853685897435895E-2</v>
      </c>
      <c r="EG21" s="157">
        <f t="shared" si="46"/>
        <v>0</v>
      </c>
      <c r="EH21" s="122">
        <f t="shared" si="47"/>
        <v>0</v>
      </c>
      <c r="EI21" s="123">
        <f t="shared" si="48"/>
        <v>0</v>
      </c>
      <c r="EJ21" s="123"/>
      <c r="EK21" s="157">
        <f t="shared" si="49"/>
        <v>124800000</v>
      </c>
      <c r="EL21" s="157">
        <f t="shared" si="50"/>
        <v>0</v>
      </c>
      <c r="EM21" s="157">
        <f t="shared" si="51"/>
        <v>9309.2777777777774</v>
      </c>
      <c r="EN21" s="123">
        <f t="shared" si="52"/>
        <v>2.6853685897435895E-2</v>
      </c>
      <c r="EP21" s="122"/>
    </row>
    <row r="22" spans="1:146" x14ac:dyDescent="0.25">
      <c r="A22" s="66">
        <f t="shared" si="53"/>
        <v>43628</v>
      </c>
      <c r="D22" s="122">
        <f t="shared" si="2"/>
        <v>0</v>
      </c>
      <c r="G22" s="122">
        <f t="shared" si="3"/>
        <v>0</v>
      </c>
      <c r="J22" s="122">
        <f t="shared" si="4"/>
        <v>0</v>
      </c>
      <c r="M22" s="122">
        <f t="shared" si="5"/>
        <v>0</v>
      </c>
      <c r="P22" s="122">
        <f t="shared" si="6"/>
        <v>0</v>
      </c>
      <c r="S22" s="122">
        <f t="shared" si="7"/>
        <v>0</v>
      </c>
      <c r="V22" s="122">
        <f t="shared" si="8"/>
        <v>0</v>
      </c>
      <c r="Y22" s="122">
        <f t="shared" si="9"/>
        <v>0</v>
      </c>
      <c r="AB22" s="122">
        <f t="shared" si="10"/>
        <v>0</v>
      </c>
      <c r="AE22" s="122">
        <v>0</v>
      </c>
      <c r="AH22" s="122">
        <v>0</v>
      </c>
      <c r="AI22" s="155">
        <f>32000000</f>
        <v>32000000</v>
      </c>
      <c r="AJ22" s="156">
        <v>2.5700000000000001E-2</v>
      </c>
      <c r="AK22" s="122">
        <f t="shared" si="11"/>
        <v>2284.4444444444443</v>
      </c>
      <c r="AL22" s="155">
        <f t="shared" si="55"/>
        <v>35000000</v>
      </c>
      <c r="AM22" s="156">
        <v>2.7E-2</v>
      </c>
      <c r="AN22" s="122">
        <f t="shared" si="12"/>
        <v>2625</v>
      </c>
      <c r="AO22" s="155">
        <f t="shared" si="1"/>
        <v>25000000</v>
      </c>
      <c r="AP22" s="156">
        <v>2.7699999999999999E-2</v>
      </c>
      <c r="AQ22" s="122">
        <f t="shared" si="13"/>
        <v>1923.6111111111111</v>
      </c>
      <c r="AR22" s="155">
        <f t="shared" si="54"/>
        <v>30000000</v>
      </c>
      <c r="AS22" s="156">
        <v>2.7199999999999998E-2</v>
      </c>
      <c r="AT22" s="122">
        <f t="shared" si="14"/>
        <v>2266.6666666666665</v>
      </c>
      <c r="AW22" s="122">
        <f t="shared" si="15"/>
        <v>0</v>
      </c>
      <c r="AZ22" s="122">
        <f t="shared" si="16"/>
        <v>0</v>
      </c>
      <c r="BC22" s="122">
        <f t="shared" si="17"/>
        <v>0</v>
      </c>
      <c r="BF22" s="122">
        <f t="shared" si="18"/>
        <v>0</v>
      </c>
      <c r="BI22" s="122">
        <f t="shared" si="19"/>
        <v>0</v>
      </c>
      <c r="BL22" s="122">
        <f t="shared" si="20"/>
        <v>0</v>
      </c>
      <c r="BO22" s="122">
        <f t="shared" si="21"/>
        <v>0</v>
      </c>
      <c r="BR22" s="122">
        <f t="shared" si="22"/>
        <v>0</v>
      </c>
      <c r="BU22" s="122">
        <f t="shared" si="23"/>
        <v>0</v>
      </c>
      <c r="BX22" s="122">
        <f t="shared" si="24"/>
        <v>0</v>
      </c>
      <c r="CA22" s="122">
        <f t="shared" si="25"/>
        <v>0</v>
      </c>
      <c r="CD22" s="122">
        <f t="shared" si="26"/>
        <v>0</v>
      </c>
      <c r="CG22" s="122">
        <f t="shared" si="27"/>
        <v>0</v>
      </c>
      <c r="CJ22" s="122">
        <f t="shared" si="28"/>
        <v>0</v>
      </c>
      <c r="CM22" s="122">
        <f t="shared" si="29"/>
        <v>0</v>
      </c>
      <c r="CP22" s="122">
        <f t="shared" si="30"/>
        <v>0</v>
      </c>
      <c r="CS22" s="122">
        <f t="shared" si="31"/>
        <v>0</v>
      </c>
      <c r="CV22" s="122">
        <f t="shared" si="32"/>
        <v>0</v>
      </c>
      <c r="CY22" s="122">
        <f t="shared" si="33"/>
        <v>0</v>
      </c>
      <c r="DB22" s="122">
        <f t="shared" si="34"/>
        <v>0</v>
      </c>
      <c r="DE22" s="122">
        <f t="shared" si="35"/>
        <v>0</v>
      </c>
      <c r="DH22" s="122">
        <f t="shared" si="36"/>
        <v>0</v>
      </c>
      <c r="DK22" s="122">
        <f t="shared" si="37"/>
        <v>0</v>
      </c>
      <c r="DN22" s="122">
        <f t="shared" si="38"/>
        <v>0</v>
      </c>
      <c r="DQ22" s="122">
        <f t="shared" si="39"/>
        <v>0</v>
      </c>
      <c r="DT22" s="122">
        <f t="shared" si="40"/>
        <v>0</v>
      </c>
      <c r="DW22" s="122">
        <f t="shared" si="41"/>
        <v>0</v>
      </c>
      <c r="DZ22" s="122"/>
      <c r="EA22" s="122"/>
      <c r="EB22" s="157">
        <f t="shared" si="42"/>
        <v>122000000</v>
      </c>
      <c r="EC22" s="157">
        <f t="shared" si="43"/>
        <v>0</v>
      </c>
      <c r="ED22" s="122">
        <f t="shared" si="44"/>
        <v>9099.7222222222226</v>
      </c>
      <c r="EE22" s="123">
        <f t="shared" si="45"/>
        <v>2.6851639344262296E-2</v>
      </c>
      <c r="EG22" s="157">
        <f t="shared" si="46"/>
        <v>0</v>
      </c>
      <c r="EH22" s="122">
        <f t="shared" si="47"/>
        <v>0</v>
      </c>
      <c r="EI22" s="123">
        <f t="shared" si="48"/>
        <v>0</v>
      </c>
      <c r="EJ22" s="123"/>
      <c r="EK22" s="157">
        <f t="shared" si="49"/>
        <v>122000000</v>
      </c>
      <c r="EL22" s="157">
        <f t="shared" si="50"/>
        <v>0</v>
      </c>
      <c r="EM22" s="157">
        <f t="shared" si="51"/>
        <v>9099.7222222222226</v>
      </c>
      <c r="EN22" s="123">
        <f t="shared" si="52"/>
        <v>2.6851639344262296E-2</v>
      </c>
      <c r="EP22" s="122"/>
    </row>
    <row r="23" spans="1:146" x14ac:dyDescent="0.25">
      <c r="A23" s="66">
        <f t="shared" si="53"/>
        <v>43629</v>
      </c>
      <c r="D23" s="122">
        <f t="shared" si="2"/>
        <v>0</v>
      </c>
      <c r="G23" s="122">
        <f t="shared" si="3"/>
        <v>0</v>
      </c>
      <c r="J23" s="122">
        <f t="shared" si="4"/>
        <v>0</v>
      </c>
      <c r="M23" s="122">
        <f t="shared" si="5"/>
        <v>0</v>
      </c>
      <c r="P23" s="122">
        <f t="shared" si="6"/>
        <v>0</v>
      </c>
      <c r="S23" s="122">
        <f t="shared" si="7"/>
        <v>0</v>
      </c>
      <c r="V23" s="122">
        <f t="shared" si="8"/>
        <v>0</v>
      </c>
      <c r="Y23" s="122">
        <f t="shared" si="9"/>
        <v>0</v>
      </c>
      <c r="AB23" s="122">
        <f t="shared" si="10"/>
        <v>0</v>
      </c>
      <c r="AE23" s="122">
        <v>0</v>
      </c>
      <c r="AH23" s="122">
        <v>0</v>
      </c>
      <c r="AI23" s="155">
        <f>37850000</f>
        <v>37850000</v>
      </c>
      <c r="AJ23" s="156">
        <v>2.5700000000000001E-2</v>
      </c>
      <c r="AK23" s="122">
        <f t="shared" si="11"/>
        <v>2702.0694444444443</v>
      </c>
      <c r="AL23" s="155">
        <f t="shared" si="55"/>
        <v>35000000</v>
      </c>
      <c r="AM23" s="156">
        <v>2.7E-2</v>
      </c>
      <c r="AN23" s="122">
        <f t="shared" si="12"/>
        <v>2625</v>
      </c>
      <c r="AO23" s="155">
        <f t="shared" si="1"/>
        <v>25000000</v>
      </c>
      <c r="AP23" s="156">
        <v>2.7699999999999999E-2</v>
      </c>
      <c r="AQ23" s="122">
        <f t="shared" si="13"/>
        <v>1923.6111111111111</v>
      </c>
      <c r="AR23" s="155">
        <f t="shared" si="54"/>
        <v>30000000</v>
      </c>
      <c r="AS23" s="156">
        <v>2.7199999999999998E-2</v>
      </c>
      <c r="AT23" s="122">
        <f t="shared" si="14"/>
        <v>2266.6666666666665</v>
      </c>
      <c r="AW23" s="122">
        <f t="shared" si="15"/>
        <v>0</v>
      </c>
      <c r="AZ23" s="122">
        <f t="shared" si="16"/>
        <v>0</v>
      </c>
      <c r="BC23" s="122">
        <f t="shared" si="17"/>
        <v>0</v>
      </c>
      <c r="BF23" s="122">
        <f t="shared" si="18"/>
        <v>0</v>
      </c>
      <c r="BI23" s="122">
        <f t="shared" si="19"/>
        <v>0</v>
      </c>
      <c r="BL23" s="122">
        <f t="shared" si="20"/>
        <v>0</v>
      </c>
      <c r="BO23" s="122">
        <f t="shared" si="21"/>
        <v>0</v>
      </c>
      <c r="BR23" s="122">
        <f t="shared" si="22"/>
        <v>0</v>
      </c>
      <c r="BU23" s="122">
        <f t="shared" si="23"/>
        <v>0</v>
      </c>
      <c r="BX23" s="122">
        <f t="shared" si="24"/>
        <v>0</v>
      </c>
      <c r="CA23" s="122">
        <f t="shared" si="25"/>
        <v>0</v>
      </c>
      <c r="CD23" s="122">
        <f t="shared" si="26"/>
        <v>0</v>
      </c>
      <c r="CG23" s="122">
        <f t="shared" si="27"/>
        <v>0</v>
      </c>
      <c r="CJ23" s="122">
        <f t="shared" si="28"/>
        <v>0</v>
      </c>
      <c r="CM23" s="122">
        <f t="shared" si="29"/>
        <v>0</v>
      </c>
      <c r="CP23" s="122">
        <f t="shared" si="30"/>
        <v>0</v>
      </c>
      <c r="CS23" s="122">
        <f t="shared" si="31"/>
        <v>0</v>
      </c>
      <c r="CV23" s="122">
        <f t="shared" si="32"/>
        <v>0</v>
      </c>
      <c r="CY23" s="122">
        <f t="shared" si="33"/>
        <v>0</v>
      </c>
      <c r="DB23" s="122">
        <f t="shared" si="34"/>
        <v>0</v>
      </c>
      <c r="DE23" s="122">
        <f t="shared" si="35"/>
        <v>0</v>
      </c>
      <c r="DH23" s="122">
        <f t="shared" si="36"/>
        <v>0</v>
      </c>
      <c r="DK23" s="122">
        <f t="shared" si="37"/>
        <v>0</v>
      </c>
      <c r="DN23" s="122">
        <f t="shared" si="38"/>
        <v>0</v>
      </c>
      <c r="DQ23" s="122">
        <f t="shared" si="39"/>
        <v>0</v>
      </c>
      <c r="DT23" s="122">
        <f t="shared" si="40"/>
        <v>0</v>
      </c>
      <c r="DW23" s="122">
        <f t="shared" si="41"/>
        <v>0</v>
      </c>
      <c r="DZ23" s="122"/>
      <c r="EA23" s="122"/>
      <c r="EB23" s="157">
        <f t="shared" si="42"/>
        <v>127850000</v>
      </c>
      <c r="EC23" s="157">
        <f t="shared" si="43"/>
        <v>0</v>
      </c>
      <c r="ED23" s="122">
        <f t="shared" si="44"/>
        <v>9517.3472222222226</v>
      </c>
      <c r="EE23" s="123">
        <f t="shared" si="45"/>
        <v>2.6798944075087996E-2</v>
      </c>
      <c r="EG23" s="157">
        <f t="shared" si="46"/>
        <v>0</v>
      </c>
      <c r="EH23" s="122">
        <f t="shared" si="47"/>
        <v>0</v>
      </c>
      <c r="EI23" s="123">
        <f t="shared" si="48"/>
        <v>0</v>
      </c>
      <c r="EJ23" s="123"/>
      <c r="EK23" s="157">
        <f t="shared" si="49"/>
        <v>127850000</v>
      </c>
      <c r="EL23" s="157">
        <f t="shared" si="50"/>
        <v>0</v>
      </c>
      <c r="EM23" s="157">
        <f t="shared" si="51"/>
        <v>9517.3472222222226</v>
      </c>
      <c r="EN23" s="123">
        <f t="shared" si="52"/>
        <v>2.6798944075087996E-2</v>
      </c>
      <c r="EP23" s="122"/>
    </row>
    <row r="24" spans="1:146" x14ac:dyDescent="0.25">
      <c r="A24" s="66">
        <f t="shared" si="53"/>
        <v>43630</v>
      </c>
      <c r="D24" s="122">
        <f t="shared" si="2"/>
        <v>0</v>
      </c>
      <c r="G24" s="122">
        <f t="shared" si="3"/>
        <v>0</v>
      </c>
      <c r="J24" s="122">
        <f t="shared" si="4"/>
        <v>0</v>
      </c>
      <c r="M24" s="122">
        <f t="shared" si="5"/>
        <v>0</v>
      </c>
      <c r="P24" s="122">
        <f t="shared" si="6"/>
        <v>0</v>
      </c>
      <c r="S24" s="122">
        <f t="shared" si="7"/>
        <v>0</v>
      </c>
      <c r="V24" s="122">
        <f t="shared" si="8"/>
        <v>0</v>
      </c>
      <c r="Y24" s="122">
        <f t="shared" si="9"/>
        <v>0</v>
      </c>
      <c r="AB24" s="122">
        <f t="shared" si="10"/>
        <v>0</v>
      </c>
      <c r="AE24" s="122">
        <v>0</v>
      </c>
      <c r="AH24" s="122">
        <v>0</v>
      </c>
      <c r="AI24" s="155">
        <f>46150000</f>
        <v>46150000</v>
      </c>
      <c r="AJ24" s="156">
        <v>2.5600000000000001E-2</v>
      </c>
      <c r="AK24" s="122">
        <f t="shared" si="11"/>
        <v>3281.7777777777778</v>
      </c>
      <c r="AL24" s="155">
        <f t="shared" si="55"/>
        <v>35000000</v>
      </c>
      <c r="AM24" s="156">
        <v>2.7E-2</v>
      </c>
      <c r="AN24" s="122">
        <f t="shared" si="12"/>
        <v>2625</v>
      </c>
      <c r="AO24" s="155"/>
      <c r="AP24" s="156"/>
      <c r="AQ24" s="122">
        <f t="shared" si="13"/>
        <v>0</v>
      </c>
      <c r="AR24" s="155">
        <f t="shared" si="54"/>
        <v>30000000</v>
      </c>
      <c r="AS24" s="156">
        <v>2.7199999999999998E-2</v>
      </c>
      <c r="AT24" s="122">
        <f t="shared" si="14"/>
        <v>2266.6666666666665</v>
      </c>
      <c r="AW24" s="122">
        <f t="shared" si="15"/>
        <v>0</v>
      </c>
      <c r="AZ24" s="122">
        <f t="shared" si="16"/>
        <v>0</v>
      </c>
      <c r="BC24" s="122">
        <f t="shared" si="17"/>
        <v>0</v>
      </c>
      <c r="BF24" s="122">
        <f t="shared" si="18"/>
        <v>0</v>
      </c>
      <c r="BI24" s="122">
        <f t="shared" si="19"/>
        <v>0</v>
      </c>
      <c r="BL24" s="122">
        <f t="shared" si="20"/>
        <v>0</v>
      </c>
      <c r="BO24" s="122">
        <f t="shared" si="21"/>
        <v>0</v>
      </c>
      <c r="BR24" s="122">
        <f t="shared" si="22"/>
        <v>0</v>
      </c>
      <c r="BU24" s="122">
        <f t="shared" si="23"/>
        <v>0</v>
      </c>
      <c r="BX24" s="122">
        <f t="shared" si="24"/>
        <v>0</v>
      </c>
      <c r="CA24" s="122">
        <f t="shared" si="25"/>
        <v>0</v>
      </c>
      <c r="CD24" s="122">
        <f t="shared" si="26"/>
        <v>0</v>
      </c>
      <c r="CG24" s="122">
        <f t="shared" si="27"/>
        <v>0</v>
      </c>
      <c r="CJ24" s="122">
        <f t="shared" si="28"/>
        <v>0</v>
      </c>
      <c r="CM24" s="122">
        <f t="shared" si="29"/>
        <v>0</v>
      </c>
      <c r="CP24" s="122">
        <f t="shared" si="30"/>
        <v>0</v>
      </c>
      <c r="CS24" s="122">
        <f t="shared" si="31"/>
        <v>0</v>
      </c>
      <c r="CV24" s="122">
        <f t="shared" si="32"/>
        <v>0</v>
      </c>
      <c r="CY24" s="122">
        <f t="shared" si="33"/>
        <v>0</v>
      </c>
      <c r="DB24" s="122">
        <f t="shared" si="34"/>
        <v>0</v>
      </c>
      <c r="DE24" s="122">
        <f t="shared" si="35"/>
        <v>0</v>
      </c>
      <c r="DH24" s="122">
        <f t="shared" si="36"/>
        <v>0</v>
      </c>
      <c r="DK24" s="122">
        <f t="shared" si="37"/>
        <v>0</v>
      </c>
      <c r="DN24" s="122">
        <f t="shared" si="38"/>
        <v>0</v>
      </c>
      <c r="DQ24" s="122">
        <f t="shared" si="39"/>
        <v>0</v>
      </c>
      <c r="DT24" s="122">
        <f t="shared" si="40"/>
        <v>0</v>
      </c>
      <c r="DW24" s="122">
        <f t="shared" si="41"/>
        <v>0</v>
      </c>
      <c r="DZ24" s="122"/>
      <c r="EA24" s="122"/>
      <c r="EB24" s="157">
        <f t="shared" si="42"/>
        <v>111150000</v>
      </c>
      <c r="EC24" s="157">
        <f t="shared" si="43"/>
        <v>0</v>
      </c>
      <c r="ED24" s="122">
        <f t="shared" si="44"/>
        <v>8173.4444444444434</v>
      </c>
      <c r="EE24" s="123">
        <f t="shared" si="45"/>
        <v>2.6472694556905083E-2</v>
      </c>
      <c r="EG24" s="157">
        <f t="shared" si="46"/>
        <v>0</v>
      </c>
      <c r="EH24" s="122">
        <f t="shared" si="47"/>
        <v>0</v>
      </c>
      <c r="EI24" s="123">
        <f t="shared" si="48"/>
        <v>0</v>
      </c>
      <c r="EJ24" s="123"/>
      <c r="EK24" s="157">
        <f t="shared" si="49"/>
        <v>111150000</v>
      </c>
      <c r="EL24" s="157">
        <f t="shared" si="50"/>
        <v>0</v>
      </c>
      <c r="EM24" s="157">
        <f t="shared" si="51"/>
        <v>8173.4444444444434</v>
      </c>
      <c r="EN24" s="123">
        <f t="shared" si="52"/>
        <v>2.6472694556905083E-2</v>
      </c>
      <c r="EP24" s="122"/>
    </row>
    <row r="25" spans="1:146" x14ac:dyDescent="0.25">
      <c r="A25" s="66">
        <f t="shared" si="53"/>
        <v>43631</v>
      </c>
      <c r="D25" s="122">
        <f t="shared" si="2"/>
        <v>0</v>
      </c>
      <c r="G25" s="122">
        <f t="shared" si="3"/>
        <v>0</v>
      </c>
      <c r="J25" s="122">
        <f t="shared" si="4"/>
        <v>0</v>
      </c>
      <c r="M25" s="122">
        <f t="shared" si="5"/>
        <v>0</v>
      </c>
      <c r="P25" s="122">
        <f t="shared" si="6"/>
        <v>0</v>
      </c>
      <c r="S25" s="122">
        <f t="shared" si="7"/>
        <v>0</v>
      </c>
      <c r="V25" s="122">
        <f t="shared" si="8"/>
        <v>0</v>
      </c>
      <c r="Y25" s="122">
        <f t="shared" si="9"/>
        <v>0</v>
      </c>
      <c r="AB25" s="122">
        <f t="shared" si="10"/>
        <v>0</v>
      </c>
      <c r="AE25" s="122">
        <v>0</v>
      </c>
      <c r="AH25" s="122">
        <v>0</v>
      </c>
      <c r="AI25" s="155">
        <f>46150000</f>
        <v>46150000</v>
      </c>
      <c r="AJ25" s="156">
        <v>2.5600000000000001E-2</v>
      </c>
      <c r="AK25" s="122">
        <f t="shared" si="11"/>
        <v>3281.7777777777778</v>
      </c>
      <c r="AL25" s="155">
        <f t="shared" si="55"/>
        <v>35000000</v>
      </c>
      <c r="AM25" s="156">
        <v>2.7E-2</v>
      </c>
      <c r="AN25" s="122">
        <f t="shared" si="12"/>
        <v>2625</v>
      </c>
      <c r="AO25" s="155"/>
      <c r="AP25" s="156"/>
      <c r="AQ25" s="122">
        <f t="shared" si="13"/>
        <v>0</v>
      </c>
      <c r="AR25" s="155">
        <f t="shared" si="54"/>
        <v>30000000</v>
      </c>
      <c r="AS25" s="156">
        <v>2.7199999999999998E-2</v>
      </c>
      <c r="AT25" s="122">
        <f t="shared" si="14"/>
        <v>2266.6666666666665</v>
      </c>
      <c r="AW25" s="122">
        <f t="shared" si="15"/>
        <v>0</v>
      </c>
      <c r="AZ25" s="122">
        <f t="shared" si="16"/>
        <v>0</v>
      </c>
      <c r="BC25" s="122">
        <f t="shared" si="17"/>
        <v>0</v>
      </c>
      <c r="BF25" s="122">
        <f t="shared" si="18"/>
        <v>0</v>
      </c>
      <c r="BI25" s="122">
        <f t="shared" si="19"/>
        <v>0</v>
      </c>
      <c r="BL25" s="122">
        <f t="shared" si="20"/>
        <v>0</v>
      </c>
      <c r="BO25" s="122">
        <f t="shared" si="21"/>
        <v>0</v>
      </c>
      <c r="BR25" s="122">
        <f t="shared" si="22"/>
        <v>0</v>
      </c>
      <c r="BU25" s="122">
        <f t="shared" si="23"/>
        <v>0</v>
      </c>
      <c r="BX25" s="122">
        <f t="shared" si="24"/>
        <v>0</v>
      </c>
      <c r="CA25" s="122">
        <f t="shared" si="25"/>
        <v>0</v>
      </c>
      <c r="CD25" s="122">
        <f t="shared" si="26"/>
        <v>0</v>
      </c>
      <c r="CG25" s="122">
        <f t="shared" si="27"/>
        <v>0</v>
      </c>
      <c r="CJ25" s="122">
        <f t="shared" si="28"/>
        <v>0</v>
      </c>
      <c r="CM25" s="122">
        <f t="shared" si="29"/>
        <v>0</v>
      </c>
      <c r="CP25" s="122">
        <f t="shared" si="30"/>
        <v>0</v>
      </c>
      <c r="CS25" s="122">
        <f t="shared" si="31"/>
        <v>0</v>
      </c>
      <c r="CV25" s="122">
        <f t="shared" si="32"/>
        <v>0</v>
      </c>
      <c r="CY25" s="122">
        <f t="shared" si="33"/>
        <v>0</v>
      </c>
      <c r="DB25" s="122">
        <f t="shared" si="34"/>
        <v>0</v>
      </c>
      <c r="DE25" s="122">
        <f t="shared" si="35"/>
        <v>0</v>
      </c>
      <c r="DH25" s="122">
        <f t="shared" si="36"/>
        <v>0</v>
      </c>
      <c r="DK25" s="122">
        <f t="shared" si="37"/>
        <v>0</v>
      </c>
      <c r="DN25" s="122">
        <f t="shared" si="38"/>
        <v>0</v>
      </c>
      <c r="DQ25" s="122">
        <f t="shared" si="39"/>
        <v>0</v>
      </c>
      <c r="DT25" s="122">
        <f t="shared" si="40"/>
        <v>0</v>
      </c>
      <c r="DW25" s="122">
        <f t="shared" si="41"/>
        <v>0</v>
      </c>
      <c r="DZ25" s="122"/>
      <c r="EA25" s="122"/>
      <c r="EB25" s="157">
        <f t="shared" si="42"/>
        <v>111150000</v>
      </c>
      <c r="EC25" s="157">
        <f t="shared" si="43"/>
        <v>0</v>
      </c>
      <c r="ED25" s="122">
        <f t="shared" si="44"/>
        <v>8173.4444444444434</v>
      </c>
      <c r="EE25" s="123">
        <f t="shared" si="45"/>
        <v>2.6472694556905083E-2</v>
      </c>
      <c r="EG25" s="157">
        <f t="shared" si="46"/>
        <v>0</v>
      </c>
      <c r="EH25" s="122">
        <f t="shared" si="47"/>
        <v>0</v>
      </c>
      <c r="EI25" s="123">
        <f t="shared" si="48"/>
        <v>0</v>
      </c>
      <c r="EJ25" s="123"/>
      <c r="EK25" s="157">
        <f t="shared" si="49"/>
        <v>111150000</v>
      </c>
      <c r="EL25" s="157">
        <f t="shared" si="50"/>
        <v>0</v>
      </c>
      <c r="EM25" s="157">
        <f t="shared" si="51"/>
        <v>8173.4444444444434</v>
      </c>
      <c r="EN25" s="123">
        <f t="shared" si="52"/>
        <v>2.6472694556905083E-2</v>
      </c>
      <c r="EP25" s="122"/>
    </row>
    <row r="26" spans="1:146" x14ac:dyDescent="0.25">
      <c r="A26" s="66">
        <f t="shared" si="53"/>
        <v>43632</v>
      </c>
      <c r="D26" s="122">
        <f t="shared" si="2"/>
        <v>0</v>
      </c>
      <c r="G26" s="122">
        <f t="shared" si="3"/>
        <v>0</v>
      </c>
      <c r="J26" s="122">
        <f t="shared" si="4"/>
        <v>0</v>
      </c>
      <c r="M26" s="122">
        <f t="shared" si="5"/>
        <v>0</v>
      </c>
      <c r="P26" s="122">
        <f t="shared" si="6"/>
        <v>0</v>
      </c>
      <c r="S26" s="122">
        <f t="shared" si="7"/>
        <v>0</v>
      </c>
      <c r="V26" s="122">
        <f t="shared" si="8"/>
        <v>0</v>
      </c>
      <c r="Y26" s="122">
        <f t="shared" si="9"/>
        <v>0</v>
      </c>
      <c r="AB26" s="122">
        <f t="shared" si="10"/>
        <v>0</v>
      </c>
      <c r="AE26" s="122">
        <v>0</v>
      </c>
      <c r="AH26" s="122">
        <v>0</v>
      </c>
      <c r="AI26" s="155">
        <f>46150000</f>
        <v>46150000</v>
      </c>
      <c r="AJ26" s="156">
        <v>2.5600000000000001E-2</v>
      </c>
      <c r="AK26" s="122">
        <f t="shared" si="11"/>
        <v>3281.7777777777778</v>
      </c>
      <c r="AL26" s="155">
        <f t="shared" si="55"/>
        <v>35000000</v>
      </c>
      <c r="AM26" s="156">
        <v>2.7E-2</v>
      </c>
      <c r="AN26" s="122">
        <f t="shared" si="12"/>
        <v>2625</v>
      </c>
      <c r="AO26" s="155"/>
      <c r="AP26" s="156"/>
      <c r="AQ26" s="122">
        <f t="shared" si="13"/>
        <v>0</v>
      </c>
      <c r="AR26" s="155">
        <f t="shared" si="54"/>
        <v>30000000</v>
      </c>
      <c r="AS26" s="156">
        <v>2.7199999999999998E-2</v>
      </c>
      <c r="AT26" s="122">
        <f t="shared" si="14"/>
        <v>2266.6666666666665</v>
      </c>
      <c r="AW26" s="122">
        <f t="shared" si="15"/>
        <v>0</v>
      </c>
      <c r="AZ26" s="122">
        <f t="shared" si="16"/>
        <v>0</v>
      </c>
      <c r="BC26" s="122">
        <f t="shared" si="17"/>
        <v>0</v>
      </c>
      <c r="BF26" s="122">
        <f t="shared" si="18"/>
        <v>0</v>
      </c>
      <c r="BI26" s="122">
        <f t="shared" si="19"/>
        <v>0</v>
      </c>
      <c r="BL26" s="122">
        <f t="shared" si="20"/>
        <v>0</v>
      </c>
      <c r="BO26" s="122">
        <f t="shared" si="21"/>
        <v>0</v>
      </c>
      <c r="BR26" s="122">
        <f t="shared" si="22"/>
        <v>0</v>
      </c>
      <c r="BU26" s="122">
        <f t="shared" si="23"/>
        <v>0</v>
      </c>
      <c r="BX26" s="122">
        <f t="shared" si="24"/>
        <v>0</v>
      </c>
      <c r="CA26" s="122">
        <f t="shared" si="25"/>
        <v>0</v>
      </c>
      <c r="CD26" s="122">
        <f t="shared" si="26"/>
        <v>0</v>
      </c>
      <c r="CG26" s="122">
        <f t="shared" si="27"/>
        <v>0</v>
      </c>
      <c r="CJ26" s="122">
        <f t="shared" si="28"/>
        <v>0</v>
      </c>
      <c r="CM26" s="122">
        <f t="shared" si="29"/>
        <v>0</v>
      </c>
      <c r="CP26" s="122">
        <f t="shared" si="30"/>
        <v>0</v>
      </c>
      <c r="CS26" s="122">
        <f t="shared" si="31"/>
        <v>0</v>
      </c>
      <c r="CV26" s="122">
        <f t="shared" si="32"/>
        <v>0</v>
      </c>
      <c r="CY26" s="122">
        <f t="shared" si="33"/>
        <v>0</v>
      </c>
      <c r="DB26" s="122">
        <f t="shared" si="34"/>
        <v>0</v>
      </c>
      <c r="DE26" s="122">
        <f t="shared" si="35"/>
        <v>0</v>
      </c>
      <c r="DH26" s="122">
        <f t="shared" si="36"/>
        <v>0</v>
      </c>
      <c r="DK26" s="122">
        <f t="shared" si="37"/>
        <v>0</v>
      </c>
      <c r="DN26" s="122">
        <f t="shared" si="38"/>
        <v>0</v>
      </c>
      <c r="DQ26" s="122">
        <f t="shared" si="39"/>
        <v>0</v>
      </c>
      <c r="DT26" s="122">
        <f t="shared" si="40"/>
        <v>0</v>
      </c>
      <c r="DW26" s="122">
        <f t="shared" si="41"/>
        <v>0</v>
      </c>
      <c r="DZ26" s="122"/>
      <c r="EA26" s="122"/>
      <c r="EB26" s="157">
        <f t="shared" si="42"/>
        <v>111150000</v>
      </c>
      <c r="EC26" s="157">
        <f t="shared" si="43"/>
        <v>0</v>
      </c>
      <c r="ED26" s="122">
        <f t="shared" si="44"/>
        <v>8173.4444444444434</v>
      </c>
      <c r="EE26" s="123">
        <f t="shared" si="45"/>
        <v>2.6472694556905083E-2</v>
      </c>
      <c r="EG26" s="157">
        <f t="shared" si="46"/>
        <v>0</v>
      </c>
      <c r="EH26" s="122">
        <f t="shared" si="47"/>
        <v>0</v>
      </c>
      <c r="EI26" s="123">
        <f t="shared" si="48"/>
        <v>0</v>
      </c>
      <c r="EJ26" s="123"/>
      <c r="EK26" s="157">
        <f t="shared" si="49"/>
        <v>111150000</v>
      </c>
      <c r="EL26" s="157">
        <f t="shared" si="50"/>
        <v>0</v>
      </c>
      <c r="EM26" s="157">
        <f t="shared" si="51"/>
        <v>8173.4444444444434</v>
      </c>
      <c r="EN26" s="123">
        <f t="shared" si="52"/>
        <v>2.6472694556905083E-2</v>
      </c>
      <c r="EP26" s="122"/>
    </row>
    <row r="27" spans="1:146" x14ac:dyDescent="0.25">
      <c r="A27" s="66">
        <f t="shared" si="53"/>
        <v>43633</v>
      </c>
      <c r="D27" s="122">
        <f t="shared" si="2"/>
        <v>0</v>
      </c>
      <c r="G27" s="122">
        <f t="shared" si="3"/>
        <v>0</v>
      </c>
      <c r="J27" s="122">
        <f t="shared" si="4"/>
        <v>0</v>
      </c>
      <c r="M27" s="122">
        <f t="shared" si="5"/>
        <v>0</v>
      </c>
      <c r="P27" s="122">
        <f t="shared" si="6"/>
        <v>0</v>
      </c>
      <c r="S27" s="122">
        <f t="shared" si="7"/>
        <v>0</v>
      </c>
      <c r="V27" s="122">
        <f t="shared" si="8"/>
        <v>0</v>
      </c>
      <c r="Y27" s="122">
        <f t="shared" si="9"/>
        <v>0</v>
      </c>
      <c r="AB27" s="122">
        <f t="shared" si="10"/>
        <v>0</v>
      </c>
      <c r="AE27" s="122">
        <v>0</v>
      </c>
      <c r="AH27" s="122">
        <v>0</v>
      </c>
      <c r="AI27" s="155">
        <f>65075000</f>
        <v>65075000</v>
      </c>
      <c r="AJ27" s="156">
        <v>2.5600000000000001E-2</v>
      </c>
      <c r="AK27" s="122">
        <f t="shared" si="11"/>
        <v>4627.5555555555557</v>
      </c>
      <c r="AL27" s="155">
        <f t="shared" si="55"/>
        <v>35000000</v>
      </c>
      <c r="AM27" s="156">
        <v>2.7E-2</v>
      </c>
      <c r="AN27" s="122">
        <f t="shared" si="12"/>
        <v>2625</v>
      </c>
      <c r="AO27" s="155"/>
      <c r="AP27" s="156"/>
      <c r="AQ27" s="122">
        <f t="shared" si="13"/>
        <v>0</v>
      </c>
      <c r="AR27" s="155">
        <f t="shared" si="54"/>
        <v>30000000</v>
      </c>
      <c r="AS27" s="156">
        <v>2.7199999999999998E-2</v>
      </c>
      <c r="AT27" s="122">
        <f t="shared" si="14"/>
        <v>2266.6666666666665</v>
      </c>
      <c r="AW27" s="122">
        <f t="shared" si="15"/>
        <v>0</v>
      </c>
      <c r="AZ27" s="122">
        <f t="shared" si="16"/>
        <v>0</v>
      </c>
      <c r="BC27" s="122">
        <f t="shared" si="17"/>
        <v>0</v>
      </c>
      <c r="BF27" s="122">
        <f t="shared" si="18"/>
        <v>0</v>
      </c>
      <c r="BI27" s="122">
        <f t="shared" si="19"/>
        <v>0</v>
      </c>
      <c r="BL27" s="122">
        <f t="shared" si="20"/>
        <v>0</v>
      </c>
      <c r="BO27" s="122">
        <f t="shared" si="21"/>
        <v>0</v>
      </c>
      <c r="BR27" s="122">
        <f t="shared" si="22"/>
        <v>0</v>
      </c>
      <c r="BU27" s="122">
        <f t="shared" si="23"/>
        <v>0</v>
      </c>
      <c r="BX27" s="122">
        <f t="shared" si="24"/>
        <v>0</v>
      </c>
      <c r="CA27" s="122">
        <f t="shared" si="25"/>
        <v>0</v>
      </c>
      <c r="CD27" s="122">
        <f t="shared" si="26"/>
        <v>0</v>
      </c>
      <c r="CG27" s="122">
        <f t="shared" si="27"/>
        <v>0</v>
      </c>
      <c r="CJ27" s="122">
        <f t="shared" si="28"/>
        <v>0</v>
      </c>
      <c r="CM27" s="122">
        <f t="shared" si="29"/>
        <v>0</v>
      </c>
      <c r="CP27" s="122">
        <f t="shared" si="30"/>
        <v>0</v>
      </c>
      <c r="CS27" s="122">
        <f t="shared" si="31"/>
        <v>0</v>
      </c>
      <c r="CV27" s="122">
        <f t="shared" si="32"/>
        <v>0</v>
      </c>
      <c r="CY27" s="122">
        <f t="shared" si="33"/>
        <v>0</v>
      </c>
      <c r="DB27" s="122">
        <f t="shared" si="34"/>
        <v>0</v>
      </c>
      <c r="DE27" s="122">
        <f t="shared" si="35"/>
        <v>0</v>
      </c>
      <c r="DH27" s="122">
        <f t="shared" si="36"/>
        <v>0</v>
      </c>
      <c r="DK27" s="122">
        <f t="shared" si="37"/>
        <v>0</v>
      </c>
      <c r="DN27" s="122">
        <f t="shared" si="38"/>
        <v>0</v>
      </c>
      <c r="DQ27" s="122">
        <f t="shared" si="39"/>
        <v>0</v>
      </c>
      <c r="DT27" s="122">
        <f t="shared" si="40"/>
        <v>0</v>
      </c>
      <c r="DW27" s="122">
        <f t="shared" si="41"/>
        <v>0</v>
      </c>
      <c r="DZ27" s="122"/>
      <c r="EA27" s="122"/>
      <c r="EB27" s="157">
        <f t="shared" si="42"/>
        <v>130075000</v>
      </c>
      <c r="EC27" s="157">
        <f t="shared" si="43"/>
        <v>0</v>
      </c>
      <c r="ED27" s="122">
        <f t="shared" si="44"/>
        <v>9519.2222222222226</v>
      </c>
      <c r="EE27" s="123">
        <f t="shared" si="45"/>
        <v>2.6345723620987894E-2</v>
      </c>
      <c r="EG27" s="157">
        <f t="shared" si="46"/>
        <v>0</v>
      </c>
      <c r="EH27" s="122">
        <f t="shared" si="47"/>
        <v>0</v>
      </c>
      <c r="EI27" s="123">
        <f t="shared" si="48"/>
        <v>0</v>
      </c>
      <c r="EJ27" s="123"/>
      <c r="EK27" s="157">
        <f t="shared" si="49"/>
        <v>130075000</v>
      </c>
      <c r="EL27" s="157">
        <f t="shared" si="50"/>
        <v>0</v>
      </c>
      <c r="EM27" s="157">
        <f t="shared" si="51"/>
        <v>9519.2222222222226</v>
      </c>
      <c r="EN27" s="123">
        <f t="shared" si="52"/>
        <v>2.6345723620987894E-2</v>
      </c>
      <c r="EP27" s="122"/>
    </row>
    <row r="28" spans="1:146" x14ac:dyDescent="0.25">
      <c r="A28" s="66">
        <f t="shared" si="53"/>
        <v>43634</v>
      </c>
      <c r="D28" s="122">
        <f t="shared" si="2"/>
        <v>0</v>
      </c>
      <c r="G28" s="122">
        <f t="shared" si="3"/>
        <v>0</v>
      </c>
      <c r="J28" s="122">
        <f t="shared" si="4"/>
        <v>0</v>
      </c>
      <c r="M28" s="122">
        <f t="shared" si="5"/>
        <v>0</v>
      </c>
      <c r="P28" s="122">
        <f t="shared" si="6"/>
        <v>0</v>
      </c>
      <c r="S28" s="122">
        <f t="shared" si="7"/>
        <v>0</v>
      </c>
      <c r="V28" s="122">
        <f t="shared" si="8"/>
        <v>0</v>
      </c>
      <c r="Y28" s="122">
        <f t="shared" si="9"/>
        <v>0</v>
      </c>
      <c r="AB28" s="122">
        <f t="shared" si="10"/>
        <v>0</v>
      </c>
      <c r="AE28" s="122">
        <v>0</v>
      </c>
      <c r="AH28" s="122">
        <v>0</v>
      </c>
      <c r="AI28" s="155">
        <f>60825000</f>
        <v>60825000</v>
      </c>
      <c r="AJ28" s="156">
        <v>2.5600000000000001E-2</v>
      </c>
      <c r="AK28" s="122">
        <f t="shared" si="11"/>
        <v>4325.333333333333</v>
      </c>
      <c r="AL28" s="155">
        <f t="shared" si="55"/>
        <v>35000000</v>
      </c>
      <c r="AM28" s="156">
        <v>2.7E-2</v>
      </c>
      <c r="AN28" s="122">
        <f t="shared" si="12"/>
        <v>2625</v>
      </c>
      <c r="AO28" s="155"/>
      <c r="AP28" s="156"/>
      <c r="AQ28" s="122">
        <f t="shared" si="13"/>
        <v>0</v>
      </c>
      <c r="AR28" s="155">
        <f t="shared" si="54"/>
        <v>30000000</v>
      </c>
      <c r="AS28" s="156">
        <v>2.7199999999999998E-2</v>
      </c>
      <c r="AT28" s="122">
        <f t="shared" si="14"/>
        <v>2266.6666666666665</v>
      </c>
      <c r="AW28" s="122">
        <f t="shared" si="15"/>
        <v>0</v>
      </c>
      <c r="AZ28" s="122">
        <f t="shared" si="16"/>
        <v>0</v>
      </c>
      <c r="BC28" s="122">
        <f t="shared" si="17"/>
        <v>0</v>
      </c>
      <c r="BF28" s="122">
        <f t="shared" si="18"/>
        <v>0</v>
      </c>
      <c r="BI28" s="122">
        <f t="shared" si="19"/>
        <v>0</v>
      </c>
      <c r="BL28" s="122">
        <f t="shared" si="20"/>
        <v>0</v>
      </c>
      <c r="BO28" s="122">
        <f t="shared" si="21"/>
        <v>0</v>
      </c>
      <c r="BR28" s="122">
        <f t="shared" si="22"/>
        <v>0</v>
      </c>
      <c r="BU28" s="122">
        <f t="shared" si="23"/>
        <v>0</v>
      </c>
      <c r="BX28" s="122">
        <f t="shared" si="24"/>
        <v>0</v>
      </c>
      <c r="CA28" s="122">
        <f t="shared" si="25"/>
        <v>0</v>
      </c>
      <c r="CD28" s="122">
        <f t="shared" si="26"/>
        <v>0</v>
      </c>
      <c r="CG28" s="122">
        <f t="shared" si="27"/>
        <v>0</v>
      </c>
      <c r="CJ28" s="122">
        <f t="shared" si="28"/>
        <v>0</v>
      </c>
      <c r="CM28" s="122">
        <f t="shared" si="29"/>
        <v>0</v>
      </c>
      <c r="CP28" s="122">
        <f t="shared" si="30"/>
        <v>0</v>
      </c>
      <c r="CS28" s="122">
        <f t="shared" si="31"/>
        <v>0</v>
      </c>
      <c r="CV28" s="122">
        <f t="shared" si="32"/>
        <v>0</v>
      </c>
      <c r="CY28" s="122">
        <f t="shared" si="33"/>
        <v>0</v>
      </c>
      <c r="DB28" s="122">
        <f t="shared" si="34"/>
        <v>0</v>
      </c>
      <c r="DE28" s="122">
        <f t="shared" si="35"/>
        <v>0</v>
      </c>
      <c r="DH28" s="122">
        <f t="shared" si="36"/>
        <v>0</v>
      </c>
      <c r="DK28" s="122">
        <f t="shared" si="37"/>
        <v>0</v>
      </c>
      <c r="DN28" s="122">
        <f t="shared" si="38"/>
        <v>0</v>
      </c>
      <c r="DQ28" s="122">
        <f t="shared" si="39"/>
        <v>0</v>
      </c>
      <c r="DT28" s="122">
        <f t="shared" si="40"/>
        <v>0</v>
      </c>
      <c r="DW28" s="122">
        <f t="shared" si="41"/>
        <v>0</v>
      </c>
      <c r="DZ28" s="122"/>
      <c r="EA28" s="122"/>
      <c r="EB28" s="157">
        <f t="shared" si="42"/>
        <v>125825000</v>
      </c>
      <c r="EC28" s="157">
        <f t="shared" si="43"/>
        <v>0</v>
      </c>
      <c r="ED28" s="122">
        <f t="shared" si="44"/>
        <v>9217</v>
      </c>
      <c r="EE28" s="123">
        <f t="shared" si="45"/>
        <v>2.6370911980925893E-2</v>
      </c>
      <c r="EG28" s="157">
        <f t="shared" si="46"/>
        <v>0</v>
      </c>
      <c r="EH28" s="122">
        <f t="shared" si="47"/>
        <v>0</v>
      </c>
      <c r="EI28" s="123">
        <f t="shared" si="48"/>
        <v>0</v>
      </c>
      <c r="EJ28" s="123"/>
      <c r="EK28" s="157">
        <f t="shared" si="49"/>
        <v>125825000</v>
      </c>
      <c r="EL28" s="157">
        <f t="shared" si="50"/>
        <v>0</v>
      </c>
      <c r="EM28" s="157">
        <f t="shared" si="51"/>
        <v>9217</v>
      </c>
      <c r="EN28" s="123">
        <f t="shared" si="52"/>
        <v>2.6370911980925893E-2</v>
      </c>
      <c r="EP28" s="122"/>
    </row>
    <row r="29" spans="1:146" x14ac:dyDescent="0.25">
      <c r="A29" s="66">
        <f t="shared" si="53"/>
        <v>43635</v>
      </c>
      <c r="D29" s="122">
        <f t="shared" si="2"/>
        <v>0</v>
      </c>
      <c r="G29" s="122">
        <f t="shared" si="3"/>
        <v>0</v>
      </c>
      <c r="J29" s="122">
        <f t="shared" si="4"/>
        <v>0</v>
      </c>
      <c r="M29" s="122">
        <f t="shared" si="5"/>
        <v>0</v>
      </c>
      <c r="P29" s="122">
        <f t="shared" si="6"/>
        <v>0</v>
      </c>
      <c r="S29" s="122">
        <f t="shared" si="7"/>
        <v>0</v>
      </c>
      <c r="V29" s="122">
        <f t="shared" si="8"/>
        <v>0</v>
      </c>
      <c r="Y29" s="122">
        <f t="shared" si="9"/>
        <v>0</v>
      </c>
      <c r="AB29" s="122">
        <f t="shared" si="10"/>
        <v>0</v>
      </c>
      <c r="AE29" s="122">
        <v>0</v>
      </c>
      <c r="AH29" s="122">
        <v>0</v>
      </c>
      <c r="AI29" s="155">
        <f>54475000</f>
        <v>54475000</v>
      </c>
      <c r="AJ29" s="156">
        <v>2.5600000000000001E-2</v>
      </c>
      <c r="AK29" s="122">
        <f t="shared" si="11"/>
        <v>3873.7777777777778</v>
      </c>
      <c r="AL29" s="155">
        <f t="shared" si="55"/>
        <v>35000000</v>
      </c>
      <c r="AM29" s="156">
        <v>2.7E-2</v>
      </c>
      <c r="AN29" s="122">
        <f t="shared" si="12"/>
        <v>2625</v>
      </c>
      <c r="AO29" s="155"/>
      <c r="AP29" s="156"/>
      <c r="AQ29" s="122">
        <f t="shared" si="13"/>
        <v>0</v>
      </c>
      <c r="AR29" s="155">
        <f t="shared" si="54"/>
        <v>30000000</v>
      </c>
      <c r="AS29" s="156">
        <v>2.7199999999999998E-2</v>
      </c>
      <c r="AT29" s="122">
        <f t="shared" si="14"/>
        <v>2266.6666666666665</v>
      </c>
      <c r="AW29" s="122">
        <f t="shared" si="15"/>
        <v>0</v>
      </c>
      <c r="AZ29" s="122">
        <f t="shared" si="16"/>
        <v>0</v>
      </c>
      <c r="BC29" s="122">
        <f t="shared" si="17"/>
        <v>0</v>
      </c>
      <c r="BF29" s="122">
        <f t="shared" si="18"/>
        <v>0</v>
      </c>
      <c r="BI29" s="122">
        <f t="shared" si="19"/>
        <v>0</v>
      </c>
      <c r="BL29" s="122">
        <f t="shared" si="20"/>
        <v>0</v>
      </c>
      <c r="BO29" s="122">
        <f t="shared" si="21"/>
        <v>0</v>
      </c>
      <c r="BR29" s="122">
        <f t="shared" si="22"/>
        <v>0</v>
      </c>
      <c r="BU29" s="122">
        <f t="shared" si="23"/>
        <v>0</v>
      </c>
      <c r="BX29" s="122">
        <f t="shared" si="24"/>
        <v>0</v>
      </c>
      <c r="CA29" s="122">
        <f t="shared" si="25"/>
        <v>0</v>
      </c>
      <c r="CD29" s="122">
        <f t="shared" si="26"/>
        <v>0</v>
      </c>
      <c r="CG29" s="122">
        <f t="shared" si="27"/>
        <v>0</v>
      </c>
      <c r="CJ29" s="122">
        <f t="shared" si="28"/>
        <v>0</v>
      </c>
      <c r="CM29" s="122">
        <f t="shared" si="29"/>
        <v>0</v>
      </c>
      <c r="CP29" s="122">
        <f t="shared" si="30"/>
        <v>0</v>
      </c>
      <c r="CS29" s="122">
        <f t="shared" si="31"/>
        <v>0</v>
      </c>
      <c r="CV29" s="122">
        <f t="shared" si="32"/>
        <v>0</v>
      </c>
      <c r="CY29" s="122">
        <f t="shared" si="33"/>
        <v>0</v>
      </c>
      <c r="DB29" s="122">
        <f t="shared" si="34"/>
        <v>0</v>
      </c>
      <c r="DE29" s="122">
        <f t="shared" si="35"/>
        <v>0</v>
      </c>
      <c r="DH29" s="122">
        <f t="shared" si="36"/>
        <v>0</v>
      </c>
      <c r="DK29" s="122">
        <f t="shared" si="37"/>
        <v>0</v>
      </c>
      <c r="DN29" s="122">
        <f t="shared" si="38"/>
        <v>0</v>
      </c>
      <c r="DQ29" s="122">
        <f t="shared" si="39"/>
        <v>0</v>
      </c>
      <c r="DT29" s="122">
        <f t="shared" si="40"/>
        <v>0</v>
      </c>
      <c r="DW29" s="122">
        <f t="shared" si="41"/>
        <v>0</v>
      </c>
      <c r="DZ29" s="122"/>
      <c r="EA29" s="122"/>
      <c r="EB29" s="157">
        <f t="shared" si="42"/>
        <v>119475000</v>
      </c>
      <c r="EC29" s="157">
        <f t="shared" si="43"/>
        <v>0</v>
      </c>
      <c r="ED29" s="122">
        <f t="shared" si="44"/>
        <v>8765.4444444444434</v>
      </c>
      <c r="EE29" s="123">
        <f t="shared" si="45"/>
        <v>2.6411885331659338E-2</v>
      </c>
      <c r="EG29" s="157">
        <f t="shared" si="46"/>
        <v>0</v>
      </c>
      <c r="EH29" s="122">
        <f t="shared" si="47"/>
        <v>0</v>
      </c>
      <c r="EI29" s="123">
        <f t="shared" si="48"/>
        <v>0</v>
      </c>
      <c r="EJ29" s="123"/>
      <c r="EK29" s="157">
        <f t="shared" si="49"/>
        <v>119475000</v>
      </c>
      <c r="EL29" s="157">
        <f t="shared" si="50"/>
        <v>0</v>
      </c>
      <c r="EM29" s="157">
        <f t="shared" si="51"/>
        <v>8765.4444444444434</v>
      </c>
      <c r="EN29" s="123">
        <f t="shared" si="52"/>
        <v>2.6411885331659338E-2</v>
      </c>
      <c r="EP29" s="122"/>
    </row>
    <row r="30" spans="1:146" x14ac:dyDescent="0.25">
      <c r="A30" s="66">
        <f t="shared" si="53"/>
        <v>43636</v>
      </c>
      <c r="D30" s="122">
        <f t="shared" si="2"/>
        <v>0</v>
      </c>
      <c r="G30" s="122">
        <f t="shared" si="3"/>
        <v>0</v>
      </c>
      <c r="J30" s="122">
        <f t="shared" si="4"/>
        <v>0</v>
      </c>
      <c r="M30" s="122">
        <f t="shared" si="5"/>
        <v>0</v>
      </c>
      <c r="P30" s="122">
        <f t="shared" si="6"/>
        <v>0</v>
      </c>
      <c r="S30" s="122">
        <f t="shared" si="7"/>
        <v>0</v>
      </c>
      <c r="V30" s="122">
        <f t="shared" si="8"/>
        <v>0</v>
      </c>
      <c r="Y30" s="122">
        <f t="shared" si="9"/>
        <v>0</v>
      </c>
      <c r="AB30" s="122">
        <f t="shared" si="10"/>
        <v>0</v>
      </c>
      <c r="AE30" s="122">
        <v>0</v>
      </c>
      <c r="AH30" s="122">
        <v>0</v>
      </c>
      <c r="AI30" s="155">
        <f>52025000</f>
        <v>52025000</v>
      </c>
      <c r="AJ30" s="156">
        <v>2.5499999999999998E-2</v>
      </c>
      <c r="AK30" s="122">
        <f t="shared" si="11"/>
        <v>3685.1041666666665</v>
      </c>
      <c r="AL30" s="155">
        <f t="shared" si="55"/>
        <v>35000000</v>
      </c>
      <c r="AM30" s="156">
        <v>2.7E-2</v>
      </c>
      <c r="AN30" s="122">
        <f t="shared" si="12"/>
        <v>2625</v>
      </c>
      <c r="AO30" s="155"/>
      <c r="AP30" s="156"/>
      <c r="AQ30" s="122">
        <f t="shared" si="13"/>
        <v>0</v>
      </c>
      <c r="AR30" s="155">
        <f t="shared" si="54"/>
        <v>30000000</v>
      </c>
      <c r="AS30" s="156">
        <v>2.7199999999999998E-2</v>
      </c>
      <c r="AT30" s="122">
        <f t="shared" si="14"/>
        <v>2266.6666666666665</v>
      </c>
      <c r="AW30" s="122">
        <f t="shared" si="15"/>
        <v>0</v>
      </c>
      <c r="AZ30" s="122">
        <f t="shared" si="16"/>
        <v>0</v>
      </c>
      <c r="BC30" s="122">
        <f t="shared" si="17"/>
        <v>0</v>
      </c>
      <c r="BF30" s="122">
        <f t="shared" si="18"/>
        <v>0</v>
      </c>
      <c r="BI30" s="122">
        <f t="shared" si="19"/>
        <v>0</v>
      </c>
      <c r="BL30" s="122">
        <f t="shared" si="20"/>
        <v>0</v>
      </c>
      <c r="BO30" s="122">
        <f t="shared" si="21"/>
        <v>0</v>
      </c>
      <c r="BR30" s="122">
        <f t="shared" si="22"/>
        <v>0</v>
      </c>
      <c r="BU30" s="122">
        <f t="shared" si="23"/>
        <v>0</v>
      </c>
      <c r="BX30" s="122">
        <f t="shared" si="24"/>
        <v>0</v>
      </c>
      <c r="CA30" s="122">
        <f t="shared" si="25"/>
        <v>0</v>
      </c>
      <c r="CD30" s="122">
        <f t="shared" si="26"/>
        <v>0</v>
      </c>
      <c r="CG30" s="122">
        <f t="shared" si="27"/>
        <v>0</v>
      </c>
      <c r="CJ30" s="122">
        <f t="shared" si="28"/>
        <v>0</v>
      </c>
      <c r="CM30" s="122">
        <f t="shared" si="29"/>
        <v>0</v>
      </c>
      <c r="CP30" s="122">
        <f t="shared" si="30"/>
        <v>0</v>
      </c>
      <c r="CS30" s="122">
        <f t="shared" si="31"/>
        <v>0</v>
      </c>
      <c r="CV30" s="122">
        <f t="shared" si="32"/>
        <v>0</v>
      </c>
      <c r="CY30" s="122">
        <f t="shared" si="33"/>
        <v>0</v>
      </c>
      <c r="DB30" s="122">
        <f t="shared" si="34"/>
        <v>0</v>
      </c>
      <c r="DE30" s="122">
        <f t="shared" si="35"/>
        <v>0</v>
      </c>
      <c r="DH30" s="122">
        <f t="shared" si="36"/>
        <v>0</v>
      </c>
      <c r="DK30" s="122">
        <f t="shared" si="37"/>
        <v>0</v>
      </c>
      <c r="DN30" s="122">
        <f t="shared" si="38"/>
        <v>0</v>
      </c>
      <c r="DQ30" s="122">
        <f t="shared" si="39"/>
        <v>0</v>
      </c>
      <c r="DT30" s="122">
        <f t="shared" si="40"/>
        <v>0</v>
      </c>
      <c r="DW30" s="122">
        <f t="shared" si="41"/>
        <v>0</v>
      </c>
      <c r="DZ30" s="122"/>
      <c r="EA30" s="122"/>
      <c r="EB30" s="157">
        <f t="shared" si="42"/>
        <v>117025000</v>
      </c>
      <c r="EC30" s="157">
        <f t="shared" si="43"/>
        <v>0</v>
      </c>
      <c r="ED30" s="122">
        <f t="shared" si="44"/>
        <v>8576.7708333333321</v>
      </c>
      <c r="EE30" s="123">
        <f t="shared" si="45"/>
        <v>2.6384426404614393E-2</v>
      </c>
      <c r="EG30" s="157">
        <f t="shared" si="46"/>
        <v>0</v>
      </c>
      <c r="EH30" s="122">
        <f t="shared" si="47"/>
        <v>0</v>
      </c>
      <c r="EI30" s="123">
        <f t="shared" si="48"/>
        <v>0</v>
      </c>
      <c r="EJ30" s="123"/>
      <c r="EK30" s="157">
        <f t="shared" si="49"/>
        <v>117025000</v>
      </c>
      <c r="EL30" s="157">
        <f t="shared" si="50"/>
        <v>0</v>
      </c>
      <c r="EM30" s="157">
        <f t="shared" si="51"/>
        <v>8576.7708333333321</v>
      </c>
      <c r="EN30" s="123">
        <f t="shared" si="52"/>
        <v>2.6384426404614393E-2</v>
      </c>
      <c r="EP30" s="122"/>
    </row>
    <row r="31" spans="1:146" x14ac:dyDescent="0.25">
      <c r="A31" s="66">
        <f t="shared" si="53"/>
        <v>43637</v>
      </c>
      <c r="D31" s="122">
        <f t="shared" si="2"/>
        <v>0</v>
      </c>
      <c r="G31" s="122">
        <f t="shared" si="3"/>
        <v>0</v>
      </c>
      <c r="J31" s="122">
        <f t="shared" si="4"/>
        <v>0</v>
      </c>
      <c r="M31" s="122">
        <f t="shared" si="5"/>
        <v>0</v>
      </c>
      <c r="P31" s="122">
        <f t="shared" si="6"/>
        <v>0</v>
      </c>
      <c r="S31" s="122">
        <f t="shared" si="7"/>
        <v>0</v>
      </c>
      <c r="V31" s="122">
        <f t="shared" si="8"/>
        <v>0</v>
      </c>
      <c r="Y31" s="122">
        <f t="shared" si="9"/>
        <v>0</v>
      </c>
      <c r="AB31" s="122">
        <f t="shared" si="10"/>
        <v>0</v>
      </c>
      <c r="AE31" s="122">
        <v>0</v>
      </c>
      <c r="AH31" s="122">
        <v>0</v>
      </c>
      <c r="AI31" s="155">
        <f>50975000</f>
        <v>50975000</v>
      </c>
      <c r="AJ31" s="156">
        <v>2.5499999999999998E-2</v>
      </c>
      <c r="AK31" s="122">
        <f t="shared" si="11"/>
        <v>3610.7291666666665</v>
      </c>
      <c r="AL31" s="155">
        <f t="shared" si="55"/>
        <v>35000000</v>
      </c>
      <c r="AM31" s="156">
        <v>2.7E-2</v>
      </c>
      <c r="AN31" s="122">
        <f t="shared" si="12"/>
        <v>2625</v>
      </c>
      <c r="AO31" s="155"/>
      <c r="AP31" s="156"/>
      <c r="AQ31" s="122">
        <f t="shared" si="13"/>
        <v>0</v>
      </c>
      <c r="AR31" s="155">
        <f t="shared" si="54"/>
        <v>30000000</v>
      </c>
      <c r="AS31" s="156">
        <v>2.7199999999999998E-2</v>
      </c>
      <c r="AT31" s="122">
        <f t="shared" si="14"/>
        <v>2266.6666666666665</v>
      </c>
      <c r="AW31" s="122">
        <f t="shared" si="15"/>
        <v>0</v>
      </c>
      <c r="AZ31" s="122">
        <f t="shared" si="16"/>
        <v>0</v>
      </c>
      <c r="BC31" s="122">
        <f t="shared" si="17"/>
        <v>0</v>
      </c>
      <c r="BF31" s="122">
        <f t="shared" si="18"/>
        <v>0</v>
      </c>
      <c r="BI31" s="122">
        <f t="shared" si="19"/>
        <v>0</v>
      </c>
      <c r="BL31" s="122">
        <f t="shared" si="20"/>
        <v>0</v>
      </c>
      <c r="BO31" s="122">
        <f t="shared" si="21"/>
        <v>0</v>
      </c>
      <c r="BR31" s="122">
        <f t="shared" si="22"/>
        <v>0</v>
      </c>
      <c r="BU31" s="122">
        <f t="shared" si="23"/>
        <v>0</v>
      </c>
      <c r="BX31" s="122">
        <f t="shared" si="24"/>
        <v>0</v>
      </c>
      <c r="CA31" s="122">
        <f t="shared" si="25"/>
        <v>0</v>
      </c>
      <c r="CD31" s="122">
        <f t="shared" si="26"/>
        <v>0</v>
      </c>
      <c r="CG31" s="122">
        <f t="shared" si="27"/>
        <v>0</v>
      </c>
      <c r="CJ31" s="122">
        <f t="shared" si="28"/>
        <v>0</v>
      </c>
      <c r="CM31" s="122">
        <f t="shared" si="29"/>
        <v>0</v>
      </c>
      <c r="CP31" s="122">
        <f t="shared" si="30"/>
        <v>0</v>
      </c>
      <c r="CS31" s="122">
        <f t="shared" si="31"/>
        <v>0</v>
      </c>
      <c r="CV31" s="122">
        <f t="shared" si="32"/>
        <v>0</v>
      </c>
      <c r="CY31" s="122">
        <f t="shared" si="33"/>
        <v>0</v>
      </c>
      <c r="DB31" s="122">
        <f t="shared" si="34"/>
        <v>0</v>
      </c>
      <c r="DE31" s="122">
        <f t="shared" si="35"/>
        <v>0</v>
      </c>
      <c r="DH31" s="122">
        <f t="shared" si="36"/>
        <v>0</v>
      </c>
      <c r="DK31" s="122">
        <f t="shared" si="37"/>
        <v>0</v>
      </c>
      <c r="DN31" s="122">
        <f t="shared" si="38"/>
        <v>0</v>
      </c>
      <c r="DQ31" s="122">
        <f t="shared" si="39"/>
        <v>0</v>
      </c>
      <c r="DT31" s="122">
        <f t="shared" si="40"/>
        <v>0</v>
      </c>
      <c r="DW31" s="122">
        <f t="shared" si="41"/>
        <v>0</v>
      </c>
      <c r="DZ31" s="122"/>
      <c r="EA31" s="122"/>
      <c r="EB31" s="157">
        <f t="shared" si="42"/>
        <v>115975000</v>
      </c>
      <c r="EC31" s="157">
        <f t="shared" si="43"/>
        <v>0</v>
      </c>
      <c r="ED31" s="122">
        <f t="shared" si="44"/>
        <v>8502.3958333333321</v>
      </c>
      <c r="EE31" s="123">
        <f t="shared" si="45"/>
        <v>2.6392433714162531E-2</v>
      </c>
      <c r="EG31" s="157">
        <f t="shared" si="46"/>
        <v>0</v>
      </c>
      <c r="EH31" s="122">
        <f t="shared" si="47"/>
        <v>0</v>
      </c>
      <c r="EI31" s="123">
        <f t="shared" si="48"/>
        <v>0</v>
      </c>
      <c r="EJ31" s="123"/>
      <c r="EK31" s="157">
        <f t="shared" si="49"/>
        <v>115975000</v>
      </c>
      <c r="EL31" s="157">
        <f t="shared" si="50"/>
        <v>0</v>
      </c>
      <c r="EM31" s="157">
        <f t="shared" si="51"/>
        <v>8502.3958333333321</v>
      </c>
      <c r="EN31" s="123">
        <f t="shared" si="52"/>
        <v>2.6392433714162531E-2</v>
      </c>
      <c r="EP31" s="122"/>
    </row>
    <row r="32" spans="1:146" x14ac:dyDescent="0.25">
      <c r="A32" s="66">
        <f t="shared" si="53"/>
        <v>43638</v>
      </c>
      <c r="D32" s="122">
        <f t="shared" si="2"/>
        <v>0</v>
      </c>
      <c r="G32" s="122">
        <f t="shared" si="3"/>
        <v>0</v>
      </c>
      <c r="J32" s="122">
        <f t="shared" si="4"/>
        <v>0</v>
      </c>
      <c r="M32" s="122">
        <f t="shared" si="5"/>
        <v>0</v>
      </c>
      <c r="P32" s="122">
        <f t="shared" si="6"/>
        <v>0</v>
      </c>
      <c r="S32" s="122">
        <f t="shared" si="7"/>
        <v>0</v>
      </c>
      <c r="V32" s="122">
        <f t="shared" si="8"/>
        <v>0</v>
      </c>
      <c r="Y32" s="122">
        <f t="shared" si="9"/>
        <v>0</v>
      </c>
      <c r="AB32" s="122">
        <f t="shared" si="10"/>
        <v>0</v>
      </c>
      <c r="AE32" s="122">
        <v>0</v>
      </c>
      <c r="AH32" s="122">
        <v>0</v>
      </c>
      <c r="AI32" s="155">
        <f>50975000</f>
        <v>50975000</v>
      </c>
      <c r="AJ32" s="156">
        <v>2.5499999999999998E-2</v>
      </c>
      <c r="AK32" s="122">
        <f t="shared" si="11"/>
        <v>3610.7291666666665</v>
      </c>
      <c r="AL32" s="155">
        <f t="shared" si="55"/>
        <v>35000000</v>
      </c>
      <c r="AM32" s="156">
        <v>2.7E-2</v>
      </c>
      <c r="AN32" s="122">
        <f t="shared" si="12"/>
        <v>2625</v>
      </c>
      <c r="AO32" s="155"/>
      <c r="AP32" s="156"/>
      <c r="AQ32" s="122">
        <f t="shared" si="13"/>
        <v>0</v>
      </c>
      <c r="AR32" s="155">
        <f t="shared" si="54"/>
        <v>30000000</v>
      </c>
      <c r="AS32" s="156">
        <v>2.7199999999999998E-2</v>
      </c>
      <c r="AT32" s="122">
        <f t="shared" si="14"/>
        <v>2266.6666666666665</v>
      </c>
      <c r="AW32" s="122">
        <f t="shared" si="15"/>
        <v>0</v>
      </c>
      <c r="AZ32" s="122">
        <f t="shared" si="16"/>
        <v>0</v>
      </c>
      <c r="BC32" s="122">
        <f t="shared" si="17"/>
        <v>0</v>
      </c>
      <c r="BF32" s="122">
        <f t="shared" si="18"/>
        <v>0</v>
      </c>
      <c r="BI32" s="122">
        <f t="shared" si="19"/>
        <v>0</v>
      </c>
      <c r="BL32" s="122">
        <f t="shared" si="20"/>
        <v>0</v>
      </c>
      <c r="BO32" s="122">
        <f t="shared" si="21"/>
        <v>0</v>
      </c>
      <c r="BR32" s="122">
        <f t="shared" si="22"/>
        <v>0</v>
      </c>
      <c r="BU32" s="122">
        <f t="shared" si="23"/>
        <v>0</v>
      </c>
      <c r="BX32" s="122">
        <f t="shared" si="24"/>
        <v>0</v>
      </c>
      <c r="CA32" s="122">
        <f t="shared" si="25"/>
        <v>0</v>
      </c>
      <c r="CD32" s="122">
        <f t="shared" si="26"/>
        <v>0</v>
      </c>
      <c r="CG32" s="122">
        <f t="shared" si="27"/>
        <v>0</v>
      </c>
      <c r="CJ32" s="122">
        <f t="shared" si="28"/>
        <v>0</v>
      </c>
      <c r="CM32" s="122">
        <f t="shared" si="29"/>
        <v>0</v>
      </c>
      <c r="CP32" s="122">
        <f t="shared" si="30"/>
        <v>0</v>
      </c>
      <c r="CS32" s="122">
        <f t="shared" si="31"/>
        <v>0</v>
      </c>
      <c r="CV32" s="122">
        <f t="shared" si="32"/>
        <v>0</v>
      </c>
      <c r="CY32" s="122">
        <f t="shared" si="33"/>
        <v>0</v>
      </c>
      <c r="DB32" s="122">
        <f t="shared" si="34"/>
        <v>0</v>
      </c>
      <c r="DE32" s="122">
        <f t="shared" si="35"/>
        <v>0</v>
      </c>
      <c r="DH32" s="122">
        <f t="shared" si="36"/>
        <v>0</v>
      </c>
      <c r="DK32" s="122">
        <f t="shared" si="37"/>
        <v>0</v>
      </c>
      <c r="DN32" s="122">
        <f t="shared" si="38"/>
        <v>0</v>
      </c>
      <c r="DQ32" s="122">
        <f t="shared" si="39"/>
        <v>0</v>
      </c>
      <c r="DT32" s="122">
        <f t="shared" si="40"/>
        <v>0</v>
      </c>
      <c r="DW32" s="122">
        <f t="shared" si="41"/>
        <v>0</v>
      </c>
      <c r="DZ32" s="122"/>
      <c r="EA32" s="122"/>
      <c r="EB32" s="157">
        <f t="shared" si="42"/>
        <v>115975000</v>
      </c>
      <c r="EC32" s="157">
        <f t="shared" si="43"/>
        <v>0</v>
      </c>
      <c r="ED32" s="122">
        <f t="shared" si="44"/>
        <v>8502.3958333333321</v>
      </c>
      <c r="EE32" s="123">
        <f t="shared" si="45"/>
        <v>2.6392433714162531E-2</v>
      </c>
      <c r="EG32" s="157">
        <f t="shared" si="46"/>
        <v>0</v>
      </c>
      <c r="EH32" s="122">
        <f t="shared" si="47"/>
        <v>0</v>
      </c>
      <c r="EI32" s="123">
        <f t="shared" si="48"/>
        <v>0</v>
      </c>
      <c r="EJ32" s="123"/>
      <c r="EK32" s="157">
        <f t="shared" si="49"/>
        <v>115975000</v>
      </c>
      <c r="EL32" s="157">
        <f t="shared" si="50"/>
        <v>0</v>
      </c>
      <c r="EM32" s="157">
        <f t="shared" si="51"/>
        <v>8502.3958333333321</v>
      </c>
      <c r="EN32" s="123">
        <f t="shared" si="52"/>
        <v>2.6392433714162531E-2</v>
      </c>
      <c r="EP32" s="122"/>
    </row>
    <row r="33" spans="1:146" x14ac:dyDescent="0.25">
      <c r="A33" s="66">
        <f t="shared" si="53"/>
        <v>43639</v>
      </c>
      <c r="D33" s="122">
        <f t="shared" si="2"/>
        <v>0</v>
      </c>
      <c r="G33" s="122">
        <f t="shared" si="3"/>
        <v>0</v>
      </c>
      <c r="J33" s="122">
        <f t="shared" si="4"/>
        <v>0</v>
      </c>
      <c r="M33" s="122">
        <f t="shared" si="5"/>
        <v>0</v>
      </c>
      <c r="P33" s="122">
        <f t="shared" si="6"/>
        <v>0</v>
      </c>
      <c r="S33" s="122">
        <f t="shared" si="7"/>
        <v>0</v>
      </c>
      <c r="V33" s="122">
        <f t="shared" si="8"/>
        <v>0</v>
      </c>
      <c r="Y33" s="122">
        <f t="shared" si="9"/>
        <v>0</v>
      </c>
      <c r="AB33" s="122">
        <f t="shared" si="10"/>
        <v>0</v>
      </c>
      <c r="AE33" s="122">
        <v>0</v>
      </c>
      <c r="AH33" s="122">
        <v>0</v>
      </c>
      <c r="AI33" s="155">
        <f>50975000</f>
        <v>50975000</v>
      </c>
      <c r="AJ33" s="156">
        <v>2.5499999999999998E-2</v>
      </c>
      <c r="AK33" s="122">
        <f t="shared" si="11"/>
        <v>3610.7291666666665</v>
      </c>
      <c r="AL33" s="155">
        <f t="shared" si="55"/>
        <v>35000000</v>
      </c>
      <c r="AM33" s="156">
        <v>2.7E-2</v>
      </c>
      <c r="AN33" s="122">
        <f t="shared" si="12"/>
        <v>2625</v>
      </c>
      <c r="AO33" s="155"/>
      <c r="AP33" s="156"/>
      <c r="AQ33" s="122">
        <f t="shared" si="13"/>
        <v>0</v>
      </c>
      <c r="AR33" s="155">
        <f t="shared" si="54"/>
        <v>30000000</v>
      </c>
      <c r="AS33" s="156">
        <v>2.7199999999999998E-2</v>
      </c>
      <c r="AT33" s="122">
        <f t="shared" si="14"/>
        <v>2266.6666666666665</v>
      </c>
      <c r="AW33" s="122">
        <f t="shared" si="15"/>
        <v>0</v>
      </c>
      <c r="AZ33" s="122">
        <f t="shared" si="16"/>
        <v>0</v>
      </c>
      <c r="BC33" s="122">
        <f t="shared" si="17"/>
        <v>0</v>
      </c>
      <c r="BF33" s="122">
        <f t="shared" si="18"/>
        <v>0</v>
      </c>
      <c r="BI33" s="122">
        <f t="shared" si="19"/>
        <v>0</v>
      </c>
      <c r="BL33" s="122">
        <f t="shared" si="20"/>
        <v>0</v>
      </c>
      <c r="BO33" s="122">
        <f t="shared" si="21"/>
        <v>0</v>
      </c>
      <c r="BR33" s="122">
        <f t="shared" si="22"/>
        <v>0</v>
      </c>
      <c r="BU33" s="122">
        <f t="shared" si="23"/>
        <v>0</v>
      </c>
      <c r="BX33" s="122">
        <f t="shared" si="24"/>
        <v>0</v>
      </c>
      <c r="CA33" s="122">
        <f t="shared" si="25"/>
        <v>0</v>
      </c>
      <c r="CD33" s="122">
        <f t="shared" si="26"/>
        <v>0</v>
      </c>
      <c r="CG33" s="122">
        <f t="shared" si="27"/>
        <v>0</v>
      </c>
      <c r="CJ33" s="122">
        <f t="shared" si="28"/>
        <v>0</v>
      </c>
      <c r="CM33" s="122">
        <f t="shared" si="29"/>
        <v>0</v>
      </c>
      <c r="CP33" s="122">
        <f t="shared" si="30"/>
        <v>0</v>
      </c>
      <c r="CS33" s="122">
        <f t="shared" si="31"/>
        <v>0</v>
      </c>
      <c r="CV33" s="122">
        <f t="shared" si="32"/>
        <v>0</v>
      </c>
      <c r="CY33" s="122">
        <f t="shared" si="33"/>
        <v>0</v>
      </c>
      <c r="DB33" s="122">
        <f t="shared" si="34"/>
        <v>0</v>
      </c>
      <c r="DE33" s="122">
        <f t="shared" si="35"/>
        <v>0</v>
      </c>
      <c r="DH33" s="122">
        <f t="shared" si="36"/>
        <v>0</v>
      </c>
      <c r="DK33" s="122">
        <f t="shared" si="37"/>
        <v>0</v>
      </c>
      <c r="DN33" s="122">
        <f t="shared" si="38"/>
        <v>0</v>
      </c>
      <c r="DQ33" s="122">
        <f t="shared" si="39"/>
        <v>0</v>
      </c>
      <c r="DT33" s="122">
        <f t="shared" si="40"/>
        <v>0</v>
      </c>
      <c r="DW33" s="122">
        <f t="shared" si="41"/>
        <v>0</v>
      </c>
      <c r="DZ33" s="122"/>
      <c r="EA33" s="122"/>
      <c r="EB33" s="157">
        <f t="shared" si="42"/>
        <v>115975000</v>
      </c>
      <c r="EC33" s="157">
        <f t="shared" si="43"/>
        <v>0</v>
      </c>
      <c r="ED33" s="122">
        <f t="shared" si="44"/>
        <v>8502.3958333333321</v>
      </c>
      <c r="EE33" s="123">
        <f t="shared" si="45"/>
        <v>2.6392433714162531E-2</v>
      </c>
      <c r="EG33" s="157">
        <f t="shared" si="46"/>
        <v>0</v>
      </c>
      <c r="EH33" s="122">
        <f t="shared" si="47"/>
        <v>0</v>
      </c>
      <c r="EI33" s="123">
        <f t="shared" si="48"/>
        <v>0</v>
      </c>
      <c r="EJ33" s="123"/>
      <c r="EK33" s="157">
        <f t="shared" si="49"/>
        <v>115975000</v>
      </c>
      <c r="EL33" s="157">
        <f t="shared" si="50"/>
        <v>0</v>
      </c>
      <c r="EM33" s="157">
        <f t="shared" si="51"/>
        <v>8502.3958333333321</v>
      </c>
      <c r="EN33" s="123">
        <f t="shared" si="52"/>
        <v>2.6392433714162531E-2</v>
      </c>
      <c r="EP33" s="122"/>
    </row>
    <row r="34" spans="1:146" x14ac:dyDescent="0.25">
      <c r="A34" s="66">
        <f t="shared" si="53"/>
        <v>43640</v>
      </c>
      <c r="D34" s="122">
        <f t="shared" si="2"/>
        <v>0</v>
      </c>
      <c r="G34" s="122">
        <f t="shared" si="3"/>
        <v>0</v>
      </c>
      <c r="J34" s="122">
        <f t="shared" si="4"/>
        <v>0</v>
      </c>
      <c r="M34" s="122">
        <f t="shared" si="5"/>
        <v>0</v>
      </c>
      <c r="P34" s="122">
        <f t="shared" si="6"/>
        <v>0</v>
      </c>
      <c r="S34" s="122">
        <f t="shared" si="7"/>
        <v>0</v>
      </c>
      <c r="V34" s="122">
        <f t="shared" si="8"/>
        <v>0</v>
      </c>
      <c r="Y34" s="122">
        <f t="shared" si="9"/>
        <v>0</v>
      </c>
      <c r="AB34" s="122">
        <f t="shared" si="10"/>
        <v>0</v>
      </c>
      <c r="AE34" s="122">
        <v>0</v>
      </c>
      <c r="AH34" s="122">
        <v>0</v>
      </c>
      <c r="AI34" s="155">
        <f>49625000</f>
        <v>49625000</v>
      </c>
      <c r="AJ34" s="156">
        <v>2.5499999999999998E-2</v>
      </c>
      <c r="AK34" s="122">
        <f t="shared" si="11"/>
        <v>3515.1041666666665</v>
      </c>
      <c r="AL34" s="155">
        <f t="shared" si="55"/>
        <v>35000000</v>
      </c>
      <c r="AM34" s="156">
        <v>2.7E-2</v>
      </c>
      <c r="AN34" s="122">
        <f t="shared" si="12"/>
        <v>2625</v>
      </c>
      <c r="AO34" s="155"/>
      <c r="AP34" s="156"/>
      <c r="AQ34" s="122">
        <f t="shared" si="13"/>
        <v>0</v>
      </c>
      <c r="AR34" s="155">
        <f t="shared" si="54"/>
        <v>30000000</v>
      </c>
      <c r="AS34" s="156">
        <v>2.7199999999999998E-2</v>
      </c>
      <c r="AT34" s="122">
        <f t="shared" si="14"/>
        <v>2266.6666666666665</v>
      </c>
      <c r="AW34" s="122">
        <f t="shared" si="15"/>
        <v>0</v>
      </c>
      <c r="AZ34" s="122">
        <f t="shared" si="16"/>
        <v>0</v>
      </c>
      <c r="BC34" s="122">
        <f t="shared" si="17"/>
        <v>0</v>
      </c>
      <c r="BF34" s="122">
        <f t="shared" si="18"/>
        <v>0</v>
      </c>
      <c r="BI34" s="122">
        <f t="shared" si="19"/>
        <v>0</v>
      </c>
      <c r="BL34" s="122">
        <f t="shared" si="20"/>
        <v>0</v>
      </c>
      <c r="BO34" s="122">
        <f t="shared" si="21"/>
        <v>0</v>
      </c>
      <c r="BR34" s="122">
        <f t="shared" si="22"/>
        <v>0</v>
      </c>
      <c r="BU34" s="122">
        <f t="shared" si="23"/>
        <v>0</v>
      </c>
      <c r="BX34" s="122">
        <f t="shared" si="24"/>
        <v>0</v>
      </c>
      <c r="CA34" s="122">
        <f t="shared" si="25"/>
        <v>0</v>
      </c>
      <c r="CD34" s="122">
        <f t="shared" si="26"/>
        <v>0</v>
      </c>
      <c r="CG34" s="122">
        <f t="shared" si="27"/>
        <v>0</v>
      </c>
      <c r="CJ34" s="122">
        <f t="shared" si="28"/>
        <v>0</v>
      </c>
      <c r="CM34" s="122">
        <f t="shared" si="29"/>
        <v>0</v>
      </c>
      <c r="CP34" s="122">
        <f t="shared" si="30"/>
        <v>0</v>
      </c>
      <c r="CS34" s="122">
        <f t="shared" si="31"/>
        <v>0</v>
      </c>
      <c r="CV34" s="122">
        <f t="shared" si="32"/>
        <v>0</v>
      </c>
      <c r="CY34" s="122">
        <f t="shared" si="33"/>
        <v>0</v>
      </c>
      <c r="DB34" s="122">
        <f t="shared" si="34"/>
        <v>0</v>
      </c>
      <c r="DE34" s="122">
        <f t="shared" si="35"/>
        <v>0</v>
      </c>
      <c r="DH34" s="122">
        <f t="shared" si="36"/>
        <v>0</v>
      </c>
      <c r="DK34" s="122">
        <f t="shared" si="37"/>
        <v>0</v>
      </c>
      <c r="DN34" s="122">
        <f t="shared" si="38"/>
        <v>0</v>
      </c>
      <c r="DQ34" s="122">
        <f t="shared" si="39"/>
        <v>0</v>
      </c>
      <c r="DT34" s="122">
        <f t="shared" si="40"/>
        <v>0</v>
      </c>
      <c r="DW34" s="122">
        <f t="shared" si="41"/>
        <v>0</v>
      </c>
      <c r="DZ34" s="122"/>
      <c r="EA34" s="122"/>
      <c r="EB34" s="157">
        <f t="shared" si="42"/>
        <v>114625000</v>
      </c>
      <c r="EC34" s="157">
        <f t="shared" si="43"/>
        <v>0</v>
      </c>
      <c r="ED34" s="122">
        <f t="shared" si="44"/>
        <v>8406.7708333333321</v>
      </c>
      <c r="EE34" s="123">
        <f t="shared" si="45"/>
        <v>2.6402944383860413E-2</v>
      </c>
      <c r="EG34" s="157">
        <f t="shared" si="46"/>
        <v>0</v>
      </c>
      <c r="EH34" s="122">
        <f t="shared" si="47"/>
        <v>0</v>
      </c>
      <c r="EI34" s="123">
        <f t="shared" si="48"/>
        <v>0</v>
      </c>
      <c r="EJ34" s="123"/>
      <c r="EK34" s="157">
        <f t="shared" si="49"/>
        <v>114625000</v>
      </c>
      <c r="EL34" s="157">
        <f t="shared" si="50"/>
        <v>0</v>
      </c>
      <c r="EM34" s="157">
        <f t="shared" si="51"/>
        <v>8406.7708333333321</v>
      </c>
      <c r="EN34" s="123">
        <f t="shared" si="52"/>
        <v>2.6402944383860413E-2</v>
      </c>
      <c r="EP34" s="122"/>
    </row>
    <row r="35" spans="1:146" x14ac:dyDescent="0.25">
      <c r="A35" s="66">
        <f t="shared" si="53"/>
        <v>43641</v>
      </c>
      <c r="D35" s="122">
        <f t="shared" si="2"/>
        <v>0</v>
      </c>
      <c r="G35" s="122">
        <f t="shared" si="3"/>
        <v>0</v>
      </c>
      <c r="J35" s="122">
        <f t="shared" si="4"/>
        <v>0</v>
      </c>
      <c r="M35" s="122">
        <f t="shared" si="5"/>
        <v>0</v>
      </c>
      <c r="P35" s="122">
        <f t="shared" si="6"/>
        <v>0</v>
      </c>
      <c r="S35" s="122">
        <f t="shared" si="7"/>
        <v>0</v>
      </c>
      <c r="V35" s="122">
        <f t="shared" si="8"/>
        <v>0</v>
      </c>
      <c r="Y35" s="122">
        <f t="shared" si="9"/>
        <v>0</v>
      </c>
      <c r="AB35" s="122">
        <f t="shared" si="10"/>
        <v>0</v>
      </c>
      <c r="AE35" s="122">
        <v>0</v>
      </c>
      <c r="AH35" s="122">
        <v>0</v>
      </c>
      <c r="AI35" s="155">
        <f>39050000</f>
        <v>39050000</v>
      </c>
      <c r="AJ35" s="156">
        <v>2.5499999999999998E-2</v>
      </c>
      <c r="AK35" s="122">
        <f t="shared" si="11"/>
        <v>2766.0416666666665</v>
      </c>
      <c r="AL35" s="155">
        <f t="shared" si="55"/>
        <v>35000000</v>
      </c>
      <c r="AM35" s="156">
        <v>2.7E-2</v>
      </c>
      <c r="AN35" s="122">
        <f t="shared" si="12"/>
        <v>2625</v>
      </c>
      <c r="AO35" s="155"/>
      <c r="AP35" s="156"/>
      <c r="AQ35" s="122">
        <f t="shared" si="13"/>
        <v>0</v>
      </c>
      <c r="AR35" s="155">
        <f t="shared" si="54"/>
        <v>30000000</v>
      </c>
      <c r="AS35" s="156">
        <v>2.7199999999999998E-2</v>
      </c>
      <c r="AT35" s="122">
        <f t="shared" si="14"/>
        <v>2266.6666666666665</v>
      </c>
      <c r="AW35" s="122">
        <f t="shared" si="15"/>
        <v>0</v>
      </c>
      <c r="AZ35" s="122">
        <f t="shared" si="16"/>
        <v>0</v>
      </c>
      <c r="BC35" s="122">
        <f t="shared" si="17"/>
        <v>0</v>
      </c>
      <c r="BF35" s="122">
        <f t="shared" si="18"/>
        <v>0</v>
      </c>
      <c r="BI35" s="122">
        <f t="shared" si="19"/>
        <v>0</v>
      </c>
      <c r="BL35" s="122">
        <f t="shared" si="20"/>
        <v>0</v>
      </c>
      <c r="BO35" s="122">
        <f t="shared" si="21"/>
        <v>0</v>
      </c>
      <c r="BR35" s="122">
        <f t="shared" si="22"/>
        <v>0</v>
      </c>
      <c r="BU35" s="122">
        <f t="shared" si="23"/>
        <v>0</v>
      </c>
      <c r="BX35" s="122">
        <f t="shared" si="24"/>
        <v>0</v>
      </c>
      <c r="CA35" s="122">
        <f t="shared" si="25"/>
        <v>0</v>
      </c>
      <c r="CD35" s="122">
        <f t="shared" si="26"/>
        <v>0</v>
      </c>
      <c r="CG35" s="122">
        <f t="shared" si="27"/>
        <v>0</v>
      </c>
      <c r="CJ35" s="122">
        <f t="shared" si="28"/>
        <v>0</v>
      </c>
      <c r="CM35" s="122">
        <f t="shared" si="29"/>
        <v>0</v>
      </c>
      <c r="CP35" s="122">
        <f t="shared" si="30"/>
        <v>0</v>
      </c>
      <c r="CS35" s="122">
        <f t="shared" si="31"/>
        <v>0</v>
      </c>
      <c r="CV35" s="122">
        <f t="shared" si="32"/>
        <v>0</v>
      </c>
      <c r="CY35" s="122">
        <f t="shared" si="33"/>
        <v>0</v>
      </c>
      <c r="DB35" s="122">
        <f t="shared" si="34"/>
        <v>0</v>
      </c>
      <c r="DE35" s="122">
        <f t="shared" si="35"/>
        <v>0</v>
      </c>
      <c r="DH35" s="122">
        <f t="shared" si="36"/>
        <v>0</v>
      </c>
      <c r="DK35" s="122">
        <f t="shared" si="37"/>
        <v>0</v>
      </c>
      <c r="DN35" s="122">
        <f t="shared" si="38"/>
        <v>0</v>
      </c>
      <c r="DQ35" s="122">
        <f t="shared" si="39"/>
        <v>0</v>
      </c>
      <c r="DT35" s="122">
        <f t="shared" si="40"/>
        <v>0</v>
      </c>
      <c r="DW35" s="122">
        <f t="shared" si="41"/>
        <v>0</v>
      </c>
      <c r="DZ35" s="122"/>
      <c r="EA35" s="122"/>
      <c r="EB35" s="157">
        <f t="shared" si="42"/>
        <v>104050000</v>
      </c>
      <c r="EC35" s="157">
        <f t="shared" si="43"/>
        <v>0</v>
      </c>
      <c r="ED35" s="122">
        <f t="shared" si="44"/>
        <v>7657.7083333333321</v>
      </c>
      <c r="EE35" s="123">
        <f t="shared" si="45"/>
        <v>2.6494714079769336E-2</v>
      </c>
      <c r="EG35" s="157">
        <f t="shared" si="46"/>
        <v>0</v>
      </c>
      <c r="EH35" s="122">
        <f t="shared" si="47"/>
        <v>0</v>
      </c>
      <c r="EI35" s="123">
        <f t="shared" si="48"/>
        <v>0</v>
      </c>
      <c r="EJ35" s="123"/>
      <c r="EK35" s="157">
        <f t="shared" si="49"/>
        <v>104050000</v>
      </c>
      <c r="EL35" s="157">
        <f t="shared" si="50"/>
        <v>0</v>
      </c>
      <c r="EM35" s="157">
        <f t="shared" si="51"/>
        <v>7657.7083333333321</v>
      </c>
      <c r="EN35" s="123">
        <f t="shared" si="52"/>
        <v>2.6494714079769336E-2</v>
      </c>
      <c r="EP35" s="122"/>
    </row>
    <row r="36" spans="1:146" x14ac:dyDescent="0.25">
      <c r="A36" s="66">
        <f t="shared" si="53"/>
        <v>43642</v>
      </c>
      <c r="D36" s="122">
        <f t="shared" si="2"/>
        <v>0</v>
      </c>
      <c r="G36" s="122">
        <f t="shared" si="3"/>
        <v>0</v>
      </c>
      <c r="J36" s="122">
        <f t="shared" si="4"/>
        <v>0</v>
      </c>
      <c r="M36" s="122">
        <f t="shared" si="5"/>
        <v>0</v>
      </c>
      <c r="P36" s="122">
        <f t="shared" si="6"/>
        <v>0</v>
      </c>
      <c r="S36" s="122">
        <f t="shared" si="7"/>
        <v>0</v>
      </c>
      <c r="V36" s="122">
        <f t="shared" si="8"/>
        <v>0</v>
      </c>
      <c r="Y36" s="122">
        <f t="shared" si="9"/>
        <v>0</v>
      </c>
      <c r="AB36" s="122">
        <f t="shared" si="10"/>
        <v>0</v>
      </c>
      <c r="AE36" s="122">
        <v>0</v>
      </c>
      <c r="AH36" s="122">
        <v>0</v>
      </c>
      <c r="AI36" s="155">
        <f>28100000</f>
        <v>28100000</v>
      </c>
      <c r="AJ36" s="156">
        <v>2.5499999999999998E-2</v>
      </c>
      <c r="AK36" s="122">
        <f t="shared" si="11"/>
        <v>1990.4166666666667</v>
      </c>
      <c r="AL36" s="155">
        <f t="shared" si="55"/>
        <v>35000000</v>
      </c>
      <c r="AM36" s="156">
        <v>2.7E-2</v>
      </c>
      <c r="AN36" s="122">
        <f t="shared" si="12"/>
        <v>2625</v>
      </c>
      <c r="AO36" s="155"/>
      <c r="AP36" s="156"/>
      <c r="AQ36" s="122">
        <f t="shared" si="13"/>
        <v>0</v>
      </c>
      <c r="AR36" s="155">
        <f t="shared" si="54"/>
        <v>30000000</v>
      </c>
      <c r="AS36" s="156">
        <v>2.7199999999999998E-2</v>
      </c>
      <c r="AT36" s="122">
        <f t="shared" si="14"/>
        <v>2266.6666666666665</v>
      </c>
      <c r="AW36" s="122">
        <f t="shared" si="15"/>
        <v>0</v>
      </c>
      <c r="AZ36" s="122">
        <f t="shared" si="16"/>
        <v>0</v>
      </c>
      <c r="BC36" s="122">
        <f t="shared" si="17"/>
        <v>0</v>
      </c>
      <c r="BF36" s="122">
        <f t="shared" si="18"/>
        <v>0</v>
      </c>
      <c r="BI36" s="122">
        <f t="shared" si="19"/>
        <v>0</v>
      </c>
      <c r="BL36" s="122">
        <f t="shared" si="20"/>
        <v>0</v>
      </c>
      <c r="BO36" s="122">
        <f t="shared" si="21"/>
        <v>0</v>
      </c>
      <c r="BR36" s="122">
        <f t="shared" si="22"/>
        <v>0</v>
      </c>
      <c r="BU36" s="122">
        <f t="shared" si="23"/>
        <v>0</v>
      </c>
      <c r="BX36" s="122">
        <f t="shared" si="24"/>
        <v>0</v>
      </c>
      <c r="CA36" s="122">
        <f t="shared" si="25"/>
        <v>0</v>
      </c>
      <c r="CD36" s="122">
        <f t="shared" si="26"/>
        <v>0</v>
      </c>
      <c r="CG36" s="122">
        <f t="shared" si="27"/>
        <v>0</v>
      </c>
      <c r="CJ36" s="122">
        <f t="shared" si="28"/>
        <v>0</v>
      </c>
      <c r="CM36" s="122">
        <f t="shared" si="29"/>
        <v>0</v>
      </c>
      <c r="CP36" s="122">
        <f t="shared" si="30"/>
        <v>0</v>
      </c>
      <c r="CS36" s="122">
        <f t="shared" si="31"/>
        <v>0</v>
      </c>
      <c r="CV36" s="122">
        <f t="shared" si="32"/>
        <v>0</v>
      </c>
      <c r="CY36" s="122">
        <f t="shared" si="33"/>
        <v>0</v>
      </c>
      <c r="DB36" s="122">
        <f t="shared" si="34"/>
        <v>0</v>
      </c>
      <c r="DE36" s="122">
        <f t="shared" si="35"/>
        <v>0</v>
      </c>
      <c r="DH36" s="122">
        <f t="shared" si="36"/>
        <v>0</v>
      </c>
      <c r="DK36" s="122">
        <f t="shared" si="37"/>
        <v>0</v>
      </c>
      <c r="DN36" s="122">
        <f t="shared" si="38"/>
        <v>0</v>
      </c>
      <c r="DQ36" s="122">
        <f t="shared" si="39"/>
        <v>0</v>
      </c>
      <c r="DT36" s="122">
        <f t="shared" si="40"/>
        <v>0</v>
      </c>
      <c r="DW36" s="122">
        <f t="shared" si="41"/>
        <v>0</v>
      </c>
      <c r="DZ36" s="122"/>
      <c r="EA36" s="122"/>
      <c r="EB36" s="157">
        <f t="shared" si="42"/>
        <v>93100000</v>
      </c>
      <c r="EC36" s="157">
        <f t="shared" si="43"/>
        <v>0</v>
      </c>
      <c r="ED36" s="122">
        <f t="shared" si="44"/>
        <v>6882.0833333333339</v>
      </c>
      <c r="EE36" s="123">
        <f t="shared" si="45"/>
        <v>2.6611707841031149E-2</v>
      </c>
      <c r="EG36" s="157">
        <f t="shared" si="46"/>
        <v>0</v>
      </c>
      <c r="EH36" s="122">
        <f t="shared" si="47"/>
        <v>0</v>
      </c>
      <c r="EI36" s="123">
        <f t="shared" si="48"/>
        <v>0</v>
      </c>
      <c r="EJ36" s="123"/>
      <c r="EK36" s="157">
        <f t="shared" si="49"/>
        <v>93100000</v>
      </c>
      <c r="EL36" s="157">
        <f t="shared" si="50"/>
        <v>0</v>
      </c>
      <c r="EM36" s="157">
        <f t="shared" si="51"/>
        <v>6882.083333333333</v>
      </c>
      <c r="EN36" s="123">
        <f t="shared" si="52"/>
        <v>2.6611707841031149E-2</v>
      </c>
      <c r="EP36" s="122"/>
    </row>
    <row r="37" spans="1:146" x14ac:dyDescent="0.25">
      <c r="A37" s="66">
        <f t="shared" si="53"/>
        <v>43643</v>
      </c>
      <c r="D37" s="122">
        <f t="shared" si="2"/>
        <v>0</v>
      </c>
      <c r="G37" s="122">
        <f t="shared" si="3"/>
        <v>0</v>
      </c>
      <c r="J37" s="122">
        <f t="shared" si="4"/>
        <v>0</v>
      </c>
      <c r="M37" s="122">
        <f t="shared" si="5"/>
        <v>0</v>
      </c>
      <c r="P37" s="122">
        <f t="shared" si="6"/>
        <v>0</v>
      </c>
      <c r="S37" s="122">
        <f t="shared" si="7"/>
        <v>0</v>
      </c>
      <c r="V37" s="122">
        <f t="shared" si="8"/>
        <v>0</v>
      </c>
      <c r="Y37" s="122">
        <f t="shared" si="9"/>
        <v>0</v>
      </c>
      <c r="AB37" s="122">
        <f t="shared" si="10"/>
        <v>0</v>
      </c>
      <c r="AE37" s="122">
        <v>0</v>
      </c>
      <c r="AH37" s="122">
        <v>0</v>
      </c>
      <c r="AI37" s="155">
        <f>23525000</f>
        <v>23525000</v>
      </c>
      <c r="AJ37" s="156">
        <v>2.5499999999999998E-2</v>
      </c>
      <c r="AK37" s="122">
        <f t="shared" si="11"/>
        <v>1666.3541666666667</v>
      </c>
      <c r="AL37" s="155">
        <f t="shared" si="55"/>
        <v>35000000</v>
      </c>
      <c r="AM37" s="156">
        <v>2.7E-2</v>
      </c>
      <c r="AN37" s="122">
        <f t="shared" si="12"/>
        <v>2625</v>
      </c>
      <c r="AO37" s="155"/>
      <c r="AP37" s="156"/>
      <c r="AQ37" s="122">
        <f t="shared" si="13"/>
        <v>0</v>
      </c>
      <c r="AR37" s="155">
        <f t="shared" si="54"/>
        <v>30000000</v>
      </c>
      <c r="AS37" s="156">
        <v>2.7199999999999998E-2</v>
      </c>
      <c r="AT37" s="122">
        <f t="shared" si="14"/>
        <v>2266.6666666666665</v>
      </c>
      <c r="AW37" s="122">
        <f t="shared" si="15"/>
        <v>0</v>
      </c>
      <c r="AZ37" s="122">
        <f t="shared" si="16"/>
        <v>0</v>
      </c>
      <c r="BC37" s="122">
        <f t="shared" si="17"/>
        <v>0</v>
      </c>
      <c r="BF37" s="122">
        <f t="shared" si="18"/>
        <v>0</v>
      </c>
      <c r="BI37" s="122">
        <f t="shared" si="19"/>
        <v>0</v>
      </c>
      <c r="BL37" s="122">
        <f t="shared" si="20"/>
        <v>0</v>
      </c>
      <c r="BO37" s="122">
        <f t="shared" si="21"/>
        <v>0</v>
      </c>
      <c r="BR37" s="122">
        <f t="shared" si="22"/>
        <v>0</v>
      </c>
      <c r="BU37" s="122">
        <f t="shared" si="23"/>
        <v>0</v>
      </c>
      <c r="BX37" s="122">
        <f t="shared" si="24"/>
        <v>0</v>
      </c>
      <c r="CA37" s="122">
        <f t="shared" si="25"/>
        <v>0</v>
      </c>
      <c r="CD37" s="122">
        <f t="shared" si="26"/>
        <v>0</v>
      </c>
      <c r="CG37" s="122">
        <f t="shared" si="27"/>
        <v>0</v>
      </c>
      <c r="CJ37" s="122">
        <f t="shared" si="28"/>
        <v>0</v>
      </c>
      <c r="CM37" s="122">
        <f t="shared" si="29"/>
        <v>0</v>
      </c>
      <c r="CP37" s="122">
        <f t="shared" si="30"/>
        <v>0</v>
      </c>
      <c r="CS37" s="122">
        <f t="shared" si="31"/>
        <v>0</v>
      </c>
      <c r="CV37" s="122">
        <f t="shared" si="32"/>
        <v>0</v>
      </c>
      <c r="CY37" s="122">
        <f t="shared" si="33"/>
        <v>0</v>
      </c>
      <c r="DB37" s="122">
        <f t="shared" si="34"/>
        <v>0</v>
      </c>
      <c r="DE37" s="122">
        <f t="shared" si="35"/>
        <v>0</v>
      </c>
      <c r="DH37" s="122">
        <f t="shared" si="36"/>
        <v>0</v>
      </c>
      <c r="DK37" s="122">
        <f t="shared" si="37"/>
        <v>0</v>
      </c>
      <c r="DN37" s="122">
        <f t="shared" si="38"/>
        <v>0</v>
      </c>
      <c r="DQ37" s="122">
        <f t="shared" si="39"/>
        <v>0</v>
      </c>
      <c r="DT37" s="122">
        <f t="shared" si="40"/>
        <v>0</v>
      </c>
      <c r="DW37" s="122">
        <f t="shared" si="41"/>
        <v>0</v>
      </c>
      <c r="DZ37" s="122"/>
      <c r="EA37" s="122"/>
      <c r="EB37" s="157">
        <f t="shared" si="42"/>
        <v>88525000</v>
      </c>
      <c r="EC37" s="157">
        <f t="shared" si="43"/>
        <v>0</v>
      </c>
      <c r="ED37" s="122">
        <f t="shared" si="44"/>
        <v>6558.0208333333339</v>
      </c>
      <c r="EE37" s="123">
        <f t="shared" si="45"/>
        <v>2.6669161253883085E-2</v>
      </c>
      <c r="EG37" s="157">
        <f t="shared" si="46"/>
        <v>0</v>
      </c>
      <c r="EH37" s="122">
        <f t="shared" si="47"/>
        <v>0</v>
      </c>
      <c r="EI37" s="123">
        <f t="shared" si="48"/>
        <v>0</v>
      </c>
      <c r="EJ37" s="123"/>
      <c r="EK37" s="157">
        <f t="shared" si="49"/>
        <v>88525000</v>
      </c>
      <c r="EL37" s="157">
        <f t="shared" si="50"/>
        <v>0</v>
      </c>
      <c r="EM37" s="157">
        <f t="shared" si="51"/>
        <v>6558.020833333333</v>
      </c>
      <c r="EN37" s="123">
        <f t="shared" si="52"/>
        <v>2.6669161253883081E-2</v>
      </c>
      <c r="EP37" s="122"/>
    </row>
    <row r="38" spans="1:146" x14ac:dyDescent="0.25">
      <c r="A38" s="66">
        <f t="shared" si="53"/>
        <v>43644</v>
      </c>
      <c r="D38" s="122">
        <f t="shared" si="2"/>
        <v>0</v>
      </c>
      <c r="G38" s="122">
        <f t="shared" si="3"/>
        <v>0</v>
      </c>
      <c r="J38" s="122">
        <f t="shared" si="4"/>
        <v>0</v>
      </c>
      <c r="M38" s="122">
        <f t="shared" si="5"/>
        <v>0</v>
      </c>
      <c r="P38" s="122">
        <f t="shared" si="6"/>
        <v>0</v>
      </c>
      <c r="S38" s="122">
        <f t="shared" si="7"/>
        <v>0</v>
      </c>
      <c r="V38" s="122">
        <f t="shared" si="8"/>
        <v>0</v>
      </c>
      <c r="Y38" s="122">
        <f t="shared" si="9"/>
        <v>0</v>
      </c>
      <c r="AB38" s="122">
        <f t="shared" si="10"/>
        <v>0</v>
      </c>
      <c r="AE38" s="122">
        <v>0</v>
      </c>
      <c r="AH38" s="122">
        <v>0</v>
      </c>
      <c r="AI38" s="155">
        <f>140225000</f>
        <v>140225000</v>
      </c>
      <c r="AJ38" s="156">
        <v>2.5499999999999998E-2</v>
      </c>
      <c r="AK38" s="122">
        <f t="shared" si="11"/>
        <v>9932.6041666666661</v>
      </c>
      <c r="AL38" s="155">
        <f t="shared" si="55"/>
        <v>35000000</v>
      </c>
      <c r="AM38" s="156">
        <v>2.7E-2</v>
      </c>
      <c r="AN38" s="122">
        <f t="shared" si="12"/>
        <v>2625</v>
      </c>
      <c r="AO38" s="155"/>
      <c r="AP38" s="156"/>
      <c r="AQ38" s="122">
        <f t="shared" si="13"/>
        <v>0</v>
      </c>
      <c r="AR38" s="155">
        <f t="shared" si="54"/>
        <v>30000000</v>
      </c>
      <c r="AS38" s="156">
        <v>2.7199999999999998E-2</v>
      </c>
      <c r="AT38" s="122">
        <f t="shared" si="14"/>
        <v>2266.6666666666665</v>
      </c>
      <c r="AW38" s="122">
        <f t="shared" si="15"/>
        <v>0</v>
      </c>
      <c r="AZ38" s="122">
        <f t="shared" si="16"/>
        <v>0</v>
      </c>
      <c r="BC38" s="122">
        <f t="shared" si="17"/>
        <v>0</v>
      </c>
      <c r="BF38" s="122">
        <f t="shared" si="18"/>
        <v>0</v>
      </c>
      <c r="BI38" s="122">
        <f t="shared" si="19"/>
        <v>0</v>
      </c>
      <c r="BL38" s="122">
        <f t="shared" si="20"/>
        <v>0</v>
      </c>
      <c r="BO38" s="122">
        <f t="shared" si="21"/>
        <v>0</v>
      </c>
      <c r="BR38" s="122">
        <f t="shared" si="22"/>
        <v>0</v>
      </c>
      <c r="BU38" s="122">
        <f t="shared" si="23"/>
        <v>0</v>
      </c>
      <c r="BX38" s="122">
        <f t="shared" si="24"/>
        <v>0</v>
      </c>
      <c r="CA38" s="122">
        <f t="shared" si="25"/>
        <v>0</v>
      </c>
      <c r="CD38" s="122">
        <f t="shared" si="26"/>
        <v>0</v>
      </c>
      <c r="CG38" s="122">
        <f t="shared" si="27"/>
        <v>0</v>
      </c>
      <c r="CJ38" s="122">
        <f t="shared" si="28"/>
        <v>0</v>
      </c>
      <c r="CM38" s="122">
        <f t="shared" si="29"/>
        <v>0</v>
      </c>
      <c r="CP38" s="122">
        <f t="shared" si="30"/>
        <v>0</v>
      </c>
      <c r="CS38" s="122">
        <f t="shared" si="31"/>
        <v>0</v>
      </c>
      <c r="CV38" s="122">
        <f t="shared" si="32"/>
        <v>0</v>
      </c>
      <c r="CY38" s="122">
        <f t="shared" si="33"/>
        <v>0</v>
      </c>
      <c r="DB38" s="122">
        <f t="shared" si="34"/>
        <v>0</v>
      </c>
      <c r="DE38" s="122">
        <f t="shared" si="35"/>
        <v>0</v>
      </c>
      <c r="DH38" s="122">
        <f t="shared" si="36"/>
        <v>0</v>
      </c>
      <c r="DK38" s="122">
        <f t="shared" si="37"/>
        <v>0</v>
      </c>
      <c r="DN38" s="122">
        <f t="shared" si="38"/>
        <v>0</v>
      </c>
      <c r="DQ38" s="122">
        <f t="shared" si="39"/>
        <v>0</v>
      </c>
      <c r="DT38" s="122">
        <f t="shared" si="40"/>
        <v>0</v>
      </c>
      <c r="DW38" s="122">
        <f t="shared" si="41"/>
        <v>0</v>
      </c>
      <c r="DZ38" s="122"/>
      <c r="EA38" s="122"/>
      <c r="EB38" s="157">
        <f t="shared" si="42"/>
        <v>205225000</v>
      </c>
      <c r="EC38" s="157">
        <f t="shared" si="43"/>
        <v>0</v>
      </c>
      <c r="ED38" s="122">
        <f t="shared" si="44"/>
        <v>14824.270833333332</v>
      </c>
      <c r="EE38" s="123">
        <f t="shared" si="45"/>
        <v>2.6004324521866243E-2</v>
      </c>
      <c r="EG38" s="157">
        <f t="shared" si="46"/>
        <v>0</v>
      </c>
      <c r="EH38" s="122">
        <f t="shared" si="47"/>
        <v>0</v>
      </c>
      <c r="EI38" s="123">
        <f t="shared" si="48"/>
        <v>0</v>
      </c>
      <c r="EJ38" s="123"/>
      <c r="EK38" s="157">
        <f t="shared" si="49"/>
        <v>205225000</v>
      </c>
      <c r="EL38" s="157">
        <f t="shared" si="50"/>
        <v>0</v>
      </c>
      <c r="EM38" s="157">
        <f t="shared" si="51"/>
        <v>14824.270833333332</v>
      </c>
      <c r="EN38" s="123">
        <f t="shared" si="52"/>
        <v>2.6004324521866243E-2</v>
      </c>
      <c r="EP38" s="122"/>
    </row>
    <row r="39" spans="1:146" x14ac:dyDescent="0.25">
      <c r="A39" s="66">
        <f t="shared" si="53"/>
        <v>43645</v>
      </c>
      <c r="D39" s="122">
        <f t="shared" si="2"/>
        <v>0</v>
      </c>
      <c r="G39" s="122">
        <f t="shared" si="3"/>
        <v>0</v>
      </c>
      <c r="J39" s="122">
        <f t="shared" si="4"/>
        <v>0</v>
      </c>
      <c r="M39" s="122">
        <f t="shared" si="5"/>
        <v>0</v>
      </c>
      <c r="P39" s="122">
        <f t="shared" si="6"/>
        <v>0</v>
      </c>
      <c r="S39" s="122">
        <f t="shared" si="7"/>
        <v>0</v>
      </c>
      <c r="V39" s="122">
        <f t="shared" si="8"/>
        <v>0</v>
      </c>
      <c r="Y39" s="122">
        <f t="shared" si="9"/>
        <v>0</v>
      </c>
      <c r="AB39" s="122">
        <f t="shared" si="10"/>
        <v>0</v>
      </c>
      <c r="AE39" s="122">
        <v>0</v>
      </c>
      <c r="AH39" s="122">
        <v>0</v>
      </c>
      <c r="AI39" s="155">
        <f>140225000</f>
        <v>140225000</v>
      </c>
      <c r="AJ39" s="156">
        <v>2.5499999999999998E-2</v>
      </c>
      <c r="AK39" s="122">
        <f t="shared" si="11"/>
        <v>9932.6041666666661</v>
      </c>
      <c r="AL39" s="155">
        <f t="shared" si="55"/>
        <v>35000000</v>
      </c>
      <c r="AM39" s="156">
        <v>2.7E-2</v>
      </c>
      <c r="AN39" s="122">
        <f t="shared" si="12"/>
        <v>2625</v>
      </c>
      <c r="AO39" s="155"/>
      <c r="AP39" s="156"/>
      <c r="AQ39" s="122">
        <f t="shared" si="13"/>
        <v>0</v>
      </c>
      <c r="AR39" s="155">
        <f t="shared" si="54"/>
        <v>30000000</v>
      </c>
      <c r="AS39" s="156">
        <v>2.7199999999999998E-2</v>
      </c>
      <c r="AT39" s="122">
        <f t="shared" si="14"/>
        <v>2266.6666666666665</v>
      </c>
      <c r="AW39" s="122">
        <f t="shared" si="15"/>
        <v>0</v>
      </c>
      <c r="AZ39" s="122">
        <f t="shared" si="16"/>
        <v>0</v>
      </c>
      <c r="BC39" s="122">
        <f t="shared" si="17"/>
        <v>0</v>
      </c>
      <c r="BF39" s="122">
        <f t="shared" si="18"/>
        <v>0</v>
      </c>
      <c r="BI39" s="122">
        <f t="shared" si="19"/>
        <v>0</v>
      </c>
      <c r="BL39" s="122">
        <f t="shared" si="20"/>
        <v>0</v>
      </c>
      <c r="BO39" s="122">
        <f t="shared" si="21"/>
        <v>0</v>
      </c>
      <c r="BR39" s="122">
        <f t="shared" si="22"/>
        <v>0</v>
      </c>
      <c r="BU39" s="122">
        <f t="shared" si="23"/>
        <v>0</v>
      </c>
      <c r="BX39" s="122">
        <f t="shared" si="24"/>
        <v>0</v>
      </c>
      <c r="CA39" s="122">
        <f t="shared" si="25"/>
        <v>0</v>
      </c>
      <c r="CD39" s="122">
        <f t="shared" si="26"/>
        <v>0</v>
      </c>
      <c r="CG39" s="122">
        <f t="shared" si="27"/>
        <v>0</v>
      </c>
      <c r="CJ39" s="122">
        <f t="shared" si="28"/>
        <v>0</v>
      </c>
      <c r="CM39" s="122">
        <f t="shared" si="29"/>
        <v>0</v>
      </c>
      <c r="CP39" s="122">
        <f t="shared" si="30"/>
        <v>0</v>
      </c>
      <c r="CS39" s="122">
        <f t="shared" si="31"/>
        <v>0</v>
      </c>
      <c r="CV39" s="122">
        <f t="shared" si="32"/>
        <v>0</v>
      </c>
      <c r="CY39" s="122">
        <f t="shared" si="33"/>
        <v>0</v>
      </c>
      <c r="DB39" s="122">
        <f t="shared" si="34"/>
        <v>0</v>
      </c>
      <c r="DE39" s="122">
        <f t="shared" si="35"/>
        <v>0</v>
      </c>
      <c r="DH39" s="122">
        <f t="shared" si="36"/>
        <v>0</v>
      </c>
      <c r="DK39" s="122">
        <f t="shared" si="37"/>
        <v>0</v>
      </c>
      <c r="DN39" s="122">
        <f t="shared" si="38"/>
        <v>0</v>
      </c>
      <c r="DQ39" s="122">
        <f t="shared" si="39"/>
        <v>0</v>
      </c>
      <c r="DT39" s="122">
        <f t="shared" si="40"/>
        <v>0</v>
      </c>
      <c r="DW39" s="122">
        <f t="shared" si="41"/>
        <v>0</v>
      </c>
      <c r="DZ39" s="122"/>
      <c r="EA39" s="122"/>
      <c r="EB39" s="157">
        <f t="shared" si="42"/>
        <v>205225000</v>
      </c>
      <c r="EC39" s="157">
        <f t="shared" si="43"/>
        <v>0</v>
      </c>
      <c r="ED39" s="122">
        <f t="shared" si="44"/>
        <v>14824.270833333332</v>
      </c>
      <c r="EE39" s="123">
        <f t="shared" si="45"/>
        <v>2.6004324521866243E-2</v>
      </c>
      <c r="EG39" s="157">
        <f t="shared" si="46"/>
        <v>0</v>
      </c>
      <c r="EH39" s="122">
        <f t="shared" si="47"/>
        <v>0</v>
      </c>
      <c r="EI39" s="123">
        <f t="shared" si="48"/>
        <v>0</v>
      </c>
      <c r="EJ39" s="123"/>
      <c r="EK39" s="157">
        <f t="shared" si="49"/>
        <v>205225000</v>
      </c>
      <c r="EL39" s="157">
        <f t="shared" si="50"/>
        <v>0</v>
      </c>
      <c r="EM39" s="157">
        <f t="shared" si="51"/>
        <v>14824.270833333332</v>
      </c>
      <c r="EN39" s="123">
        <f t="shared" si="52"/>
        <v>2.6004324521866243E-2</v>
      </c>
      <c r="EP39" s="122"/>
    </row>
    <row r="40" spans="1:146" x14ac:dyDescent="0.25">
      <c r="A40" s="66">
        <f t="shared" si="53"/>
        <v>43646</v>
      </c>
      <c r="D40" s="122">
        <f t="shared" si="2"/>
        <v>0</v>
      </c>
      <c r="G40" s="122">
        <f t="shared" si="3"/>
        <v>0</v>
      </c>
      <c r="J40" s="122">
        <f t="shared" si="4"/>
        <v>0</v>
      </c>
      <c r="M40" s="122">
        <f t="shared" si="5"/>
        <v>0</v>
      </c>
      <c r="P40" s="122">
        <f t="shared" si="6"/>
        <v>0</v>
      </c>
      <c r="S40" s="122">
        <f t="shared" si="7"/>
        <v>0</v>
      </c>
      <c r="V40" s="122">
        <f t="shared" si="8"/>
        <v>0</v>
      </c>
      <c r="Y40" s="122">
        <f t="shared" si="9"/>
        <v>0</v>
      </c>
      <c r="AB40" s="122">
        <f t="shared" si="10"/>
        <v>0</v>
      </c>
      <c r="AE40" s="122">
        <v>0</v>
      </c>
      <c r="AH40" s="122">
        <v>0</v>
      </c>
      <c r="AI40" s="155">
        <f>140225000</f>
        <v>140225000</v>
      </c>
      <c r="AJ40" s="156">
        <v>2.5499999999999998E-2</v>
      </c>
      <c r="AK40" s="122">
        <f t="shared" si="11"/>
        <v>9932.6041666666661</v>
      </c>
      <c r="AL40" s="155">
        <f t="shared" si="55"/>
        <v>35000000</v>
      </c>
      <c r="AM40" s="156">
        <v>2.7E-2</v>
      </c>
      <c r="AN40" s="122">
        <f t="shared" si="12"/>
        <v>2625</v>
      </c>
      <c r="AO40" s="155"/>
      <c r="AP40" s="156"/>
      <c r="AQ40" s="122">
        <f t="shared" si="13"/>
        <v>0</v>
      </c>
      <c r="AR40" s="155">
        <f t="shared" si="54"/>
        <v>30000000</v>
      </c>
      <c r="AS40" s="156">
        <v>2.7199999999999998E-2</v>
      </c>
      <c r="AT40" s="122">
        <f t="shared" si="14"/>
        <v>2266.6666666666665</v>
      </c>
      <c r="AW40" s="122">
        <f t="shared" si="15"/>
        <v>0</v>
      </c>
      <c r="AZ40" s="122">
        <f t="shared" si="16"/>
        <v>0</v>
      </c>
      <c r="BC40" s="122">
        <f t="shared" si="17"/>
        <v>0</v>
      </c>
      <c r="BF40" s="122">
        <f t="shared" si="18"/>
        <v>0</v>
      </c>
      <c r="BI40" s="122">
        <f t="shared" si="19"/>
        <v>0</v>
      </c>
      <c r="BL40" s="122">
        <f t="shared" si="20"/>
        <v>0</v>
      </c>
      <c r="BO40" s="122">
        <f t="shared" si="21"/>
        <v>0</v>
      </c>
      <c r="BR40" s="122">
        <f t="shared" si="22"/>
        <v>0</v>
      </c>
      <c r="BU40" s="122">
        <f t="shared" si="23"/>
        <v>0</v>
      </c>
      <c r="BX40" s="122">
        <f t="shared" si="24"/>
        <v>0</v>
      </c>
      <c r="CA40" s="122">
        <f t="shared" si="25"/>
        <v>0</v>
      </c>
      <c r="CD40" s="122">
        <f t="shared" si="26"/>
        <v>0</v>
      </c>
      <c r="CG40" s="122">
        <f t="shared" si="27"/>
        <v>0</v>
      </c>
      <c r="CJ40" s="122">
        <f t="shared" si="28"/>
        <v>0</v>
      </c>
      <c r="CM40" s="122">
        <f t="shared" si="29"/>
        <v>0</v>
      </c>
      <c r="CP40" s="122">
        <f t="shared" si="30"/>
        <v>0</v>
      </c>
      <c r="CS40" s="122">
        <f t="shared" si="31"/>
        <v>0</v>
      </c>
      <c r="CV40" s="122">
        <f t="shared" si="32"/>
        <v>0</v>
      </c>
      <c r="CY40" s="122">
        <f t="shared" si="33"/>
        <v>0</v>
      </c>
      <c r="DB40" s="122">
        <f t="shared" si="34"/>
        <v>0</v>
      </c>
      <c r="DE40" s="122">
        <f t="shared" si="35"/>
        <v>0</v>
      </c>
      <c r="DH40" s="122">
        <f t="shared" si="36"/>
        <v>0</v>
      </c>
      <c r="DK40" s="122">
        <f t="shared" si="37"/>
        <v>0</v>
      </c>
      <c r="DN40" s="122">
        <f t="shared" si="38"/>
        <v>0</v>
      </c>
      <c r="DQ40" s="122">
        <f t="shared" si="39"/>
        <v>0</v>
      </c>
      <c r="DT40" s="122">
        <f t="shared" si="40"/>
        <v>0</v>
      </c>
      <c r="DW40" s="122">
        <f t="shared" si="41"/>
        <v>0</v>
      </c>
      <c r="DZ40" s="120"/>
      <c r="EA40" s="122"/>
      <c r="EB40" s="157">
        <f t="shared" si="42"/>
        <v>205225000</v>
      </c>
      <c r="EC40" s="157">
        <f t="shared" si="43"/>
        <v>0</v>
      </c>
      <c r="ED40" s="122">
        <f t="shared" si="44"/>
        <v>14824.270833333332</v>
      </c>
      <c r="EE40" s="123">
        <f t="shared" si="45"/>
        <v>2.6004324521866243E-2</v>
      </c>
      <c r="EG40" s="157">
        <f t="shared" si="46"/>
        <v>0</v>
      </c>
      <c r="EH40" s="122">
        <f t="shared" si="47"/>
        <v>0</v>
      </c>
      <c r="EI40" s="123">
        <f t="shared" si="48"/>
        <v>0</v>
      </c>
      <c r="EJ40" s="123"/>
      <c r="EK40" s="157">
        <f t="shared" si="49"/>
        <v>205225000</v>
      </c>
      <c r="EL40" s="157">
        <f t="shared" si="50"/>
        <v>0</v>
      </c>
      <c r="EM40" s="157">
        <f t="shared" si="51"/>
        <v>14824.270833333332</v>
      </c>
      <c r="EN40" s="123">
        <f t="shared" si="52"/>
        <v>2.6004324521866243E-2</v>
      </c>
      <c r="EP40" s="122"/>
    </row>
    <row r="41" spans="1:146" x14ac:dyDescent="0.25">
      <c r="A41" s="158" t="s">
        <v>238</v>
      </c>
      <c r="D41" s="159">
        <f>SUM(D11:D40)</f>
        <v>0</v>
      </c>
      <c r="G41" s="159">
        <f>SUM(G11:G40)</f>
        <v>0</v>
      </c>
      <c r="J41" s="159">
        <f>SUM(J11:J40)</f>
        <v>0</v>
      </c>
      <c r="M41" s="159">
        <f>SUM(M11:M40)</f>
        <v>0</v>
      </c>
      <c r="P41" s="159">
        <f>SUM(P11:P40)</f>
        <v>0</v>
      </c>
      <c r="S41" s="159">
        <f>SUM(S11:S40)</f>
        <v>0</v>
      </c>
      <c r="V41" s="159">
        <f>SUM(V11:V40)</f>
        <v>0</v>
      </c>
      <c r="Y41" s="159">
        <f>SUM(Y11:Y40)</f>
        <v>0</v>
      </c>
      <c r="AB41" s="159">
        <f>SUM(AB11:AB40)</f>
        <v>0</v>
      </c>
      <c r="AE41" s="159">
        <f>SUM(AE11:AE40)</f>
        <v>0</v>
      </c>
      <c r="AH41" s="159">
        <f>SUM(AH11:AH40)</f>
        <v>0</v>
      </c>
      <c r="AK41" s="159">
        <f>SUM(AK11:AK40)</f>
        <v>130127.51388888896</v>
      </c>
      <c r="AN41" s="159">
        <f>SUM(AN11:AN40)</f>
        <v>74458.333333333343</v>
      </c>
      <c r="AQ41" s="159">
        <f>SUM(AQ11:AQ40)</f>
        <v>25006.944444444438</v>
      </c>
      <c r="AT41" s="159">
        <f>SUM(AT11:AT40)</f>
        <v>63466.666666666642</v>
      </c>
      <c r="AW41" s="159">
        <f>SUM(AW11:AW40)</f>
        <v>0</v>
      </c>
      <c r="AZ41" s="159">
        <f>SUM(AZ11:AZ40)</f>
        <v>0</v>
      </c>
      <c r="BC41" s="159">
        <f>SUM(BC11:BC40)</f>
        <v>0</v>
      </c>
      <c r="BF41" s="159">
        <f>SUM(BF11:BF40)</f>
        <v>0</v>
      </c>
      <c r="BI41" s="159">
        <f>SUM(BI11:BI40)</f>
        <v>0</v>
      </c>
      <c r="BL41" s="159">
        <f>SUM(BL11:BL40)</f>
        <v>0</v>
      </c>
      <c r="BO41" s="159">
        <f>SUM(BO11:BO40)</f>
        <v>0</v>
      </c>
      <c r="BR41" s="159">
        <f>SUM(BR11:BR40)</f>
        <v>0</v>
      </c>
      <c r="BU41" s="159">
        <f>SUM(BU11:BU40)</f>
        <v>0</v>
      </c>
      <c r="BX41" s="159">
        <f>SUM(BX11:BX40)</f>
        <v>0</v>
      </c>
      <c r="CA41" s="159">
        <f>SUM(CA11:CA40)</f>
        <v>0</v>
      </c>
      <c r="CD41" s="159">
        <f>SUM(CD11:CD40)</f>
        <v>0</v>
      </c>
      <c r="CG41" s="159">
        <f>SUM(CG11:CG40)</f>
        <v>0</v>
      </c>
      <c r="CJ41" s="159">
        <f>SUM(CJ11:CJ40)</f>
        <v>0</v>
      </c>
      <c r="CM41" s="159">
        <f>SUM(CM11:CM40)</f>
        <v>0</v>
      </c>
      <c r="CP41" s="159">
        <f>SUM(CP11:CP40)</f>
        <v>0</v>
      </c>
      <c r="CS41" s="159">
        <f>SUM(CS11:CS40)</f>
        <v>0</v>
      </c>
      <c r="CV41" s="159">
        <f>SUM(CV11:CV40)</f>
        <v>0</v>
      </c>
      <c r="CY41" s="159">
        <f>SUM(CY11:CY40)</f>
        <v>0</v>
      </c>
      <c r="DB41" s="159">
        <f>SUM(DB11:DB40)</f>
        <v>0</v>
      </c>
      <c r="DE41" s="159">
        <f>SUM(DE11:DE40)</f>
        <v>0</v>
      </c>
      <c r="DH41" s="159">
        <f>SUM(DH11:DH40)</f>
        <v>0</v>
      </c>
      <c r="DK41" s="159">
        <f>SUM(DK11:DK40)</f>
        <v>0</v>
      </c>
      <c r="DN41" s="159">
        <f>SUM(DN11:DN40)</f>
        <v>0</v>
      </c>
      <c r="DQ41" s="159">
        <f>SUM(DQ11:DQ40)</f>
        <v>0</v>
      </c>
      <c r="DT41" s="159">
        <f>SUM(DT11:DT40)</f>
        <v>0</v>
      </c>
      <c r="DW41" s="159">
        <f>SUM(DW11:DW40)</f>
        <v>0</v>
      </c>
      <c r="DZ41" s="120"/>
      <c r="EA41" s="120"/>
      <c r="EB41" s="122"/>
      <c r="EC41" s="122"/>
      <c r="ED41" s="159">
        <f>SUM(ED11:ED40)</f>
        <v>293059.45833333337</v>
      </c>
      <c r="EE41" s="123"/>
      <c r="EG41" s="122"/>
      <c r="EH41" s="159">
        <f>SUM(EH11:EH40)</f>
        <v>0</v>
      </c>
      <c r="EI41" s="123"/>
      <c r="EJ41" s="123"/>
      <c r="EK41" s="122"/>
      <c r="EL41" s="122"/>
      <c r="EM41" s="159">
        <f>SUM(EM11:EM40)</f>
        <v>293059.45833333337</v>
      </c>
      <c r="EN41" s="123"/>
    </row>
    <row r="44" spans="1:146" x14ac:dyDescent="0.25">
      <c r="EM44" s="160"/>
    </row>
    <row r="46" spans="1:146" x14ac:dyDescent="0.25">
      <c r="EM46" s="122"/>
    </row>
    <row r="47" spans="1:146" x14ac:dyDescent="0.25">
      <c r="EM47" s="12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8"/>
  <sheetViews>
    <sheetView workbookViewId="0"/>
  </sheetViews>
  <sheetFormatPr defaultRowHeight="15" x14ac:dyDescent="0.25"/>
  <cols>
    <col min="1" max="1" width="14.5703125" bestFit="1" customWidth="1"/>
    <col min="2" max="2" width="15.5703125" style="122" bestFit="1" customWidth="1"/>
    <col min="3" max="3" width="15.42578125" style="123" bestFit="1" customWidth="1"/>
    <col min="4" max="4" width="15.42578125" bestFit="1" customWidth="1"/>
    <col min="5" max="5" width="15.5703125" style="122" bestFit="1" customWidth="1"/>
    <col min="6" max="6" width="12.28515625" style="123" bestFit="1" customWidth="1"/>
    <col min="7" max="7" width="15.42578125" bestFit="1" customWidth="1"/>
    <col min="8" max="8" width="15.42578125" style="122" hidden="1" customWidth="1"/>
    <col min="9" max="9" width="10.28515625" style="123" hidden="1" customWidth="1"/>
    <col min="10" max="10" width="13.42578125" hidden="1" customWidth="1"/>
    <col min="11" max="11" width="14.42578125" style="122" hidden="1" customWidth="1"/>
    <col min="12" max="12" width="10.28515625" style="123" hidden="1" customWidth="1"/>
    <col min="13" max="13" width="11.7109375" hidden="1" customWidth="1"/>
    <col min="14" max="14" width="14.42578125" style="122" hidden="1" customWidth="1"/>
    <col min="15" max="15" width="10.28515625" style="123" hidden="1" customWidth="1"/>
    <col min="16" max="16" width="11.7109375" hidden="1" customWidth="1"/>
    <col min="17" max="17" width="15.42578125" style="122" hidden="1" customWidth="1"/>
    <col min="18" max="18" width="10.28515625" style="123" hidden="1" customWidth="1"/>
    <col min="19" max="19" width="11.7109375" hidden="1" customWidth="1"/>
    <col min="20" max="20" width="15.42578125" style="122" hidden="1" customWidth="1"/>
    <col min="21" max="21" width="10.28515625" style="123" hidden="1" customWidth="1"/>
    <col min="22" max="22" width="11.7109375" hidden="1" customWidth="1"/>
    <col min="23" max="23" width="15.42578125" style="122" hidden="1" customWidth="1"/>
    <col min="24" max="24" width="10.28515625" style="123" hidden="1" customWidth="1"/>
    <col min="25" max="25" width="11.7109375" hidden="1" customWidth="1"/>
    <col min="26" max="26" width="15.42578125" style="122" hidden="1" customWidth="1"/>
    <col min="27" max="27" width="10.28515625" style="123" hidden="1" customWidth="1"/>
    <col min="28" max="28" width="11.7109375" hidden="1" customWidth="1"/>
    <col min="29" max="29" width="15.42578125" style="122" hidden="1" customWidth="1"/>
    <col min="30" max="30" width="10.28515625" style="123" hidden="1" customWidth="1"/>
    <col min="31" max="31" width="11.7109375" hidden="1" customWidth="1"/>
    <col min="32" max="32" width="14.42578125" style="122" hidden="1" customWidth="1"/>
    <col min="33" max="33" width="10.28515625" style="123" hidden="1" customWidth="1"/>
    <col min="34" max="34" width="10.7109375" hidden="1" customWidth="1"/>
    <col min="35" max="35" width="14.42578125" style="122" customWidth="1"/>
    <col min="36" max="36" width="10.28515625" style="123" customWidth="1"/>
    <col min="37" max="37" width="11.7109375" bestFit="1" customWidth="1"/>
    <col min="38" max="38" width="14.42578125" style="122" customWidth="1"/>
    <col min="39" max="39" width="10.28515625" style="123" customWidth="1"/>
    <col min="40" max="40" width="10.7109375" customWidth="1"/>
    <col min="41" max="41" width="15.42578125" style="122" bestFit="1" customWidth="1"/>
    <col min="42" max="42" width="12.28515625" style="123" bestFit="1" customWidth="1"/>
    <col min="43" max="43" width="11.7109375" bestFit="1" customWidth="1"/>
    <col min="44" max="44" width="15.42578125" style="122" bestFit="1" customWidth="1"/>
    <col min="45" max="45" width="10.28515625" style="123" bestFit="1" customWidth="1"/>
    <col min="46" max="46" width="11.7109375" bestFit="1" customWidth="1"/>
    <col min="47" max="47" width="14.42578125" style="122" customWidth="1"/>
    <col min="48" max="48" width="10.28515625" style="123" customWidth="1"/>
    <col min="49" max="49" width="10.7109375" customWidth="1"/>
    <col min="50" max="50" width="14.42578125" style="122" customWidth="1"/>
    <col min="51" max="51" width="10.28515625" style="123" customWidth="1"/>
    <col min="52" max="52" width="10.7109375" customWidth="1"/>
    <col min="53" max="53" width="14.42578125" style="122" customWidth="1"/>
    <col min="54" max="54" width="10.28515625" style="123" customWidth="1"/>
    <col min="55" max="55" width="10.7109375" customWidth="1"/>
    <col min="56" max="56" width="14.42578125" style="122" customWidth="1"/>
    <col min="57" max="57" width="10.28515625" style="123" customWidth="1"/>
    <col min="58" max="58" width="10.7109375" customWidth="1"/>
    <col min="59" max="59" width="14.42578125" style="122" customWidth="1"/>
    <col min="60" max="60" width="10.28515625" style="123" customWidth="1"/>
    <col min="61" max="61" width="10.7109375" customWidth="1"/>
    <col min="62" max="62" width="14.42578125" style="122" customWidth="1"/>
    <col min="63" max="63" width="10.28515625" style="123" customWidth="1"/>
    <col min="64" max="64" width="10.7109375" customWidth="1"/>
    <col min="65" max="65" width="14.42578125" style="122" hidden="1" customWidth="1"/>
    <col min="66" max="66" width="10.28515625" style="123" hidden="1" customWidth="1"/>
    <col min="67" max="67" width="10.7109375" hidden="1" customWidth="1"/>
    <col min="68" max="68" width="14.42578125" style="122" hidden="1" customWidth="1"/>
    <col min="69" max="69" width="10.28515625" style="123" hidden="1" customWidth="1"/>
    <col min="70" max="70" width="10.7109375" hidden="1" customWidth="1"/>
    <col min="71" max="71" width="14.42578125" style="122" hidden="1" customWidth="1"/>
    <col min="72" max="72" width="10.28515625" style="123" hidden="1" customWidth="1"/>
    <col min="73" max="73" width="10.7109375" hidden="1" customWidth="1"/>
    <col min="74" max="74" width="14.42578125" style="122" hidden="1" customWidth="1"/>
    <col min="75" max="75" width="10.28515625" style="123" hidden="1" customWidth="1"/>
    <col min="76" max="76" width="10.7109375" hidden="1" customWidth="1"/>
    <col min="77" max="77" width="14.42578125" style="122" hidden="1" customWidth="1"/>
    <col min="78" max="78" width="10.28515625" style="123" hidden="1" customWidth="1"/>
    <col min="79" max="79" width="10.7109375" hidden="1" customWidth="1"/>
    <col min="80" max="80" width="14.42578125" style="122" hidden="1" customWidth="1"/>
    <col min="81" max="81" width="10.28515625" style="123" hidden="1" customWidth="1"/>
    <col min="82" max="82" width="10.7109375" hidden="1" customWidth="1"/>
    <col min="83" max="83" width="14.42578125" style="122" hidden="1" customWidth="1"/>
    <col min="84" max="84" width="10.28515625" style="123" hidden="1" customWidth="1"/>
    <col min="85" max="85" width="10.7109375" hidden="1" customWidth="1"/>
    <col min="86" max="86" width="14.42578125" style="122" hidden="1" customWidth="1"/>
    <col min="87" max="87" width="10.28515625" style="123" hidden="1" customWidth="1"/>
    <col min="88" max="88" width="10.7109375" hidden="1" customWidth="1"/>
    <col min="89" max="89" width="14.42578125" style="122" hidden="1" customWidth="1"/>
    <col min="90" max="90" width="10.28515625" style="123" hidden="1" customWidth="1"/>
    <col min="91" max="91" width="10.7109375" hidden="1" customWidth="1"/>
    <col min="92" max="92" width="14.42578125" style="122" hidden="1" customWidth="1"/>
    <col min="93" max="93" width="10.28515625" style="123" hidden="1" customWidth="1"/>
    <col min="94" max="94" width="10.7109375" hidden="1" customWidth="1"/>
    <col min="95" max="95" width="14.42578125" style="122" hidden="1" customWidth="1"/>
    <col min="96" max="96" width="10.28515625" style="123" hidden="1" customWidth="1"/>
    <col min="97" max="97" width="10.7109375" hidden="1" customWidth="1"/>
    <col min="98" max="98" width="14.42578125" style="122" hidden="1" customWidth="1"/>
    <col min="99" max="99" width="10.28515625" style="123" hidden="1" customWidth="1"/>
    <col min="100" max="100" width="10.7109375" hidden="1" customWidth="1"/>
    <col min="101" max="101" width="14.42578125" style="122" hidden="1" customWidth="1"/>
    <col min="102" max="102" width="10.28515625" style="123" hidden="1" customWidth="1"/>
    <col min="103" max="103" width="10.7109375" hidden="1" customWidth="1"/>
    <col min="104" max="104" width="14.42578125" style="122" hidden="1" customWidth="1"/>
    <col min="105" max="105" width="10.28515625" style="123" hidden="1" customWidth="1"/>
    <col min="106" max="106" width="10.7109375" hidden="1" customWidth="1"/>
    <col min="107" max="107" width="14.42578125" style="122" hidden="1" customWidth="1"/>
    <col min="108" max="108" width="10.28515625" style="123" hidden="1" customWidth="1"/>
    <col min="109" max="109" width="10.7109375" hidden="1" customWidth="1"/>
    <col min="110" max="110" width="14.42578125" style="122" hidden="1" customWidth="1"/>
    <col min="111" max="111" width="10.28515625" style="123" hidden="1" customWidth="1"/>
    <col min="112" max="112" width="10.7109375" hidden="1" customWidth="1"/>
    <col min="113" max="113" width="14.42578125" style="122" hidden="1" customWidth="1"/>
    <col min="114" max="114" width="10.28515625" style="123" hidden="1" customWidth="1"/>
    <col min="115" max="115" width="10.7109375" hidden="1" customWidth="1"/>
    <col min="116" max="116" width="14.42578125" style="122" hidden="1" customWidth="1"/>
    <col min="117" max="117" width="10.28515625" style="123" hidden="1" customWidth="1"/>
    <col min="118" max="118" width="10.7109375" hidden="1" customWidth="1"/>
    <col min="119" max="119" width="14.42578125" style="122" hidden="1" customWidth="1"/>
    <col min="120" max="120" width="10.28515625" style="123" hidden="1" customWidth="1"/>
    <col min="121" max="121" width="10.7109375" hidden="1" customWidth="1"/>
    <col min="122" max="122" width="14.42578125" style="122" hidden="1" customWidth="1"/>
    <col min="123" max="123" width="10.28515625" style="123" hidden="1" customWidth="1"/>
    <col min="124" max="124" width="10.7109375" hidden="1" customWidth="1"/>
    <col min="125" max="125" width="14.42578125" style="122" hidden="1" customWidth="1"/>
    <col min="126" max="126" width="10.28515625" style="123" hidden="1" customWidth="1"/>
    <col min="127" max="127" width="10.7109375" hidden="1" customWidth="1"/>
    <col min="128" max="128" width="14.42578125" style="122" hidden="1" customWidth="1"/>
    <col min="129" max="129" width="10.28515625" style="123" hidden="1" customWidth="1"/>
    <col min="130" max="130" width="10.7109375" hidden="1" customWidth="1"/>
    <col min="131" max="131" width="2.7109375" customWidth="1"/>
    <col min="132" max="132" width="15.42578125" bestFit="1" customWidth="1"/>
    <col min="133" max="133" width="15.42578125" hidden="1" customWidth="1"/>
    <col min="134" max="134" width="14.42578125" bestFit="1" customWidth="1"/>
    <col min="135" max="135" width="17.7109375" bestFit="1" customWidth="1"/>
    <col min="136" max="136" width="2.7109375" customWidth="1"/>
    <col min="137" max="137" width="15.42578125" hidden="1" customWidth="1"/>
    <col min="138" max="138" width="14.42578125" hidden="1" customWidth="1"/>
    <col min="139" max="139" width="12.42578125" hidden="1" customWidth="1"/>
    <col min="140" max="140" width="2.7109375" hidden="1" customWidth="1"/>
    <col min="141" max="141" width="15.42578125" bestFit="1" customWidth="1"/>
    <col min="142" max="142" width="15.42578125" hidden="1" customWidth="1"/>
    <col min="143" max="143" width="14.42578125" bestFit="1" customWidth="1"/>
    <col min="144" max="144" width="15.42578125" bestFit="1" customWidth="1"/>
    <col min="145" max="145" width="42.85546875" bestFit="1" customWidth="1"/>
    <col min="146" max="146" width="19.42578125" bestFit="1" customWidth="1"/>
    <col min="147" max="147" width="23.140625" bestFit="1" customWidth="1"/>
  </cols>
  <sheetData>
    <row r="1" spans="1:147" s="115" customFormat="1" ht="15.75" x14ac:dyDescent="0.25">
      <c r="A1" s="112" t="s">
        <v>0</v>
      </c>
      <c r="B1" s="113"/>
      <c r="C1" s="114"/>
      <c r="E1" s="113"/>
      <c r="F1" s="114"/>
      <c r="H1" s="113"/>
      <c r="I1" s="114"/>
      <c r="K1" s="113"/>
      <c r="L1" s="114"/>
      <c r="N1" s="113"/>
      <c r="O1" s="114"/>
      <c r="Q1" s="113"/>
      <c r="R1" s="114"/>
      <c r="T1" s="113"/>
      <c r="U1" s="114"/>
      <c r="W1" s="113"/>
      <c r="X1" s="114"/>
      <c r="Z1" s="113"/>
      <c r="AA1" s="114"/>
      <c r="AC1" s="113"/>
      <c r="AD1" s="114"/>
      <c r="AF1" s="113"/>
      <c r="AG1" s="114"/>
      <c r="AI1" s="113"/>
      <c r="AJ1" s="114"/>
      <c r="AL1" s="113"/>
      <c r="AM1" s="114"/>
      <c r="AO1" s="113"/>
      <c r="AP1" s="114"/>
      <c r="AR1" s="113"/>
      <c r="AS1" s="114"/>
      <c r="AU1" s="113"/>
      <c r="AV1" s="114"/>
      <c r="AX1" s="113"/>
      <c r="AY1" s="114"/>
      <c r="BA1" s="113"/>
      <c r="BB1" s="114"/>
      <c r="BD1" s="113"/>
      <c r="BE1" s="114"/>
      <c r="BG1" s="113"/>
      <c r="BH1" s="114"/>
      <c r="BJ1" s="113"/>
      <c r="BK1" s="114"/>
      <c r="BM1" s="113"/>
      <c r="BN1" s="114"/>
      <c r="BP1" s="113"/>
      <c r="BQ1" s="114"/>
      <c r="BS1" s="113"/>
      <c r="BT1" s="114"/>
      <c r="BV1" s="113"/>
      <c r="BW1" s="114"/>
      <c r="BY1" s="113"/>
      <c r="BZ1" s="114"/>
      <c r="CB1" s="113"/>
      <c r="CC1" s="114"/>
      <c r="CE1" s="113"/>
      <c r="CF1" s="114"/>
      <c r="CH1" s="113"/>
      <c r="CI1" s="114"/>
      <c r="CK1" s="113"/>
      <c r="CL1" s="114"/>
      <c r="CN1" s="113"/>
      <c r="CO1" s="114"/>
      <c r="CQ1" s="113"/>
      <c r="CR1" s="114"/>
      <c r="CT1" s="113"/>
      <c r="CU1" s="114"/>
      <c r="CW1" s="113"/>
      <c r="CX1" s="114"/>
      <c r="CZ1" s="113"/>
      <c r="DA1" s="114"/>
      <c r="DC1" s="113"/>
      <c r="DD1" s="114"/>
      <c r="DF1" s="113"/>
      <c r="DG1" s="114"/>
      <c r="DI1" s="113"/>
      <c r="DJ1" s="114"/>
      <c r="DL1" s="113"/>
      <c r="DM1" s="114"/>
      <c r="DO1" s="113"/>
      <c r="DP1" s="114"/>
      <c r="DR1" s="113"/>
      <c r="DS1" s="114"/>
      <c r="DU1" s="113"/>
      <c r="DV1" s="114"/>
      <c r="DX1" s="113"/>
      <c r="DY1" s="114"/>
      <c r="DZ1" s="116"/>
      <c r="ED1" s="117"/>
      <c r="EE1" s="118" t="s">
        <v>257</v>
      </c>
      <c r="EI1" s="117" t="s">
        <v>258</v>
      </c>
      <c r="EM1" s="117"/>
      <c r="EN1" s="117" t="s">
        <v>259</v>
      </c>
      <c r="EO1" s="112" t="s">
        <v>260</v>
      </c>
      <c r="EP1" s="112" t="s">
        <v>261</v>
      </c>
      <c r="EQ1" s="112" t="s">
        <v>262</v>
      </c>
    </row>
    <row r="2" spans="1:147" s="115" customFormat="1" ht="16.5" thickBot="1" x14ac:dyDescent="0.3">
      <c r="A2" s="112" t="s">
        <v>263</v>
      </c>
      <c r="B2" s="113"/>
      <c r="C2" s="114"/>
      <c r="E2" s="119"/>
      <c r="F2" s="114"/>
      <c r="G2" s="117"/>
      <c r="H2" s="113"/>
      <c r="I2" s="114"/>
      <c r="K2" s="113"/>
      <c r="L2" s="114"/>
      <c r="N2" s="113"/>
      <c r="O2" s="114"/>
      <c r="Q2" s="113"/>
      <c r="R2" s="114"/>
      <c r="T2" s="113"/>
      <c r="U2" s="114"/>
      <c r="W2" s="113"/>
      <c r="X2" s="114"/>
      <c r="Z2" s="113"/>
      <c r="AA2" s="114"/>
      <c r="AC2" s="113"/>
      <c r="AD2" s="114"/>
      <c r="AF2" s="113"/>
      <c r="AG2" s="114"/>
      <c r="AI2" s="113"/>
      <c r="AJ2" s="114"/>
      <c r="AL2" s="113"/>
      <c r="AM2" s="114"/>
      <c r="AO2" s="113"/>
      <c r="AP2" s="114"/>
      <c r="AR2" s="113"/>
      <c r="AS2" s="114"/>
      <c r="AU2" s="113"/>
      <c r="AV2" s="114"/>
      <c r="AX2" s="113"/>
      <c r="AY2" s="114"/>
      <c r="BA2" s="113"/>
      <c r="BB2" s="114"/>
      <c r="BD2" s="113"/>
      <c r="BE2" s="114"/>
      <c r="BG2" s="113"/>
      <c r="BH2" s="114"/>
      <c r="BJ2" s="113"/>
      <c r="BK2" s="114"/>
      <c r="BM2" s="113"/>
      <c r="BN2" s="114"/>
      <c r="BP2" s="113"/>
      <c r="BQ2" s="114"/>
      <c r="BS2" s="113"/>
      <c r="BT2" s="114"/>
      <c r="BV2" s="113"/>
      <c r="BW2" s="114"/>
      <c r="BY2" s="113"/>
      <c r="BZ2" s="114"/>
      <c r="CB2" s="113"/>
      <c r="CC2" s="114"/>
      <c r="CE2" s="113"/>
      <c r="CF2" s="114"/>
      <c r="CH2" s="113"/>
      <c r="CI2" s="114"/>
      <c r="CK2" s="113"/>
      <c r="CL2" s="114"/>
      <c r="CN2" s="113"/>
      <c r="CO2" s="114"/>
      <c r="CQ2" s="113"/>
      <c r="CR2" s="114"/>
      <c r="CT2" s="113"/>
      <c r="CU2" s="114"/>
      <c r="CW2" s="113"/>
      <c r="CX2" s="114"/>
      <c r="CZ2" s="113"/>
      <c r="DA2" s="114"/>
      <c r="DC2" s="113"/>
      <c r="DD2" s="114"/>
      <c r="DF2" s="113"/>
      <c r="DG2" s="114"/>
      <c r="DI2" s="113"/>
      <c r="DJ2" s="114"/>
      <c r="DL2" s="113"/>
      <c r="DM2" s="114"/>
      <c r="DO2" s="113"/>
      <c r="DP2" s="114"/>
      <c r="DR2" s="113"/>
      <c r="DS2" s="114"/>
      <c r="DU2" s="113"/>
      <c r="DV2" s="114"/>
      <c r="DX2" s="113"/>
      <c r="DY2" s="114"/>
      <c r="EB2" s="54" t="s">
        <v>264</v>
      </c>
      <c r="EC2" s="54"/>
      <c r="ED2" s="120"/>
      <c r="EE2" s="120">
        <f>EB41</f>
        <v>116775000</v>
      </c>
      <c r="EI2" s="120">
        <f>EG40</f>
        <v>0</v>
      </c>
      <c r="EM2" s="120"/>
      <c r="EN2" s="120">
        <f>EK41</f>
        <v>116775000</v>
      </c>
      <c r="EO2" s="113">
        <v>-13150</v>
      </c>
      <c r="EP2" s="113">
        <f>EN2+EO2</f>
        <v>116761850</v>
      </c>
      <c r="EQ2" s="113">
        <f>EE2+EO2</f>
        <v>116761850</v>
      </c>
    </row>
    <row r="3" spans="1:147" ht="16.5" thickTop="1" x14ac:dyDescent="0.25">
      <c r="A3" s="121" t="s">
        <v>336</v>
      </c>
      <c r="E3" s="124" t="s">
        <v>266</v>
      </c>
      <c r="F3" s="125"/>
      <c r="G3" s="126"/>
      <c r="EB3" s="54" t="s">
        <v>267</v>
      </c>
      <c r="EC3" s="54"/>
      <c r="ED3" s="120"/>
      <c r="EE3" s="120">
        <f>AVERAGE(EB11:EB41)</f>
        <v>147533064.51612905</v>
      </c>
      <c r="EI3" s="120">
        <f>AVERAGE(EG11:EG40)</f>
        <v>0</v>
      </c>
      <c r="EM3" s="120"/>
      <c r="EN3" s="120">
        <f>AVERAGE(EK11:EK41)</f>
        <v>147533064.51612905</v>
      </c>
    </row>
    <row r="4" spans="1:147" x14ac:dyDescent="0.25">
      <c r="D4" s="54"/>
      <c r="E4" s="130" t="s">
        <v>264</v>
      </c>
      <c r="F4" s="120"/>
      <c r="G4" s="131">
        <f>EQ2</f>
        <v>116761850</v>
      </c>
      <c r="AI4" s="132" t="s">
        <v>268</v>
      </c>
      <c r="EB4" s="54" t="s">
        <v>269</v>
      </c>
      <c r="EC4" s="54"/>
      <c r="ED4" s="128"/>
      <c r="EE4" s="128">
        <f>IF(EE3=0,0,360*(AVERAGE(ED11:ED41)/EE3))</f>
        <v>2.5948692747935126E-2</v>
      </c>
      <c r="EI4" s="128">
        <f>IF(EI3=0,0,360*(AVERAGE(EH11:EH40)/EI3))</f>
        <v>0</v>
      </c>
      <c r="EM4" s="128"/>
      <c r="EN4" s="128">
        <f>IF(EN3=0,0,360*(AVERAGE(EM11:EM41)/EN3))</f>
        <v>2.5948692747935126E-2</v>
      </c>
      <c r="EO4" s="133" t="s">
        <v>270</v>
      </c>
      <c r="EQ4" s="134" t="s">
        <v>268</v>
      </c>
    </row>
    <row r="5" spans="1:147" ht="15.75" x14ac:dyDescent="0.25">
      <c r="D5" s="54"/>
      <c r="E5" s="130" t="s">
        <v>267</v>
      </c>
      <c r="F5" s="120"/>
      <c r="G5" s="131">
        <f>EE3</f>
        <v>147533064.51612905</v>
      </c>
      <c r="AI5" s="135" t="s">
        <v>259</v>
      </c>
      <c r="EB5" s="136" t="s">
        <v>271</v>
      </c>
      <c r="EC5" s="136"/>
      <c r="ED5" s="120"/>
      <c r="EE5" s="120">
        <f>MAX(EB11:EB41)</f>
        <v>210600000</v>
      </c>
      <c r="EI5" s="120">
        <f>MAX(EG11:EG40)</f>
        <v>0</v>
      </c>
      <c r="EM5" s="120"/>
      <c r="EN5" s="120">
        <f>MAX(EK11:EK41)</f>
        <v>210600000</v>
      </c>
    </row>
    <row r="6" spans="1:147" x14ac:dyDescent="0.25">
      <c r="D6" s="54"/>
      <c r="E6" s="130" t="s">
        <v>269</v>
      </c>
      <c r="F6" s="120"/>
      <c r="G6" s="137">
        <f>EE4</f>
        <v>2.5948692747935126E-2</v>
      </c>
    </row>
    <row r="7" spans="1:147" ht="16.5" thickBot="1" x14ac:dyDescent="0.3">
      <c r="D7" s="54"/>
      <c r="E7" s="138" t="s">
        <v>271</v>
      </c>
      <c r="F7" s="139"/>
      <c r="G7" s="140">
        <f>EE5</f>
        <v>210600000</v>
      </c>
      <c r="AI7" s="135" t="s">
        <v>259</v>
      </c>
      <c r="EB7" s="141" t="s">
        <v>272</v>
      </c>
      <c r="EC7" s="141"/>
      <c r="ED7" s="142"/>
      <c r="EE7" s="142"/>
      <c r="EG7" s="141" t="s">
        <v>273</v>
      </c>
      <c r="EH7" s="142"/>
      <c r="EI7" s="142"/>
      <c r="EJ7" s="143"/>
      <c r="EK7" s="141" t="s">
        <v>274</v>
      </c>
      <c r="EL7" s="141"/>
      <c r="EM7" s="142"/>
      <c r="EN7" s="142"/>
    </row>
    <row r="8" spans="1:147" ht="15.75" thickTop="1" x14ac:dyDescent="0.25">
      <c r="AI8" s="144" t="s">
        <v>275</v>
      </c>
      <c r="AL8" s="144" t="s">
        <v>275</v>
      </c>
      <c r="AO8" s="144" t="s">
        <v>275</v>
      </c>
      <c r="AR8" s="144" t="s">
        <v>275</v>
      </c>
      <c r="AU8" s="144" t="s">
        <v>275</v>
      </c>
      <c r="AX8" s="144" t="s">
        <v>275</v>
      </c>
      <c r="BA8" s="144" t="s">
        <v>275</v>
      </c>
      <c r="BD8" s="144" t="s">
        <v>275</v>
      </c>
      <c r="BG8" s="144" t="s">
        <v>275</v>
      </c>
      <c r="BJ8" s="144" t="s">
        <v>275</v>
      </c>
      <c r="BM8" s="144" t="s">
        <v>275</v>
      </c>
      <c r="BP8" s="144" t="s">
        <v>275</v>
      </c>
      <c r="BS8" s="144" t="s">
        <v>275</v>
      </c>
      <c r="BV8" s="144" t="s">
        <v>275</v>
      </c>
      <c r="BY8" s="144" t="s">
        <v>275</v>
      </c>
      <c r="CB8" s="144" t="s">
        <v>275</v>
      </c>
      <c r="CE8" s="144" t="s">
        <v>275</v>
      </c>
      <c r="CH8" s="144" t="s">
        <v>275</v>
      </c>
      <c r="CK8" s="144" t="s">
        <v>275</v>
      </c>
      <c r="CN8" s="144" t="s">
        <v>275</v>
      </c>
      <c r="CQ8" s="144" t="s">
        <v>275</v>
      </c>
      <c r="CT8" s="144" t="s">
        <v>275</v>
      </c>
      <c r="CW8" s="144" t="s">
        <v>275</v>
      </c>
      <c r="CZ8" s="144" t="s">
        <v>275</v>
      </c>
      <c r="DC8" s="144" t="s">
        <v>275</v>
      </c>
      <c r="DF8" s="144" t="s">
        <v>275</v>
      </c>
      <c r="DI8" s="144" t="s">
        <v>275</v>
      </c>
      <c r="DL8" s="144" t="s">
        <v>275</v>
      </c>
      <c r="DO8" s="144" t="s">
        <v>275</v>
      </c>
      <c r="DR8" s="144" t="s">
        <v>275</v>
      </c>
      <c r="EB8" s="145"/>
      <c r="EC8" s="145"/>
      <c r="ED8" s="145"/>
      <c r="EE8" s="145" t="s">
        <v>276</v>
      </c>
      <c r="EG8" s="145"/>
      <c r="EH8" s="146" t="s">
        <v>258</v>
      </c>
      <c r="EI8" s="145" t="s">
        <v>276</v>
      </c>
      <c r="EJ8" s="145"/>
      <c r="EK8" s="134" t="s">
        <v>277</v>
      </c>
      <c r="EL8" s="134" t="s">
        <v>278</v>
      </c>
      <c r="EM8" s="146" t="s">
        <v>279</v>
      </c>
      <c r="EN8" s="145" t="s">
        <v>276</v>
      </c>
    </row>
    <row r="9" spans="1:147" x14ac:dyDescent="0.25">
      <c r="B9" s="147" t="s">
        <v>280</v>
      </c>
      <c r="C9" s="148"/>
      <c r="D9" s="142"/>
      <c r="E9" s="147" t="s">
        <v>281</v>
      </c>
      <c r="F9" s="148"/>
      <c r="G9" s="142"/>
      <c r="H9" s="147" t="s">
        <v>282</v>
      </c>
      <c r="I9" s="148"/>
      <c r="J9" s="142"/>
      <c r="K9" s="147" t="s">
        <v>283</v>
      </c>
      <c r="L9" s="148"/>
      <c r="M9" s="142"/>
      <c r="N9" s="147" t="s">
        <v>284</v>
      </c>
      <c r="O9" s="148"/>
      <c r="P9" s="142"/>
      <c r="Q9" s="147" t="s">
        <v>285</v>
      </c>
      <c r="R9" s="148"/>
      <c r="S9" s="142"/>
      <c r="T9" s="147" t="s">
        <v>286</v>
      </c>
      <c r="U9" s="148"/>
      <c r="V9" s="142"/>
      <c r="W9" s="147" t="s">
        <v>287</v>
      </c>
      <c r="X9" s="148"/>
      <c r="Y9" s="142"/>
      <c r="Z9" s="147" t="s">
        <v>288</v>
      </c>
      <c r="AA9" s="148"/>
      <c r="AB9" s="142"/>
      <c r="AC9" s="149" t="s">
        <v>289</v>
      </c>
      <c r="AD9" s="148"/>
      <c r="AE9" s="142"/>
      <c r="AF9" s="149" t="s">
        <v>290</v>
      </c>
      <c r="AG9" s="148"/>
      <c r="AH9" s="142"/>
      <c r="AI9" s="147" t="s">
        <v>291</v>
      </c>
      <c r="AJ9" s="148"/>
      <c r="AK9" s="142"/>
      <c r="AL9" s="147" t="s">
        <v>292</v>
      </c>
      <c r="AM9" s="148"/>
      <c r="AN9" s="142"/>
      <c r="AO9" s="147" t="s">
        <v>293</v>
      </c>
      <c r="AP9" s="148"/>
      <c r="AQ9" s="142"/>
      <c r="AR9" s="147" t="s">
        <v>294</v>
      </c>
      <c r="AS9" s="148"/>
      <c r="AT9" s="142"/>
      <c r="AU9" s="147" t="s">
        <v>295</v>
      </c>
      <c r="AV9" s="148"/>
      <c r="AW9" s="142"/>
      <c r="AX9" s="147" t="s">
        <v>296</v>
      </c>
      <c r="AY9" s="148"/>
      <c r="AZ9" s="142"/>
      <c r="BA9" s="147" t="s">
        <v>297</v>
      </c>
      <c r="BB9" s="148"/>
      <c r="BC9" s="142"/>
      <c r="BD9" s="147" t="s">
        <v>298</v>
      </c>
      <c r="BE9" s="148"/>
      <c r="BF9" s="142"/>
      <c r="BG9" s="147" t="s">
        <v>299</v>
      </c>
      <c r="BH9" s="148"/>
      <c r="BI9" s="142"/>
      <c r="BJ9" s="147" t="s">
        <v>300</v>
      </c>
      <c r="BK9" s="148"/>
      <c r="BL9" s="142"/>
      <c r="BM9" s="147" t="s">
        <v>301</v>
      </c>
      <c r="BN9" s="148"/>
      <c r="BO9" s="142"/>
      <c r="BP9" s="147" t="s">
        <v>302</v>
      </c>
      <c r="BQ9" s="148"/>
      <c r="BR9" s="142"/>
      <c r="BS9" s="147" t="s">
        <v>303</v>
      </c>
      <c r="BT9" s="148"/>
      <c r="BU9" s="142"/>
      <c r="BV9" s="147" t="s">
        <v>304</v>
      </c>
      <c r="BW9" s="148"/>
      <c r="BX9" s="142"/>
      <c r="BY9" s="147" t="s">
        <v>305</v>
      </c>
      <c r="BZ9" s="148"/>
      <c r="CA9" s="142"/>
      <c r="CB9" s="147" t="s">
        <v>306</v>
      </c>
      <c r="CC9" s="148"/>
      <c r="CD9" s="142"/>
      <c r="CE9" s="147" t="s">
        <v>307</v>
      </c>
      <c r="CF9" s="148"/>
      <c r="CG9" s="142"/>
      <c r="CH9" s="147" t="s">
        <v>308</v>
      </c>
      <c r="CI9" s="148"/>
      <c r="CJ9" s="142"/>
      <c r="CK9" s="147" t="s">
        <v>309</v>
      </c>
      <c r="CL9" s="148"/>
      <c r="CM9" s="142"/>
      <c r="CN9" s="147" t="s">
        <v>310</v>
      </c>
      <c r="CO9" s="148"/>
      <c r="CP9" s="142"/>
      <c r="CQ9" s="147" t="s">
        <v>311</v>
      </c>
      <c r="CR9" s="148"/>
      <c r="CS9" s="142"/>
      <c r="CT9" s="147" t="s">
        <v>312</v>
      </c>
      <c r="CU9" s="148"/>
      <c r="CV9" s="142"/>
      <c r="CW9" s="147" t="s">
        <v>313</v>
      </c>
      <c r="CX9" s="148"/>
      <c r="CY9" s="142"/>
      <c r="CZ9" s="147" t="s">
        <v>314</v>
      </c>
      <c r="DA9" s="148"/>
      <c r="DB9" s="142"/>
      <c r="DC9" s="147" t="s">
        <v>315</v>
      </c>
      <c r="DD9" s="148"/>
      <c r="DE9" s="142"/>
      <c r="DF9" s="147" t="s">
        <v>316</v>
      </c>
      <c r="DG9" s="148"/>
      <c r="DH9" s="142"/>
      <c r="DI9" s="147" t="s">
        <v>317</v>
      </c>
      <c r="DJ9" s="148"/>
      <c r="DK9" s="142"/>
      <c r="DL9" s="147" t="s">
        <v>318</v>
      </c>
      <c r="DM9" s="148"/>
      <c r="DN9" s="142"/>
      <c r="DO9" s="147" t="s">
        <v>319</v>
      </c>
      <c r="DP9" s="148"/>
      <c r="DQ9" s="142"/>
      <c r="DR9" s="147" t="s">
        <v>320</v>
      </c>
      <c r="DS9" s="148"/>
      <c r="DT9" s="142"/>
      <c r="DU9" s="147" t="s">
        <v>321</v>
      </c>
      <c r="DV9" s="148"/>
      <c r="DW9" s="142"/>
      <c r="DX9" s="150" t="s">
        <v>322</v>
      </c>
      <c r="DY9" s="148"/>
      <c r="DZ9" s="142"/>
      <c r="EA9" s="143"/>
      <c r="EB9" s="134" t="s">
        <v>323</v>
      </c>
      <c r="EC9" s="134" t="s">
        <v>324</v>
      </c>
      <c r="ED9" s="145" t="s">
        <v>325</v>
      </c>
      <c r="EE9" s="145" t="s">
        <v>326</v>
      </c>
      <c r="EG9" s="146" t="s">
        <v>327</v>
      </c>
      <c r="EH9" s="145" t="s">
        <v>325</v>
      </c>
      <c r="EI9" s="145" t="s">
        <v>326</v>
      </c>
      <c r="EJ9" s="145"/>
      <c r="EK9" s="146" t="s">
        <v>279</v>
      </c>
      <c r="EL9" s="146" t="s">
        <v>279</v>
      </c>
      <c r="EM9" s="145" t="s">
        <v>325</v>
      </c>
      <c r="EN9" s="145" t="s">
        <v>326</v>
      </c>
    </row>
    <row r="10" spans="1:147" x14ac:dyDescent="0.25">
      <c r="A10" s="145" t="s">
        <v>328</v>
      </c>
      <c r="B10" s="151" t="s">
        <v>329</v>
      </c>
      <c r="C10" s="152" t="s">
        <v>330</v>
      </c>
      <c r="D10" s="153" t="s">
        <v>25</v>
      </c>
      <c r="E10" s="151" t="s">
        <v>329</v>
      </c>
      <c r="F10" s="152" t="s">
        <v>330</v>
      </c>
      <c r="G10" s="153" t="s">
        <v>25</v>
      </c>
      <c r="H10" s="151" t="s">
        <v>329</v>
      </c>
      <c r="I10" s="152" t="s">
        <v>330</v>
      </c>
      <c r="J10" s="153" t="s">
        <v>25</v>
      </c>
      <c r="K10" s="151" t="s">
        <v>329</v>
      </c>
      <c r="L10" s="152" t="s">
        <v>330</v>
      </c>
      <c r="M10" s="153" t="s">
        <v>25</v>
      </c>
      <c r="N10" s="151" t="s">
        <v>329</v>
      </c>
      <c r="O10" s="152" t="s">
        <v>330</v>
      </c>
      <c r="P10" s="153" t="s">
        <v>25</v>
      </c>
      <c r="Q10" s="151" t="s">
        <v>329</v>
      </c>
      <c r="R10" s="152" t="s">
        <v>330</v>
      </c>
      <c r="S10" s="153" t="s">
        <v>25</v>
      </c>
      <c r="T10" s="151" t="s">
        <v>329</v>
      </c>
      <c r="U10" s="152" t="s">
        <v>330</v>
      </c>
      <c r="V10" s="153" t="s">
        <v>25</v>
      </c>
      <c r="W10" s="151" t="s">
        <v>329</v>
      </c>
      <c r="X10" s="152" t="s">
        <v>330</v>
      </c>
      <c r="Y10" s="153" t="s">
        <v>25</v>
      </c>
      <c r="Z10" s="151" t="s">
        <v>329</v>
      </c>
      <c r="AA10" s="152" t="s">
        <v>330</v>
      </c>
      <c r="AB10" s="153" t="s">
        <v>25</v>
      </c>
      <c r="AC10" s="151" t="s">
        <v>329</v>
      </c>
      <c r="AD10" s="152" t="s">
        <v>330</v>
      </c>
      <c r="AE10" s="153" t="s">
        <v>25</v>
      </c>
      <c r="AF10" s="151" t="s">
        <v>329</v>
      </c>
      <c r="AG10" s="152" t="s">
        <v>330</v>
      </c>
      <c r="AH10" s="153" t="s">
        <v>25</v>
      </c>
      <c r="AI10" s="151" t="s">
        <v>329</v>
      </c>
      <c r="AJ10" s="152" t="s">
        <v>330</v>
      </c>
      <c r="AK10" s="153" t="s">
        <v>25</v>
      </c>
      <c r="AL10" s="151" t="s">
        <v>329</v>
      </c>
      <c r="AM10" s="152" t="s">
        <v>330</v>
      </c>
      <c r="AN10" s="153" t="s">
        <v>25</v>
      </c>
      <c r="AO10" s="151" t="s">
        <v>329</v>
      </c>
      <c r="AP10" s="152" t="s">
        <v>330</v>
      </c>
      <c r="AQ10" s="153" t="s">
        <v>25</v>
      </c>
      <c r="AR10" s="151" t="s">
        <v>329</v>
      </c>
      <c r="AS10" s="152" t="s">
        <v>330</v>
      </c>
      <c r="AT10" s="153" t="s">
        <v>25</v>
      </c>
      <c r="AU10" s="151" t="s">
        <v>329</v>
      </c>
      <c r="AV10" s="152" t="s">
        <v>330</v>
      </c>
      <c r="AW10" s="153" t="s">
        <v>25</v>
      </c>
      <c r="AX10" s="151" t="s">
        <v>329</v>
      </c>
      <c r="AY10" s="152" t="s">
        <v>330</v>
      </c>
      <c r="AZ10" s="153" t="s">
        <v>25</v>
      </c>
      <c r="BA10" s="151" t="s">
        <v>329</v>
      </c>
      <c r="BB10" s="152" t="s">
        <v>330</v>
      </c>
      <c r="BC10" s="153" t="s">
        <v>25</v>
      </c>
      <c r="BD10" s="151" t="s">
        <v>329</v>
      </c>
      <c r="BE10" s="152" t="s">
        <v>330</v>
      </c>
      <c r="BF10" s="153" t="s">
        <v>25</v>
      </c>
      <c r="BG10" s="151" t="s">
        <v>329</v>
      </c>
      <c r="BH10" s="152" t="s">
        <v>330</v>
      </c>
      <c r="BI10" s="153" t="s">
        <v>25</v>
      </c>
      <c r="BJ10" s="151" t="s">
        <v>329</v>
      </c>
      <c r="BK10" s="152" t="s">
        <v>330</v>
      </c>
      <c r="BL10" s="153" t="s">
        <v>25</v>
      </c>
      <c r="BM10" s="151" t="s">
        <v>329</v>
      </c>
      <c r="BN10" s="152" t="s">
        <v>330</v>
      </c>
      <c r="BO10" s="153" t="s">
        <v>25</v>
      </c>
      <c r="BP10" s="151" t="s">
        <v>329</v>
      </c>
      <c r="BQ10" s="152" t="s">
        <v>330</v>
      </c>
      <c r="BR10" s="153" t="s">
        <v>25</v>
      </c>
      <c r="BS10" s="151" t="s">
        <v>329</v>
      </c>
      <c r="BT10" s="152" t="s">
        <v>330</v>
      </c>
      <c r="BU10" s="153" t="s">
        <v>25</v>
      </c>
      <c r="BV10" s="151" t="s">
        <v>329</v>
      </c>
      <c r="BW10" s="152" t="s">
        <v>330</v>
      </c>
      <c r="BX10" s="153" t="s">
        <v>25</v>
      </c>
      <c r="BY10" s="151" t="s">
        <v>329</v>
      </c>
      <c r="BZ10" s="152" t="s">
        <v>330</v>
      </c>
      <c r="CA10" s="153" t="s">
        <v>25</v>
      </c>
      <c r="CB10" s="151" t="s">
        <v>329</v>
      </c>
      <c r="CC10" s="152" t="s">
        <v>330</v>
      </c>
      <c r="CD10" s="153" t="s">
        <v>25</v>
      </c>
      <c r="CE10" s="151" t="s">
        <v>329</v>
      </c>
      <c r="CF10" s="152" t="s">
        <v>330</v>
      </c>
      <c r="CG10" s="153" t="s">
        <v>25</v>
      </c>
      <c r="CH10" s="151" t="s">
        <v>329</v>
      </c>
      <c r="CI10" s="152" t="s">
        <v>330</v>
      </c>
      <c r="CJ10" s="153" t="s">
        <v>25</v>
      </c>
      <c r="CK10" s="151" t="s">
        <v>329</v>
      </c>
      <c r="CL10" s="152" t="s">
        <v>330</v>
      </c>
      <c r="CM10" s="153" t="s">
        <v>25</v>
      </c>
      <c r="CN10" s="151" t="s">
        <v>329</v>
      </c>
      <c r="CO10" s="152" t="s">
        <v>330</v>
      </c>
      <c r="CP10" s="153" t="s">
        <v>25</v>
      </c>
      <c r="CQ10" s="151" t="s">
        <v>329</v>
      </c>
      <c r="CR10" s="152" t="s">
        <v>330</v>
      </c>
      <c r="CS10" s="153" t="s">
        <v>25</v>
      </c>
      <c r="CT10" s="151" t="s">
        <v>329</v>
      </c>
      <c r="CU10" s="152" t="s">
        <v>330</v>
      </c>
      <c r="CV10" s="153" t="s">
        <v>25</v>
      </c>
      <c r="CW10" s="151" t="s">
        <v>329</v>
      </c>
      <c r="CX10" s="152" t="s">
        <v>330</v>
      </c>
      <c r="CY10" s="153" t="s">
        <v>25</v>
      </c>
      <c r="CZ10" s="151" t="s">
        <v>329</v>
      </c>
      <c r="DA10" s="152" t="s">
        <v>330</v>
      </c>
      <c r="DB10" s="153" t="s">
        <v>25</v>
      </c>
      <c r="DC10" s="151" t="s">
        <v>329</v>
      </c>
      <c r="DD10" s="152" t="s">
        <v>330</v>
      </c>
      <c r="DE10" s="153" t="s">
        <v>25</v>
      </c>
      <c r="DF10" s="151" t="s">
        <v>329</v>
      </c>
      <c r="DG10" s="152" t="s">
        <v>330</v>
      </c>
      <c r="DH10" s="153" t="s">
        <v>25</v>
      </c>
      <c r="DI10" s="151" t="s">
        <v>329</v>
      </c>
      <c r="DJ10" s="152" t="s">
        <v>330</v>
      </c>
      <c r="DK10" s="153" t="s">
        <v>25</v>
      </c>
      <c r="DL10" s="151" t="s">
        <v>329</v>
      </c>
      <c r="DM10" s="152" t="s">
        <v>330</v>
      </c>
      <c r="DN10" s="153" t="s">
        <v>25</v>
      </c>
      <c r="DO10" s="151" t="s">
        <v>329</v>
      </c>
      <c r="DP10" s="152" t="s">
        <v>330</v>
      </c>
      <c r="DQ10" s="153" t="s">
        <v>25</v>
      </c>
      <c r="DR10" s="151" t="s">
        <v>329</v>
      </c>
      <c r="DS10" s="152" t="s">
        <v>330</v>
      </c>
      <c r="DT10" s="153" t="s">
        <v>25</v>
      </c>
      <c r="DU10" s="151" t="s">
        <v>329</v>
      </c>
      <c r="DV10" s="152" t="s">
        <v>330</v>
      </c>
      <c r="DW10" s="153" t="s">
        <v>25</v>
      </c>
      <c r="DX10" s="151" t="s">
        <v>329</v>
      </c>
      <c r="DY10" s="152"/>
      <c r="DZ10" s="153"/>
      <c r="EA10" s="153"/>
      <c r="EB10" s="153" t="s">
        <v>331</v>
      </c>
      <c r="EC10" s="153" t="s">
        <v>331</v>
      </c>
      <c r="ED10" s="153" t="s">
        <v>25</v>
      </c>
      <c r="EE10" s="154" t="s">
        <v>330</v>
      </c>
      <c r="EG10" s="153" t="s">
        <v>331</v>
      </c>
      <c r="EH10" s="153" t="s">
        <v>25</v>
      </c>
      <c r="EI10" s="154" t="s">
        <v>330</v>
      </c>
      <c r="EJ10" s="154"/>
      <c r="EK10" s="153" t="s">
        <v>331</v>
      </c>
      <c r="EL10" s="153" t="s">
        <v>331</v>
      </c>
      <c r="EM10" s="153" t="s">
        <v>25</v>
      </c>
      <c r="EN10" s="154" t="s">
        <v>330</v>
      </c>
    </row>
    <row r="11" spans="1:147" x14ac:dyDescent="0.25">
      <c r="A11" s="66">
        <v>43647</v>
      </c>
      <c r="D11" s="122">
        <f>(B11*C11)/360</f>
        <v>0</v>
      </c>
      <c r="G11" s="122">
        <f>(E11*F11)/360</f>
        <v>0</v>
      </c>
      <c r="J11" s="122">
        <f>(H11*I11)/360</f>
        <v>0</v>
      </c>
      <c r="M11" s="122">
        <f>(K11*L11)/360</f>
        <v>0</v>
      </c>
      <c r="P11" s="122">
        <f>(N11*O11)/360</f>
        <v>0</v>
      </c>
      <c r="S11" s="122">
        <f>(Q11*R11)/360</f>
        <v>0</v>
      </c>
      <c r="V11" s="122">
        <f>(T11*U11)/360</f>
        <v>0</v>
      </c>
      <c r="Y11" s="122">
        <f>(W11*X11)/360</f>
        <v>0</v>
      </c>
      <c r="AB11" s="122">
        <f>(Z11*AA11)/360</f>
        <v>0</v>
      </c>
      <c r="AE11" s="122">
        <v>0</v>
      </c>
      <c r="AH11" s="122">
        <v>0</v>
      </c>
      <c r="AI11" s="155">
        <f>95250000+350000</f>
        <v>95600000</v>
      </c>
      <c r="AJ11" s="156">
        <v>2.5499999999999998E-2</v>
      </c>
      <c r="AK11" s="122">
        <f>(AI11*AJ11)/360</f>
        <v>6771.666666666667</v>
      </c>
      <c r="AL11" s="155">
        <f t="shared" ref="AL11:AL17" si="0">35000000</f>
        <v>35000000</v>
      </c>
      <c r="AM11" s="156">
        <v>2.7E-2</v>
      </c>
      <c r="AN11" s="122">
        <f>(AL11*AM11)/360</f>
        <v>2625</v>
      </c>
      <c r="AO11" s="155">
        <f>30000000</f>
        <v>30000000</v>
      </c>
      <c r="AP11" s="156">
        <v>2.7199999999999998E-2</v>
      </c>
      <c r="AQ11" s="122">
        <f>(AO11*AP11)/360</f>
        <v>2266.6666666666665</v>
      </c>
      <c r="AR11" s="155">
        <f t="shared" ref="AR11:AR17" si="1">50000000</f>
        <v>50000000</v>
      </c>
      <c r="AS11" s="156">
        <v>2.63E-2</v>
      </c>
      <c r="AT11" s="122">
        <f>(AR11*AS11)/360</f>
        <v>3652.7777777777778</v>
      </c>
      <c r="AW11" s="122">
        <f>(AU11*AV11)/360</f>
        <v>0</v>
      </c>
      <c r="AZ11" s="122">
        <f>(AX11*AY11)/360</f>
        <v>0</v>
      </c>
      <c r="BC11" s="122">
        <f>(BA11*BB11)/360</f>
        <v>0</v>
      </c>
      <c r="BF11" s="122">
        <f>(BD11*BE11)/360</f>
        <v>0</v>
      </c>
      <c r="BI11" s="122">
        <f>(BG11*BH11)/360</f>
        <v>0</v>
      </c>
      <c r="BL11" s="122">
        <f>(BJ11*BK11)/360</f>
        <v>0</v>
      </c>
      <c r="BO11" s="122">
        <f>(BM11*BN11)/360</f>
        <v>0</v>
      </c>
      <c r="BR11" s="122">
        <f>(BP11*BQ11)/360</f>
        <v>0</v>
      </c>
      <c r="BU11" s="122">
        <f>(BS11*BT11)/360</f>
        <v>0</v>
      </c>
      <c r="BX11" s="122">
        <f>(BV11*BW11)/360</f>
        <v>0</v>
      </c>
      <c r="CA11" s="122">
        <f>(BY11*BZ11)/360</f>
        <v>0</v>
      </c>
      <c r="CD11" s="122">
        <f>(CB11*CC11)/360</f>
        <v>0</v>
      </c>
      <c r="CG11" s="122">
        <f>(CE11*CF11)/360</f>
        <v>0</v>
      </c>
      <c r="CJ11" s="122">
        <f>(CH11*CI11)/360</f>
        <v>0</v>
      </c>
      <c r="CM11" s="122">
        <f>(CK11*CL11)/360</f>
        <v>0</v>
      </c>
      <c r="CP11" s="122">
        <f>(CN11*CO11)/360</f>
        <v>0</v>
      </c>
      <c r="CS11" s="122">
        <f>(CQ11*CR11)/360</f>
        <v>0</v>
      </c>
      <c r="CV11" s="122">
        <f>(CT11*CU11)/360</f>
        <v>0</v>
      </c>
      <c r="CY11" s="122">
        <f>(CW11*CX11)/360</f>
        <v>0</v>
      </c>
      <c r="DB11" s="122">
        <f>(CZ11*DA11)/360</f>
        <v>0</v>
      </c>
      <c r="DE11" s="122">
        <f>(DC11*DD11)/360</f>
        <v>0</v>
      </c>
      <c r="DH11" s="122">
        <f>(DF11*DG11)/360</f>
        <v>0</v>
      </c>
      <c r="DK11" s="122">
        <f>(DI11*DJ11)/360</f>
        <v>0</v>
      </c>
      <c r="DN11" s="122">
        <f>(DL11*DM11)/360</f>
        <v>0</v>
      </c>
      <c r="DQ11" s="122">
        <f>(DO11*DP11)/360</f>
        <v>0</v>
      </c>
      <c r="DT11" s="122">
        <f>(DR11*DS11)/360</f>
        <v>0</v>
      </c>
      <c r="DW11" s="122">
        <f>(DU11*DV11)/360</f>
        <v>0</v>
      </c>
      <c r="DZ11" s="122"/>
      <c r="EA11" s="122"/>
      <c r="EB11" s="157">
        <f>B11+E11+H11+K11+N11+Q11+T11+W11+Z11+AC11+AF11+AL11+AO11+AR11+AU11+AX11+BA11+BD11+BG11+DU11+AI11+DR11+DO11+DL11+DI11+DF11+DC11+CZ11+CW11+CT11+CQ11+CN11+CK11+CH11+CE11+CB11+BY11+BV11+BS11+BP11+BM11+BJ11</f>
        <v>210600000</v>
      </c>
      <c r="EC11" s="157">
        <f>EB11-EK11+EL11</f>
        <v>0</v>
      </c>
      <c r="ED11" s="122">
        <f>D11+G11+J11+M11+P11+S11+V11+Y11+AB11+AE11+AH11+AK11+AN11+AQ11+AT11+AW11+AZ11+BC11+BF11+BI11+DW11+DT11+DQ11+DN11+DK11+DH11+DE11+DB11+CY11+CV11+CS11+CP11+CM11+CJ11+CG11+CD11+CA11+BX11+BU11+BR11+BO11+BL11</f>
        <v>15316.111111111111</v>
      </c>
      <c r="EE11" s="123">
        <f>IF(EB11&lt;&gt;0,((ED11/EB11)*360),0)</f>
        <v>2.6181386514719848E-2</v>
      </c>
      <c r="EG11" s="157">
        <f>Q11+T11+W11+Z11+AC11+AF11</f>
        <v>0</v>
      </c>
      <c r="EH11" s="122">
        <f>S11+V11+Y11+AB11+AE11+AH11</f>
        <v>0</v>
      </c>
      <c r="EI11" s="123">
        <f>IF(EG11&lt;&gt;0,((EH11/EG11)*360),0)</f>
        <v>0</v>
      </c>
      <c r="EJ11" s="123"/>
      <c r="EK11" s="157">
        <f>DR11+DL11+DI11+DF11+DC11+CZ11+CW11+CT11+CQ11+CN11+CK11+CH11+CE11+CB11+BY11+BV11+BS11+BP11+BM11+BJ11+BG11+BD11+BA11+AX11+AU11+AR11+AO11+AL11+AI11+DO11</f>
        <v>210600000</v>
      </c>
      <c r="EL11" s="157">
        <f>DX11</f>
        <v>0</v>
      </c>
      <c r="EM11" s="157">
        <f>DT11+DQ11+DN11+DK11+DH11+DE11+DB11+CY11+CV11+CS11+CP11+CM11+CJ11+CG11+CD11+CA11+BX11+BU11+BR11+BO11+BL11+BI11+BF11+BC11+AZ11+AW11+AT11+AQ11+AN11+AK11</f>
        <v>15316.111111111113</v>
      </c>
      <c r="EN11" s="123">
        <f>IF(EK11&lt;&gt;0,((EM11/EK11)*360),0)</f>
        <v>2.6181386514719851E-2</v>
      </c>
      <c r="EP11" s="122"/>
    </row>
    <row r="12" spans="1:147" x14ac:dyDescent="0.25">
      <c r="A12" s="66">
        <f>1+A11</f>
        <v>43648</v>
      </c>
      <c r="D12" s="122">
        <f t="shared" ref="D12:D41" si="2">(B12*C12)/360</f>
        <v>0</v>
      </c>
      <c r="G12" s="122">
        <f t="shared" ref="G12:G41" si="3">(E12*F12)/360</f>
        <v>0</v>
      </c>
      <c r="J12" s="122">
        <f t="shared" ref="J12:J41" si="4">(H12*I12)/360</f>
        <v>0</v>
      </c>
      <c r="M12" s="122">
        <f t="shared" ref="M12:M41" si="5">(K12*L12)/360</f>
        <v>0</v>
      </c>
      <c r="P12" s="122">
        <f t="shared" ref="P12:P41" si="6">(N12*O12)/360</f>
        <v>0</v>
      </c>
      <c r="S12" s="122">
        <f t="shared" ref="S12:S41" si="7">(Q12*R12)/360</f>
        <v>0</v>
      </c>
      <c r="V12" s="122">
        <f t="shared" ref="V12:V41" si="8">(T12*U12)/360</f>
        <v>0</v>
      </c>
      <c r="Y12" s="122">
        <f t="shared" ref="Y12:Y41" si="9">(W12*X12)/360</f>
        <v>0</v>
      </c>
      <c r="AB12" s="122">
        <f t="shared" ref="AB12:AB41" si="10">(Z12*AA12)/360</f>
        <v>0</v>
      </c>
      <c r="AE12" s="122">
        <v>0</v>
      </c>
      <c r="AH12" s="122">
        <v>0</v>
      </c>
      <c r="AI12" s="155">
        <f>109000000</f>
        <v>109000000</v>
      </c>
      <c r="AJ12" s="156">
        <v>2.5499999999999998E-2</v>
      </c>
      <c r="AK12" s="122">
        <f t="shared" ref="AK12:AK41" si="11">(AI12*AJ12)/360</f>
        <v>7720.833333333333</v>
      </c>
      <c r="AL12" s="155">
        <f t="shared" si="0"/>
        <v>35000000</v>
      </c>
      <c r="AM12" s="156">
        <v>2.7E-2</v>
      </c>
      <c r="AN12" s="122">
        <f t="shared" ref="AN12:AN41" si="12">(AL12*AM12)/360</f>
        <v>2625</v>
      </c>
      <c r="AO12" s="155"/>
      <c r="AP12" s="156"/>
      <c r="AQ12" s="122">
        <f t="shared" ref="AQ12:AQ41" si="13">(AO12*AP12)/360</f>
        <v>0</v>
      </c>
      <c r="AR12" s="155">
        <f t="shared" si="1"/>
        <v>50000000</v>
      </c>
      <c r="AS12" s="156">
        <v>2.63E-2</v>
      </c>
      <c r="AT12" s="122">
        <f t="shared" ref="AT12:AT41" si="14">(AR12*AS12)/360</f>
        <v>3652.7777777777778</v>
      </c>
      <c r="AW12" s="122">
        <f t="shared" ref="AW12:AW41" si="15">(AU12*AV12)/360</f>
        <v>0</v>
      </c>
      <c r="AZ12" s="122">
        <f t="shared" ref="AZ12:AZ41" si="16">(AX12*AY12)/360</f>
        <v>0</v>
      </c>
      <c r="BC12" s="122">
        <f t="shared" ref="BC12:BC41" si="17">(BA12*BB12)/360</f>
        <v>0</v>
      </c>
      <c r="BF12" s="122">
        <f t="shared" ref="BF12:BF41" si="18">(BD12*BE12)/360</f>
        <v>0</v>
      </c>
      <c r="BI12" s="122">
        <f t="shared" ref="BI12:BI41" si="19">(BG12*BH12)/360</f>
        <v>0</v>
      </c>
      <c r="BL12" s="122">
        <f t="shared" ref="BL12:BL41" si="20">(BJ12*BK12)/360</f>
        <v>0</v>
      </c>
      <c r="BO12" s="122">
        <f t="shared" ref="BO12:BO41" si="21">(BM12*BN12)/360</f>
        <v>0</v>
      </c>
      <c r="BR12" s="122">
        <f t="shared" ref="BR12:BR41" si="22">(BP12*BQ12)/360</f>
        <v>0</v>
      </c>
      <c r="BU12" s="122">
        <f t="shared" ref="BU12:BU41" si="23">(BS12*BT12)/360</f>
        <v>0</v>
      </c>
      <c r="BX12" s="122">
        <f t="shared" ref="BX12:BX41" si="24">(BV12*BW12)/360</f>
        <v>0</v>
      </c>
      <c r="CA12" s="122">
        <f t="shared" ref="CA12:CA41" si="25">(BY12*BZ12)/360</f>
        <v>0</v>
      </c>
      <c r="CD12" s="122">
        <f t="shared" ref="CD12:CD41" si="26">(CB12*CC12)/360</f>
        <v>0</v>
      </c>
      <c r="CG12" s="122">
        <f t="shared" ref="CG12:CG41" si="27">(CE12*CF12)/360</f>
        <v>0</v>
      </c>
      <c r="CJ12" s="122">
        <f t="shared" ref="CJ12:CJ41" si="28">(CH12*CI12)/360</f>
        <v>0</v>
      </c>
      <c r="CM12" s="122">
        <f t="shared" ref="CM12:CM41" si="29">(CK12*CL12)/360</f>
        <v>0</v>
      </c>
      <c r="CP12" s="122">
        <f t="shared" ref="CP12:CP41" si="30">(CN12*CO12)/360</f>
        <v>0</v>
      </c>
      <c r="CS12" s="122">
        <f t="shared" ref="CS12:CS41" si="31">(CQ12*CR12)/360</f>
        <v>0</v>
      </c>
      <c r="CV12" s="122">
        <f t="shared" ref="CV12:CV41" si="32">(CT12*CU12)/360</f>
        <v>0</v>
      </c>
      <c r="CY12" s="122">
        <f t="shared" ref="CY12:CY41" si="33">(CW12*CX12)/360</f>
        <v>0</v>
      </c>
      <c r="DB12" s="122">
        <f t="shared" ref="DB12:DB41" si="34">(CZ12*DA12)/360</f>
        <v>0</v>
      </c>
      <c r="DE12" s="122">
        <f t="shared" ref="DE12:DE41" si="35">(DC12*DD12)/360</f>
        <v>0</v>
      </c>
      <c r="DH12" s="122">
        <f t="shared" ref="DH12:DH41" si="36">(DF12*DG12)/360</f>
        <v>0</v>
      </c>
      <c r="DK12" s="122">
        <f t="shared" ref="DK12:DK41" si="37">(DI12*DJ12)/360</f>
        <v>0</v>
      </c>
      <c r="DN12" s="122">
        <f t="shared" ref="DN12:DN41" si="38">(DL12*DM12)/360</f>
        <v>0</v>
      </c>
      <c r="DQ12" s="122">
        <f t="shared" ref="DQ12:DQ41" si="39">(DO12*DP12)/360</f>
        <v>0</v>
      </c>
      <c r="DT12" s="122">
        <f t="shared" ref="DT12:DT41" si="40">(DR12*DS12)/360</f>
        <v>0</v>
      </c>
      <c r="DW12" s="122">
        <f t="shared" ref="DW12:DW41" si="41">(DU12*DV12)/360</f>
        <v>0</v>
      </c>
      <c r="DZ12" s="122"/>
      <c r="EA12" s="122"/>
      <c r="EB12" s="157">
        <f t="shared" ref="EB12:EB41" si="42">B12+E12+H12+K12+N12+Q12+T12+W12+Z12+AC12+AF12+AL12+AO12+AR12+AU12+AX12+BA12+BD12+BG12+DU12+AI12+DR12+DO12+DL12+DI12+DF12+DC12+CZ12+CW12+CT12+CQ12+CN12+CK12+CH12+CE12+CB12+BY12+BV12+BS12+BP12+BM12+BJ12</f>
        <v>194000000</v>
      </c>
      <c r="EC12" s="157">
        <f t="shared" ref="EC12:EC41" si="43">EB12-EK12+EL12</f>
        <v>0</v>
      </c>
      <c r="ED12" s="122">
        <f t="shared" ref="ED12:ED41" si="44">D12+G12+J12+M12+P12+S12+V12+Y12+AB12+AE12+AH12+AK12+AN12+AQ12+AT12+AW12+AZ12+BC12+BF12+BI12+DW12+DT12+DQ12+DN12+DK12+DH12+DE12+DB12+CY12+CV12+CS12+CP12+CM12+CJ12+CG12+CD12+CA12+BX12+BU12+BR12+BO12+BL12</f>
        <v>13998.611111111109</v>
      </c>
      <c r="EE12" s="123">
        <f t="shared" ref="EE12:EE41" si="45">IF(EB12&lt;&gt;0,((ED12/EB12)*360),0)</f>
        <v>2.5976804123711339E-2</v>
      </c>
      <c r="EG12" s="157">
        <f t="shared" ref="EG12:EG41" si="46">Q12+T12+W12+Z12+AC12+AF12</f>
        <v>0</v>
      </c>
      <c r="EH12" s="122">
        <f t="shared" ref="EH12:EH41" si="47">S12+V12+Y12+AB12+AE12+AH12</f>
        <v>0</v>
      </c>
      <c r="EI12" s="123">
        <f t="shared" ref="EI12:EI41" si="48">IF(EG12&lt;&gt;0,((EH12/EG12)*360),0)</f>
        <v>0</v>
      </c>
      <c r="EJ12" s="123"/>
      <c r="EK12" s="157">
        <f t="shared" ref="EK12:EK41" si="49">DR12+DL12+DI12+DF12+DC12+CZ12+CW12+CT12+CQ12+CN12+CK12+CH12+CE12+CB12+BY12+BV12+BS12+BP12+BM12+BJ12+BG12+BD12+BA12+AX12+AU12+AR12+AO12+AL12+AI12+DO12</f>
        <v>194000000</v>
      </c>
      <c r="EL12" s="157">
        <f t="shared" ref="EL12:EL41" si="50">DX12</f>
        <v>0</v>
      </c>
      <c r="EM12" s="157">
        <f t="shared" ref="EM12:EM41" si="51">DT12+DQ12+DN12+DK12+DH12+DE12+DB12+CY12+CV12+CS12+CP12+CM12+CJ12+CG12+CD12+CA12+BX12+BU12+BR12+BO12+BL12+BI12+BF12+BC12+AZ12+AW12+AT12+AQ12+AN12+AK12</f>
        <v>13998.611111111109</v>
      </c>
      <c r="EN12" s="123">
        <f t="shared" ref="EN12:EN41" si="52">IF(EK12&lt;&gt;0,((EM12/EK12)*360),0)</f>
        <v>2.5976804123711339E-2</v>
      </c>
      <c r="EP12" s="122"/>
    </row>
    <row r="13" spans="1:147" x14ac:dyDescent="0.25">
      <c r="A13" s="66">
        <f t="shared" ref="A13:A41" si="53">1+A12</f>
        <v>43649</v>
      </c>
      <c r="D13" s="122">
        <f t="shared" si="2"/>
        <v>0</v>
      </c>
      <c r="G13" s="122">
        <f t="shared" si="3"/>
        <v>0</v>
      </c>
      <c r="J13" s="122">
        <f t="shared" si="4"/>
        <v>0</v>
      </c>
      <c r="M13" s="122">
        <f t="shared" si="5"/>
        <v>0</v>
      </c>
      <c r="P13" s="122">
        <f t="shared" si="6"/>
        <v>0</v>
      </c>
      <c r="S13" s="122">
        <f t="shared" si="7"/>
        <v>0</v>
      </c>
      <c r="V13" s="122">
        <f t="shared" si="8"/>
        <v>0</v>
      </c>
      <c r="Y13" s="122">
        <f t="shared" si="9"/>
        <v>0</v>
      </c>
      <c r="AB13" s="122">
        <f t="shared" si="10"/>
        <v>0</v>
      </c>
      <c r="AE13" s="122">
        <v>0</v>
      </c>
      <c r="AH13" s="122">
        <v>0</v>
      </c>
      <c r="AI13" s="155">
        <f>25000000</f>
        <v>25000000</v>
      </c>
      <c r="AJ13" s="156">
        <v>2.5399999999999999E-2</v>
      </c>
      <c r="AK13" s="122">
        <f t="shared" si="11"/>
        <v>1763.8888888888889</v>
      </c>
      <c r="AL13" s="155">
        <f t="shared" si="0"/>
        <v>35000000</v>
      </c>
      <c r="AM13" s="156">
        <v>2.7E-2</v>
      </c>
      <c r="AN13" s="122">
        <f t="shared" si="12"/>
        <v>2625</v>
      </c>
      <c r="AO13" s="155">
        <v>74275000</v>
      </c>
      <c r="AP13" s="156">
        <v>2.5399999999999999E-2</v>
      </c>
      <c r="AQ13" s="122">
        <f t="shared" si="13"/>
        <v>5240.5138888888887</v>
      </c>
      <c r="AR13" s="155">
        <f t="shared" si="1"/>
        <v>50000000</v>
      </c>
      <c r="AS13" s="156">
        <v>2.63E-2</v>
      </c>
      <c r="AT13" s="122">
        <f t="shared" si="14"/>
        <v>3652.7777777777778</v>
      </c>
      <c r="AW13" s="122">
        <f t="shared" si="15"/>
        <v>0</v>
      </c>
      <c r="AZ13" s="122">
        <f t="shared" si="16"/>
        <v>0</v>
      </c>
      <c r="BC13" s="122">
        <f t="shared" si="17"/>
        <v>0</v>
      </c>
      <c r="BF13" s="122">
        <f t="shared" si="18"/>
        <v>0</v>
      </c>
      <c r="BI13" s="122">
        <f t="shared" si="19"/>
        <v>0</v>
      </c>
      <c r="BL13" s="122">
        <f t="shared" si="20"/>
        <v>0</v>
      </c>
      <c r="BO13" s="122">
        <f t="shared" si="21"/>
        <v>0</v>
      </c>
      <c r="BR13" s="122">
        <f t="shared" si="22"/>
        <v>0</v>
      </c>
      <c r="BU13" s="122">
        <f t="shared" si="23"/>
        <v>0</v>
      </c>
      <c r="BX13" s="122">
        <f t="shared" si="24"/>
        <v>0</v>
      </c>
      <c r="CA13" s="122">
        <f t="shared" si="25"/>
        <v>0</v>
      </c>
      <c r="CD13" s="122">
        <f t="shared" si="26"/>
        <v>0</v>
      </c>
      <c r="CG13" s="122">
        <f t="shared" si="27"/>
        <v>0</v>
      </c>
      <c r="CJ13" s="122">
        <f t="shared" si="28"/>
        <v>0</v>
      </c>
      <c r="CM13" s="122">
        <f t="shared" si="29"/>
        <v>0</v>
      </c>
      <c r="CP13" s="122">
        <f t="shared" si="30"/>
        <v>0</v>
      </c>
      <c r="CS13" s="122">
        <f t="shared" si="31"/>
        <v>0</v>
      </c>
      <c r="CV13" s="122">
        <f t="shared" si="32"/>
        <v>0</v>
      </c>
      <c r="CY13" s="122">
        <f t="shared" si="33"/>
        <v>0</v>
      </c>
      <c r="DB13" s="122">
        <f t="shared" si="34"/>
        <v>0</v>
      </c>
      <c r="DE13" s="122">
        <f t="shared" si="35"/>
        <v>0</v>
      </c>
      <c r="DH13" s="122">
        <f t="shared" si="36"/>
        <v>0</v>
      </c>
      <c r="DK13" s="122">
        <f t="shared" si="37"/>
        <v>0</v>
      </c>
      <c r="DN13" s="122">
        <f t="shared" si="38"/>
        <v>0</v>
      </c>
      <c r="DQ13" s="122">
        <f t="shared" si="39"/>
        <v>0</v>
      </c>
      <c r="DT13" s="122">
        <f t="shared" si="40"/>
        <v>0</v>
      </c>
      <c r="DW13" s="122">
        <f t="shared" si="41"/>
        <v>0</v>
      </c>
      <c r="DZ13" s="122"/>
      <c r="EA13" s="122"/>
      <c r="EB13" s="157">
        <f t="shared" si="42"/>
        <v>184275000</v>
      </c>
      <c r="EC13" s="157">
        <f t="shared" si="43"/>
        <v>0</v>
      </c>
      <c r="ED13" s="122">
        <f t="shared" si="44"/>
        <v>13282.180555555555</v>
      </c>
      <c r="EE13" s="123">
        <f t="shared" si="45"/>
        <v>2.5948093881427211E-2</v>
      </c>
      <c r="EG13" s="157">
        <f t="shared" si="46"/>
        <v>0</v>
      </c>
      <c r="EH13" s="122">
        <f t="shared" si="47"/>
        <v>0</v>
      </c>
      <c r="EI13" s="123">
        <f t="shared" si="48"/>
        <v>0</v>
      </c>
      <c r="EJ13" s="123"/>
      <c r="EK13" s="157">
        <f t="shared" si="49"/>
        <v>184275000</v>
      </c>
      <c r="EL13" s="157">
        <f t="shared" si="50"/>
        <v>0</v>
      </c>
      <c r="EM13" s="157">
        <f t="shared" si="51"/>
        <v>13282.180555555555</v>
      </c>
      <c r="EN13" s="123">
        <f t="shared" si="52"/>
        <v>2.5948093881427211E-2</v>
      </c>
      <c r="EP13" s="122"/>
    </row>
    <row r="14" spans="1:147" x14ac:dyDescent="0.25">
      <c r="A14" s="66">
        <f t="shared" si="53"/>
        <v>43650</v>
      </c>
      <c r="D14" s="122">
        <f t="shared" si="2"/>
        <v>0</v>
      </c>
      <c r="G14" s="122">
        <f t="shared" si="3"/>
        <v>0</v>
      </c>
      <c r="J14" s="122">
        <f t="shared" si="4"/>
        <v>0</v>
      </c>
      <c r="M14" s="122">
        <f t="shared" si="5"/>
        <v>0</v>
      </c>
      <c r="P14" s="122">
        <f t="shared" si="6"/>
        <v>0</v>
      </c>
      <c r="S14" s="122">
        <f t="shared" si="7"/>
        <v>0</v>
      </c>
      <c r="V14" s="122">
        <f t="shared" si="8"/>
        <v>0</v>
      </c>
      <c r="Y14" s="122">
        <f t="shared" si="9"/>
        <v>0</v>
      </c>
      <c r="AB14" s="122">
        <f t="shared" si="10"/>
        <v>0</v>
      </c>
      <c r="AE14" s="122">
        <v>0</v>
      </c>
      <c r="AH14" s="122">
        <v>0</v>
      </c>
      <c r="AI14" s="155">
        <f>25000000</f>
        <v>25000000</v>
      </c>
      <c r="AJ14" s="156">
        <v>2.5399999999999999E-2</v>
      </c>
      <c r="AK14" s="122">
        <f t="shared" si="11"/>
        <v>1763.8888888888889</v>
      </c>
      <c r="AL14" s="155">
        <f t="shared" si="0"/>
        <v>35000000</v>
      </c>
      <c r="AM14" s="156">
        <v>2.7E-2</v>
      </c>
      <c r="AN14" s="122">
        <f t="shared" si="12"/>
        <v>2625</v>
      </c>
      <c r="AO14" s="155">
        <v>74275000</v>
      </c>
      <c r="AP14" s="156">
        <v>2.5399999999999999E-2</v>
      </c>
      <c r="AQ14" s="122">
        <f t="shared" si="13"/>
        <v>5240.5138888888887</v>
      </c>
      <c r="AR14" s="155">
        <f t="shared" si="1"/>
        <v>50000000</v>
      </c>
      <c r="AS14" s="156">
        <v>2.63E-2</v>
      </c>
      <c r="AT14" s="122">
        <f t="shared" si="14"/>
        <v>3652.7777777777778</v>
      </c>
      <c r="AW14" s="122">
        <f t="shared" si="15"/>
        <v>0</v>
      </c>
      <c r="AZ14" s="122">
        <f t="shared" si="16"/>
        <v>0</v>
      </c>
      <c r="BC14" s="122">
        <f t="shared" si="17"/>
        <v>0</v>
      </c>
      <c r="BF14" s="122">
        <f t="shared" si="18"/>
        <v>0</v>
      </c>
      <c r="BI14" s="122">
        <f t="shared" si="19"/>
        <v>0</v>
      </c>
      <c r="BL14" s="122">
        <f t="shared" si="20"/>
        <v>0</v>
      </c>
      <c r="BO14" s="122">
        <f t="shared" si="21"/>
        <v>0</v>
      </c>
      <c r="BR14" s="122">
        <f t="shared" si="22"/>
        <v>0</v>
      </c>
      <c r="BU14" s="122">
        <f t="shared" si="23"/>
        <v>0</v>
      </c>
      <c r="BX14" s="122">
        <f t="shared" si="24"/>
        <v>0</v>
      </c>
      <c r="CA14" s="122">
        <f t="shared" si="25"/>
        <v>0</v>
      </c>
      <c r="CD14" s="122">
        <f t="shared" si="26"/>
        <v>0</v>
      </c>
      <c r="CG14" s="122">
        <f t="shared" si="27"/>
        <v>0</v>
      </c>
      <c r="CJ14" s="122">
        <f t="shared" si="28"/>
        <v>0</v>
      </c>
      <c r="CM14" s="122">
        <f t="shared" si="29"/>
        <v>0</v>
      </c>
      <c r="CP14" s="122">
        <f t="shared" si="30"/>
        <v>0</v>
      </c>
      <c r="CS14" s="122">
        <f t="shared" si="31"/>
        <v>0</v>
      </c>
      <c r="CV14" s="122">
        <f t="shared" si="32"/>
        <v>0</v>
      </c>
      <c r="CY14" s="122">
        <f t="shared" si="33"/>
        <v>0</v>
      </c>
      <c r="DB14" s="122">
        <f t="shared" si="34"/>
        <v>0</v>
      </c>
      <c r="DE14" s="122">
        <f t="shared" si="35"/>
        <v>0</v>
      </c>
      <c r="DH14" s="122">
        <f t="shared" si="36"/>
        <v>0</v>
      </c>
      <c r="DK14" s="122">
        <f t="shared" si="37"/>
        <v>0</v>
      </c>
      <c r="DN14" s="122">
        <f t="shared" si="38"/>
        <v>0</v>
      </c>
      <c r="DQ14" s="122">
        <f t="shared" si="39"/>
        <v>0</v>
      </c>
      <c r="DT14" s="122">
        <f t="shared" si="40"/>
        <v>0</v>
      </c>
      <c r="DW14" s="122">
        <f t="shared" si="41"/>
        <v>0</v>
      </c>
      <c r="DZ14" s="122"/>
      <c r="EA14" s="122"/>
      <c r="EB14" s="157">
        <f t="shared" si="42"/>
        <v>184275000</v>
      </c>
      <c r="EC14" s="157">
        <f t="shared" si="43"/>
        <v>0</v>
      </c>
      <c r="ED14" s="122">
        <f t="shared" si="44"/>
        <v>13282.180555555555</v>
      </c>
      <c r="EE14" s="123">
        <f t="shared" si="45"/>
        <v>2.5948093881427211E-2</v>
      </c>
      <c r="EG14" s="157">
        <f t="shared" si="46"/>
        <v>0</v>
      </c>
      <c r="EH14" s="122">
        <f t="shared" si="47"/>
        <v>0</v>
      </c>
      <c r="EI14" s="123">
        <f t="shared" si="48"/>
        <v>0</v>
      </c>
      <c r="EJ14" s="123"/>
      <c r="EK14" s="157">
        <f t="shared" si="49"/>
        <v>184275000</v>
      </c>
      <c r="EL14" s="157">
        <f t="shared" si="50"/>
        <v>0</v>
      </c>
      <c r="EM14" s="157">
        <f t="shared" si="51"/>
        <v>13282.180555555555</v>
      </c>
      <c r="EN14" s="123">
        <f t="shared" si="52"/>
        <v>2.5948093881427211E-2</v>
      </c>
      <c r="EP14" s="122"/>
    </row>
    <row r="15" spans="1:147" x14ac:dyDescent="0.25">
      <c r="A15" s="66">
        <f t="shared" si="53"/>
        <v>43651</v>
      </c>
      <c r="D15" s="122">
        <f t="shared" si="2"/>
        <v>0</v>
      </c>
      <c r="G15" s="122">
        <f t="shared" si="3"/>
        <v>0</v>
      </c>
      <c r="J15" s="122">
        <f t="shared" si="4"/>
        <v>0</v>
      </c>
      <c r="M15" s="122">
        <f t="shared" si="5"/>
        <v>0</v>
      </c>
      <c r="P15" s="122">
        <f t="shared" si="6"/>
        <v>0</v>
      </c>
      <c r="S15" s="122">
        <f t="shared" si="7"/>
        <v>0</v>
      </c>
      <c r="V15" s="122">
        <f t="shared" si="8"/>
        <v>0</v>
      </c>
      <c r="Y15" s="122">
        <f t="shared" si="9"/>
        <v>0</v>
      </c>
      <c r="AB15" s="122">
        <f t="shared" si="10"/>
        <v>0</v>
      </c>
      <c r="AE15" s="122">
        <v>0</v>
      </c>
      <c r="AH15" s="122">
        <v>0</v>
      </c>
      <c r="AI15" s="155">
        <f>22675000+425000</f>
        <v>23100000</v>
      </c>
      <c r="AJ15" s="156">
        <v>2.5399999999999999E-2</v>
      </c>
      <c r="AK15" s="122">
        <f t="shared" si="11"/>
        <v>1629.8333333333333</v>
      </c>
      <c r="AL15" s="155">
        <f t="shared" si="0"/>
        <v>35000000</v>
      </c>
      <c r="AM15" s="156">
        <v>2.7E-2</v>
      </c>
      <c r="AN15" s="122">
        <f t="shared" si="12"/>
        <v>2625</v>
      </c>
      <c r="AO15" s="155">
        <v>74275000</v>
      </c>
      <c r="AP15" s="156">
        <v>2.5399999999999999E-2</v>
      </c>
      <c r="AQ15" s="122">
        <f t="shared" si="13"/>
        <v>5240.5138888888887</v>
      </c>
      <c r="AR15" s="155">
        <f t="shared" si="1"/>
        <v>50000000</v>
      </c>
      <c r="AS15" s="156">
        <v>2.63E-2</v>
      </c>
      <c r="AT15" s="122">
        <f t="shared" si="14"/>
        <v>3652.7777777777778</v>
      </c>
      <c r="AW15" s="122">
        <f t="shared" si="15"/>
        <v>0</v>
      </c>
      <c r="AZ15" s="122">
        <f t="shared" si="16"/>
        <v>0</v>
      </c>
      <c r="BC15" s="122">
        <f t="shared" si="17"/>
        <v>0</v>
      </c>
      <c r="BF15" s="122">
        <f t="shared" si="18"/>
        <v>0</v>
      </c>
      <c r="BI15" s="122">
        <f t="shared" si="19"/>
        <v>0</v>
      </c>
      <c r="BL15" s="122">
        <f t="shared" si="20"/>
        <v>0</v>
      </c>
      <c r="BO15" s="122">
        <f t="shared" si="21"/>
        <v>0</v>
      </c>
      <c r="BR15" s="122">
        <f t="shared" si="22"/>
        <v>0</v>
      </c>
      <c r="BU15" s="122">
        <f t="shared" si="23"/>
        <v>0</v>
      </c>
      <c r="BX15" s="122">
        <f t="shared" si="24"/>
        <v>0</v>
      </c>
      <c r="CA15" s="122">
        <f t="shared" si="25"/>
        <v>0</v>
      </c>
      <c r="CD15" s="122">
        <f t="shared" si="26"/>
        <v>0</v>
      </c>
      <c r="CG15" s="122">
        <f t="shared" si="27"/>
        <v>0</v>
      </c>
      <c r="CJ15" s="122">
        <f t="shared" si="28"/>
        <v>0</v>
      </c>
      <c r="CM15" s="122">
        <f t="shared" si="29"/>
        <v>0</v>
      </c>
      <c r="CP15" s="122">
        <f t="shared" si="30"/>
        <v>0</v>
      </c>
      <c r="CS15" s="122">
        <f t="shared" si="31"/>
        <v>0</v>
      </c>
      <c r="CV15" s="122">
        <f t="shared" si="32"/>
        <v>0</v>
      </c>
      <c r="CY15" s="122">
        <f t="shared" si="33"/>
        <v>0</v>
      </c>
      <c r="DB15" s="122">
        <f t="shared" si="34"/>
        <v>0</v>
      </c>
      <c r="DE15" s="122">
        <f t="shared" si="35"/>
        <v>0</v>
      </c>
      <c r="DH15" s="122">
        <f t="shared" si="36"/>
        <v>0</v>
      </c>
      <c r="DK15" s="122">
        <f t="shared" si="37"/>
        <v>0</v>
      </c>
      <c r="DN15" s="122">
        <f t="shared" si="38"/>
        <v>0</v>
      </c>
      <c r="DQ15" s="122">
        <f t="shared" si="39"/>
        <v>0</v>
      </c>
      <c r="DT15" s="122">
        <f t="shared" si="40"/>
        <v>0</v>
      </c>
      <c r="DW15" s="122">
        <f t="shared" si="41"/>
        <v>0</v>
      </c>
      <c r="DZ15" s="122"/>
      <c r="EA15" s="122"/>
      <c r="EB15" s="157">
        <f t="shared" si="42"/>
        <v>182375000</v>
      </c>
      <c r="EC15" s="157">
        <f t="shared" si="43"/>
        <v>0</v>
      </c>
      <c r="ED15" s="122">
        <f t="shared" si="44"/>
        <v>13148.125</v>
      </c>
      <c r="EE15" s="123">
        <f t="shared" si="45"/>
        <v>2.5953803975325568E-2</v>
      </c>
      <c r="EG15" s="157">
        <f t="shared" si="46"/>
        <v>0</v>
      </c>
      <c r="EH15" s="122">
        <f t="shared" si="47"/>
        <v>0</v>
      </c>
      <c r="EI15" s="123">
        <f t="shared" si="48"/>
        <v>0</v>
      </c>
      <c r="EJ15" s="123"/>
      <c r="EK15" s="157">
        <f t="shared" si="49"/>
        <v>182375000</v>
      </c>
      <c r="EL15" s="157">
        <f t="shared" si="50"/>
        <v>0</v>
      </c>
      <c r="EM15" s="157">
        <f t="shared" si="51"/>
        <v>13148.125</v>
      </c>
      <c r="EN15" s="123">
        <f t="shared" si="52"/>
        <v>2.5953803975325568E-2</v>
      </c>
      <c r="EP15" s="122"/>
    </row>
    <row r="16" spans="1:147" x14ac:dyDescent="0.25">
      <c r="A16" s="66">
        <f t="shared" si="53"/>
        <v>43652</v>
      </c>
      <c r="D16" s="122">
        <f t="shared" si="2"/>
        <v>0</v>
      </c>
      <c r="G16" s="122">
        <f t="shared" si="3"/>
        <v>0</v>
      </c>
      <c r="J16" s="122">
        <f t="shared" si="4"/>
        <v>0</v>
      </c>
      <c r="M16" s="122">
        <f t="shared" si="5"/>
        <v>0</v>
      </c>
      <c r="P16" s="122">
        <f t="shared" si="6"/>
        <v>0</v>
      </c>
      <c r="S16" s="122">
        <f t="shared" si="7"/>
        <v>0</v>
      </c>
      <c r="V16" s="122">
        <f t="shared" si="8"/>
        <v>0</v>
      </c>
      <c r="Y16" s="122">
        <f t="shared" si="9"/>
        <v>0</v>
      </c>
      <c r="AB16" s="122">
        <f t="shared" si="10"/>
        <v>0</v>
      </c>
      <c r="AE16" s="122">
        <v>0</v>
      </c>
      <c r="AH16" s="122">
        <v>0</v>
      </c>
      <c r="AI16" s="155">
        <f>22675000+425000</f>
        <v>23100000</v>
      </c>
      <c r="AJ16" s="156">
        <v>2.5399999999999999E-2</v>
      </c>
      <c r="AK16" s="122">
        <f t="shared" si="11"/>
        <v>1629.8333333333333</v>
      </c>
      <c r="AL16" s="155">
        <f t="shared" si="0"/>
        <v>35000000</v>
      </c>
      <c r="AM16" s="156">
        <v>2.7E-2</v>
      </c>
      <c r="AN16" s="122">
        <f t="shared" si="12"/>
        <v>2625</v>
      </c>
      <c r="AO16" s="155">
        <v>74275000</v>
      </c>
      <c r="AP16" s="156">
        <v>2.5399999999999999E-2</v>
      </c>
      <c r="AQ16" s="122">
        <f t="shared" si="13"/>
        <v>5240.5138888888887</v>
      </c>
      <c r="AR16" s="155">
        <f t="shared" si="1"/>
        <v>50000000</v>
      </c>
      <c r="AS16" s="156">
        <v>2.63E-2</v>
      </c>
      <c r="AT16" s="122">
        <f t="shared" si="14"/>
        <v>3652.7777777777778</v>
      </c>
      <c r="AW16" s="122">
        <f t="shared" si="15"/>
        <v>0</v>
      </c>
      <c r="AZ16" s="122">
        <f t="shared" si="16"/>
        <v>0</v>
      </c>
      <c r="BC16" s="122">
        <f t="shared" si="17"/>
        <v>0</v>
      </c>
      <c r="BF16" s="122">
        <f t="shared" si="18"/>
        <v>0</v>
      </c>
      <c r="BI16" s="122">
        <f t="shared" si="19"/>
        <v>0</v>
      </c>
      <c r="BL16" s="122">
        <f t="shared" si="20"/>
        <v>0</v>
      </c>
      <c r="BO16" s="122">
        <f t="shared" si="21"/>
        <v>0</v>
      </c>
      <c r="BR16" s="122">
        <f t="shared" si="22"/>
        <v>0</v>
      </c>
      <c r="BU16" s="122">
        <f t="shared" si="23"/>
        <v>0</v>
      </c>
      <c r="BX16" s="122">
        <f t="shared" si="24"/>
        <v>0</v>
      </c>
      <c r="CA16" s="122">
        <f t="shared" si="25"/>
        <v>0</v>
      </c>
      <c r="CD16" s="122">
        <f t="shared" si="26"/>
        <v>0</v>
      </c>
      <c r="CG16" s="122">
        <f t="shared" si="27"/>
        <v>0</v>
      </c>
      <c r="CJ16" s="122">
        <f t="shared" si="28"/>
        <v>0</v>
      </c>
      <c r="CM16" s="122">
        <f t="shared" si="29"/>
        <v>0</v>
      </c>
      <c r="CP16" s="122">
        <f t="shared" si="30"/>
        <v>0</v>
      </c>
      <c r="CS16" s="122">
        <f t="shared" si="31"/>
        <v>0</v>
      </c>
      <c r="CV16" s="122">
        <f t="shared" si="32"/>
        <v>0</v>
      </c>
      <c r="CY16" s="122">
        <f t="shared" si="33"/>
        <v>0</v>
      </c>
      <c r="DB16" s="122">
        <f t="shared" si="34"/>
        <v>0</v>
      </c>
      <c r="DE16" s="122">
        <f t="shared" si="35"/>
        <v>0</v>
      </c>
      <c r="DH16" s="122">
        <f t="shared" si="36"/>
        <v>0</v>
      </c>
      <c r="DK16" s="122">
        <f t="shared" si="37"/>
        <v>0</v>
      </c>
      <c r="DN16" s="122">
        <f t="shared" si="38"/>
        <v>0</v>
      </c>
      <c r="DQ16" s="122">
        <f t="shared" si="39"/>
        <v>0</v>
      </c>
      <c r="DT16" s="122">
        <f t="shared" si="40"/>
        <v>0</v>
      </c>
      <c r="DW16" s="122">
        <f t="shared" si="41"/>
        <v>0</v>
      </c>
      <c r="DZ16" s="122"/>
      <c r="EA16" s="122"/>
      <c r="EB16" s="157">
        <f t="shared" si="42"/>
        <v>182375000</v>
      </c>
      <c r="EC16" s="157">
        <f t="shared" si="43"/>
        <v>0</v>
      </c>
      <c r="ED16" s="122">
        <f t="shared" si="44"/>
        <v>13148.125</v>
      </c>
      <c r="EE16" s="123">
        <f t="shared" si="45"/>
        <v>2.5953803975325568E-2</v>
      </c>
      <c r="EG16" s="157">
        <f t="shared" si="46"/>
        <v>0</v>
      </c>
      <c r="EH16" s="122">
        <f t="shared" si="47"/>
        <v>0</v>
      </c>
      <c r="EI16" s="123">
        <f t="shared" si="48"/>
        <v>0</v>
      </c>
      <c r="EJ16" s="123"/>
      <c r="EK16" s="157">
        <f t="shared" si="49"/>
        <v>182375000</v>
      </c>
      <c r="EL16" s="157">
        <f t="shared" si="50"/>
        <v>0</v>
      </c>
      <c r="EM16" s="157">
        <f t="shared" si="51"/>
        <v>13148.125</v>
      </c>
      <c r="EN16" s="123">
        <f t="shared" si="52"/>
        <v>2.5953803975325568E-2</v>
      </c>
      <c r="EP16" s="122"/>
    </row>
    <row r="17" spans="1:146" x14ac:dyDescent="0.25">
      <c r="A17" s="66">
        <f t="shared" si="53"/>
        <v>43653</v>
      </c>
      <c r="D17" s="122">
        <f t="shared" si="2"/>
        <v>0</v>
      </c>
      <c r="G17" s="122">
        <f t="shared" si="3"/>
        <v>0</v>
      </c>
      <c r="J17" s="122">
        <f t="shared" si="4"/>
        <v>0</v>
      </c>
      <c r="M17" s="122">
        <f t="shared" si="5"/>
        <v>0</v>
      </c>
      <c r="P17" s="122">
        <f t="shared" si="6"/>
        <v>0</v>
      </c>
      <c r="S17" s="122">
        <f t="shared" si="7"/>
        <v>0</v>
      </c>
      <c r="V17" s="122">
        <f t="shared" si="8"/>
        <v>0</v>
      </c>
      <c r="Y17" s="122">
        <f t="shared" si="9"/>
        <v>0</v>
      </c>
      <c r="AB17" s="122">
        <f t="shared" si="10"/>
        <v>0</v>
      </c>
      <c r="AE17" s="122">
        <v>0</v>
      </c>
      <c r="AH17" s="122">
        <v>0</v>
      </c>
      <c r="AI17" s="155">
        <f>22675000+425000</f>
        <v>23100000</v>
      </c>
      <c r="AJ17" s="156">
        <v>2.5399999999999999E-2</v>
      </c>
      <c r="AK17" s="122">
        <f t="shared" si="11"/>
        <v>1629.8333333333333</v>
      </c>
      <c r="AL17" s="155">
        <f t="shared" si="0"/>
        <v>35000000</v>
      </c>
      <c r="AM17" s="156">
        <v>2.7E-2</v>
      </c>
      <c r="AN17" s="122">
        <f t="shared" si="12"/>
        <v>2625</v>
      </c>
      <c r="AO17" s="155">
        <v>74275000</v>
      </c>
      <c r="AP17" s="156">
        <v>2.5399999999999999E-2</v>
      </c>
      <c r="AQ17" s="122">
        <f t="shared" si="13"/>
        <v>5240.5138888888887</v>
      </c>
      <c r="AR17" s="155">
        <f t="shared" si="1"/>
        <v>50000000</v>
      </c>
      <c r="AS17" s="156">
        <v>2.63E-2</v>
      </c>
      <c r="AT17" s="122">
        <f t="shared" si="14"/>
        <v>3652.7777777777778</v>
      </c>
      <c r="AW17" s="122">
        <f t="shared" si="15"/>
        <v>0</v>
      </c>
      <c r="AZ17" s="122">
        <f t="shared" si="16"/>
        <v>0</v>
      </c>
      <c r="BC17" s="122">
        <f t="shared" si="17"/>
        <v>0</v>
      </c>
      <c r="BF17" s="122">
        <f t="shared" si="18"/>
        <v>0</v>
      </c>
      <c r="BI17" s="122">
        <f t="shared" si="19"/>
        <v>0</v>
      </c>
      <c r="BL17" s="122">
        <f t="shared" si="20"/>
        <v>0</v>
      </c>
      <c r="BO17" s="122">
        <f t="shared" si="21"/>
        <v>0</v>
      </c>
      <c r="BR17" s="122">
        <f t="shared" si="22"/>
        <v>0</v>
      </c>
      <c r="BU17" s="122">
        <f t="shared" si="23"/>
        <v>0</v>
      </c>
      <c r="BX17" s="122">
        <f t="shared" si="24"/>
        <v>0</v>
      </c>
      <c r="CA17" s="122">
        <f t="shared" si="25"/>
        <v>0</v>
      </c>
      <c r="CD17" s="122">
        <f t="shared" si="26"/>
        <v>0</v>
      </c>
      <c r="CG17" s="122">
        <f t="shared" si="27"/>
        <v>0</v>
      </c>
      <c r="CJ17" s="122">
        <f t="shared" si="28"/>
        <v>0</v>
      </c>
      <c r="CM17" s="122">
        <f t="shared" si="29"/>
        <v>0</v>
      </c>
      <c r="CP17" s="122">
        <f t="shared" si="30"/>
        <v>0</v>
      </c>
      <c r="CS17" s="122">
        <f t="shared" si="31"/>
        <v>0</v>
      </c>
      <c r="CV17" s="122">
        <f t="shared" si="32"/>
        <v>0</v>
      </c>
      <c r="CY17" s="122">
        <f t="shared" si="33"/>
        <v>0</v>
      </c>
      <c r="DB17" s="122">
        <f t="shared" si="34"/>
        <v>0</v>
      </c>
      <c r="DE17" s="122">
        <f t="shared" si="35"/>
        <v>0</v>
      </c>
      <c r="DH17" s="122">
        <f t="shared" si="36"/>
        <v>0</v>
      </c>
      <c r="DK17" s="122">
        <f t="shared" si="37"/>
        <v>0</v>
      </c>
      <c r="DN17" s="122">
        <f t="shared" si="38"/>
        <v>0</v>
      </c>
      <c r="DQ17" s="122">
        <f t="shared" si="39"/>
        <v>0</v>
      </c>
      <c r="DT17" s="122">
        <f t="shared" si="40"/>
        <v>0</v>
      </c>
      <c r="DW17" s="122">
        <f t="shared" si="41"/>
        <v>0</v>
      </c>
      <c r="DZ17" s="122"/>
      <c r="EA17" s="122"/>
      <c r="EB17" s="157">
        <f t="shared" si="42"/>
        <v>182375000</v>
      </c>
      <c r="EC17" s="157">
        <f t="shared" si="43"/>
        <v>0</v>
      </c>
      <c r="ED17" s="122">
        <f t="shared" si="44"/>
        <v>13148.125</v>
      </c>
      <c r="EE17" s="123">
        <f t="shared" si="45"/>
        <v>2.5953803975325568E-2</v>
      </c>
      <c r="EG17" s="157">
        <f t="shared" si="46"/>
        <v>0</v>
      </c>
      <c r="EH17" s="122">
        <f t="shared" si="47"/>
        <v>0</v>
      </c>
      <c r="EI17" s="123">
        <f t="shared" si="48"/>
        <v>0</v>
      </c>
      <c r="EJ17" s="123"/>
      <c r="EK17" s="157">
        <f t="shared" si="49"/>
        <v>182375000</v>
      </c>
      <c r="EL17" s="157">
        <f t="shared" si="50"/>
        <v>0</v>
      </c>
      <c r="EM17" s="157">
        <f t="shared" si="51"/>
        <v>13148.125</v>
      </c>
      <c r="EN17" s="123">
        <f t="shared" si="52"/>
        <v>2.5953803975325568E-2</v>
      </c>
      <c r="EP17" s="122"/>
    </row>
    <row r="18" spans="1:146" x14ac:dyDescent="0.25">
      <c r="A18" s="66">
        <f t="shared" si="53"/>
        <v>43654</v>
      </c>
      <c r="D18" s="122">
        <f t="shared" si="2"/>
        <v>0</v>
      </c>
      <c r="G18" s="122">
        <f t="shared" si="3"/>
        <v>0</v>
      </c>
      <c r="J18" s="122">
        <f t="shared" si="4"/>
        <v>0</v>
      </c>
      <c r="M18" s="122">
        <f t="shared" si="5"/>
        <v>0</v>
      </c>
      <c r="P18" s="122">
        <f t="shared" si="6"/>
        <v>0</v>
      </c>
      <c r="S18" s="122">
        <f t="shared" si="7"/>
        <v>0</v>
      </c>
      <c r="V18" s="122">
        <f t="shared" si="8"/>
        <v>0</v>
      </c>
      <c r="Y18" s="122">
        <f t="shared" si="9"/>
        <v>0</v>
      </c>
      <c r="AB18" s="122">
        <f t="shared" si="10"/>
        <v>0</v>
      </c>
      <c r="AE18" s="122">
        <v>0</v>
      </c>
      <c r="AH18" s="122">
        <v>0</v>
      </c>
      <c r="AI18" s="155">
        <f>97150000</f>
        <v>97150000</v>
      </c>
      <c r="AJ18" s="156">
        <v>2.5399999999999999E-2</v>
      </c>
      <c r="AK18" s="122">
        <f t="shared" si="11"/>
        <v>6854.4722222222226</v>
      </c>
      <c r="AL18" s="155"/>
      <c r="AM18" s="156"/>
      <c r="AN18" s="122">
        <f t="shared" si="12"/>
        <v>0</v>
      </c>
      <c r="AO18" s="155"/>
      <c r="AP18" s="156"/>
      <c r="AQ18" s="122">
        <f t="shared" si="13"/>
        <v>0</v>
      </c>
      <c r="AR18" s="155">
        <f t="shared" ref="AR18:AR41" si="54">50000000+30000000</f>
        <v>80000000</v>
      </c>
      <c r="AS18" s="156">
        <v>2.63E-2</v>
      </c>
      <c r="AT18" s="122">
        <f t="shared" si="14"/>
        <v>5844.4444444444443</v>
      </c>
      <c r="AW18" s="122">
        <f t="shared" si="15"/>
        <v>0</v>
      </c>
      <c r="AZ18" s="122">
        <f t="shared" si="16"/>
        <v>0</v>
      </c>
      <c r="BC18" s="122">
        <f t="shared" si="17"/>
        <v>0</v>
      </c>
      <c r="BF18" s="122">
        <f t="shared" si="18"/>
        <v>0</v>
      </c>
      <c r="BI18" s="122">
        <f t="shared" si="19"/>
        <v>0</v>
      </c>
      <c r="BL18" s="122">
        <f t="shared" si="20"/>
        <v>0</v>
      </c>
      <c r="BO18" s="122">
        <f t="shared" si="21"/>
        <v>0</v>
      </c>
      <c r="BR18" s="122">
        <f t="shared" si="22"/>
        <v>0</v>
      </c>
      <c r="BU18" s="122">
        <f t="shared" si="23"/>
        <v>0</v>
      </c>
      <c r="BX18" s="122">
        <f t="shared" si="24"/>
        <v>0</v>
      </c>
      <c r="CA18" s="122">
        <f t="shared" si="25"/>
        <v>0</v>
      </c>
      <c r="CD18" s="122">
        <f t="shared" si="26"/>
        <v>0</v>
      </c>
      <c r="CG18" s="122">
        <f t="shared" si="27"/>
        <v>0</v>
      </c>
      <c r="CJ18" s="122">
        <f t="shared" si="28"/>
        <v>0</v>
      </c>
      <c r="CM18" s="122">
        <f t="shared" si="29"/>
        <v>0</v>
      </c>
      <c r="CP18" s="122">
        <f t="shared" si="30"/>
        <v>0</v>
      </c>
      <c r="CS18" s="122">
        <f t="shared" si="31"/>
        <v>0</v>
      </c>
      <c r="CV18" s="122">
        <f t="shared" si="32"/>
        <v>0</v>
      </c>
      <c r="CY18" s="122">
        <f t="shared" si="33"/>
        <v>0</v>
      </c>
      <c r="DB18" s="122">
        <f t="shared" si="34"/>
        <v>0</v>
      </c>
      <c r="DE18" s="122">
        <f t="shared" si="35"/>
        <v>0</v>
      </c>
      <c r="DH18" s="122">
        <f t="shared" si="36"/>
        <v>0</v>
      </c>
      <c r="DK18" s="122">
        <f t="shared" si="37"/>
        <v>0</v>
      </c>
      <c r="DN18" s="122">
        <f t="shared" si="38"/>
        <v>0</v>
      </c>
      <c r="DQ18" s="122">
        <f t="shared" si="39"/>
        <v>0</v>
      </c>
      <c r="DT18" s="122">
        <f t="shared" si="40"/>
        <v>0</v>
      </c>
      <c r="DW18" s="122">
        <f t="shared" si="41"/>
        <v>0</v>
      </c>
      <c r="DZ18" s="122"/>
      <c r="EA18" s="122"/>
      <c r="EB18" s="157">
        <f t="shared" si="42"/>
        <v>177150000</v>
      </c>
      <c r="EC18" s="157">
        <f t="shared" si="43"/>
        <v>0</v>
      </c>
      <c r="ED18" s="122">
        <f t="shared" si="44"/>
        <v>12698.916666666668</v>
      </c>
      <c r="EE18" s="123">
        <f t="shared" si="45"/>
        <v>2.5806435224386116E-2</v>
      </c>
      <c r="EG18" s="157">
        <f t="shared" si="46"/>
        <v>0</v>
      </c>
      <c r="EH18" s="122">
        <f t="shared" si="47"/>
        <v>0</v>
      </c>
      <c r="EI18" s="123">
        <f t="shared" si="48"/>
        <v>0</v>
      </c>
      <c r="EJ18" s="123"/>
      <c r="EK18" s="157">
        <f t="shared" si="49"/>
        <v>177150000</v>
      </c>
      <c r="EL18" s="157">
        <f t="shared" si="50"/>
        <v>0</v>
      </c>
      <c r="EM18" s="157">
        <f t="shared" si="51"/>
        <v>12698.916666666668</v>
      </c>
      <c r="EN18" s="123">
        <f t="shared" si="52"/>
        <v>2.5806435224386116E-2</v>
      </c>
      <c r="EP18" s="122"/>
    </row>
    <row r="19" spans="1:146" x14ac:dyDescent="0.25">
      <c r="A19" s="66">
        <f t="shared" si="53"/>
        <v>43655</v>
      </c>
      <c r="D19" s="122">
        <f t="shared" si="2"/>
        <v>0</v>
      </c>
      <c r="G19" s="122">
        <f t="shared" si="3"/>
        <v>0</v>
      </c>
      <c r="J19" s="122">
        <f t="shared" si="4"/>
        <v>0</v>
      </c>
      <c r="M19" s="122">
        <f t="shared" si="5"/>
        <v>0</v>
      </c>
      <c r="P19" s="122">
        <f t="shared" si="6"/>
        <v>0</v>
      </c>
      <c r="S19" s="122">
        <f t="shared" si="7"/>
        <v>0</v>
      </c>
      <c r="V19" s="122">
        <f t="shared" si="8"/>
        <v>0</v>
      </c>
      <c r="Y19" s="122">
        <f t="shared" si="9"/>
        <v>0</v>
      </c>
      <c r="AB19" s="122">
        <f t="shared" si="10"/>
        <v>0</v>
      </c>
      <c r="AE19" s="122">
        <v>0</v>
      </c>
      <c r="AH19" s="122">
        <v>0</v>
      </c>
      <c r="AI19" s="155">
        <f>81575000</f>
        <v>81575000</v>
      </c>
      <c r="AJ19" s="156">
        <v>2.5399999999999999E-2</v>
      </c>
      <c r="AK19" s="122">
        <f t="shared" si="11"/>
        <v>5755.5694444444443</v>
      </c>
      <c r="AL19" s="155"/>
      <c r="AM19" s="156"/>
      <c r="AN19" s="122">
        <f t="shared" si="12"/>
        <v>0</v>
      </c>
      <c r="AO19" s="155"/>
      <c r="AP19" s="156"/>
      <c r="AQ19" s="122">
        <f t="shared" si="13"/>
        <v>0</v>
      </c>
      <c r="AR19" s="155">
        <f t="shared" si="54"/>
        <v>80000000</v>
      </c>
      <c r="AS19" s="156">
        <v>2.63E-2</v>
      </c>
      <c r="AT19" s="122">
        <f t="shared" si="14"/>
        <v>5844.4444444444443</v>
      </c>
      <c r="AW19" s="122">
        <f t="shared" si="15"/>
        <v>0</v>
      </c>
      <c r="AZ19" s="122">
        <f t="shared" si="16"/>
        <v>0</v>
      </c>
      <c r="BC19" s="122">
        <f t="shared" si="17"/>
        <v>0</v>
      </c>
      <c r="BF19" s="122">
        <f t="shared" si="18"/>
        <v>0</v>
      </c>
      <c r="BI19" s="122">
        <f t="shared" si="19"/>
        <v>0</v>
      </c>
      <c r="BL19" s="122">
        <f t="shared" si="20"/>
        <v>0</v>
      </c>
      <c r="BO19" s="122">
        <f t="shared" si="21"/>
        <v>0</v>
      </c>
      <c r="BR19" s="122">
        <f t="shared" si="22"/>
        <v>0</v>
      </c>
      <c r="BU19" s="122">
        <f t="shared" si="23"/>
        <v>0</v>
      </c>
      <c r="BX19" s="122">
        <f t="shared" si="24"/>
        <v>0</v>
      </c>
      <c r="CA19" s="122">
        <f t="shared" si="25"/>
        <v>0</v>
      </c>
      <c r="CD19" s="122">
        <f t="shared" si="26"/>
        <v>0</v>
      </c>
      <c r="CG19" s="122">
        <f t="shared" si="27"/>
        <v>0</v>
      </c>
      <c r="CJ19" s="122">
        <f t="shared" si="28"/>
        <v>0</v>
      </c>
      <c r="CM19" s="122">
        <f t="shared" si="29"/>
        <v>0</v>
      </c>
      <c r="CP19" s="122">
        <f t="shared" si="30"/>
        <v>0</v>
      </c>
      <c r="CS19" s="122">
        <f t="shared" si="31"/>
        <v>0</v>
      </c>
      <c r="CV19" s="122">
        <f t="shared" si="32"/>
        <v>0</v>
      </c>
      <c r="CY19" s="122">
        <f t="shared" si="33"/>
        <v>0</v>
      </c>
      <c r="DB19" s="122">
        <f t="shared" si="34"/>
        <v>0</v>
      </c>
      <c r="DE19" s="122">
        <f t="shared" si="35"/>
        <v>0</v>
      </c>
      <c r="DH19" s="122">
        <f t="shared" si="36"/>
        <v>0</v>
      </c>
      <c r="DK19" s="122">
        <f t="shared" si="37"/>
        <v>0</v>
      </c>
      <c r="DN19" s="122">
        <f t="shared" si="38"/>
        <v>0</v>
      </c>
      <c r="DQ19" s="122">
        <f t="shared" si="39"/>
        <v>0</v>
      </c>
      <c r="DT19" s="122">
        <f t="shared" si="40"/>
        <v>0</v>
      </c>
      <c r="DW19" s="122">
        <f t="shared" si="41"/>
        <v>0</v>
      </c>
      <c r="DZ19" s="122"/>
      <c r="EA19" s="122"/>
      <c r="EB19" s="157">
        <f t="shared" si="42"/>
        <v>161575000</v>
      </c>
      <c r="EC19" s="157">
        <f t="shared" si="43"/>
        <v>0</v>
      </c>
      <c r="ED19" s="122">
        <f t="shared" si="44"/>
        <v>11600.013888888889</v>
      </c>
      <c r="EE19" s="123">
        <f t="shared" si="45"/>
        <v>2.5845613492186292E-2</v>
      </c>
      <c r="EG19" s="157">
        <f t="shared" si="46"/>
        <v>0</v>
      </c>
      <c r="EH19" s="122">
        <f t="shared" si="47"/>
        <v>0</v>
      </c>
      <c r="EI19" s="123">
        <f t="shared" si="48"/>
        <v>0</v>
      </c>
      <c r="EJ19" s="123"/>
      <c r="EK19" s="157">
        <f t="shared" si="49"/>
        <v>161575000</v>
      </c>
      <c r="EL19" s="157">
        <f t="shared" si="50"/>
        <v>0</v>
      </c>
      <c r="EM19" s="157">
        <f t="shared" si="51"/>
        <v>11600.013888888889</v>
      </c>
      <c r="EN19" s="123">
        <f t="shared" si="52"/>
        <v>2.5845613492186292E-2</v>
      </c>
      <c r="EP19" s="122"/>
    </row>
    <row r="20" spans="1:146" x14ac:dyDescent="0.25">
      <c r="A20" s="66">
        <f t="shared" si="53"/>
        <v>43656</v>
      </c>
      <c r="D20" s="122">
        <f t="shared" si="2"/>
        <v>0</v>
      </c>
      <c r="G20" s="122">
        <f t="shared" si="3"/>
        <v>0</v>
      </c>
      <c r="J20" s="122">
        <f t="shared" si="4"/>
        <v>0</v>
      </c>
      <c r="M20" s="122">
        <f t="shared" si="5"/>
        <v>0</v>
      </c>
      <c r="P20" s="122">
        <f t="shared" si="6"/>
        <v>0</v>
      </c>
      <c r="S20" s="122">
        <f t="shared" si="7"/>
        <v>0</v>
      </c>
      <c r="V20" s="122">
        <f t="shared" si="8"/>
        <v>0</v>
      </c>
      <c r="Y20" s="122">
        <f t="shared" si="9"/>
        <v>0</v>
      </c>
      <c r="AB20" s="122">
        <f t="shared" si="10"/>
        <v>0</v>
      </c>
      <c r="AE20" s="122">
        <v>0</v>
      </c>
      <c r="AH20" s="122">
        <v>0</v>
      </c>
      <c r="AI20" s="155">
        <f>74225000</f>
        <v>74225000</v>
      </c>
      <c r="AJ20" s="156">
        <v>2.5399999999999999E-2</v>
      </c>
      <c r="AK20" s="122">
        <f t="shared" si="11"/>
        <v>5236.9861111111113</v>
      </c>
      <c r="AL20" s="155"/>
      <c r="AM20" s="156"/>
      <c r="AN20" s="122">
        <f t="shared" si="12"/>
        <v>0</v>
      </c>
      <c r="AO20" s="155"/>
      <c r="AP20" s="156"/>
      <c r="AQ20" s="122">
        <f t="shared" si="13"/>
        <v>0</v>
      </c>
      <c r="AR20" s="155">
        <f t="shared" si="54"/>
        <v>80000000</v>
      </c>
      <c r="AS20" s="156">
        <v>2.63E-2</v>
      </c>
      <c r="AT20" s="122">
        <f t="shared" si="14"/>
        <v>5844.4444444444443</v>
      </c>
      <c r="AW20" s="122">
        <f t="shared" si="15"/>
        <v>0</v>
      </c>
      <c r="AZ20" s="122">
        <f t="shared" si="16"/>
        <v>0</v>
      </c>
      <c r="BC20" s="122">
        <f t="shared" si="17"/>
        <v>0</v>
      </c>
      <c r="BF20" s="122">
        <f t="shared" si="18"/>
        <v>0</v>
      </c>
      <c r="BI20" s="122">
        <f t="shared" si="19"/>
        <v>0</v>
      </c>
      <c r="BL20" s="122">
        <f t="shared" si="20"/>
        <v>0</v>
      </c>
      <c r="BO20" s="122">
        <f t="shared" si="21"/>
        <v>0</v>
      </c>
      <c r="BR20" s="122">
        <f t="shared" si="22"/>
        <v>0</v>
      </c>
      <c r="BU20" s="122">
        <f t="shared" si="23"/>
        <v>0</v>
      </c>
      <c r="BX20" s="122">
        <f t="shared" si="24"/>
        <v>0</v>
      </c>
      <c r="CA20" s="122">
        <f t="shared" si="25"/>
        <v>0</v>
      </c>
      <c r="CD20" s="122">
        <f t="shared" si="26"/>
        <v>0</v>
      </c>
      <c r="CG20" s="122">
        <f t="shared" si="27"/>
        <v>0</v>
      </c>
      <c r="CJ20" s="122">
        <f t="shared" si="28"/>
        <v>0</v>
      </c>
      <c r="CM20" s="122">
        <f t="shared" si="29"/>
        <v>0</v>
      </c>
      <c r="CP20" s="122">
        <f t="shared" si="30"/>
        <v>0</v>
      </c>
      <c r="CS20" s="122">
        <f t="shared" si="31"/>
        <v>0</v>
      </c>
      <c r="CV20" s="122">
        <f t="shared" si="32"/>
        <v>0</v>
      </c>
      <c r="CY20" s="122">
        <f t="shared" si="33"/>
        <v>0</v>
      </c>
      <c r="DB20" s="122">
        <f t="shared" si="34"/>
        <v>0</v>
      </c>
      <c r="DE20" s="122">
        <f t="shared" si="35"/>
        <v>0</v>
      </c>
      <c r="DH20" s="122">
        <f t="shared" si="36"/>
        <v>0</v>
      </c>
      <c r="DK20" s="122">
        <f t="shared" si="37"/>
        <v>0</v>
      </c>
      <c r="DN20" s="122">
        <f t="shared" si="38"/>
        <v>0</v>
      </c>
      <c r="DQ20" s="122">
        <f t="shared" si="39"/>
        <v>0</v>
      </c>
      <c r="DT20" s="122">
        <f t="shared" si="40"/>
        <v>0</v>
      </c>
      <c r="DW20" s="122">
        <f t="shared" si="41"/>
        <v>0</v>
      </c>
      <c r="DZ20" s="122"/>
      <c r="EA20" s="122"/>
      <c r="EB20" s="157">
        <f t="shared" si="42"/>
        <v>154225000</v>
      </c>
      <c r="EC20" s="157">
        <f t="shared" si="43"/>
        <v>0</v>
      </c>
      <c r="ED20" s="122">
        <f t="shared" si="44"/>
        <v>11081.430555555555</v>
      </c>
      <c r="EE20" s="123">
        <f t="shared" si="45"/>
        <v>2.5866850380936942E-2</v>
      </c>
      <c r="EG20" s="157">
        <f t="shared" si="46"/>
        <v>0</v>
      </c>
      <c r="EH20" s="122">
        <f t="shared" si="47"/>
        <v>0</v>
      </c>
      <c r="EI20" s="123">
        <f t="shared" si="48"/>
        <v>0</v>
      </c>
      <c r="EJ20" s="123"/>
      <c r="EK20" s="157">
        <f t="shared" si="49"/>
        <v>154225000</v>
      </c>
      <c r="EL20" s="157">
        <f t="shared" si="50"/>
        <v>0</v>
      </c>
      <c r="EM20" s="157">
        <f t="shared" si="51"/>
        <v>11081.430555555555</v>
      </c>
      <c r="EN20" s="123">
        <f t="shared" si="52"/>
        <v>2.5866850380936942E-2</v>
      </c>
      <c r="EP20" s="122"/>
    </row>
    <row r="21" spans="1:146" x14ac:dyDescent="0.25">
      <c r="A21" s="66">
        <f t="shared" si="53"/>
        <v>43657</v>
      </c>
      <c r="D21" s="122">
        <f t="shared" si="2"/>
        <v>0</v>
      </c>
      <c r="G21" s="122">
        <f t="shared" si="3"/>
        <v>0</v>
      </c>
      <c r="J21" s="122">
        <f t="shared" si="4"/>
        <v>0</v>
      </c>
      <c r="M21" s="122">
        <f t="shared" si="5"/>
        <v>0</v>
      </c>
      <c r="P21" s="122">
        <f t="shared" si="6"/>
        <v>0</v>
      </c>
      <c r="S21" s="122">
        <f t="shared" si="7"/>
        <v>0</v>
      </c>
      <c r="V21" s="122">
        <f t="shared" si="8"/>
        <v>0</v>
      </c>
      <c r="Y21" s="122">
        <f t="shared" si="9"/>
        <v>0</v>
      </c>
      <c r="AB21" s="122">
        <f t="shared" si="10"/>
        <v>0</v>
      </c>
      <c r="AE21" s="122">
        <v>0</v>
      </c>
      <c r="AH21" s="122">
        <v>0</v>
      </c>
      <c r="AI21" s="155">
        <f>65975000</f>
        <v>65975000</v>
      </c>
      <c r="AJ21" s="156">
        <v>2.5399999999999999E-2</v>
      </c>
      <c r="AK21" s="122">
        <f t="shared" si="11"/>
        <v>4654.9027777777774</v>
      </c>
      <c r="AL21" s="155"/>
      <c r="AM21" s="156"/>
      <c r="AN21" s="122">
        <f t="shared" si="12"/>
        <v>0</v>
      </c>
      <c r="AO21" s="155"/>
      <c r="AP21" s="156"/>
      <c r="AQ21" s="122">
        <f t="shared" si="13"/>
        <v>0</v>
      </c>
      <c r="AR21" s="155">
        <f t="shared" si="54"/>
        <v>80000000</v>
      </c>
      <c r="AS21" s="156">
        <v>2.63E-2</v>
      </c>
      <c r="AT21" s="122">
        <f t="shared" si="14"/>
        <v>5844.4444444444443</v>
      </c>
      <c r="AW21" s="122">
        <f t="shared" si="15"/>
        <v>0</v>
      </c>
      <c r="AZ21" s="122">
        <f t="shared" si="16"/>
        <v>0</v>
      </c>
      <c r="BC21" s="122">
        <f t="shared" si="17"/>
        <v>0</v>
      </c>
      <c r="BF21" s="122">
        <f t="shared" si="18"/>
        <v>0</v>
      </c>
      <c r="BI21" s="122">
        <f t="shared" si="19"/>
        <v>0</v>
      </c>
      <c r="BL21" s="122">
        <f t="shared" si="20"/>
        <v>0</v>
      </c>
      <c r="BO21" s="122">
        <f t="shared" si="21"/>
        <v>0</v>
      </c>
      <c r="BR21" s="122">
        <f t="shared" si="22"/>
        <v>0</v>
      </c>
      <c r="BU21" s="122">
        <f t="shared" si="23"/>
        <v>0</v>
      </c>
      <c r="BX21" s="122">
        <f t="shared" si="24"/>
        <v>0</v>
      </c>
      <c r="CA21" s="122">
        <f t="shared" si="25"/>
        <v>0</v>
      </c>
      <c r="CD21" s="122">
        <f t="shared" si="26"/>
        <v>0</v>
      </c>
      <c r="CG21" s="122">
        <f t="shared" si="27"/>
        <v>0</v>
      </c>
      <c r="CJ21" s="122">
        <f t="shared" si="28"/>
        <v>0</v>
      </c>
      <c r="CM21" s="122">
        <f t="shared" si="29"/>
        <v>0</v>
      </c>
      <c r="CP21" s="122">
        <f t="shared" si="30"/>
        <v>0</v>
      </c>
      <c r="CS21" s="122">
        <f t="shared" si="31"/>
        <v>0</v>
      </c>
      <c r="CV21" s="122">
        <f t="shared" si="32"/>
        <v>0</v>
      </c>
      <c r="CY21" s="122">
        <f t="shared" si="33"/>
        <v>0</v>
      </c>
      <c r="DB21" s="122">
        <f t="shared" si="34"/>
        <v>0</v>
      </c>
      <c r="DE21" s="122">
        <f t="shared" si="35"/>
        <v>0</v>
      </c>
      <c r="DH21" s="122">
        <f t="shared" si="36"/>
        <v>0</v>
      </c>
      <c r="DK21" s="122">
        <f t="shared" si="37"/>
        <v>0</v>
      </c>
      <c r="DN21" s="122">
        <f t="shared" si="38"/>
        <v>0</v>
      </c>
      <c r="DQ21" s="122">
        <f t="shared" si="39"/>
        <v>0</v>
      </c>
      <c r="DT21" s="122">
        <f t="shared" si="40"/>
        <v>0</v>
      </c>
      <c r="DW21" s="122">
        <f t="shared" si="41"/>
        <v>0</v>
      </c>
      <c r="DZ21" s="122"/>
      <c r="EA21" s="122"/>
      <c r="EB21" s="157">
        <f t="shared" si="42"/>
        <v>145975000</v>
      </c>
      <c r="EC21" s="157">
        <f t="shared" si="43"/>
        <v>0</v>
      </c>
      <c r="ED21" s="122">
        <f t="shared" si="44"/>
        <v>10499.347222222223</v>
      </c>
      <c r="EE21" s="123">
        <f t="shared" si="45"/>
        <v>2.5893235143003939E-2</v>
      </c>
      <c r="EG21" s="157">
        <f t="shared" si="46"/>
        <v>0</v>
      </c>
      <c r="EH21" s="122">
        <f t="shared" si="47"/>
        <v>0</v>
      </c>
      <c r="EI21" s="123">
        <f t="shared" si="48"/>
        <v>0</v>
      </c>
      <c r="EJ21" s="123"/>
      <c r="EK21" s="157">
        <f t="shared" si="49"/>
        <v>145975000</v>
      </c>
      <c r="EL21" s="157">
        <f t="shared" si="50"/>
        <v>0</v>
      </c>
      <c r="EM21" s="157">
        <f t="shared" si="51"/>
        <v>10499.347222222223</v>
      </c>
      <c r="EN21" s="123">
        <f t="shared" si="52"/>
        <v>2.5893235143003939E-2</v>
      </c>
      <c r="EP21" s="122"/>
    </row>
    <row r="22" spans="1:146" x14ac:dyDescent="0.25">
      <c r="A22" s="66">
        <f t="shared" si="53"/>
        <v>43658</v>
      </c>
      <c r="D22" s="122">
        <f t="shared" si="2"/>
        <v>0</v>
      </c>
      <c r="G22" s="122">
        <f t="shared" si="3"/>
        <v>0</v>
      </c>
      <c r="J22" s="122">
        <f t="shared" si="4"/>
        <v>0</v>
      </c>
      <c r="M22" s="122">
        <f t="shared" si="5"/>
        <v>0</v>
      </c>
      <c r="P22" s="122">
        <f t="shared" si="6"/>
        <v>0</v>
      </c>
      <c r="S22" s="122">
        <f t="shared" si="7"/>
        <v>0</v>
      </c>
      <c r="V22" s="122">
        <f t="shared" si="8"/>
        <v>0</v>
      </c>
      <c r="Y22" s="122">
        <f t="shared" si="9"/>
        <v>0</v>
      </c>
      <c r="AB22" s="122">
        <f t="shared" si="10"/>
        <v>0</v>
      </c>
      <c r="AE22" s="122">
        <v>0</v>
      </c>
      <c r="AH22" s="122">
        <v>0</v>
      </c>
      <c r="AI22" s="155">
        <f>77150000</f>
        <v>77150000</v>
      </c>
      <c r="AJ22" s="156">
        <v>2.5399999999999999E-2</v>
      </c>
      <c r="AK22" s="122">
        <f t="shared" si="11"/>
        <v>5443.3611111111113</v>
      </c>
      <c r="AL22" s="155"/>
      <c r="AM22" s="156"/>
      <c r="AN22" s="122">
        <f t="shared" si="12"/>
        <v>0</v>
      </c>
      <c r="AO22" s="155"/>
      <c r="AP22" s="156"/>
      <c r="AQ22" s="122">
        <f t="shared" si="13"/>
        <v>0</v>
      </c>
      <c r="AR22" s="155">
        <f t="shared" si="54"/>
        <v>80000000</v>
      </c>
      <c r="AS22" s="156">
        <v>2.63E-2</v>
      </c>
      <c r="AT22" s="122">
        <f t="shared" si="14"/>
        <v>5844.4444444444443</v>
      </c>
      <c r="AW22" s="122">
        <f t="shared" si="15"/>
        <v>0</v>
      </c>
      <c r="AZ22" s="122">
        <f t="shared" si="16"/>
        <v>0</v>
      </c>
      <c r="BC22" s="122">
        <f t="shared" si="17"/>
        <v>0</v>
      </c>
      <c r="BF22" s="122">
        <f t="shared" si="18"/>
        <v>0</v>
      </c>
      <c r="BI22" s="122">
        <f t="shared" si="19"/>
        <v>0</v>
      </c>
      <c r="BL22" s="122">
        <f t="shared" si="20"/>
        <v>0</v>
      </c>
      <c r="BO22" s="122">
        <f t="shared" si="21"/>
        <v>0</v>
      </c>
      <c r="BR22" s="122">
        <f t="shared" si="22"/>
        <v>0</v>
      </c>
      <c r="BU22" s="122">
        <f t="shared" si="23"/>
        <v>0</v>
      </c>
      <c r="BX22" s="122">
        <f t="shared" si="24"/>
        <v>0</v>
      </c>
      <c r="CA22" s="122">
        <f t="shared" si="25"/>
        <v>0</v>
      </c>
      <c r="CD22" s="122">
        <f t="shared" si="26"/>
        <v>0</v>
      </c>
      <c r="CG22" s="122">
        <f t="shared" si="27"/>
        <v>0</v>
      </c>
      <c r="CJ22" s="122">
        <f t="shared" si="28"/>
        <v>0</v>
      </c>
      <c r="CM22" s="122">
        <f t="shared" si="29"/>
        <v>0</v>
      </c>
      <c r="CP22" s="122">
        <f t="shared" si="30"/>
        <v>0</v>
      </c>
      <c r="CS22" s="122">
        <f t="shared" si="31"/>
        <v>0</v>
      </c>
      <c r="CV22" s="122">
        <f t="shared" si="32"/>
        <v>0</v>
      </c>
      <c r="CY22" s="122">
        <f t="shared" si="33"/>
        <v>0</v>
      </c>
      <c r="DB22" s="122">
        <f t="shared" si="34"/>
        <v>0</v>
      </c>
      <c r="DE22" s="122">
        <f t="shared" si="35"/>
        <v>0</v>
      </c>
      <c r="DH22" s="122">
        <f t="shared" si="36"/>
        <v>0</v>
      </c>
      <c r="DK22" s="122">
        <f t="shared" si="37"/>
        <v>0</v>
      </c>
      <c r="DN22" s="122">
        <f t="shared" si="38"/>
        <v>0</v>
      </c>
      <c r="DQ22" s="122">
        <f t="shared" si="39"/>
        <v>0</v>
      </c>
      <c r="DT22" s="122">
        <f t="shared" si="40"/>
        <v>0</v>
      </c>
      <c r="DW22" s="122">
        <f t="shared" si="41"/>
        <v>0</v>
      </c>
      <c r="DZ22" s="122"/>
      <c r="EA22" s="122"/>
      <c r="EB22" s="157">
        <f t="shared" si="42"/>
        <v>157150000</v>
      </c>
      <c r="EC22" s="157">
        <f t="shared" si="43"/>
        <v>0</v>
      </c>
      <c r="ED22" s="122">
        <f t="shared" si="44"/>
        <v>11287.805555555555</v>
      </c>
      <c r="EE22" s="123">
        <f t="shared" si="45"/>
        <v>2.5858160992682146E-2</v>
      </c>
      <c r="EG22" s="157">
        <f t="shared" si="46"/>
        <v>0</v>
      </c>
      <c r="EH22" s="122">
        <f t="shared" si="47"/>
        <v>0</v>
      </c>
      <c r="EI22" s="123">
        <f t="shared" si="48"/>
        <v>0</v>
      </c>
      <c r="EJ22" s="123"/>
      <c r="EK22" s="157">
        <f t="shared" si="49"/>
        <v>157150000</v>
      </c>
      <c r="EL22" s="157">
        <f t="shared" si="50"/>
        <v>0</v>
      </c>
      <c r="EM22" s="157">
        <f t="shared" si="51"/>
        <v>11287.805555555555</v>
      </c>
      <c r="EN22" s="123">
        <f t="shared" si="52"/>
        <v>2.5858160992682146E-2</v>
      </c>
      <c r="EP22" s="122"/>
    </row>
    <row r="23" spans="1:146" x14ac:dyDescent="0.25">
      <c r="A23" s="66">
        <f t="shared" si="53"/>
        <v>43659</v>
      </c>
      <c r="D23" s="122">
        <f t="shared" si="2"/>
        <v>0</v>
      </c>
      <c r="G23" s="122">
        <f t="shared" si="3"/>
        <v>0</v>
      </c>
      <c r="J23" s="122">
        <f t="shared" si="4"/>
        <v>0</v>
      </c>
      <c r="M23" s="122">
        <f t="shared" si="5"/>
        <v>0</v>
      </c>
      <c r="P23" s="122">
        <f t="shared" si="6"/>
        <v>0</v>
      </c>
      <c r="S23" s="122">
        <f t="shared" si="7"/>
        <v>0</v>
      </c>
      <c r="V23" s="122">
        <f t="shared" si="8"/>
        <v>0</v>
      </c>
      <c r="Y23" s="122">
        <f t="shared" si="9"/>
        <v>0</v>
      </c>
      <c r="AB23" s="122">
        <f t="shared" si="10"/>
        <v>0</v>
      </c>
      <c r="AE23" s="122">
        <v>0</v>
      </c>
      <c r="AH23" s="122">
        <v>0</v>
      </c>
      <c r="AI23" s="155">
        <f>77150000</f>
        <v>77150000</v>
      </c>
      <c r="AJ23" s="156">
        <v>2.5399999999999999E-2</v>
      </c>
      <c r="AK23" s="122">
        <f t="shared" si="11"/>
        <v>5443.3611111111113</v>
      </c>
      <c r="AL23" s="155"/>
      <c r="AM23" s="156"/>
      <c r="AN23" s="122">
        <f t="shared" si="12"/>
        <v>0</v>
      </c>
      <c r="AO23" s="155"/>
      <c r="AP23" s="156"/>
      <c r="AQ23" s="122">
        <f t="shared" si="13"/>
        <v>0</v>
      </c>
      <c r="AR23" s="155">
        <f t="shared" si="54"/>
        <v>80000000</v>
      </c>
      <c r="AS23" s="156">
        <v>2.63E-2</v>
      </c>
      <c r="AT23" s="122">
        <f t="shared" si="14"/>
        <v>5844.4444444444443</v>
      </c>
      <c r="AW23" s="122">
        <f t="shared" si="15"/>
        <v>0</v>
      </c>
      <c r="AZ23" s="122">
        <f t="shared" si="16"/>
        <v>0</v>
      </c>
      <c r="BC23" s="122">
        <f t="shared" si="17"/>
        <v>0</v>
      </c>
      <c r="BF23" s="122">
        <f t="shared" si="18"/>
        <v>0</v>
      </c>
      <c r="BI23" s="122">
        <f t="shared" si="19"/>
        <v>0</v>
      </c>
      <c r="BL23" s="122">
        <f t="shared" si="20"/>
        <v>0</v>
      </c>
      <c r="BO23" s="122">
        <f t="shared" si="21"/>
        <v>0</v>
      </c>
      <c r="BR23" s="122">
        <f t="shared" si="22"/>
        <v>0</v>
      </c>
      <c r="BU23" s="122">
        <f t="shared" si="23"/>
        <v>0</v>
      </c>
      <c r="BX23" s="122">
        <f t="shared" si="24"/>
        <v>0</v>
      </c>
      <c r="CA23" s="122">
        <f t="shared" si="25"/>
        <v>0</v>
      </c>
      <c r="CD23" s="122">
        <f t="shared" si="26"/>
        <v>0</v>
      </c>
      <c r="CG23" s="122">
        <f t="shared" si="27"/>
        <v>0</v>
      </c>
      <c r="CJ23" s="122">
        <f t="shared" si="28"/>
        <v>0</v>
      </c>
      <c r="CM23" s="122">
        <f t="shared" si="29"/>
        <v>0</v>
      </c>
      <c r="CP23" s="122">
        <f t="shared" si="30"/>
        <v>0</v>
      </c>
      <c r="CS23" s="122">
        <f t="shared" si="31"/>
        <v>0</v>
      </c>
      <c r="CV23" s="122">
        <f t="shared" si="32"/>
        <v>0</v>
      </c>
      <c r="CY23" s="122">
        <f t="shared" si="33"/>
        <v>0</v>
      </c>
      <c r="DB23" s="122">
        <f t="shared" si="34"/>
        <v>0</v>
      </c>
      <c r="DE23" s="122">
        <f t="shared" si="35"/>
        <v>0</v>
      </c>
      <c r="DH23" s="122">
        <f t="shared" si="36"/>
        <v>0</v>
      </c>
      <c r="DK23" s="122">
        <f t="shared" si="37"/>
        <v>0</v>
      </c>
      <c r="DN23" s="122">
        <f t="shared" si="38"/>
        <v>0</v>
      </c>
      <c r="DQ23" s="122">
        <f t="shared" si="39"/>
        <v>0</v>
      </c>
      <c r="DT23" s="122">
        <f t="shared" si="40"/>
        <v>0</v>
      </c>
      <c r="DW23" s="122">
        <f t="shared" si="41"/>
        <v>0</v>
      </c>
      <c r="DZ23" s="122"/>
      <c r="EA23" s="122"/>
      <c r="EB23" s="157">
        <f t="shared" si="42"/>
        <v>157150000</v>
      </c>
      <c r="EC23" s="157">
        <f t="shared" si="43"/>
        <v>0</v>
      </c>
      <c r="ED23" s="122">
        <f t="shared" si="44"/>
        <v>11287.805555555555</v>
      </c>
      <c r="EE23" s="123">
        <f t="shared" si="45"/>
        <v>2.5858160992682146E-2</v>
      </c>
      <c r="EG23" s="157">
        <f t="shared" si="46"/>
        <v>0</v>
      </c>
      <c r="EH23" s="122">
        <f t="shared" si="47"/>
        <v>0</v>
      </c>
      <c r="EI23" s="123">
        <f t="shared" si="48"/>
        <v>0</v>
      </c>
      <c r="EJ23" s="123"/>
      <c r="EK23" s="157">
        <f t="shared" si="49"/>
        <v>157150000</v>
      </c>
      <c r="EL23" s="157">
        <f t="shared" si="50"/>
        <v>0</v>
      </c>
      <c r="EM23" s="157">
        <f t="shared" si="51"/>
        <v>11287.805555555555</v>
      </c>
      <c r="EN23" s="123">
        <f t="shared" si="52"/>
        <v>2.5858160992682146E-2</v>
      </c>
      <c r="EP23" s="122"/>
    </row>
    <row r="24" spans="1:146" x14ac:dyDescent="0.25">
      <c r="A24" s="66">
        <f t="shared" si="53"/>
        <v>43660</v>
      </c>
      <c r="D24" s="122">
        <f t="shared" si="2"/>
        <v>0</v>
      </c>
      <c r="G24" s="122">
        <f t="shared" si="3"/>
        <v>0</v>
      </c>
      <c r="J24" s="122">
        <f t="shared" si="4"/>
        <v>0</v>
      </c>
      <c r="M24" s="122">
        <f t="shared" si="5"/>
        <v>0</v>
      </c>
      <c r="P24" s="122">
        <f t="shared" si="6"/>
        <v>0</v>
      </c>
      <c r="S24" s="122">
        <f t="shared" si="7"/>
        <v>0</v>
      </c>
      <c r="V24" s="122">
        <f t="shared" si="8"/>
        <v>0</v>
      </c>
      <c r="Y24" s="122">
        <f t="shared" si="9"/>
        <v>0</v>
      </c>
      <c r="AB24" s="122">
        <f t="shared" si="10"/>
        <v>0</v>
      </c>
      <c r="AE24" s="122">
        <v>0</v>
      </c>
      <c r="AH24" s="122">
        <v>0</v>
      </c>
      <c r="AI24" s="155">
        <f>77150000</f>
        <v>77150000</v>
      </c>
      <c r="AJ24" s="156">
        <v>2.5399999999999999E-2</v>
      </c>
      <c r="AK24" s="122">
        <f t="shared" si="11"/>
        <v>5443.3611111111113</v>
      </c>
      <c r="AL24" s="155"/>
      <c r="AM24" s="156"/>
      <c r="AN24" s="122">
        <f t="shared" si="12"/>
        <v>0</v>
      </c>
      <c r="AO24" s="155"/>
      <c r="AP24" s="156"/>
      <c r="AQ24" s="122">
        <f t="shared" si="13"/>
        <v>0</v>
      </c>
      <c r="AR24" s="155">
        <f t="shared" si="54"/>
        <v>80000000</v>
      </c>
      <c r="AS24" s="156">
        <v>2.63E-2</v>
      </c>
      <c r="AT24" s="122">
        <f t="shared" si="14"/>
        <v>5844.4444444444443</v>
      </c>
      <c r="AW24" s="122">
        <f t="shared" si="15"/>
        <v>0</v>
      </c>
      <c r="AZ24" s="122">
        <f t="shared" si="16"/>
        <v>0</v>
      </c>
      <c r="BC24" s="122">
        <f t="shared" si="17"/>
        <v>0</v>
      </c>
      <c r="BF24" s="122">
        <f t="shared" si="18"/>
        <v>0</v>
      </c>
      <c r="BI24" s="122">
        <f t="shared" si="19"/>
        <v>0</v>
      </c>
      <c r="BL24" s="122">
        <f t="shared" si="20"/>
        <v>0</v>
      </c>
      <c r="BO24" s="122">
        <f t="shared" si="21"/>
        <v>0</v>
      </c>
      <c r="BR24" s="122">
        <f t="shared" si="22"/>
        <v>0</v>
      </c>
      <c r="BU24" s="122">
        <f t="shared" si="23"/>
        <v>0</v>
      </c>
      <c r="BX24" s="122">
        <f t="shared" si="24"/>
        <v>0</v>
      </c>
      <c r="CA24" s="122">
        <f t="shared" si="25"/>
        <v>0</v>
      </c>
      <c r="CD24" s="122">
        <f t="shared" si="26"/>
        <v>0</v>
      </c>
      <c r="CG24" s="122">
        <f t="shared" si="27"/>
        <v>0</v>
      </c>
      <c r="CJ24" s="122">
        <f t="shared" si="28"/>
        <v>0</v>
      </c>
      <c r="CM24" s="122">
        <f t="shared" si="29"/>
        <v>0</v>
      </c>
      <c r="CP24" s="122">
        <f t="shared" si="30"/>
        <v>0</v>
      </c>
      <c r="CS24" s="122">
        <f t="shared" si="31"/>
        <v>0</v>
      </c>
      <c r="CV24" s="122">
        <f t="shared" si="32"/>
        <v>0</v>
      </c>
      <c r="CY24" s="122">
        <f t="shared" si="33"/>
        <v>0</v>
      </c>
      <c r="DB24" s="122">
        <f t="shared" si="34"/>
        <v>0</v>
      </c>
      <c r="DE24" s="122">
        <f t="shared" si="35"/>
        <v>0</v>
      </c>
      <c r="DH24" s="122">
        <f t="shared" si="36"/>
        <v>0</v>
      </c>
      <c r="DK24" s="122">
        <f t="shared" si="37"/>
        <v>0</v>
      </c>
      <c r="DN24" s="122">
        <f t="shared" si="38"/>
        <v>0</v>
      </c>
      <c r="DQ24" s="122">
        <f t="shared" si="39"/>
        <v>0</v>
      </c>
      <c r="DT24" s="122">
        <f t="shared" si="40"/>
        <v>0</v>
      </c>
      <c r="DW24" s="122">
        <f t="shared" si="41"/>
        <v>0</v>
      </c>
      <c r="DZ24" s="122"/>
      <c r="EA24" s="122"/>
      <c r="EB24" s="157">
        <f t="shared" si="42"/>
        <v>157150000</v>
      </c>
      <c r="EC24" s="157">
        <f t="shared" si="43"/>
        <v>0</v>
      </c>
      <c r="ED24" s="122">
        <f t="shared" si="44"/>
        <v>11287.805555555555</v>
      </c>
      <c r="EE24" s="123">
        <f t="shared" si="45"/>
        <v>2.5858160992682146E-2</v>
      </c>
      <c r="EG24" s="157">
        <f t="shared" si="46"/>
        <v>0</v>
      </c>
      <c r="EH24" s="122">
        <f t="shared" si="47"/>
        <v>0</v>
      </c>
      <c r="EI24" s="123">
        <f t="shared" si="48"/>
        <v>0</v>
      </c>
      <c r="EJ24" s="123"/>
      <c r="EK24" s="157">
        <f t="shared" si="49"/>
        <v>157150000</v>
      </c>
      <c r="EL24" s="157">
        <f t="shared" si="50"/>
        <v>0</v>
      </c>
      <c r="EM24" s="157">
        <f t="shared" si="51"/>
        <v>11287.805555555555</v>
      </c>
      <c r="EN24" s="123">
        <f t="shared" si="52"/>
        <v>2.5858160992682146E-2</v>
      </c>
      <c r="EP24" s="122"/>
    </row>
    <row r="25" spans="1:146" x14ac:dyDescent="0.25">
      <c r="A25" s="66">
        <f t="shared" si="53"/>
        <v>43661</v>
      </c>
      <c r="D25" s="122">
        <f t="shared" si="2"/>
        <v>0</v>
      </c>
      <c r="G25" s="122">
        <f t="shared" si="3"/>
        <v>0</v>
      </c>
      <c r="J25" s="122">
        <f t="shared" si="4"/>
        <v>0</v>
      </c>
      <c r="M25" s="122">
        <f t="shared" si="5"/>
        <v>0</v>
      </c>
      <c r="P25" s="122">
        <f t="shared" si="6"/>
        <v>0</v>
      </c>
      <c r="S25" s="122">
        <f t="shared" si="7"/>
        <v>0</v>
      </c>
      <c r="V25" s="122">
        <f t="shared" si="8"/>
        <v>0</v>
      </c>
      <c r="Y25" s="122">
        <f t="shared" si="9"/>
        <v>0</v>
      </c>
      <c r="AB25" s="122">
        <f t="shared" si="10"/>
        <v>0</v>
      </c>
      <c r="AE25" s="122">
        <v>0</v>
      </c>
      <c r="AH25" s="122">
        <v>0</v>
      </c>
      <c r="AI25" s="155">
        <f>80375000</f>
        <v>80375000</v>
      </c>
      <c r="AJ25" s="156">
        <v>2.5399999999999999E-2</v>
      </c>
      <c r="AK25" s="122">
        <f t="shared" si="11"/>
        <v>5670.9027777777774</v>
      </c>
      <c r="AL25" s="155"/>
      <c r="AM25" s="156"/>
      <c r="AN25" s="122">
        <f t="shared" si="12"/>
        <v>0</v>
      </c>
      <c r="AO25" s="155"/>
      <c r="AP25" s="156"/>
      <c r="AQ25" s="122">
        <f t="shared" si="13"/>
        <v>0</v>
      </c>
      <c r="AR25" s="155">
        <f t="shared" si="54"/>
        <v>80000000</v>
      </c>
      <c r="AS25" s="156">
        <v>2.63E-2</v>
      </c>
      <c r="AT25" s="122">
        <f t="shared" si="14"/>
        <v>5844.4444444444443</v>
      </c>
      <c r="AW25" s="122">
        <f t="shared" si="15"/>
        <v>0</v>
      </c>
      <c r="AZ25" s="122">
        <f t="shared" si="16"/>
        <v>0</v>
      </c>
      <c r="BC25" s="122">
        <f t="shared" si="17"/>
        <v>0</v>
      </c>
      <c r="BF25" s="122">
        <f t="shared" si="18"/>
        <v>0</v>
      </c>
      <c r="BI25" s="122">
        <f t="shared" si="19"/>
        <v>0</v>
      </c>
      <c r="BL25" s="122">
        <f t="shared" si="20"/>
        <v>0</v>
      </c>
      <c r="BO25" s="122">
        <f t="shared" si="21"/>
        <v>0</v>
      </c>
      <c r="BR25" s="122">
        <f t="shared" si="22"/>
        <v>0</v>
      </c>
      <c r="BU25" s="122">
        <f t="shared" si="23"/>
        <v>0</v>
      </c>
      <c r="BX25" s="122">
        <f t="shared" si="24"/>
        <v>0</v>
      </c>
      <c r="CA25" s="122">
        <f t="shared" si="25"/>
        <v>0</v>
      </c>
      <c r="CD25" s="122">
        <f t="shared" si="26"/>
        <v>0</v>
      </c>
      <c r="CG25" s="122">
        <f t="shared" si="27"/>
        <v>0</v>
      </c>
      <c r="CJ25" s="122">
        <f t="shared" si="28"/>
        <v>0</v>
      </c>
      <c r="CM25" s="122">
        <f t="shared" si="29"/>
        <v>0</v>
      </c>
      <c r="CP25" s="122">
        <f t="shared" si="30"/>
        <v>0</v>
      </c>
      <c r="CS25" s="122">
        <f t="shared" si="31"/>
        <v>0</v>
      </c>
      <c r="CV25" s="122">
        <f t="shared" si="32"/>
        <v>0</v>
      </c>
      <c r="CY25" s="122">
        <f t="shared" si="33"/>
        <v>0</v>
      </c>
      <c r="DB25" s="122">
        <f t="shared" si="34"/>
        <v>0</v>
      </c>
      <c r="DE25" s="122">
        <f t="shared" si="35"/>
        <v>0</v>
      </c>
      <c r="DH25" s="122">
        <f t="shared" si="36"/>
        <v>0</v>
      </c>
      <c r="DK25" s="122">
        <f t="shared" si="37"/>
        <v>0</v>
      </c>
      <c r="DN25" s="122">
        <f t="shared" si="38"/>
        <v>0</v>
      </c>
      <c r="DQ25" s="122">
        <f t="shared" si="39"/>
        <v>0</v>
      </c>
      <c r="DT25" s="122">
        <f t="shared" si="40"/>
        <v>0</v>
      </c>
      <c r="DW25" s="122">
        <f t="shared" si="41"/>
        <v>0</v>
      </c>
      <c r="DZ25" s="122"/>
      <c r="EA25" s="122"/>
      <c r="EB25" s="157">
        <f t="shared" si="42"/>
        <v>160375000</v>
      </c>
      <c r="EC25" s="157">
        <f t="shared" si="43"/>
        <v>0</v>
      </c>
      <c r="ED25" s="122">
        <f t="shared" si="44"/>
        <v>11515.347222222223</v>
      </c>
      <c r="EE25" s="123">
        <f t="shared" si="45"/>
        <v>2.5848947778643803E-2</v>
      </c>
      <c r="EG25" s="157">
        <f t="shared" si="46"/>
        <v>0</v>
      </c>
      <c r="EH25" s="122">
        <f t="shared" si="47"/>
        <v>0</v>
      </c>
      <c r="EI25" s="123">
        <f t="shared" si="48"/>
        <v>0</v>
      </c>
      <c r="EJ25" s="123"/>
      <c r="EK25" s="157">
        <f t="shared" si="49"/>
        <v>160375000</v>
      </c>
      <c r="EL25" s="157">
        <f t="shared" si="50"/>
        <v>0</v>
      </c>
      <c r="EM25" s="157">
        <f t="shared" si="51"/>
        <v>11515.347222222223</v>
      </c>
      <c r="EN25" s="123">
        <f t="shared" si="52"/>
        <v>2.5848947778643803E-2</v>
      </c>
      <c r="EP25" s="122"/>
    </row>
    <row r="26" spans="1:146" x14ac:dyDescent="0.25">
      <c r="A26" s="66">
        <f t="shared" si="53"/>
        <v>43662</v>
      </c>
      <c r="D26" s="122">
        <f t="shared" si="2"/>
        <v>0</v>
      </c>
      <c r="G26" s="122">
        <f t="shared" si="3"/>
        <v>0</v>
      </c>
      <c r="J26" s="122">
        <f t="shared" si="4"/>
        <v>0</v>
      </c>
      <c r="M26" s="122">
        <f t="shared" si="5"/>
        <v>0</v>
      </c>
      <c r="P26" s="122">
        <f t="shared" si="6"/>
        <v>0</v>
      </c>
      <c r="S26" s="122">
        <f t="shared" si="7"/>
        <v>0</v>
      </c>
      <c r="V26" s="122">
        <f t="shared" si="8"/>
        <v>0</v>
      </c>
      <c r="Y26" s="122">
        <f t="shared" si="9"/>
        <v>0</v>
      </c>
      <c r="AB26" s="122">
        <f t="shared" si="10"/>
        <v>0</v>
      </c>
      <c r="AE26" s="122">
        <v>0</v>
      </c>
      <c r="AH26" s="122">
        <v>0</v>
      </c>
      <c r="AI26" s="155">
        <f>67450000</f>
        <v>67450000</v>
      </c>
      <c r="AJ26" s="156">
        <v>2.5399999999999999E-2</v>
      </c>
      <c r="AK26" s="122">
        <f t="shared" si="11"/>
        <v>4758.9722222222226</v>
      </c>
      <c r="AL26" s="155"/>
      <c r="AM26" s="156"/>
      <c r="AN26" s="122">
        <f t="shared" si="12"/>
        <v>0</v>
      </c>
      <c r="AO26" s="155"/>
      <c r="AP26" s="156"/>
      <c r="AQ26" s="122">
        <f t="shared" si="13"/>
        <v>0</v>
      </c>
      <c r="AR26" s="155">
        <f t="shared" si="54"/>
        <v>80000000</v>
      </c>
      <c r="AS26" s="156">
        <v>2.63E-2</v>
      </c>
      <c r="AT26" s="122">
        <f t="shared" si="14"/>
        <v>5844.4444444444443</v>
      </c>
      <c r="AW26" s="122">
        <f t="shared" si="15"/>
        <v>0</v>
      </c>
      <c r="AZ26" s="122">
        <f t="shared" si="16"/>
        <v>0</v>
      </c>
      <c r="BC26" s="122">
        <f t="shared" si="17"/>
        <v>0</v>
      </c>
      <c r="BF26" s="122">
        <f t="shared" si="18"/>
        <v>0</v>
      </c>
      <c r="BI26" s="122">
        <f t="shared" si="19"/>
        <v>0</v>
      </c>
      <c r="BL26" s="122">
        <f t="shared" si="20"/>
        <v>0</v>
      </c>
      <c r="BO26" s="122">
        <f t="shared" si="21"/>
        <v>0</v>
      </c>
      <c r="BR26" s="122">
        <f t="shared" si="22"/>
        <v>0</v>
      </c>
      <c r="BU26" s="122">
        <f t="shared" si="23"/>
        <v>0</v>
      </c>
      <c r="BX26" s="122">
        <f t="shared" si="24"/>
        <v>0</v>
      </c>
      <c r="CA26" s="122">
        <f t="shared" si="25"/>
        <v>0</v>
      </c>
      <c r="CD26" s="122">
        <f t="shared" si="26"/>
        <v>0</v>
      </c>
      <c r="CG26" s="122">
        <f t="shared" si="27"/>
        <v>0</v>
      </c>
      <c r="CJ26" s="122">
        <f t="shared" si="28"/>
        <v>0</v>
      </c>
      <c r="CM26" s="122">
        <f t="shared" si="29"/>
        <v>0</v>
      </c>
      <c r="CP26" s="122">
        <f t="shared" si="30"/>
        <v>0</v>
      </c>
      <c r="CS26" s="122">
        <f t="shared" si="31"/>
        <v>0</v>
      </c>
      <c r="CV26" s="122">
        <f t="shared" si="32"/>
        <v>0</v>
      </c>
      <c r="CY26" s="122">
        <f t="shared" si="33"/>
        <v>0</v>
      </c>
      <c r="DB26" s="122">
        <f t="shared" si="34"/>
        <v>0</v>
      </c>
      <c r="DE26" s="122">
        <f t="shared" si="35"/>
        <v>0</v>
      </c>
      <c r="DH26" s="122">
        <f t="shared" si="36"/>
        <v>0</v>
      </c>
      <c r="DK26" s="122">
        <f t="shared" si="37"/>
        <v>0</v>
      </c>
      <c r="DN26" s="122">
        <f t="shared" si="38"/>
        <v>0</v>
      </c>
      <c r="DQ26" s="122">
        <f t="shared" si="39"/>
        <v>0</v>
      </c>
      <c r="DT26" s="122">
        <f t="shared" si="40"/>
        <v>0</v>
      </c>
      <c r="DW26" s="122">
        <f t="shared" si="41"/>
        <v>0</v>
      </c>
      <c r="DZ26" s="122"/>
      <c r="EA26" s="122"/>
      <c r="EB26" s="157">
        <f t="shared" si="42"/>
        <v>147450000</v>
      </c>
      <c r="EC26" s="157">
        <f t="shared" si="43"/>
        <v>0</v>
      </c>
      <c r="ED26" s="122">
        <f t="shared" si="44"/>
        <v>10603.416666666668</v>
      </c>
      <c r="EE26" s="123">
        <f t="shared" si="45"/>
        <v>2.5888301119023401E-2</v>
      </c>
      <c r="EG26" s="157">
        <f t="shared" si="46"/>
        <v>0</v>
      </c>
      <c r="EH26" s="122">
        <f t="shared" si="47"/>
        <v>0</v>
      </c>
      <c r="EI26" s="123">
        <f t="shared" si="48"/>
        <v>0</v>
      </c>
      <c r="EJ26" s="123"/>
      <c r="EK26" s="157">
        <f t="shared" si="49"/>
        <v>147450000</v>
      </c>
      <c r="EL26" s="157">
        <f t="shared" si="50"/>
        <v>0</v>
      </c>
      <c r="EM26" s="157">
        <f t="shared" si="51"/>
        <v>10603.416666666668</v>
      </c>
      <c r="EN26" s="123">
        <f t="shared" si="52"/>
        <v>2.5888301119023401E-2</v>
      </c>
      <c r="EP26" s="122"/>
    </row>
    <row r="27" spans="1:146" x14ac:dyDescent="0.25">
      <c r="A27" s="66">
        <f t="shared" si="53"/>
        <v>43663</v>
      </c>
      <c r="D27" s="122">
        <f t="shared" si="2"/>
        <v>0</v>
      </c>
      <c r="G27" s="122">
        <f t="shared" si="3"/>
        <v>0</v>
      </c>
      <c r="J27" s="122">
        <f t="shared" si="4"/>
        <v>0</v>
      </c>
      <c r="M27" s="122">
        <f t="shared" si="5"/>
        <v>0</v>
      </c>
      <c r="P27" s="122">
        <f t="shared" si="6"/>
        <v>0</v>
      </c>
      <c r="S27" s="122">
        <f t="shared" si="7"/>
        <v>0</v>
      </c>
      <c r="V27" s="122">
        <f t="shared" si="8"/>
        <v>0</v>
      </c>
      <c r="Y27" s="122">
        <f t="shared" si="9"/>
        <v>0</v>
      </c>
      <c r="AB27" s="122">
        <f t="shared" si="10"/>
        <v>0</v>
      </c>
      <c r="AE27" s="122">
        <v>0</v>
      </c>
      <c r="AH27" s="122">
        <v>0</v>
      </c>
      <c r="AI27" s="155">
        <f>69425000</f>
        <v>69425000</v>
      </c>
      <c r="AJ27" s="156">
        <v>2.5399999999999999E-2</v>
      </c>
      <c r="AK27" s="122">
        <f t="shared" si="11"/>
        <v>4898.3194444444443</v>
      </c>
      <c r="AL27" s="155"/>
      <c r="AM27" s="156"/>
      <c r="AN27" s="122">
        <f t="shared" si="12"/>
        <v>0</v>
      </c>
      <c r="AO27" s="155"/>
      <c r="AP27" s="156"/>
      <c r="AQ27" s="122">
        <f t="shared" si="13"/>
        <v>0</v>
      </c>
      <c r="AR27" s="155">
        <f t="shared" si="54"/>
        <v>80000000</v>
      </c>
      <c r="AS27" s="156">
        <v>2.63E-2</v>
      </c>
      <c r="AT27" s="122">
        <f t="shared" si="14"/>
        <v>5844.4444444444443</v>
      </c>
      <c r="AW27" s="122">
        <f t="shared" si="15"/>
        <v>0</v>
      </c>
      <c r="AZ27" s="122">
        <f t="shared" si="16"/>
        <v>0</v>
      </c>
      <c r="BC27" s="122">
        <f t="shared" si="17"/>
        <v>0</v>
      </c>
      <c r="BF27" s="122">
        <f t="shared" si="18"/>
        <v>0</v>
      </c>
      <c r="BI27" s="122">
        <f t="shared" si="19"/>
        <v>0</v>
      </c>
      <c r="BL27" s="122">
        <f t="shared" si="20"/>
        <v>0</v>
      </c>
      <c r="BO27" s="122">
        <f t="shared" si="21"/>
        <v>0</v>
      </c>
      <c r="BR27" s="122">
        <f t="shared" si="22"/>
        <v>0</v>
      </c>
      <c r="BU27" s="122">
        <f t="shared" si="23"/>
        <v>0</v>
      </c>
      <c r="BX27" s="122">
        <f t="shared" si="24"/>
        <v>0</v>
      </c>
      <c r="CA27" s="122">
        <f t="shared" si="25"/>
        <v>0</v>
      </c>
      <c r="CD27" s="122">
        <f t="shared" si="26"/>
        <v>0</v>
      </c>
      <c r="CG27" s="122">
        <f t="shared" si="27"/>
        <v>0</v>
      </c>
      <c r="CJ27" s="122">
        <f t="shared" si="28"/>
        <v>0</v>
      </c>
      <c r="CM27" s="122">
        <f t="shared" si="29"/>
        <v>0</v>
      </c>
      <c r="CP27" s="122">
        <f t="shared" si="30"/>
        <v>0</v>
      </c>
      <c r="CS27" s="122">
        <f t="shared" si="31"/>
        <v>0</v>
      </c>
      <c r="CV27" s="122">
        <f t="shared" si="32"/>
        <v>0</v>
      </c>
      <c r="CY27" s="122">
        <f t="shared" si="33"/>
        <v>0</v>
      </c>
      <c r="DB27" s="122">
        <f t="shared" si="34"/>
        <v>0</v>
      </c>
      <c r="DE27" s="122">
        <f t="shared" si="35"/>
        <v>0</v>
      </c>
      <c r="DH27" s="122">
        <f t="shared" si="36"/>
        <v>0</v>
      </c>
      <c r="DK27" s="122">
        <f t="shared" si="37"/>
        <v>0</v>
      </c>
      <c r="DN27" s="122">
        <f t="shared" si="38"/>
        <v>0</v>
      </c>
      <c r="DQ27" s="122">
        <f t="shared" si="39"/>
        <v>0</v>
      </c>
      <c r="DT27" s="122">
        <f t="shared" si="40"/>
        <v>0</v>
      </c>
      <c r="DW27" s="122">
        <f t="shared" si="41"/>
        <v>0</v>
      </c>
      <c r="DZ27" s="122"/>
      <c r="EA27" s="122"/>
      <c r="EB27" s="157">
        <f t="shared" si="42"/>
        <v>149425000</v>
      </c>
      <c r="EC27" s="157">
        <f t="shared" si="43"/>
        <v>0</v>
      </c>
      <c r="ED27" s="122">
        <f t="shared" si="44"/>
        <v>10742.763888888889</v>
      </c>
      <c r="EE27" s="123">
        <f t="shared" si="45"/>
        <v>2.5881847080475157E-2</v>
      </c>
      <c r="EG27" s="157">
        <f t="shared" si="46"/>
        <v>0</v>
      </c>
      <c r="EH27" s="122">
        <f t="shared" si="47"/>
        <v>0</v>
      </c>
      <c r="EI27" s="123">
        <f t="shared" si="48"/>
        <v>0</v>
      </c>
      <c r="EJ27" s="123"/>
      <c r="EK27" s="157">
        <f t="shared" si="49"/>
        <v>149425000</v>
      </c>
      <c r="EL27" s="157">
        <f t="shared" si="50"/>
        <v>0</v>
      </c>
      <c r="EM27" s="157">
        <f t="shared" si="51"/>
        <v>10742.763888888889</v>
      </c>
      <c r="EN27" s="123">
        <f t="shared" si="52"/>
        <v>2.5881847080475157E-2</v>
      </c>
      <c r="EP27" s="122"/>
    </row>
    <row r="28" spans="1:146" x14ac:dyDescent="0.25">
      <c r="A28" s="66">
        <f t="shared" si="53"/>
        <v>43664</v>
      </c>
      <c r="D28" s="122">
        <f t="shared" si="2"/>
        <v>0</v>
      </c>
      <c r="G28" s="122">
        <f t="shared" si="3"/>
        <v>0</v>
      </c>
      <c r="J28" s="122">
        <f t="shared" si="4"/>
        <v>0</v>
      </c>
      <c r="M28" s="122">
        <f t="shared" si="5"/>
        <v>0</v>
      </c>
      <c r="P28" s="122">
        <f t="shared" si="6"/>
        <v>0</v>
      </c>
      <c r="S28" s="122">
        <f t="shared" si="7"/>
        <v>0</v>
      </c>
      <c r="V28" s="122">
        <f t="shared" si="8"/>
        <v>0</v>
      </c>
      <c r="Y28" s="122">
        <f t="shared" si="9"/>
        <v>0</v>
      </c>
      <c r="AB28" s="122">
        <f t="shared" si="10"/>
        <v>0</v>
      </c>
      <c r="AE28" s="122">
        <v>0</v>
      </c>
      <c r="AH28" s="122">
        <v>0</v>
      </c>
      <c r="AI28" s="155">
        <f>61950000</f>
        <v>61950000</v>
      </c>
      <c r="AJ28" s="156">
        <v>2.5399999999999999E-2</v>
      </c>
      <c r="AK28" s="122">
        <f t="shared" si="11"/>
        <v>4370.916666666667</v>
      </c>
      <c r="AL28" s="155"/>
      <c r="AM28" s="156"/>
      <c r="AN28" s="122">
        <f t="shared" si="12"/>
        <v>0</v>
      </c>
      <c r="AO28" s="155"/>
      <c r="AP28" s="156"/>
      <c r="AQ28" s="122">
        <f t="shared" si="13"/>
        <v>0</v>
      </c>
      <c r="AR28" s="155">
        <f t="shared" si="54"/>
        <v>80000000</v>
      </c>
      <c r="AS28" s="156">
        <v>2.63E-2</v>
      </c>
      <c r="AT28" s="122">
        <f t="shared" si="14"/>
        <v>5844.4444444444443</v>
      </c>
      <c r="AW28" s="122">
        <f t="shared" si="15"/>
        <v>0</v>
      </c>
      <c r="AZ28" s="122">
        <f t="shared" si="16"/>
        <v>0</v>
      </c>
      <c r="BC28" s="122">
        <f t="shared" si="17"/>
        <v>0</v>
      </c>
      <c r="BF28" s="122">
        <f t="shared" si="18"/>
        <v>0</v>
      </c>
      <c r="BI28" s="122">
        <f t="shared" si="19"/>
        <v>0</v>
      </c>
      <c r="BL28" s="122">
        <f t="shared" si="20"/>
        <v>0</v>
      </c>
      <c r="BO28" s="122">
        <f t="shared" si="21"/>
        <v>0</v>
      </c>
      <c r="BR28" s="122">
        <f t="shared" si="22"/>
        <v>0</v>
      </c>
      <c r="BU28" s="122">
        <f t="shared" si="23"/>
        <v>0</v>
      </c>
      <c r="BX28" s="122">
        <f t="shared" si="24"/>
        <v>0</v>
      </c>
      <c r="CA28" s="122">
        <f t="shared" si="25"/>
        <v>0</v>
      </c>
      <c r="CD28" s="122">
        <f t="shared" si="26"/>
        <v>0</v>
      </c>
      <c r="CG28" s="122">
        <f t="shared" si="27"/>
        <v>0</v>
      </c>
      <c r="CJ28" s="122">
        <f t="shared" si="28"/>
        <v>0</v>
      </c>
      <c r="CM28" s="122">
        <f t="shared" si="29"/>
        <v>0</v>
      </c>
      <c r="CP28" s="122">
        <f t="shared" si="30"/>
        <v>0</v>
      </c>
      <c r="CS28" s="122">
        <f t="shared" si="31"/>
        <v>0</v>
      </c>
      <c r="CV28" s="122">
        <f t="shared" si="32"/>
        <v>0</v>
      </c>
      <c r="CY28" s="122">
        <f t="shared" si="33"/>
        <v>0</v>
      </c>
      <c r="DB28" s="122">
        <f t="shared" si="34"/>
        <v>0</v>
      </c>
      <c r="DE28" s="122">
        <f t="shared" si="35"/>
        <v>0</v>
      </c>
      <c r="DH28" s="122">
        <f t="shared" si="36"/>
        <v>0</v>
      </c>
      <c r="DK28" s="122">
        <f t="shared" si="37"/>
        <v>0</v>
      </c>
      <c r="DN28" s="122">
        <f t="shared" si="38"/>
        <v>0</v>
      </c>
      <c r="DQ28" s="122">
        <f t="shared" si="39"/>
        <v>0</v>
      </c>
      <c r="DT28" s="122">
        <f t="shared" si="40"/>
        <v>0</v>
      </c>
      <c r="DW28" s="122">
        <f t="shared" si="41"/>
        <v>0</v>
      </c>
      <c r="DZ28" s="122"/>
      <c r="EA28" s="122"/>
      <c r="EB28" s="157">
        <f t="shared" si="42"/>
        <v>141950000</v>
      </c>
      <c r="EC28" s="157">
        <f t="shared" si="43"/>
        <v>0</v>
      </c>
      <c r="ED28" s="122">
        <f t="shared" si="44"/>
        <v>10215.361111111111</v>
      </c>
      <c r="EE28" s="123">
        <f t="shared" si="45"/>
        <v>2.5907220852412823E-2</v>
      </c>
      <c r="EG28" s="157">
        <f t="shared" si="46"/>
        <v>0</v>
      </c>
      <c r="EH28" s="122">
        <f t="shared" si="47"/>
        <v>0</v>
      </c>
      <c r="EI28" s="123">
        <f t="shared" si="48"/>
        <v>0</v>
      </c>
      <c r="EJ28" s="123"/>
      <c r="EK28" s="157">
        <f t="shared" si="49"/>
        <v>141950000</v>
      </c>
      <c r="EL28" s="157">
        <f t="shared" si="50"/>
        <v>0</v>
      </c>
      <c r="EM28" s="157">
        <f t="shared" si="51"/>
        <v>10215.361111111111</v>
      </c>
      <c r="EN28" s="123">
        <f t="shared" si="52"/>
        <v>2.5907220852412823E-2</v>
      </c>
      <c r="EP28" s="122"/>
    </row>
    <row r="29" spans="1:146" x14ac:dyDescent="0.25">
      <c r="A29" s="66">
        <f t="shared" si="53"/>
        <v>43665</v>
      </c>
      <c r="D29" s="122">
        <f t="shared" si="2"/>
        <v>0</v>
      </c>
      <c r="G29" s="122">
        <f t="shared" si="3"/>
        <v>0</v>
      </c>
      <c r="J29" s="122">
        <f t="shared" si="4"/>
        <v>0</v>
      </c>
      <c r="M29" s="122">
        <f t="shared" si="5"/>
        <v>0</v>
      </c>
      <c r="P29" s="122">
        <f t="shared" si="6"/>
        <v>0</v>
      </c>
      <c r="S29" s="122">
        <f t="shared" si="7"/>
        <v>0</v>
      </c>
      <c r="V29" s="122">
        <f t="shared" si="8"/>
        <v>0</v>
      </c>
      <c r="Y29" s="122">
        <f t="shared" si="9"/>
        <v>0</v>
      </c>
      <c r="AB29" s="122">
        <f t="shared" si="10"/>
        <v>0</v>
      </c>
      <c r="AE29" s="122">
        <v>0</v>
      </c>
      <c r="AH29" s="122">
        <v>0</v>
      </c>
      <c r="AI29" s="155">
        <f>49600000+175000</f>
        <v>49775000</v>
      </c>
      <c r="AJ29" s="156">
        <v>2.5399999999999999E-2</v>
      </c>
      <c r="AK29" s="122">
        <f t="shared" si="11"/>
        <v>3511.9027777777778</v>
      </c>
      <c r="AL29" s="155"/>
      <c r="AM29" s="156"/>
      <c r="AN29" s="122">
        <f t="shared" si="12"/>
        <v>0</v>
      </c>
      <c r="AO29" s="155"/>
      <c r="AP29" s="156"/>
      <c r="AQ29" s="122">
        <f t="shared" si="13"/>
        <v>0</v>
      </c>
      <c r="AR29" s="155">
        <f t="shared" si="54"/>
        <v>80000000</v>
      </c>
      <c r="AS29" s="156">
        <v>2.63E-2</v>
      </c>
      <c r="AT29" s="122">
        <f t="shared" si="14"/>
        <v>5844.4444444444443</v>
      </c>
      <c r="AW29" s="122">
        <f t="shared" si="15"/>
        <v>0</v>
      </c>
      <c r="AZ29" s="122">
        <f t="shared" si="16"/>
        <v>0</v>
      </c>
      <c r="BC29" s="122">
        <f t="shared" si="17"/>
        <v>0</v>
      </c>
      <c r="BF29" s="122">
        <f t="shared" si="18"/>
        <v>0</v>
      </c>
      <c r="BI29" s="122">
        <f t="shared" si="19"/>
        <v>0</v>
      </c>
      <c r="BL29" s="122">
        <f t="shared" si="20"/>
        <v>0</v>
      </c>
      <c r="BO29" s="122">
        <f t="shared" si="21"/>
        <v>0</v>
      </c>
      <c r="BR29" s="122">
        <f t="shared" si="22"/>
        <v>0</v>
      </c>
      <c r="BU29" s="122">
        <f t="shared" si="23"/>
        <v>0</v>
      </c>
      <c r="BX29" s="122">
        <f t="shared" si="24"/>
        <v>0</v>
      </c>
      <c r="CA29" s="122">
        <f t="shared" si="25"/>
        <v>0</v>
      </c>
      <c r="CD29" s="122">
        <f t="shared" si="26"/>
        <v>0</v>
      </c>
      <c r="CG29" s="122">
        <f t="shared" si="27"/>
        <v>0</v>
      </c>
      <c r="CJ29" s="122">
        <f t="shared" si="28"/>
        <v>0</v>
      </c>
      <c r="CM29" s="122">
        <f t="shared" si="29"/>
        <v>0</v>
      </c>
      <c r="CP29" s="122">
        <f t="shared" si="30"/>
        <v>0</v>
      </c>
      <c r="CS29" s="122">
        <f t="shared" si="31"/>
        <v>0</v>
      </c>
      <c r="CV29" s="122">
        <f t="shared" si="32"/>
        <v>0</v>
      </c>
      <c r="CY29" s="122">
        <f t="shared" si="33"/>
        <v>0</v>
      </c>
      <c r="DB29" s="122">
        <f t="shared" si="34"/>
        <v>0</v>
      </c>
      <c r="DE29" s="122">
        <f t="shared" si="35"/>
        <v>0</v>
      </c>
      <c r="DH29" s="122">
        <f t="shared" si="36"/>
        <v>0</v>
      </c>
      <c r="DK29" s="122">
        <f t="shared" si="37"/>
        <v>0</v>
      </c>
      <c r="DN29" s="122">
        <f t="shared" si="38"/>
        <v>0</v>
      </c>
      <c r="DQ29" s="122">
        <f t="shared" si="39"/>
        <v>0</v>
      </c>
      <c r="DT29" s="122">
        <f t="shared" si="40"/>
        <v>0</v>
      </c>
      <c r="DW29" s="122">
        <f t="shared" si="41"/>
        <v>0</v>
      </c>
      <c r="DZ29" s="122"/>
      <c r="EA29" s="122"/>
      <c r="EB29" s="157">
        <f t="shared" si="42"/>
        <v>129775000</v>
      </c>
      <c r="EC29" s="157">
        <f t="shared" si="43"/>
        <v>0</v>
      </c>
      <c r="ED29" s="122">
        <f t="shared" si="44"/>
        <v>9356.3472222222226</v>
      </c>
      <c r="EE29" s="123">
        <f t="shared" si="45"/>
        <v>2.5954806395684839E-2</v>
      </c>
      <c r="EG29" s="157">
        <f t="shared" si="46"/>
        <v>0</v>
      </c>
      <c r="EH29" s="122">
        <f t="shared" si="47"/>
        <v>0</v>
      </c>
      <c r="EI29" s="123">
        <f t="shared" si="48"/>
        <v>0</v>
      </c>
      <c r="EJ29" s="123"/>
      <c r="EK29" s="157">
        <f t="shared" si="49"/>
        <v>129775000</v>
      </c>
      <c r="EL29" s="157">
        <f t="shared" si="50"/>
        <v>0</v>
      </c>
      <c r="EM29" s="157">
        <f t="shared" si="51"/>
        <v>9356.3472222222226</v>
      </c>
      <c r="EN29" s="123">
        <f t="shared" si="52"/>
        <v>2.5954806395684839E-2</v>
      </c>
      <c r="EP29" s="122"/>
    </row>
    <row r="30" spans="1:146" x14ac:dyDescent="0.25">
      <c r="A30" s="66">
        <f t="shared" si="53"/>
        <v>43666</v>
      </c>
      <c r="D30" s="122">
        <f t="shared" si="2"/>
        <v>0</v>
      </c>
      <c r="G30" s="122">
        <f t="shared" si="3"/>
        <v>0</v>
      </c>
      <c r="J30" s="122">
        <f t="shared" si="4"/>
        <v>0</v>
      </c>
      <c r="M30" s="122">
        <f t="shared" si="5"/>
        <v>0</v>
      </c>
      <c r="P30" s="122">
        <f t="shared" si="6"/>
        <v>0</v>
      </c>
      <c r="S30" s="122">
        <f t="shared" si="7"/>
        <v>0</v>
      </c>
      <c r="V30" s="122">
        <f t="shared" si="8"/>
        <v>0</v>
      </c>
      <c r="Y30" s="122">
        <f t="shared" si="9"/>
        <v>0</v>
      </c>
      <c r="AB30" s="122">
        <f t="shared" si="10"/>
        <v>0</v>
      </c>
      <c r="AE30" s="122">
        <v>0</v>
      </c>
      <c r="AH30" s="122">
        <v>0</v>
      </c>
      <c r="AI30" s="155">
        <f>49600000+175000</f>
        <v>49775000</v>
      </c>
      <c r="AJ30" s="156">
        <v>2.5399999999999999E-2</v>
      </c>
      <c r="AK30" s="122">
        <f t="shared" si="11"/>
        <v>3511.9027777777778</v>
      </c>
      <c r="AL30" s="155"/>
      <c r="AM30" s="156"/>
      <c r="AN30" s="122">
        <f t="shared" si="12"/>
        <v>0</v>
      </c>
      <c r="AO30" s="155"/>
      <c r="AP30" s="156"/>
      <c r="AQ30" s="122">
        <f t="shared" si="13"/>
        <v>0</v>
      </c>
      <c r="AR30" s="155">
        <f t="shared" si="54"/>
        <v>80000000</v>
      </c>
      <c r="AS30" s="156">
        <v>2.63E-2</v>
      </c>
      <c r="AT30" s="122">
        <f t="shared" si="14"/>
        <v>5844.4444444444443</v>
      </c>
      <c r="AW30" s="122">
        <f t="shared" si="15"/>
        <v>0</v>
      </c>
      <c r="AZ30" s="122">
        <f t="shared" si="16"/>
        <v>0</v>
      </c>
      <c r="BC30" s="122">
        <f t="shared" si="17"/>
        <v>0</v>
      </c>
      <c r="BF30" s="122">
        <f t="shared" si="18"/>
        <v>0</v>
      </c>
      <c r="BI30" s="122">
        <f t="shared" si="19"/>
        <v>0</v>
      </c>
      <c r="BL30" s="122">
        <f t="shared" si="20"/>
        <v>0</v>
      </c>
      <c r="BO30" s="122">
        <f t="shared" si="21"/>
        <v>0</v>
      </c>
      <c r="BR30" s="122">
        <f t="shared" si="22"/>
        <v>0</v>
      </c>
      <c r="BU30" s="122">
        <f t="shared" si="23"/>
        <v>0</v>
      </c>
      <c r="BX30" s="122">
        <f t="shared" si="24"/>
        <v>0</v>
      </c>
      <c r="CA30" s="122">
        <f t="shared" si="25"/>
        <v>0</v>
      </c>
      <c r="CD30" s="122">
        <f t="shared" si="26"/>
        <v>0</v>
      </c>
      <c r="CG30" s="122">
        <f t="shared" si="27"/>
        <v>0</v>
      </c>
      <c r="CJ30" s="122">
        <f t="shared" si="28"/>
        <v>0</v>
      </c>
      <c r="CM30" s="122">
        <f t="shared" si="29"/>
        <v>0</v>
      </c>
      <c r="CP30" s="122">
        <f t="shared" si="30"/>
        <v>0</v>
      </c>
      <c r="CS30" s="122">
        <f t="shared" si="31"/>
        <v>0</v>
      </c>
      <c r="CV30" s="122">
        <f t="shared" si="32"/>
        <v>0</v>
      </c>
      <c r="CY30" s="122">
        <f t="shared" si="33"/>
        <v>0</v>
      </c>
      <c r="DB30" s="122">
        <f t="shared" si="34"/>
        <v>0</v>
      </c>
      <c r="DE30" s="122">
        <f t="shared" si="35"/>
        <v>0</v>
      </c>
      <c r="DH30" s="122">
        <f t="shared" si="36"/>
        <v>0</v>
      </c>
      <c r="DK30" s="122">
        <f t="shared" si="37"/>
        <v>0</v>
      </c>
      <c r="DN30" s="122">
        <f t="shared" si="38"/>
        <v>0</v>
      </c>
      <c r="DQ30" s="122">
        <f t="shared" si="39"/>
        <v>0</v>
      </c>
      <c r="DT30" s="122">
        <f t="shared" si="40"/>
        <v>0</v>
      </c>
      <c r="DW30" s="122">
        <f t="shared" si="41"/>
        <v>0</v>
      </c>
      <c r="DZ30" s="122"/>
      <c r="EA30" s="122"/>
      <c r="EB30" s="157">
        <f t="shared" si="42"/>
        <v>129775000</v>
      </c>
      <c r="EC30" s="157">
        <f t="shared" si="43"/>
        <v>0</v>
      </c>
      <c r="ED30" s="122">
        <f t="shared" si="44"/>
        <v>9356.3472222222226</v>
      </c>
      <c r="EE30" s="123">
        <f t="shared" si="45"/>
        <v>2.5954806395684839E-2</v>
      </c>
      <c r="EG30" s="157">
        <f t="shared" si="46"/>
        <v>0</v>
      </c>
      <c r="EH30" s="122">
        <f t="shared" si="47"/>
        <v>0</v>
      </c>
      <c r="EI30" s="123">
        <f t="shared" si="48"/>
        <v>0</v>
      </c>
      <c r="EJ30" s="123"/>
      <c r="EK30" s="157">
        <f t="shared" si="49"/>
        <v>129775000</v>
      </c>
      <c r="EL30" s="157">
        <f t="shared" si="50"/>
        <v>0</v>
      </c>
      <c r="EM30" s="157">
        <f t="shared" si="51"/>
        <v>9356.3472222222226</v>
      </c>
      <c r="EN30" s="123">
        <f t="shared" si="52"/>
        <v>2.5954806395684839E-2</v>
      </c>
      <c r="EP30" s="122"/>
    </row>
    <row r="31" spans="1:146" x14ac:dyDescent="0.25">
      <c r="A31" s="66">
        <f t="shared" si="53"/>
        <v>43667</v>
      </c>
      <c r="D31" s="122">
        <f t="shared" si="2"/>
        <v>0</v>
      </c>
      <c r="G31" s="122">
        <f t="shared" si="3"/>
        <v>0</v>
      </c>
      <c r="J31" s="122">
        <f t="shared" si="4"/>
        <v>0</v>
      </c>
      <c r="M31" s="122">
        <f t="shared" si="5"/>
        <v>0</v>
      </c>
      <c r="P31" s="122">
        <f t="shared" si="6"/>
        <v>0</v>
      </c>
      <c r="S31" s="122">
        <f t="shared" si="7"/>
        <v>0</v>
      </c>
      <c r="V31" s="122">
        <f t="shared" si="8"/>
        <v>0</v>
      </c>
      <c r="Y31" s="122">
        <f t="shared" si="9"/>
        <v>0</v>
      </c>
      <c r="AB31" s="122">
        <f t="shared" si="10"/>
        <v>0</v>
      </c>
      <c r="AE31" s="122">
        <v>0</v>
      </c>
      <c r="AH31" s="122">
        <v>0</v>
      </c>
      <c r="AI31" s="155">
        <f>49600000+175000</f>
        <v>49775000</v>
      </c>
      <c r="AJ31" s="156">
        <v>2.5399999999999999E-2</v>
      </c>
      <c r="AK31" s="122">
        <f t="shared" si="11"/>
        <v>3511.9027777777778</v>
      </c>
      <c r="AL31" s="155"/>
      <c r="AM31" s="156"/>
      <c r="AN31" s="122">
        <f t="shared" si="12"/>
        <v>0</v>
      </c>
      <c r="AO31" s="155"/>
      <c r="AP31" s="156"/>
      <c r="AQ31" s="122">
        <f t="shared" si="13"/>
        <v>0</v>
      </c>
      <c r="AR31" s="155">
        <f t="shared" si="54"/>
        <v>80000000</v>
      </c>
      <c r="AS31" s="156">
        <v>2.63E-2</v>
      </c>
      <c r="AT31" s="122">
        <f t="shared" si="14"/>
        <v>5844.4444444444443</v>
      </c>
      <c r="AW31" s="122">
        <f t="shared" si="15"/>
        <v>0</v>
      </c>
      <c r="AZ31" s="122">
        <f t="shared" si="16"/>
        <v>0</v>
      </c>
      <c r="BC31" s="122">
        <f t="shared" si="17"/>
        <v>0</v>
      </c>
      <c r="BF31" s="122">
        <f t="shared" si="18"/>
        <v>0</v>
      </c>
      <c r="BI31" s="122">
        <f t="shared" si="19"/>
        <v>0</v>
      </c>
      <c r="BL31" s="122">
        <f t="shared" si="20"/>
        <v>0</v>
      </c>
      <c r="BO31" s="122">
        <f t="shared" si="21"/>
        <v>0</v>
      </c>
      <c r="BR31" s="122">
        <f t="shared" si="22"/>
        <v>0</v>
      </c>
      <c r="BU31" s="122">
        <f t="shared" si="23"/>
        <v>0</v>
      </c>
      <c r="BX31" s="122">
        <f t="shared" si="24"/>
        <v>0</v>
      </c>
      <c r="CA31" s="122">
        <f t="shared" si="25"/>
        <v>0</v>
      </c>
      <c r="CD31" s="122">
        <f t="shared" si="26"/>
        <v>0</v>
      </c>
      <c r="CG31" s="122">
        <f t="shared" si="27"/>
        <v>0</v>
      </c>
      <c r="CJ31" s="122">
        <f t="shared" si="28"/>
        <v>0</v>
      </c>
      <c r="CM31" s="122">
        <f t="shared" si="29"/>
        <v>0</v>
      </c>
      <c r="CP31" s="122">
        <f t="shared" si="30"/>
        <v>0</v>
      </c>
      <c r="CS31" s="122">
        <f t="shared" si="31"/>
        <v>0</v>
      </c>
      <c r="CV31" s="122">
        <f t="shared" si="32"/>
        <v>0</v>
      </c>
      <c r="CY31" s="122">
        <f t="shared" si="33"/>
        <v>0</v>
      </c>
      <c r="DB31" s="122">
        <f t="shared" si="34"/>
        <v>0</v>
      </c>
      <c r="DE31" s="122">
        <f t="shared" si="35"/>
        <v>0</v>
      </c>
      <c r="DH31" s="122">
        <f t="shared" si="36"/>
        <v>0</v>
      </c>
      <c r="DK31" s="122">
        <f t="shared" si="37"/>
        <v>0</v>
      </c>
      <c r="DN31" s="122">
        <f t="shared" si="38"/>
        <v>0</v>
      </c>
      <c r="DQ31" s="122">
        <f t="shared" si="39"/>
        <v>0</v>
      </c>
      <c r="DT31" s="122">
        <f t="shared" si="40"/>
        <v>0</v>
      </c>
      <c r="DW31" s="122">
        <f t="shared" si="41"/>
        <v>0</v>
      </c>
      <c r="DZ31" s="122"/>
      <c r="EA31" s="122"/>
      <c r="EB31" s="157">
        <f t="shared" si="42"/>
        <v>129775000</v>
      </c>
      <c r="EC31" s="157">
        <f t="shared" si="43"/>
        <v>0</v>
      </c>
      <c r="ED31" s="122">
        <f t="shared" si="44"/>
        <v>9356.3472222222226</v>
      </c>
      <c r="EE31" s="123">
        <f t="shared" si="45"/>
        <v>2.5954806395684839E-2</v>
      </c>
      <c r="EG31" s="157">
        <f t="shared" si="46"/>
        <v>0</v>
      </c>
      <c r="EH31" s="122">
        <f t="shared" si="47"/>
        <v>0</v>
      </c>
      <c r="EI31" s="123">
        <f t="shared" si="48"/>
        <v>0</v>
      </c>
      <c r="EJ31" s="123"/>
      <c r="EK31" s="157">
        <f t="shared" si="49"/>
        <v>129775000</v>
      </c>
      <c r="EL31" s="157">
        <f t="shared" si="50"/>
        <v>0</v>
      </c>
      <c r="EM31" s="157">
        <f t="shared" si="51"/>
        <v>9356.3472222222226</v>
      </c>
      <c r="EN31" s="123">
        <f t="shared" si="52"/>
        <v>2.5954806395684839E-2</v>
      </c>
      <c r="EP31" s="122"/>
    </row>
    <row r="32" spans="1:146" x14ac:dyDescent="0.25">
      <c r="A32" s="66">
        <f t="shared" si="53"/>
        <v>43668</v>
      </c>
      <c r="D32" s="122">
        <f t="shared" si="2"/>
        <v>0</v>
      </c>
      <c r="G32" s="122">
        <f t="shared" si="3"/>
        <v>0</v>
      </c>
      <c r="J32" s="122">
        <f t="shared" si="4"/>
        <v>0</v>
      </c>
      <c r="M32" s="122">
        <f t="shared" si="5"/>
        <v>0</v>
      </c>
      <c r="P32" s="122">
        <f t="shared" si="6"/>
        <v>0</v>
      </c>
      <c r="S32" s="122">
        <f t="shared" si="7"/>
        <v>0</v>
      </c>
      <c r="V32" s="122">
        <f t="shared" si="8"/>
        <v>0</v>
      </c>
      <c r="Y32" s="122">
        <f t="shared" si="9"/>
        <v>0</v>
      </c>
      <c r="AB32" s="122">
        <f t="shared" si="10"/>
        <v>0</v>
      </c>
      <c r="AE32" s="122">
        <v>0</v>
      </c>
      <c r="AH32" s="122">
        <v>0</v>
      </c>
      <c r="AI32" s="155">
        <f>52725000</f>
        <v>52725000</v>
      </c>
      <c r="AJ32" s="156">
        <v>2.5399999999999999E-2</v>
      </c>
      <c r="AK32" s="122">
        <f t="shared" si="11"/>
        <v>3720.0416666666665</v>
      </c>
      <c r="AL32" s="155"/>
      <c r="AM32" s="156"/>
      <c r="AN32" s="122">
        <f t="shared" si="12"/>
        <v>0</v>
      </c>
      <c r="AO32" s="155"/>
      <c r="AP32" s="156"/>
      <c r="AQ32" s="122">
        <f t="shared" si="13"/>
        <v>0</v>
      </c>
      <c r="AR32" s="155">
        <f t="shared" si="54"/>
        <v>80000000</v>
      </c>
      <c r="AS32" s="156">
        <v>2.63E-2</v>
      </c>
      <c r="AT32" s="122">
        <f t="shared" si="14"/>
        <v>5844.4444444444443</v>
      </c>
      <c r="AW32" s="122">
        <f t="shared" si="15"/>
        <v>0</v>
      </c>
      <c r="AZ32" s="122">
        <f t="shared" si="16"/>
        <v>0</v>
      </c>
      <c r="BC32" s="122">
        <f t="shared" si="17"/>
        <v>0</v>
      </c>
      <c r="BF32" s="122">
        <f t="shared" si="18"/>
        <v>0</v>
      </c>
      <c r="BI32" s="122">
        <f t="shared" si="19"/>
        <v>0</v>
      </c>
      <c r="BL32" s="122">
        <f t="shared" si="20"/>
        <v>0</v>
      </c>
      <c r="BO32" s="122">
        <f t="shared" si="21"/>
        <v>0</v>
      </c>
      <c r="BR32" s="122">
        <f t="shared" si="22"/>
        <v>0</v>
      </c>
      <c r="BU32" s="122">
        <f t="shared" si="23"/>
        <v>0</v>
      </c>
      <c r="BX32" s="122">
        <f t="shared" si="24"/>
        <v>0</v>
      </c>
      <c r="CA32" s="122">
        <f t="shared" si="25"/>
        <v>0</v>
      </c>
      <c r="CD32" s="122">
        <f t="shared" si="26"/>
        <v>0</v>
      </c>
      <c r="CG32" s="122">
        <f t="shared" si="27"/>
        <v>0</v>
      </c>
      <c r="CJ32" s="122">
        <f t="shared" si="28"/>
        <v>0</v>
      </c>
      <c r="CM32" s="122">
        <f t="shared" si="29"/>
        <v>0</v>
      </c>
      <c r="CP32" s="122">
        <f t="shared" si="30"/>
        <v>0</v>
      </c>
      <c r="CS32" s="122">
        <f t="shared" si="31"/>
        <v>0</v>
      </c>
      <c r="CV32" s="122">
        <f t="shared" si="32"/>
        <v>0</v>
      </c>
      <c r="CY32" s="122">
        <f t="shared" si="33"/>
        <v>0</v>
      </c>
      <c r="DB32" s="122">
        <f t="shared" si="34"/>
        <v>0</v>
      </c>
      <c r="DE32" s="122">
        <f t="shared" si="35"/>
        <v>0</v>
      </c>
      <c r="DH32" s="122">
        <f t="shared" si="36"/>
        <v>0</v>
      </c>
      <c r="DK32" s="122">
        <f t="shared" si="37"/>
        <v>0</v>
      </c>
      <c r="DN32" s="122">
        <f t="shared" si="38"/>
        <v>0</v>
      </c>
      <c r="DQ32" s="122">
        <f t="shared" si="39"/>
        <v>0</v>
      </c>
      <c r="DT32" s="122">
        <f t="shared" si="40"/>
        <v>0</v>
      </c>
      <c r="DW32" s="122">
        <f t="shared" si="41"/>
        <v>0</v>
      </c>
      <c r="DZ32" s="122"/>
      <c r="EA32" s="122"/>
      <c r="EB32" s="157">
        <f t="shared" si="42"/>
        <v>132725000</v>
      </c>
      <c r="EC32" s="157">
        <f t="shared" si="43"/>
        <v>0</v>
      </c>
      <c r="ED32" s="122">
        <f t="shared" si="44"/>
        <v>9564.4861111111113</v>
      </c>
      <c r="EE32" s="123">
        <f t="shared" si="45"/>
        <v>2.5942475042380862E-2</v>
      </c>
      <c r="EG32" s="157">
        <f t="shared" si="46"/>
        <v>0</v>
      </c>
      <c r="EH32" s="122">
        <f t="shared" si="47"/>
        <v>0</v>
      </c>
      <c r="EI32" s="123">
        <f t="shared" si="48"/>
        <v>0</v>
      </c>
      <c r="EJ32" s="123"/>
      <c r="EK32" s="157">
        <f t="shared" si="49"/>
        <v>132725000</v>
      </c>
      <c r="EL32" s="157">
        <f t="shared" si="50"/>
        <v>0</v>
      </c>
      <c r="EM32" s="157">
        <f t="shared" si="51"/>
        <v>9564.4861111111113</v>
      </c>
      <c r="EN32" s="123">
        <f t="shared" si="52"/>
        <v>2.5942475042380862E-2</v>
      </c>
      <c r="EP32" s="122"/>
    </row>
    <row r="33" spans="1:146" x14ac:dyDescent="0.25">
      <c r="A33" s="66">
        <f t="shared" si="53"/>
        <v>43669</v>
      </c>
      <c r="D33" s="122">
        <f t="shared" si="2"/>
        <v>0</v>
      </c>
      <c r="G33" s="122">
        <f t="shared" si="3"/>
        <v>0</v>
      </c>
      <c r="J33" s="122">
        <f t="shared" si="4"/>
        <v>0</v>
      </c>
      <c r="M33" s="122">
        <f t="shared" si="5"/>
        <v>0</v>
      </c>
      <c r="P33" s="122">
        <f t="shared" si="6"/>
        <v>0</v>
      </c>
      <c r="S33" s="122">
        <f t="shared" si="7"/>
        <v>0</v>
      </c>
      <c r="V33" s="122">
        <f t="shared" si="8"/>
        <v>0</v>
      </c>
      <c r="Y33" s="122">
        <f t="shared" si="9"/>
        <v>0</v>
      </c>
      <c r="AB33" s="122">
        <f t="shared" si="10"/>
        <v>0</v>
      </c>
      <c r="AE33" s="122">
        <v>0</v>
      </c>
      <c r="AH33" s="122">
        <v>0</v>
      </c>
      <c r="AI33" s="155">
        <f>43775000</f>
        <v>43775000</v>
      </c>
      <c r="AJ33" s="156">
        <v>2.5399999999999999E-2</v>
      </c>
      <c r="AK33" s="122">
        <f t="shared" si="11"/>
        <v>3088.5694444444443</v>
      </c>
      <c r="AL33" s="155"/>
      <c r="AM33" s="156"/>
      <c r="AN33" s="122">
        <f t="shared" si="12"/>
        <v>0</v>
      </c>
      <c r="AO33" s="155"/>
      <c r="AP33" s="156"/>
      <c r="AQ33" s="122">
        <f t="shared" si="13"/>
        <v>0</v>
      </c>
      <c r="AR33" s="155">
        <f t="shared" si="54"/>
        <v>80000000</v>
      </c>
      <c r="AS33" s="156">
        <v>2.63E-2</v>
      </c>
      <c r="AT33" s="122">
        <f t="shared" si="14"/>
        <v>5844.4444444444443</v>
      </c>
      <c r="AW33" s="122">
        <f t="shared" si="15"/>
        <v>0</v>
      </c>
      <c r="AZ33" s="122">
        <f t="shared" si="16"/>
        <v>0</v>
      </c>
      <c r="BC33" s="122">
        <f t="shared" si="17"/>
        <v>0</v>
      </c>
      <c r="BF33" s="122">
        <f t="shared" si="18"/>
        <v>0</v>
      </c>
      <c r="BI33" s="122">
        <f t="shared" si="19"/>
        <v>0</v>
      </c>
      <c r="BL33" s="122">
        <f t="shared" si="20"/>
        <v>0</v>
      </c>
      <c r="BO33" s="122">
        <f t="shared" si="21"/>
        <v>0</v>
      </c>
      <c r="BR33" s="122">
        <f t="shared" si="22"/>
        <v>0</v>
      </c>
      <c r="BU33" s="122">
        <f t="shared" si="23"/>
        <v>0</v>
      </c>
      <c r="BX33" s="122">
        <f t="shared" si="24"/>
        <v>0</v>
      </c>
      <c r="CA33" s="122">
        <f t="shared" si="25"/>
        <v>0</v>
      </c>
      <c r="CD33" s="122">
        <f t="shared" si="26"/>
        <v>0</v>
      </c>
      <c r="CG33" s="122">
        <f t="shared" si="27"/>
        <v>0</v>
      </c>
      <c r="CJ33" s="122">
        <f t="shared" si="28"/>
        <v>0</v>
      </c>
      <c r="CM33" s="122">
        <f t="shared" si="29"/>
        <v>0</v>
      </c>
      <c r="CP33" s="122">
        <f t="shared" si="30"/>
        <v>0</v>
      </c>
      <c r="CS33" s="122">
        <f t="shared" si="31"/>
        <v>0</v>
      </c>
      <c r="CV33" s="122">
        <f t="shared" si="32"/>
        <v>0</v>
      </c>
      <c r="CY33" s="122">
        <f t="shared" si="33"/>
        <v>0</v>
      </c>
      <c r="DB33" s="122">
        <f t="shared" si="34"/>
        <v>0</v>
      </c>
      <c r="DE33" s="122">
        <f t="shared" si="35"/>
        <v>0</v>
      </c>
      <c r="DH33" s="122">
        <f t="shared" si="36"/>
        <v>0</v>
      </c>
      <c r="DK33" s="122">
        <f t="shared" si="37"/>
        <v>0</v>
      </c>
      <c r="DN33" s="122">
        <f t="shared" si="38"/>
        <v>0</v>
      </c>
      <c r="DQ33" s="122">
        <f t="shared" si="39"/>
        <v>0</v>
      </c>
      <c r="DT33" s="122">
        <f t="shared" si="40"/>
        <v>0</v>
      </c>
      <c r="DW33" s="122">
        <f t="shared" si="41"/>
        <v>0</v>
      </c>
      <c r="DZ33" s="122"/>
      <c r="EA33" s="122"/>
      <c r="EB33" s="157">
        <f t="shared" si="42"/>
        <v>123775000</v>
      </c>
      <c r="EC33" s="157">
        <f t="shared" si="43"/>
        <v>0</v>
      </c>
      <c r="ED33" s="122">
        <f t="shared" si="44"/>
        <v>8933.0138888888887</v>
      </c>
      <c r="EE33" s="123">
        <f t="shared" si="45"/>
        <v>2.5981700666532014E-2</v>
      </c>
      <c r="EG33" s="157">
        <f t="shared" si="46"/>
        <v>0</v>
      </c>
      <c r="EH33" s="122">
        <f t="shared" si="47"/>
        <v>0</v>
      </c>
      <c r="EI33" s="123">
        <f t="shared" si="48"/>
        <v>0</v>
      </c>
      <c r="EJ33" s="123"/>
      <c r="EK33" s="157">
        <f t="shared" si="49"/>
        <v>123775000</v>
      </c>
      <c r="EL33" s="157">
        <f t="shared" si="50"/>
        <v>0</v>
      </c>
      <c r="EM33" s="157">
        <f t="shared" si="51"/>
        <v>8933.0138888888887</v>
      </c>
      <c r="EN33" s="123">
        <f t="shared" si="52"/>
        <v>2.5981700666532014E-2</v>
      </c>
      <c r="EP33" s="122"/>
    </row>
    <row r="34" spans="1:146" x14ac:dyDescent="0.25">
      <c r="A34" s="66">
        <f t="shared" si="53"/>
        <v>43670</v>
      </c>
      <c r="D34" s="122">
        <f t="shared" si="2"/>
        <v>0</v>
      </c>
      <c r="G34" s="122">
        <f t="shared" si="3"/>
        <v>0</v>
      </c>
      <c r="J34" s="122">
        <f t="shared" si="4"/>
        <v>0</v>
      </c>
      <c r="M34" s="122">
        <f t="shared" si="5"/>
        <v>0</v>
      </c>
      <c r="P34" s="122">
        <f t="shared" si="6"/>
        <v>0</v>
      </c>
      <c r="S34" s="122">
        <f t="shared" si="7"/>
        <v>0</v>
      </c>
      <c r="V34" s="122">
        <f t="shared" si="8"/>
        <v>0</v>
      </c>
      <c r="Y34" s="122">
        <f t="shared" si="9"/>
        <v>0</v>
      </c>
      <c r="AB34" s="122">
        <f t="shared" si="10"/>
        <v>0</v>
      </c>
      <c r="AE34" s="122">
        <v>0</v>
      </c>
      <c r="AH34" s="122">
        <v>0</v>
      </c>
      <c r="AI34" s="155">
        <f>26925000</f>
        <v>26925000</v>
      </c>
      <c r="AJ34" s="156">
        <v>2.5399999999999999E-2</v>
      </c>
      <c r="AK34" s="122">
        <f t="shared" si="11"/>
        <v>1899.7083333333333</v>
      </c>
      <c r="AL34" s="155"/>
      <c r="AM34" s="156"/>
      <c r="AN34" s="122">
        <f t="shared" si="12"/>
        <v>0</v>
      </c>
      <c r="AO34" s="155"/>
      <c r="AP34" s="156"/>
      <c r="AQ34" s="122">
        <f t="shared" si="13"/>
        <v>0</v>
      </c>
      <c r="AR34" s="155">
        <f t="shared" si="54"/>
        <v>80000000</v>
      </c>
      <c r="AS34" s="156">
        <v>2.63E-2</v>
      </c>
      <c r="AT34" s="122">
        <f t="shared" si="14"/>
        <v>5844.4444444444443</v>
      </c>
      <c r="AW34" s="122">
        <f t="shared" si="15"/>
        <v>0</v>
      </c>
      <c r="AZ34" s="122">
        <f t="shared" si="16"/>
        <v>0</v>
      </c>
      <c r="BC34" s="122">
        <f t="shared" si="17"/>
        <v>0</v>
      </c>
      <c r="BF34" s="122">
        <f t="shared" si="18"/>
        <v>0</v>
      </c>
      <c r="BI34" s="122">
        <f t="shared" si="19"/>
        <v>0</v>
      </c>
      <c r="BL34" s="122">
        <f t="shared" si="20"/>
        <v>0</v>
      </c>
      <c r="BO34" s="122">
        <f t="shared" si="21"/>
        <v>0</v>
      </c>
      <c r="BR34" s="122">
        <f t="shared" si="22"/>
        <v>0</v>
      </c>
      <c r="BU34" s="122">
        <f t="shared" si="23"/>
        <v>0</v>
      </c>
      <c r="BX34" s="122">
        <f t="shared" si="24"/>
        <v>0</v>
      </c>
      <c r="CA34" s="122">
        <f t="shared" si="25"/>
        <v>0</v>
      </c>
      <c r="CD34" s="122">
        <f t="shared" si="26"/>
        <v>0</v>
      </c>
      <c r="CG34" s="122">
        <f t="shared" si="27"/>
        <v>0</v>
      </c>
      <c r="CJ34" s="122">
        <f t="shared" si="28"/>
        <v>0</v>
      </c>
      <c r="CM34" s="122">
        <f t="shared" si="29"/>
        <v>0</v>
      </c>
      <c r="CP34" s="122">
        <f t="shared" si="30"/>
        <v>0</v>
      </c>
      <c r="CS34" s="122">
        <f t="shared" si="31"/>
        <v>0</v>
      </c>
      <c r="CV34" s="122">
        <f t="shared" si="32"/>
        <v>0</v>
      </c>
      <c r="CY34" s="122">
        <f t="shared" si="33"/>
        <v>0</v>
      </c>
      <c r="DB34" s="122">
        <f t="shared" si="34"/>
        <v>0</v>
      </c>
      <c r="DE34" s="122">
        <f t="shared" si="35"/>
        <v>0</v>
      </c>
      <c r="DH34" s="122">
        <f t="shared" si="36"/>
        <v>0</v>
      </c>
      <c r="DK34" s="122">
        <f t="shared" si="37"/>
        <v>0</v>
      </c>
      <c r="DN34" s="122">
        <f t="shared" si="38"/>
        <v>0</v>
      </c>
      <c r="DQ34" s="122">
        <f t="shared" si="39"/>
        <v>0</v>
      </c>
      <c r="DT34" s="122">
        <f t="shared" si="40"/>
        <v>0</v>
      </c>
      <c r="DW34" s="122">
        <f t="shared" si="41"/>
        <v>0</v>
      </c>
      <c r="DZ34" s="122"/>
      <c r="EA34" s="122"/>
      <c r="EB34" s="157">
        <f t="shared" si="42"/>
        <v>106925000</v>
      </c>
      <c r="EC34" s="157">
        <f t="shared" si="43"/>
        <v>0</v>
      </c>
      <c r="ED34" s="122">
        <f t="shared" si="44"/>
        <v>7744.1527777777774</v>
      </c>
      <c r="EE34" s="123">
        <f t="shared" si="45"/>
        <v>2.6073369184007482E-2</v>
      </c>
      <c r="EG34" s="157">
        <f t="shared" si="46"/>
        <v>0</v>
      </c>
      <c r="EH34" s="122">
        <f t="shared" si="47"/>
        <v>0</v>
      </c>
      <c r="EI34" s="123">
        <f t="shared" si="48"/>
        <v>0</v>
      </c>
      <c r="EJ34" s="123"/>
      <c r="EK34" s="157">
        <f t="shared" si="49"/>
        <v>106925000</v>
      </c>
      <c r="EL34" s="157">
        <f t="shared" si="50"/>
        <v>0</v>
      </c>
      <c r="EM34" s="157">
        <f t="shared" si="51"/>
        <v>7744.1527777777774</v>
      </c>
      <c r="EN34" s="123">
        <f t="shared" si="52"/>
        <v>2.6073369184007482E-2</v>
      </c>
      <c r="EP34" s="122"/>
    </row>
    <row r="35" spans="1:146" x14ac:dyDescent="0.25">
      <c r="A35" s="66">
        <f t="shared" si="53"/>
        <v>43671</v>
      </c>
      <c r="D35" s="122">
        <f t="shared" si="2"/>
        <v>0</v>
      </c>
      <c r="G35" s="122">
        <f t="shared" si="3"/>
        <v>0</v>
      </c>
      <c r="J35" s="122">
        <f t="shared" si="4"/>
        <v>0</v>
      </c>
      <c r="M35" s="122">
        <f t="shared" si="5"/>
        <v>0</v>
      </c>
      <c r="P35" s="122">
        <f t="shared" si="6"/>
        <v>0</v>
      </c>
      <c r="S35" s="122">
        <f t="shared" si="7"/>
        <v>0</v>
      </c>
      <c r="V35" s="122">
        <f t="shared" si="8"/>
        <v>0</v>
      </c>
      <c r="Y35" s="122">
        <f t="shared" si="9"/>
        <v>0</v>
      </c>
      <c r="AB35" s="122">
        <f t="shared" si="10"/>
        <v>0</v>
      </c>
      <c r="AE35" s="122">
        <v>0</v>
      </c>
      <c r="AH35" s="122">
        <v>0</v>
      </c>
      <c r="AI35" s="155">
        <f>22175000</f>
        <v>22175000</v>
      </c>
      <c r="AJ35" s="156">
        <v>2.5399999999999999E-2</v>
      </c>
      <c r="AK35" s="122">
        <f t="shared" si="11"/>
        <v>1564.5694444444443</v>
      </c>
      <c r="AL35" s="155"/>
      <c r="AM35" s="156"/>
      <c r="AN35" s="122">
        <f t="shared" si="12"/>
        <v>0</v>
      </c>
      <c r="AO35" s="155"/>
      <c r="AP35" s="156"/>
      <c r="AQ35" s="122">
        <f t="shared" si="13"/>
        <v>0</v>
      </c>
      <c r="AR35" s="155">
        <f t="shared" si="54"/>
        <v>80000000</v>
      </c>
      <c r="AS35" s="156">
        <v>2.63E-2</v>
      </c>
      <c r="AT35" s="122">
        <f t="shared" si="14"/>
        <v>5844.4444444444443</v>
      </c>
      <c r="AW35" s="122">
        <f t="shared" si="15"/>
        <v>0</v>
      </c>
      <c r="AZ35" s="122">
        <f t="shared" si="16"/>
        <v>0</v>
      </c>
      <c r="BC35" s="122">
        <f t="shared" si="17"/>
        <v>0</v>
      </c>
      <c r="BF35" s="122">
        <f t="shared" si="18"/>
        <v>0</v>
      </c>
      <c r="BI35" s="122">
        <f t="shared" si="19"/>
        <v>0</v>
      </c>
      <c r="BL35" s="122">
        <f t="shared" si="20"/>
        <v>0</v>
      </c>
      <c r="BO35" s="122">
        <f t="shared" si="21"/>
        <v>0</v>
      </c>
      <c r="BR35" s="122">
        <f t="shared" si="22"/>
        <v>0</v>
      </c>
      <c r="BU35" s="122">
        <f t="shared" si="23"/>
        <v>0</v>
      </c>
      <c r="BX35" s="122">
        <f t="shared" si="24"/>
        <v>0</v>
      </c>
      <c r="CA35" s="122">
        <f t="shared" si="25"/>
        <v>0</v>
      </c>
      <c r="CD35" s="122">
        <f t="shared" si="26"/>
        <v>0</v>
      </c>
      <c r="CG35" s="122">
        <f t="shared" si="27"/>
        <v>0</v>
      </c>
      <c r="CJ35" s="122">
        <f t="shared" si="28"/>
        <v>0</v>
      </c>
      <c r="CM35" s="122">
        <f t="shared" si="29"/>
        <v>0</v>
      </c>
      <c r="CP35" s="122">
        <f t="shared" si="30"/>
        <v>0</v>
      </c>
      <c r="CS35" s="122">
        <f t="shared" si="31"/>
        <v>0</v>
      </c>
      <c r="CV35" s="122">
        <f t="shared" si="32"/>
        <v>0</v>
      </c>
      <c r="CY35" s="122">
        <f t="shared" si="33"/>
        <v>0</v>
      </c>
      <c r="DB35" s="122">
        <f t="shared" si="34"/>
        <v>0</v>
      </c>
      <c r="DE35" s="122">
        <f t="shared" si="35"/>
        <v>0</v>
      </c>
      <c r="DH35" s="122">
        <f t="shared" si="36"/>
        <v>0</v>
      </c>
      <c r="DK35" s="122">
        <f t="shared" si="37"/>
        <v>0</v>
      </c>
      <c r="DN35" s="122">
        <f t="shared" si="38"/>
        <v>0</v>
      </c>
      <c r="DQ35" s="122">
        <f t="shared" si="39"/>
        <v>0</v>
      </c>
      <c r="DT35" s="122">
        <f t="shared" si="40"/>
        <v>0</v>
      </c>
      <c r="DW35" s="122">
        <f t="shared" si="41"/>
        <v>0</v>
      </c>
      <c r="DZ35" s="122"/>
      <c r="EA35" s="122"/>
      <c r="EB35" s="157">
        <f t="shared" si="42"/>
        <v>102175000</v>
      </c>
      <c r="EC35" s="157">
        <f t="shared" si="43"/>
        <v>0</v>
      </c>
      <c r="ED35" s="122">
        <f t="shared" si="44"/>
        <v>7409.0138888888887</v>
      </c>
      <c r="EE35" s="123">
        <f t="shared" si="45"/>
        <v>2.6104673354538782E-2</v>
      </c>
      <c r="EG35" s="157">
        <f t="shared" si="46"/>
        <v>0</v>
      </c>
      <c r="EH35" s="122">
        <f t="shared" si="47"/>
        <v>0</v>
      </c>
      <c r="EI35" s="123">
        <f t="shared" si="48"/>
        <v>0</v>
      </c>
      <c r="EJ35" s="123"/>
      <c r="EK35" s="157">
        <f t="shared" si="49"/>
        <v>102175000</v>
      </c>
      <c r="EL35" s="157">
        <f t="shared" si="50"/>
        <v>0</v>
      </c>
      <c r="EM35" s="157">
        <f t="shared" si="51"/>
        <v>7409.0138888888887</v>
      </c>
      <c r="EN35" s="123">
        <f t="shared" si="52"/>
        <v>2.6104673354538782E-2</v>
      </c>
      <c r="EP35" s="122"/>
    </row>
    <row r="36" spans="1:146" x14ac:dyDescent="0.25">
      <c r="A36" s="66">
        <f t="shared" si="53"/>
        <v>43672</v>
      </c>
      <c r="D36" s="122">
        <f t="shared" si="2"/>
        <v>0</v>
      </c>
      <c r="G36" s="122">
        <f t="shared" si="3"/>
        <v>0</v>
      </c>
      <c r="J36" s="122">
        <f t="shared" si="4"/>
        <v>0</v>
      </c>
      <c r="M36" s="122">
        <f t="shared" si="5"/>
        <v>0</v>
      </c>
      <c r="P36" s="122">
        <f t="shared" si="6"/>
        <v>0</v>
      </c>
      <c r="S36" s="122">
        <f t="shared" si="7"/>
        <v>0</v>
      </c>
      <c r="V36" s="122">
        <f t="shared" si="8"/>
        <v>0</v>
      </c>
      <c r="Y36" s="122">
        <f t="shared" si="9"/>
        <v>0</v>
      </c>
      <c r="AB36" s="122">
        <f t="shared" si="10"/>
        <v>0</v>
      </c>
      <c r="AE36" s="122">
        <v>0</v>
      </c>
      <c r="AH36" s="122">
        <v>0</v>
      </c>
      <c r="AI36" s="155">
        <f>31825000</f>
        <v>31825000</v>
      </c>
      <c r="AJ36" s="156">
        <v>2.5399999999999999E-2</v>
      </c>
      <c r="AK36" s="122">
        <f t="shared" si="11"/>
        <v>2245.4305555555557</v>
      </c>
      <c r="AL36" s="155"/>
      <c r="AM36" s="156"/>
      <c r="AN36" s="122">
        <f t="shared" si="12"/>
        <v>0</v>
      </c>
      <c r="AO36" s="155"/>
      <c r="AP36" s="156"/>
      <c r="AQ36" s="122">
        <f t="shared" si="13"/>
        <v>0</v>
      </c>
      <c r="AR36" s="155">
        <f t="shared" si="54"/>
        <v>80000000</v>
      </c>
      <c r="AS36" s="156">
        <v>2.63E-2</v>
      </c>
      <c r="AT36" s="122">
        <f t="shared" si="14"/>
        <v>5844.4444444444443</v>
      </c>
      <c r="AW36" s="122">
        <f t="shared" si="15"/>
        <v>0</v>
      </c>
      <c r="AZ36" s="122">
        <f t="shared" si="16"/>
        <v>0</v>
      </c>
      <c r="BC36" s="122">
        <f t="shared" si="17"/>
        <v>0</v>
      </c>
      <c r="BF36" s="122">
        <f t="shared" si="18"/>
        <v>0</v>
      </c>
      <c r="BI36" s="122">
        <f t="shared" si="19"/>
        <v>0</v>
      </c>
      <c r="BL36" s="122">
        <f t="shared" si="20"/>
        <v>0</v>
      </c>
      <c r="BO36" s="122">
        <f t="shared" si="21"/>
        <v>0</v>
      </c>
      <c r="BR36" s="122">
        <f t="shared" si="22"/>
        <v>0</v>
      </c>
      <c r="BU36" s="122">
        <f t="shared" si="23"/>
        <v>0</v>
      </c>
      <c r="BX36" s="122">
        <f t="shared" si="24"/>
        <v>0</v>
      </c>
      <c r="CA36" s="122">
        <f t="shared" si="25"/>
        <v>0</v>
      </c>
      <c r="CD36" s="122">
        <f t="shared" si="26"/>
        <v>0</v>
      </c>
      <c r="CG36" s="122">
        <f t="shared" si="27"/>
        <v>0</v>
      </c>
      <c r="CJ36" s="122">
        <f t="shared" si="28"/>
        <v>0</v>
      </c>
      <c r="CM36" s="122">
        <f t="shared" si="29"/>
        <v>0</v>
      </c>
      <c r="CP36" s="122">
        <f t="shared" si="30"/>
        <v>0</v>
      </c>
      <c r="CS36" s="122">
        <f t="shared" si="31"/>
        <v>0</v>
      </c>
      <c r="CV36" s="122">
        <f t="shared" si="32"/>
        <v>0</v>
      </c>
      <c r="CY36" s="122">
        <f t="shared" si="33"/>
        <v>0</v>
      </c>
      <c r="DB36" s="122">
        <f t="shared" si="34"/>
        <v>0</v>
      </c>
      <c r="DE36" s="122">
        <f t="shared" si="35"/>
        <v>0</v>
      </c>
      <c r="DH36" s="122">
        <f t="shared" si="36"/>
        <v>0</v>
      </c>
      <c r="DK36" s="122">
        <f t="shared" si="37"/>
        <v>0</v>
      </c>
      <c r="DN36" s="122">
        <f t="shared" si="38"/>
        <v>0</v>
      </c>
      <c r="DQ36" s="122">
        <f t="shared" si="39"/>
        <v>0</v>
      </c>
      <c r="DT36" s="122">
        <f t="shared" si="40"/>
        <v>0</v>
      </c>
      <c r="DW36" s="122">
        <f t="shared" si="41"/>
        <v>0</v>
      </c>
      <c r="DZ36" s="122"/>
      <c r="EA36" s="122"/>
      <c r="EB36" s="157">
        <f t="shared" si="42"/>
        <v>111825000</v>
      </c>
      <c r="EC36" s="157">
        <f t="shared" si="43"/>
        <v>0</v>
      </c>
      <c r="ED36" s="122">
        <f t="shared" si="44"/>
        <v>8089.875</v>
      </c>
      <c r="EE36" s="123">
        <f t="shared" si="45"/>
        <v>2.6043863179074443E-2</v>
      </c>
      <c r="EG36" s="157">
        <f t="shared" si="46"/>
        <v>0</v>
      </c>
      <c r="EH36" s="122">
        <f t="shared" si="47"/>
        <v>0</v>
      </c>
      <c r="EI36" s="123">
        <f t="shared" si="48"/>
        <v>0</v>
      </c>
      <c r="EJ36" s="123"/>
      <c r="EK36" s="157">
        <f t="shared" si="49"/>
        <v>111825000</v>
      </c>
      <c r="EL36" s="157">
        <f t="shared" si="50"/>
        <v>0</v>
      </c>
      <c r="EM36" s="157">
        <f t="shared" si="51"/>
        <v>8089.875</v>
      </c>
      <c r="EN36" s="123">
        <f t="shared" si="52"/>
        <v>2.6043863179074443E-2</v>
      </c>
      <c r="EP36" s="122"/>
    </row>
    <row r="37" spans="1:146" x14ac:dyDescent="0.25">
      <c r="A37" s="66">
        <f t="shared" si="53"/>
        <v>43673</v>
      </c>
      <c r="D37" s="122">
        <f t="shared" si="2"/>
        <v>0</v>
      </c>
      <c r="G37" s="122">
        <f t="shared" si="3"/>
        <v>0</v>
      </c>
      <c r="J37" s="122">
        <f t="shared" si="4"/>
        <v>0</v>
      </c>
      <c r="M37" s="122">
        <f t="shared" si="5"/>
        <v>0</v>
      </c>
      <c r="P37" s="122">
        <f t="shared" si="6"/>
        <v>0</v>
      </c>
      <c r="S37" s="122">
        <f t="shared" si="7"/>
        <v>0</v>
      </c>
      <c r="V37" s="122">
        <f t="shared" si="8"/>
        <v>0</v>
      </c>
      <c r="Y37" s="122">
        <f t="shared" si="9"/>
        <v>0</v>
      </c>
      <c r="AB37" s="122">
        <f t="shared" si="10"/>
        <v>0</v>
      </c>
      <c r="AE37" s="122">
        <v>0</v>
      </c>
      <c r="AH37" s="122">
        <v>0</v>
      </c>
      <c r="AI37" s="155">
        <f>31825000</f>
        <v>31825000</v>
      </c>
      <c r="AJ37" s="156">
        <v>2.5399999999999999E-2</v>
      </c>
      <c r="AK37" s="122">
        <f t="shared" si="11"/>
        <v>2245.4305555555557</v>
      </c>
      <c r="AL37" s="155"/>
      <c r="AM37" s="156"/>
      <c r="AN37" s="122">
        <f t="shared" si="12"/>
        <v>0</v>
      </c>
      <c r="AO37" s="155"/>
      <c r="AP37" s="156"/>
      <c r="AQ37" s="122">
        <f t="shared" si="13"/>
        <v>0</v>
      </c>
      <c r="AR37" s="155">
        <f t="shared" si="54"/>
        <v>80000000</v>
      </c>
      <c r="AS37" s="156">
        <v>2.63E-2</v>
      </c>
      <c r="AT37" s="122">
        <f t="shared" si="14"/>
        <v>5844.4444444444443</v>
      </c>
      <c r="AW37" s="122">
        <f t="shared" si="15"/>
        <v>0</v>
      </c>
      <c r="AZ37" s="122">
        <f t="shared" si="16"/>
        <v>0</v>
      </c>
      <c r="BC37" s="122">
        <f t="shared" si="17"/>
        <v>0</v>
      </c>
      <c r="BF37" s="122">
        <f t="shared" si="18"/>
        <v>0</v>
      </c>
      <c r="BI37" s="122">
        <f t="shared" si="19"/>
        <v>0</v>
      </c>
      <c r="BL37" s="122">
        <f t="shared" si="20"/>
        <v>0</v>
      </c>
      <c r="BO37" s="122">
        <f t="shared" si="21"/>
        <v>0</v>
      </c>
      <c r="BR37" s="122">
        <f t="shared" si="22"/>
        <v>0</v>
      </c>
      <c r="BU37" s="122">
        <f t="shared" si="23"/>
        <v>0</v>
      </c>
      <c r="BX37" s="122">
        <f t="shared" si="24"/>
        <v>0</v>
      </c>
      <c r="CA37" s="122">
        <f t="shared" si="25"/>
        <v>0</v>
      </c>
      <c r="CD37" s="122">
        <f t="shared" si="26"/>
        <v>0</v>
      </c>
      <c r="CG37" s="122">
        <f t="shared" si="27"/>
        <v>0</v>
      </c>
      <c r="CJ37" s="122">
        <f t="shared" si="28"/>
        <v>0</v>
      </c>
      <c r="CM37" s="122">
        <f t="shared" si="29"/>
        <v>0</v>
      </c>
      <c r="CP37" s="122">
        <f t="shared" si="30"/>
        <v>0</v>
      </c>
      <c r="CS37" s="122">
        <f t="shared" si="31"/>
        <v>0</v>
      </c>
      <c r="CV37" s="122">
        <f t="shared" si="32"/>
        <v>0</v>
      </c>
      <c r="CY37" s="122">
        <f t="shared" si="33"/>
        <v>0</v>
      </c>
      <c r="DB37" s="122">
        <f t="shared" si="34"/>
        <v>0</v>
      </c>
      <c r="DE37" s="122">
        <f t="shared" si="35"/>
        <v>0</v>
      </c>
      <c r="DH37" s="122">
        <f t="shared" si="36"/>
        <v>0</v>
      </c>
      <c r="DK37" s="122">
        <f t="shared" si="37"/>
        <v>0</v>
      </c>
      <c r="DN37" s="122">
        <f t="shared" si="38"/>
        <v>0</v>
      </c>
      <c r="DQ37" s="122">
        <f t="shared" si="39"/>
        <v>0</v>
      </c>
      <c r="DT37" s="122">
        <f t="shared" si="40"/>
        <v>0</v>
      </c>
      <c r="DW37" s="122">
        <f t="shared" si="41"/>
        <v>0</v>
      </c>
      <c r="DZ37" s="122"/>
      <c r="EA37" s="122"/>
      <c r="EB37" s="157">
        <f t="shared" si="42"/>
        <v>111825000</v>
      </c>
      <c r="EC37" s="157">
        <f t="shared" si="43"/>
        <v>0</v>
      </c>
      <c r="ED37" s="122">
        <f t="shared" si="44"/>
        <v>8089.875</v>
      </c>
      <c r="EE37" s="123">
        <f t="shared" si="45"/>
        <v>2.6043863179074443E-2</v>
      </c>
      <c r="EG37" s="157">
        <f t="shared" si="46"/>
        <v>0</v>
      </c>
      <c r="EH37" s="122">
        <f t="shared" si="47"/>
        <v>0</v>
      </c>
      <c r="EI37" s="123">
        <f t="shared" si="48"/>
        <v>0</v>
      </c>
      <c r="EJ37" s="123"/>
      <c r="EK37" s="157">
        <f t="shared" si="49"/>
        <v>111825000</v>
      </c>
      <c r="EL37" s="157">
        <f t="shared" si="50"/>
        <v>0</v>
      </c>
      <c r="EM37" s="157">
        <f t="shared" si="51"/>
        <v>8089.875</v>
      </c>
      <c r="EN37" s="123">
        <f t="shared" si="52"/>
        <v>2.6043863179074443E-2</v>
      </c>
      <c r="EP37" s="122"/>
    </row>
    <row r="38" spans="1:146" x14ac:dyDescent="0.25">
      <c r="A38" s="66">
        <f t="shared" si="53"/>
        <v>43674</v>
      </c>
      <c r="D38" s="122">
        <f t="shared" si="2"/>
        <v>0</v>
      </c>
      <c r="G38" s="122">
        <f t="shared" si="3"/>
        <v>0</v>
      </c>
      <c r="J38" s="122">
        <f t="shared" si="4"/>
        <v>0</v>
      </c>
      <c r="M38" s="122">
        <f t="shared" si="5"/>
        <v>0</v>
      </c>
      <c r="P38" s="122">
        <f t="shared" si="6"/>
        <v>0</v>
      </c>
      <c r="S38" s="122">
        <f t="shared" si="7"/>
        <v>0</v>
      </c>
      <c r="V38" s="122">
        <f t="shared" si="8"/>
        <v>0</v>
      </c>
      <c r="Y38" s="122">
        <f t="shared" si="9"/>
        <v>0</v>
      </c>
      <c r="AB38" s="122">
        <f t="shared" si="10"/>
        <v>0</v>
      </c>
      <c r="AE38" s="122">
        <v>0</v>
      </c>
      <c r="AH38" s="122">
        <v>0</v>
      </c>
      <c r="AI38" s="155">
        <f>31825000</f>
        <v>31825000</v>
      </c>
      <c r="AJ38" s="156">
        <v>2.5399999999999999E-2</v>
      </c>
      <c r="AK38" s="122">
        <f t="shared" si="11"/>
        <v>2245.4305555555557</v>
      </c>
      <c r="AL38" s="155"/>
      <c r="AM38" s="156"/>
      <c r="AN38" s="122">
        <f t="shared" si="12"/>
        <v>0</v>
      </c>
      <c r="AO38" s="155"/>
      <c r="AP38" s="156"/>
      <c r="AQ38" s="122">
        <f t="shared" si="13"/>
        <v>0</v>
      </c>
      <c r="AR38" s="155">
        <f t="shared" si="54"/>
        <v>80000000</v>
      </c>
      <c r="AS38" s="156">
        <v>2.63E-2</v>
      </c>
      <c r="AT38" s="122">
        <f t="shared" si="14"/>
        <v>5844.4444444444443</v>
      </c>
      <c r="AW38" s="122">
        <f t="shared" si="15"/>
        <v>0</v>
      </c>
      <c r="AZ38" s="122">
        <f t="shared" si="16"/>
        <v>0</v>
      </c>
      <c r="BC38" s="122">
        <f t="shared" si="17"/>
        <v>0</v>
      </c>
      <c r="BF38" s="122">
        <f t="shared" si="18"/>
        <v>0</v>
      </c>
      <c r="BI38" s="122">
        <f t="shared" si="19"/>
        <v>0</v>
      </c>
      <c r="BL38" s="122">
        <f t="shared" si="20"/>
        <v>0</v>
      </c>
      <c r="BO38" s="122">
        <f t="shared" si="21"/>
        <v>0</v>
      </c>
      <c r="BR38" s="122">
        <f t="shared" si="22"/>
        <v>0</v>
      </c>
      <c r="BU38" s="122">
        <f t="shared" si="23"/>
        <v>0</v>
      </c>
      <c r="BX38" s="122">
        <f t="shared" si="24"/>
        <v>0</v>
      </c>
      <c r="CA38" s="122">
        <f t="shared" si="25"/>
        <v>0</v>
      </c>
      <c r="CD38" s="122">
        <f t="shared" si="26"/>
        <v>0</v>
      </c>
      <c r="CG38" s="122">
        <f t="shared" si="27"/>
        <v>0</v>
      </c>
      <c r="CJ38" s="122">
        <f t="shared" si="28"/>
        <v>0</v>
      </c>
      <c r="CM38" s="122">
        <f t="shared" si="29"/>
        <v>0</v>
      </c>
      <c r="CP38" s="122">
        <f t="shared" si="30"/>
        <v>0</v>
      </c>
      <c r="CS38" s="122">
        <f t="shared" si="31"/>
        <v>0</v>
      </c>
      <c r="CV38" s="122">
        <f t="shared" si="32"/>
        <v>0</v>
      </c>
      <c r="CY38" s="122">
        <f t="shared" si="33"/>
        <v>0</v>
      </c>
      <c r="DB38" s="122">
        <f t="shared" si="34"/>
        <v>0</v>
      </c>
      <c r="DE38" s="122">
        <f t="shared" si="35"/>
        <v>0</v>
      </c>
      <c r="DH38" s="122">
        <f t="shared" si="36"/>
        <v>0</v>
      </c>
      <c r="DK38" s="122">
        <f t="shared" si="37"/>
        <v>0</v>
      </c>
      <c r="DN38" s="122">
        <f t="shared" si="38"/>
        <v>0</v>
      </c>
      <c r="DQ38" s="122">
        <f t="shared" si="39"/>
        <v>0</v>
      </c>
      <c r="DT38" s="122">
        <f t="shared" si="40"/>
        <v>0</v>
      </c>
      <c r="DW38" s="122">
        <f t="shared" si="41"/>
        <v>0</v>
      </c>
      <c r="DZ38" s="122"/>
      <c r="EA38" s="122"/>
      <c r="EB38" s="157">
        <f t="shared" si="42"/>
        <v>111825000</v>
      </c>
      <c r="EC38" s="157">
        <f t="shared" si="43"/>
        <v>0</v>
      </c>
      <c r="ED38" s="122">
        <f t="shared" si="44"/>
        <v>8089.875</v>
      </c>
      <c r="EE38" s="123">
        <f t="shared" si="45"/>
        <v>2.6043863179074443E-2</v>
      </c>
      <c r="EG38" s="157">
        <f t="shared" si="46"/>
        <v>0</v>
      </c>
      <c r="EH38" s="122">
        <f t="shared" si="47"/>
        <v>0</v>
      </c>
      <c r="EI38" s="123">
        <f t="shared" si="48"/>
        <v>0</v>
      </c>
      <c r="EJ38" s="123"/>
      <c r="EK38" s="157">
        <f t="shared" si="49"/>
        <v>111825000</v>
      </c>
      <c r="EL38" s="157">
        <f t="shared" si="50"/>
        <v>0</v>
      </c>
      <c r="EM38" s="157">
        <f t="shared" si="51"/>
        <v>8089.875</v>
      </c>
      <c r="EN38" s="123">
        <f t="shared" si="52"/>
        <v>2.6043863179074443E-2</v>
      </c>
      <c r="EP38" s="122"/>
    </row>
    <row r="39" spans="1:146" x14ac:dyDescent="0.25">
      <c r="A39" s="66">
        <f t="shared" si="53"/>
        <v>43675</v>
      </c>
      <c r="D39" s="122">
        <f t="shared" si="2"/>
        <v>0</v>
      </c>
      <c r="G39" s="122">
        <f t="shared" si="3"/>
        <v>0</v>
      </c>
      <c r="J39" s="122">
        <f t="shared" si="4"/>
        <v>0</v>
      </c>
      <c r="M39" s="122">
        <f t="shared" si="5"/>
        <v>0</v>
      </c>
      <c r="P39" s="122">
        <f t="shared" si="6"/>
        <v>0</v>
      </c>
      <c r="S39" s="122">
        <f t="shared" si="7"/>
        <v>0</v>
      </c>
      <c r="V39" s="122">
        <f t="shared" si="8"/>
        <v>0</v>
      </c>
      <c r="Y39" s="122">
        <f t="shared" si="9"/>
        <v>0</v>
      </c>
      <c r="AB39" s="122">
        <f t="shared" si="10"/>
        <v>0</v>
      </c>
      <c r="AE39" s="122">
        <v>0</v>
      </c>
      <c r="AH39" s="122">
        <v>0</v>
      </c>
      <c r="AI39" s="155">
        <f>41450000</f>
        <v>41450000</v>
      </c>
      <c r="AJ39" s="156">
        <v>2.5399999999999999E-2</v>
      </c>
      <c r="AK39" s="122">
        <f t="shared" si="11"/>
        <v>2924.5277777777778</v>
      </c>
      <c r="AL39" s="155"/>
      <c r="AM39" s="156"/>
      <c r="AN39" s="122">
        <f t="shared" si="12"/>
        <v>0</v>
      </c>
      <c r="AO39" s="155"/>
      <c r="AP39" s="156"/>
      <c r="AQ39" s="122">
        <f t="shared" si="13"/>
        <v>0</v>
      </c>
      <c r="AR39" s="155">
        <f t="shared" si="54"/>
        <v>80000000</v>
      </c>
      <c r="AS39" s="156">
        <v>2.63E-2</v>
      </c>
      <c r="AT39" s="122">
        <f t="shared" si="14"/>
        <v>5844.4444444444443</v>
      </c>
      <c r="AW39" s="122">
        <f t="shared" si="15"/>
        <v>0</v>
      </c>
      <c r="AZ39" s="122">
        <f t="shared" si="16"/>
        <v>0</v>
      </c>
      <c r="BC39" s="122">
        <f t="shared" si="17"/>
        <v>0</v>
      </c>
      <c r="BF39" s="122">
        <f t="shared" si="18"/>
        <v>0</v>
      </c>
      <c r="BI39" s="122">
        <f t="shared" si="19"/>
        <v>0</v>
      </c>
      <c r="BL39" s="122">
        <f t="shared" si="20"/>
        <v>0</v>
      </c>
      <c r="BO39" s="122">
        <f t="shared" si="21"/>
        <v>0</v>
      </c>
      <c r="BR39" s="122">
        <f t="shared" si="22"/>
        <v>0</v>
      </c>
      <c r="BU39" s="122">
        <f t="shared" si="23"/>
        <v>0</v>
      </c>
      <c r="BX39" s="122">
        <f t="shared" si="24"/>
        <v>0</v>
      </c>
      <c r="CA39" s="122">
        <f t="shared" si="25"/>
        <v>0</v>
      </c>
      <c r="CD39" s="122">
        <f t="shared" si="26"/>
        <v>0</v>
      </c>
      <c r="CG39" s="122">
        <f t="shared" si="27"/>
        <v>0</v>
      </c>
      <c r="CJ39" s="122">
        <f t="shared" si="28"/>
        <v>0</v>
      </c>
      <c r="CM39" s="122">
        <f t="shared" si="29"/>
        <v>0</v>
      </c>
      <c r="CP39" s="122">
        <f t="shared" si="30"/>
        <v>0</v>
      </c>
      <c r="CS39" s="122">
        <f t="shared" si="31"/>
        <v>0</v>
      </c>
      <c r="CV39" s="122">
        <f t="shared" si="32"/>
        <v>0</v>
      </c>
      <c r="CY39" s="122">
        <f t="shared" si="33"/>
        <v>0</v>
      </c>
      <c r="DB39" s="122">
        <f t="shared" si="34"/>
        <v>0</v>
      </c>
      <c r="DE39" s="122">
        <f t="shared" si="35"/>
        <v>0</v>
      </c>
      <c r="DH39" s="122">
        <f t="shared" si="36"/>
        <v>0</v>
      </c>
      <c r="DK39" s="122">
        <f t="shared" si="37"/>
        <v>0</v>
      </c>
      <c r="DN39" s="122">
        <f t="shared" si="38"/>
        <v>0</v>
      </c>
      <c r="DQ39" s="122">
        <f t="shared" si="39"/>
        <v>0</v>
      </c>
      <c r="DT39" s="122">
        <f t="shared" si="40"/>
        <v>0</v>
      </c>
      <c r="DW39" s="122">
        <f t="shared" si="41"/>
        <v>0</v>
      </c>
      <c r="DZ39" s="122"/>
      <c r="EA39" s="122"/>
      <c r="EB39" s="157">
        <f t="shared" si="42"/>
        <v>121450000</v>
      </c>
      <c r="EC39" s="157">
        <f t="shared" si="43"/>
        <v>0</v>
      </c>
      <c r="ED39" s="122">
        <f t="shared" si="44"/>
        <v>8768.9722222222226</v>
      </c>
      <c r="EE39" s="123">
        <f t="shared" si="45"/>
        <v>2.5992836558254431E-2</v>
      </c>
      <c r="EG39" s="157">
        <f t="shared" si="46"/>
        <v>0</v>
      </c>
      <c r="EH39" s="122">
        <f t="shared" si="47"/>
        <v>0</v>
      </c>
      <c r="EI39" s="123">
        <f t="shared" si="48"/>
        <v>0</v>
      </c>
      <c r="EJ39" s="123"/>
      <c r="EK39" s="157">
        <f t="shared" si="49"/>
        <v>121450000</v>
      </c>
      <c r="EL39" s="157">
        <f t="shared" si="50"/>
        <v>0</v>
      </c>
      <c r="EM39" s="157">
        <f t="shared" si="51"/>
        <v>8768.9722222222226</v>
      </c>
      <c r="EN39" s="123">
        <f t="shared" si="52"/>
        <v>2.5992836558254431E-2</v>
      </c>
      <c r="EP39" s="122"/>
    </row>
    <row r="40" spans="1:146" x14ac:dyDescent="0.25">
      <c r="A40" s="66">
        <f t="shared" si="53"/>
        <v>43676</v>
      </c>
      <c r="D40" s="122">
        <f t="shared" si="2"/>
        <v>0</v>
      </c>
      <c r="G40" s="122">
        <f t="shared" si="3"/>
        <v>0</v>
      </c>
      <c r="J40" s="122">
        <f t="shared" si="4"/>
        <v>0</v>
      </c>
      <c r="M40" s="122">
        <f t="shared" si="5"/>
        <v>0</v>
      </c>
      <c r="P40" s="122">
        <f t="shared" si="6"/>
        <v>0</v>
      </c>
      <c r="S40" s="122">
        <f t="shared" si="7"/>
        <v>0</v>
      </c>
      <c r="V40" s="122">
        <f t="shared" si="8"/>
        <v>0</v>
      </c>
      <c r="Y40" s="122">
        <f t="shared" si="9"/>
        <v>0</v>
      </c>
      <c r="AB40" s="122">
        <f t="shared" si="10"/>
        <v>0</v>
      </c>
      <c r="AE40" s="122">
        <v>0</v>
      </c>
      <c r="AH40" s="122">
        <v>0</v>
      </c>
      <c r="AI40" s="155">
        <f>35050000</f>
        <v>35050000</v>
      </c>
      <c r="AJ40" s="156">
        <v>2.5399999999999999E-2</v>
      </c>
      <c r="AK40" s="122">
        <f t="shared" si="11"/>
        <v>2472.9722222222222</v>
      </c>
      <c r="AL40" s="155"/>
      <c r="AM40" s="156"/>
      <c r="AN40" s="122">
        <f t="shared" si="12"/>
        <v>0</v>
      </c>
      <c r="AO40" s="155"/>
      <c r="AP40" s="156"/>
      <c r="AQ40" s="122">
        <f t="shared" si="13"/>
        <v>0</v>
      </c>
      <c r="AR40" s="155">
        <f t="shared" si="54"/>
        <v>80000000</v>
      </c>
      <c r="AS40" s="156">
        <v>2.63E-2</v>
      </c>
      <c r="AT40" s="122">
        <f t="shared" si="14"/>
        <v>5844.4444444444443</v>
      </c>
      <c r="AW40" s="122">
        <f t="shared" si="15"/>
        <v>0</v>
      </c>
      <c r="AZ40" s="122">
        <f t="shared" si="16"/>
        <v>0</v>
      </c>
      <c r="BC40" s="122">
        <f t="shared" si="17"/>
        <v>0</v>
      </c>
      <c r="BF40" s="122">
        <f t="shared" si="18"/>
        <v>0</v>
      </c>
      <c r="BI40" s="122">
        <f t="shared" si="19"/>
        <v>0</v>
      </c>
      <c r="BL40" s="122">
        <f t="shared" si="20"/>
        <v>0</v>
      </c>
      <c r="BO40" s="122">
        <f t="shared" si="21"/>
        <v>0</v>
      </c>
      <c r="BR40" s="122">
        <f t="shared" si="22"/>
        <v>0</v>
      </c>
      <c r="BU40" s="122">
        <f t="shared" si="23"/>
        <v>0</v>
      </c>
      <c r="BX40" s="122">
        <f t="shared" si="24"/>
        <v>0</v>
      </c>
      <c r="CA40" s="122">
        <f t="shared" si="25"/>
        <v>0</v>
      </c>
      <c r="CD40" s="122">
        <f t="shared" si="26"/>
        <v>0</v>
      </c>
      <c r="CG40" s="122">
        <f t="shared" si="27"/>
        <v>0</v>
      </c>
      <c r="CJ40" s="122">
        <f t="shared" si="28"/>
        <v>0</v>
      </c>
      <c r="CM40" s="122">
        <f t="shared" si="29"/>
        <v>0</v>
      </c>
      <c r="CP40" s="122">
        <f t="shared" si="30"/>
        <v>0</v>
      </c>
      <c r="CS40" s="122">
        <f t="shared" si="31"/>
        <v>0</v>
      </c>
      <c r="CV40" s="122">
        <f t="shared" si="32"/>
        <v>0</v>
      </c>
      <c r="CY40" s="122">
        <f t="shared" si="33"/>
        <v>0</v>
      </c>
      <c r="DB40" s="122">
        <f t="shared" si="34"/>
        <v>0</v>
      </c>
      <c r="DE40" s="122">
        <f t="shared" si="35"/>
        <v>0</v>
      </c>
      <c r="DH40" s="122">
        <f t="shared" si="36"/>
        <v>0</v>
      </c>
      <c r="DK40" s="122">
        <f t="shared" si="37"/>
        <v>0</v>
      </c>
      <c r="DN40" s="122">
        <f t="shared" si="38"/>
        <v>0</v>
      </c>
      <c r="DQ40" s="122">
        <f t="shared" si="39"/>
        <v>0</v>
      </c>
      <c r="DT40" s="122">
        <f t="shared" si="40"/>
        <v>0</v>
      </c>
      <c r="DW40" s="122">
        <f t="shared" si="41"/>
        <v>0</v>
      </c>
      <c r="DZ40" s="120"/>
      <c r="EA40" s="122"/>
      <c r="EB40" s="157">
        <f t="shared" si="42"/>
        <v>115050000</v>
      </c>
      <c r="EC40" s="157">
        <f t="shared" si="43"/>
        <v>0</v>
      </c>
      <c r="ED40" s="122">
        <f t="shared" si="44"/>
        <v>8317.4166666666661</v>
      </c>
      <c r="EE40" s="123">
        <f t="shared" si="45"/>
        <v>2.6025814863102997E-2</v>
      </c>
      <c r="EG40" s="157">
        <f t="shared" si="46"/>
        <v>0</v>
      </c>
      <c r="EH40" s="122">
        <f t="shared" si="47"/>
        <v>0</v>
      </c>
      <c r="EI40" s="123">
        <f t="shared" si="48"/>
        <v>0</v>
      </c>
      <c r="EJ40" s="123"/>
      <c r="EK40" s="157">
        <f t="shared" si="49"/>
        <v>115050000</v>
      </c>
      <c r="EL40" s="157">
        <f t="shared" si="50"/>
        <v>0</v>
      </c>
      <c r="EM40" s="157">
        <f t="shared" si="51"/>
        <v>8317.4166666666661</v>
      </c>
      <c r="EN40" s="123">
        <f t="shared" si="52"/>
        <v>2.6025814863102997E-2</v>
      </c>
      <c r="EP40" s="122"/>
    </row>
    <row r="41" spans="1:146" x14ac:dyDescent="0.25">
      <c r="A41" s="66">
        <f t="shared" si="53"/>
        <v>43677</v>
      </c>
      <c r="D41" s="122">
        <f t="shared" si="2"/>
        <v>0</v>
      </c>
      <c r="G41" s="122">
        <f t="shared" si="3"/>
        <v>0</v>
      </c>
      <c r="J41" s="122">
        <f t="shared" si="4"/>
        <v>0</v>
      </c>
      <c r="M41" s="122">
        <f t="shared" si="5"/>
        <v>0</v>
      </c>
      <c r="P41" s="122">
        <f t="shared" si="6"/>
        <v>0</v>
      </c>
      <c r="S41" s="122">
        <f t="shared" si="7"/>
        <v>0</v>
      </c>
      <c r="V41" s="122">
        <f t="shared" si="8"/>
        <v>0</v>
      </c>
      <c r="Y41" s="122">
        <f t="shared" si="9"/>
        <v>0</v>
      </c>
      <c r="AB41" s="122">
        <f t="shared" si="10"/>
        <v>0</v>
      </c>
      <c r="AE41" s="122">
        <v>0</v>
      </c>
      <c r="AH41" s="122">
        <v>0</v>
      </c>
      <c r="AI41" s="155">
        <f>36775000</f>
        <v>36775000</v>
      </c>
      <c r="AJ41" s="156">
        <v>2.5399999999999999E-2</v>
      </c>
      <c r="AK41" s="122">
        <f t="shared" si="11"/>
        <v>2594.6805555555557</v>
      </c>
      <c r="AL41" s="155"/>
      <c r="AM41" s="156"/>
      <c r="AN41" s="122">
        <f t="shared" si="12"/>
        <v>0</v>
      </c>
      <c r="AO41" s="155"/>
      <c r="AP41" s="156"/>
      <c r="AQ41" s="122">
        <f t="shared" si="13"/>
        <v>0</v>
      </c>
      <c r="AR41" s="155">
        <f t="shared" si="54"/>
        <v>80000000</v>
      </c>
      <c r="AS41" s="156">
        <v>2.63E-2</v>
      </c>
      <c r="AT41" s="122">
        <f t="shared" si="14"/>
        <v>5844.4444444444443</v>
      </c>
      <c r="AW41" s="122">
        <f t="shared" si="15"/>
        <v>0</v>
      </c>
      <c r="AZ41" s="122">
        <f t="shared" si="16"/>
        <v>0</v>
      </c>
      <c r="BC41" s="122">
        <f t="shared" si="17"/>
        <v>0</v>
      </c>
      <c r="BF41" s="122">
        <f t="shared" si="18"/>
        <v>0</v>
      </c>
      <c r="BI41" s="122">
        <f t="shared" si="19"/>
        <v>0</v>
      </c>
      <c r="BL41" s="122">
        <f t="shared" si="20"/>
        <v>0</v>
      </c>
      <c r="BO41" s="122">
        <f t="shared" si="21"/>
        <v>0</v>
      </c>
      <c r="BR41" s="122">
        <f t="shared" si="22"/>
        <v>0</v>
      </c>
      <c r="BU41" s="122">
        <f t="shared" si="23"/>
        <v>0</v>
      </c>
      <c r="BX41" s="122">
        <f t="shared" si="24"/>
        <v>0</v>
      </c>
      <c r="CA41" s="122">
        <f t="shared" si="25"/>
        <v>0</v>
      </c>
      <c r="CD41" s="122">
        <f t="shared" si="26"/>
        <v>0</v>
      </c>
      <c r="CG41" s="122">
        <f t="shared" si="27"/>
        <v>0</v>
      </c>
      <c r="CJ41" s="122">
        <f t="shared" si="28"/>
        <v>0</v>
      </c>
      <c r="CM41" s="122">
        <f t="shared" si="29"/>
        <v>0</v>
      </c>
      <c r="CP41" s="122">
        <f t="shared" si="30"/>
        <v>0</v>
      </c>
      <c r="CS41" s="122">
        <f t="shared" si="31"/>
        <v>0</v>
      </c>
      <c r="CV41" s="122">
        <f t="shared" si="32"/>
        <v>0</v>
      </c>
      <c r="CY41" s="122">
        <f t="shared" si="33"/>
        <v>0</v>
      </c>
      <c r="DB41" s="122">
        <f t="shared" si="34"/>
        <v>0</v>
      </c>
      <c r="DE41" s="122">
        <f t="shared" si="35"/>
        <v>0</v>
      </c>
      <c r="DH41" s="122">
        <f t="shared" si="36"/>
        <v>0</v>
      </c>
      <c r="DK41" s="122">
        <f t="shared" si="37"/>
        <v>0</v>
      </c>
      <c r="DN41" s="122">
        <f t="shared" si="38"/>
        <v>0</v>
      </c>
      <c r="DQ41" s="122">
        <f t="shared" si="39"/>
        <v>0</v>
      </c>
      <c r="DT41" s="122">
        <f t="shared" si="40"/>
        <v>0</v>
      </c>
      <c r="DW41" s="122">
        <f t="shared" si="41"/>
        <v>0</v>
      </c>
      <c r="DZ41" s="120"/>
      <c r="EA41" s="122"/>
      <c r="EB41" s="157">
        <f t="shared" si="42"/>
        <v>116775000</v>
      </c>
      <c r="EC41" s="157">
        <f t="shared" si="43"/>
        <v>0</v>
      </c>
      <c r="ED41" s="122">
        <f t="shared" si="44"/>
        <v>8439.125</v>
      </c>
      <c r="EE41" s="123">
        <f t="shared" si="45"/>
        <v>2.6016570327552987E-2</v>
      </c>
      <c r="EG41" s="157">
        <f t="shared" si="46"/>
        <v>0</v>
      </c>
      <c r="EH41" s="122">
        <f t="shared" si="47"/>
        <v>0</v>
      </c>
      <c r="EI41" s="123">
        <f t="shared" si="48"/>
        <v>0</v>
      </c>
      <c r="EJ41" s="123"/>
      <c r="EK41" s="157">
        <f t="shared" si="49"/>
        <v>116775000</v>
      </c>
      <c r="EL41" s="157">
        <f t="shared" si="50"/>
        <v>0</v>
      </c>
      <c r="EM41" s="157">
        <f t="shared" si="51"/>
        <v>8439.125</v>
      </c>
      <c r="EN41" s="123">
        <f t="shared" si="52"/>
        <v>2.6016570327552987E-2</v>
      </c>
      <c r="EP41" s="122"/>
    </row>
    <row r="42" spans="1:146" x14ac:dyDescent="0.25">
      <c r="A42" s="158" t="s">
        <v>238</v>
      </c>
      <c r="D42" s="159">
        <f>SUM(D11:D41)</f>
        <v>0</v>
      </c>
      <c r="G42" s="159">
        <f>SUM(G11:G41)</f>
        <v>0</v>
      </c>
      <c r="J42" s="159">
        <f>SUM(J11:J41)</f>
        <v>0</v>
      </c>
      <c r="M42" s="159">
        <f>SUM(M11:M41)</f>
        <v>0</v>
      </c>
      <c r="P42" s="159">
        <f>SUM(P11:P41)</f>
        <v>0</v>
      </c>
      <c r="S42" s="159">
        <f>SUM(S11:S41)</f>
        <v>0</v>
      </c>
      <c r="V42" s="159">
        <f>SUM(V11:V41)</f>
        <v>0</v>
      </c>
      <c r="Y42" s="159">
        <f>SUM(Y11:Y41)</f>
        <v>0</v>
      </c>
      <c r="AB42" s="159">
        <f>SUM(AB11:AB41)</f>
        <v>0</v>
      </c>
      <c r="AE42" s="159">
        <f>SUM(AE11:AE41)</f>
        <v>0</v>
      </c>
      <c r="AH42" s="159">
        <f>SUM(AH11:AH41)</f>
        <v>0</v>
      </c>
      <c r="AK42" s="159">
        <f>SUM(AK11:AK41)</f>
        <v>116977.97222222223</v>
      </c>
      <c r="AN42" s="159">
        <f>SUM(AN11:AN41)</f>
        <v>18375</v>
      </c>
      <c r="AQ42" s="159">
        <f>SUM(AQ11:AQ41)</f>
        <v>28469.236111111109</v>
      </c>
      <c r="AT42" s="159">
        <f>SUM(AT11:AT41)</f>
        <v>165836.11111111101</v>
      </c>
      <c r="AW42" s="159">
        <f>SUM(AW11:AW41)</f>
        <v>0</v>
      </c>
      <c r="AZ42" s="159">
        <f>SUM(AZ11:AZ41)</f>
        <v>0</v>
      </c>
      <c r="BC42" s="159">
        <f>SUM(BC11:BC41)</f>
        <v>0</v>
      </c>
      <c r="BF42" s="159">
        <f>SUM(BF11:BF41)</f>
        <v>0</v>
      </c>
      <c r="BI42" s="159">
        <f>SUM(BI11:BI41)</f>
        <v>0</v>
      </c>
      <c r="BL42" s="159">
        <f>SUM(BL11:BL41)</f>
        <v>0</v>
      </c>
      <c r="BO42" s="159">
        <f>SUM(BO11:BO41)</f>
        <v>0</v>
      </c>
      <c r="BR42" s="159">
        <f>SUM(BR11:BR41)</f>
        <v>0</v>
      </c>
      <c r="BU42" s="159">
        <f>SUM(BU11:BU41)</f>
        <v>0</v>
      </c>
      <c r="BX42" s="159">
        <f>SUM(BX11:BX41)</f>
        <v>0</v>
      </c>
      <c r="CA42" s="159">
        <f>SUM(CA11:CA41)</f>
        <v>0</v>
      </c>
      <c r="CD42" s="159">
        <f>SUM(CD11:CD41)</f>
        <v>0</v>
      </c>
      <c r="CG42" s="159">
        <f>SUM(CG11:CG41)</f>
        <v>0</v>
      </c>
      <c r="CJ42" s="159">
        <f>SUM(CJ11:CJ41)</f>
        <v>0</v>
      </c>
      <c r="CM42" s="159">
        <f>SUM(CM11:CM41)</f>
        <v>0</v>
      </c>
      <c r="CP42" s="159">
        <f>SUM(CP11:CP41)</f>
        <v>0</v>
      </c>
      <c r="CS42" s="159">
        <f>SUM(CS11:CS41)</f>
        <v>0</v>
      </c>
      <c r="CV42" s="159">
        <f>SUM(CV11:CV41)</f>
        <v>0</v>
      </c>
      <c r="CY42" s="159">
        <f>SUM(CY11:CY41)</f>
        <v>0</v>
      </c>
      <c r="DB42" s="159">
        <f>SUM(DB11:DB41)</f>
        <v>0</v>
      </c>
      <c r="DE42" s="159">
        <f>SUM(DE11:DE41)</f>
        <v>0</v>
      </c>
      <c r="DH42" s="159">
        <f>SUM(DH11:DH41)</f>
        <v>0</v>
      </c>
      <c r="DK42" s="159">
        <f>SUM(DK11:DK41)</f>
        <v>0</v>
      </c>
      <c r="DN42" s="159">
        <f>SUM(DN11:DN41)</f>
        <v>0</v>
      </c>
      <c r="DQ42" s="159">
        <f>SUM(DQ11:DQ41)</f>
        <v>0</v>
      </c>
      <c r="DT42" s="159">
        <f>SUM(DT11:DT41)</f>
        <v>0</v>
      </c>
      <c r="DW42" s="159">
        <f>SUM(DW11:DW41)</f>
        <v>0</v>
      </c>
      <c r="DZ42" s="120"/>
      <c r="EA42" s="120"/>
      <c r="EB42" s="122"/>
      <c r="EC42" s="122"/>
      <c r="ED42" s="159">
        <f>SUM(ED11:ED41)</f>
        <v>329658.31944444444</v>
      </c>
      <c r="EE42" s="123"/>
      <c r="EG42" s="122"/>
      <c r="EH42" s="159">
        <f>SUM(EH11:EH41)</f>
        <v>0</v>
      </c>
      <c r="EI42" s="123"/>
      <c r="EJ42" s="123"/>
      <c r="EK42" s="122"/>
      <c r="EL42" s="122"/>
      <c r="EM42" s="159">
        <f>SUM(EM11:EM41)</f>
        <v>329658.3194444445</v>
      </c>
      <c r="EN42" s="123"/>
    </row>
    <row r="44" spans="1:146" x14ac:dyDescent="0.25">
      <c r="EM44" s="160"/>
    </row>
    <row r="46" spans="1:146" x14ac:dyDescent="0.25">
      <c r="EM46" s="122"/>
    </row>
    <row r="48" spans="1:146" x14ac:dyDescent="0.25">
      <c r="EM48" s="1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Normal="100" workbookViewId="0">
      <selection activeCell="E23" sqref="E23"/>
    </sheetView>
  </sheetViews>
  <sheetFormatPr defaultRowHeight="15" x14ac:dyDescent="0.25"/>
  <cols>
    <col min="1" max="1" width="4.7109375" customWidth="1"/>
    <col min="2" max="2" width="66" customWidth="1"/>
    <col min="3" max="3" width="36.85546875" customWidth="1"/>
    <col min="4" max="4" width="14" bestFit="1" customWidth="1"/>
  </cols>
  <sheetData>
    <row r="1" spans="1:5" x14ac:dyDescent="0.25">
      <c r="A1" t="s">
        <v>0</v>
      </c>
    </row>
    <row r="2" spans="1:5" x14ac:dyDescent="0.25">
      <c r="A2" t="s">
        <v>21</v>
      </c>
    </row>
    <row r="3" spans="1:5" x14ac:dyDescent="0.25">
      <c r="A3" t="s">
        <v>2</v>
      </c>
    </row>
    <row r="4" spans="1:5" x14ac:dyDescent="0.25">
      <c r="A4" t="s">
        <v>40</v>
      </c>
    </row>
    <row r="6" spans="1:5" x14ac:dyDescent="0.25">
      <c r="C6" s="15" t="s">
        <v>39</v>
      </c>
    </row>
    <row r="7" spans="1:5" x14ac:dyDescent="0.25">
      <c r="C7" s="16"/>
    </row>
    <row r="9" spans="1:5" x14ac:dyDescent="0.25">
      <c r="A9">
        <v>1</v>
      </c>
      <c r="B9" t="s">
        <v>22</v>
      </c>
      <c r="C9" s="4">
        <f>SUM('Monthly Cost Tracker'!B20:H20)</f>
        <v>6774827.8300000001</v>
      </c>
    </row>
    <row r="10" spans="1:5" x14ac:dyDescent="0.25">
      <c r="A10">
        <v>2</v>
      </c>
      <c r="B10" t="s">
        <v>23</v>
      </c>
      <c r="C10" s="5">
        <f>SUM('Monthly Cost Tracker'!B24:H24)</f>
        <v>0</v>
      </c>
    </row>
    <row r="11" spans="1:5" x14ac:dyDescent="0.25">
      <c r="A11">
        <v>3</v>
      </c>
      <c r="B11" t="s">
        <v>24</v>
      </c>
      <c r="C11" s="14">
        <f>C9-C10</f>
        <v>6774827.8300000001</v>
      </c>
    </row>
    <row r="12" spans="1:5" x14ac:dyDescent="0.25">
      <c r="A12">
        <v>3.1</v>
      </c>
      <c r="B12" s="13" t="s">
        <v>25</v>
      </c>
      <c r="C12" s="5">
        <f>SUM('Monthly Cost Tracker'!B28:N28)</f>
        <v>124948.6688105206</v>
      </c>
    </row>
    <row r="13" spans="1:5" x14ac:dyDescent="0.25">
      <c r="A13">
        <v>3.2</v>
      </c>
      <c r="B13" s="13" t="s">
        <v>26</v>
      </c>
      <c r="C13" s="14">
        <f>C11+C12</f>
        <v>6899776.4988105204</v>
      </c>
      <c r="D13" s="5">
        <f>C13-'Monthly Cost Tracker'!N30</f>
        <v>0</v>
      </c>
      <c r="E13" s="17" t="s">
        <v>32</v>
      </c>
    </row>
    <row r="14" spans="1:5" x14ac:dyDescent="0.25">
      <c r="A14">
        <v>4</v>
      </c>
      <c r="B14" t="s">
        <v>27</v>
      </c>
      <c r="C14" s="5">
        <f>+RRR!C10</f>
        <v>7234842.5299999993</v>
      </c>
    </row>
    <row r="15" spans="1:5" x14ac:dyDescent="0.25">
      <c r="A15">
        <v>5</v>
      </c>
      <c r="B15" t="s">
        <v>28</v>
      </c>
      <c r="C15" s="5">
        <v>0</v>
      </c>
    </row>
    <row r="16" spans="1:5" x14ac:dyDescent="0.25">
      <c r="A16">
        <v>6</v>
      </c>
      <c r="B16" t="s">
        <v>29</v>
      </c>
      <c r="C16" s="5">
        <v>0</v>
      </c>
    </row>
    <row r="17" spans="1:4" x14ac:dyDescent="0.25">
      <c r="A17">
        <v>7</v>
      </c>
      <c r="B17" t="s">
        <v>252</v>
      </c>
      <c r="C17" s="14">
        <f>SUM(C13:C16)</f>
        <v>14134619.02881052</v>
      </c>
    </row>
    <row r="18" spans="1:4" ht="18" x14ac:dyDescent="0.35">
      <c r="A18">
        <v>8</v>
      </c>
      <c r="B18" t="s">
        <v>255</v>
      </c>
      <c r="C18" s="111">
        <f>SUM(SRP!O15:O26)*1000</f>
        <v>31846280575.000004</v>
      </c>
    </row>
    <row r="19" spans="1:4" x14ac:dyDescent="0.25">
      <c r="A19">
        <v>9</v>
      </c>
      <c r="B19" t="s">
        <v>253</v>
      </c>
      <c r="C19" s="71">
        <f>+C25</f>
        <v>4.4383892792511826E-4</v>
      </c>
    </row>
    <row r="20" spans="1:4" x14ac:dyDescent="0.25">
      <c r="A20">
        <v>10</v>
      </c>
      <c r="B20" t="s">
        <v>31</v>
      </c>
      <c r="C20" s="71">
        <f>+C19</f>
        <v>4.4383892792511826E-4</v>
      </c>
      <c r="D20" s="5"/>
    </row>
    <row r="21" spans="1:4" x14ac:dyDescent="0.25">
      <c r="A21">
        <v>11</v>
      </c>
      <c r="B21" t="s">
        <v>30</v>
      </c>
      <c r="C21" s="5">
        <v>0</v>
      </c>
    </row>
    <row r="22" spans="1:4" x14ac:dyDescent="0.25">
      <c r="A22">
        <v>12</v>
      </c>
      <c r="B22" t="s">
        <v>33</v>
      </c>
      <c r="C22" s="71">
        <f>+C20+C21</f>
        <v>4.4383892792511826E-4</v>
      </c>
    </row>
    <row r="24" spans="1:4" x14ac:dyDescent="0.25">
      <c r="B24" t="s">
        <v>251</v>
      </c>
      <c r="C24" s="71">
        <f>+RAC!J16</f>
        <v>1.2799069298182347E-2</v>
      </c>
    </row>
    <row r="25" spans="1:4" ht="18" x14ac:dyDescent="0.35">
      <c r="A25" s="110" t="s">
        <v>254</v>
      </c>
      <c r="B25" t="s">
        <v>256</v>
      </c>
      <c r="C25" s="71">
        <f>+MIN(C17/C18,C24)</f>
        <v>4.4383892792511826E-4</v>
      </c>
    </row>
  </sheetData>
  <pageMargins left="0.7" right="0.7" top="0.75" bottom="0.75" header="0.3" footer="0.3"/>
  <pageSetup scale="84" orientation="portrait"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Normal="100" workbookViewId="0">
      <selection activeCell="B18" sqref="B18"/>
    </sheetView>
  </sheetViews>
  <sheetFormatPr defaultRowHeight="15" x14ac:dyDescent="0.25"/>
  <cols>
    <col min="1" max="1" width="12.5703125" bestFit="1" customWidth="1"/>
    <col min="2" max="3" width="14.28515625" bestFit="1" customWidth="1"/>
  </cols>
  <sheetData>
    <row r="1" spans="1:5" x14ac:dyDescent="0.25">
      <c r="A1" t="s">
        <v>0</v>
      </c>
    </row>
    <row r="2" spans="1:5" x14ac:dyDescent="0.25">
      <c r="A2" t="s">
        <v>21</v>
      </c>
    </row>
    <row r="3" spans="1:5" x14ac:dyDescent="0.25">
      <c r="A3" t="s">
        <v>2</v>
      </c>
    </row>
    <row r="4" spans="1:5" x14ac:dyDescent="0.25">
      <c r="A4" t="s">
        <v>41</v>
      </c>
    </row>
    <row r="7" spans="1:5" x14ac:dyDescent="0.25">
      <c r="B7" s="20" t="s">
        <v>43</v>
      </c>
      <c r="C7" s="20" t="s">
        <v>44</v>
      </c>
    </row>
    <row r="8" spans="1:5" x14ac:dyDescent="0.25">
      <c r="A8" t="s">
        <v>42</v>
      </c>
      <c r="B8" s="19">
        <f>+'Monthly Cost Tracker'!H8</f>
        <v>644020.57999999996</v>
      </c>
      <c r="C8" s="4">
        <f>+B8/7*12</f>
        <v>1104035.2799999998</v>
      </c>
    </row>
    <row r="9" spans="1:5" x14ac:dyDescent="0.25">
      <c r="A9" t="s">
        <v>45</v>
      </c>
      <c r="B9" s="19">
        <f>+SUM('Monthly Cost Tracker'!B13:H13)</f>
        <v>6130807.25</v>
      </c>
      <c r="C9" s="19">
        <f>+B9</f>
        <v>6130807.25</v>
      </c>
      <c r="D9" s="21" t="s">
        <v>46</v>
      </c>
    </row>
    <row r="10" spans="1:5" ht="15.75" thickBot="1" x14ac:dyDescent="0.3">
      <c r="A10" t="s">
        <v>47</v>
      </c>
      <c r="C10" s="23">
        <f>+C9+C8</f>
        <v>7234842.5299999993</v>
      </c>
    </row>
    <row r="11" spans="1:5" ht="15.75" thickTop="1" x14ac:dyDescent="0.25"/>
    <row r="13" spans="1:5" x14ac:dyDescent="0.25">
      <c r="A13" s="22" t="s">
        <v>46</v>
      </c>
      <c r="B13" s="169" t="s">
        <v>50</v>
      </c>
      <c r="C13" s="169"/>
      <c r="D13" s="169"/>
      <c r="E13" s="169"/>
    </row>
    <row r="14" spans="1:5" x14ac:dyDescent="0.25">
      <c r="B14" s="169"/>
      <c r="C14" s="169"/>
      <c r="D14" s="169"/>
      <c r="E14" s="169"/>
    </row>
    <row r="15" spans="1:5" x14ac:dyDescent="0.25">
      <c r="B15" s="169"/>
      <c r="C15" s="169"/>
      <c r="D15" s="169"/>
      <c r="E15" s="169"/>
    </row>
    <row r="16" spans="1:5" x14ac:dyDescent="0.25">
      <c r="B16" s="169"/>
      <c r="C16" s="169"/>
      <c r="D16" s="169"/>
      <c r="E16" s="169"/>
    </row>
    <row r="17" spans="2:5" x14ac:dyDescent="0.25">
      <c r="B17" s="169"/>
      <c r="C17" s="169"/>
      <c r="D17" s="169"/>
      <c r="E17" s="169"/>
    </row>
  </sheetData>
  <mergeCells count="1">
    <mergeCell ref="B13:E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workbookViewId="0">
      <selection activeCell="I152" sqref="I152"/>
    </sheetView>
  </sheetViews>
  <sheetFormatPr defaultRowHeight="15" x14ac:dyDescent="0.25"/>
  <sheetData>
    <row r="1" spans="1:17" x14ac:dyDescent="0.25">
      <c r="A1" s="66" t="s">
        <v>51</v>
      </c>
      <c r="B1" s="66" t="s">
        <v>52</v>
      </c>
      <c r="C1" s="66" t="s">
        <v>53</v>
      </c>
      <c r="D1" s="66" t="s">
        <v>54</v>
      </c>
      <c r="E1" t="s">
        <v>55</v>
      </c>
      <c r="F1" t="s">
        <v>56</v>
      </c>
      <c r="G1" t="s">
        <v>57</v>
      </c>
      <c r="H1" t="s">
        <v>58</v>
      </c>
      <c r="I1" t="s">
        <v>59</v>
      </c>
      <c r="J1" t="s">
        <v>60</v>
      </c>
      <c r="K1" t="s">
        <v>61</v>
      </c>
      <c r="L1" t="s">
        <v>62</v>
      </c>
      <c r="M1" t="s">
        <v>63</v>
      </c>
      <c r="N1" t="s">
        <v>64</v>
      </c>
      <c r="O1" t="s">
        <v>65</v>
      </c>
    </row>
    <row r="2" spans="1:17" hidden="1" x14ac:dyDescent="0.25">
      <c r="A2" t="s">
        <v>66</v>
      </c>
      <c r="B2" s="67">
        <v>43466</v>
      </c>
      <c r="C2">
        <v>2019</v>
      </c>
      <c r="D2">
        <v>1</v>
      </c>
      <c r="E2" s="68">
        <v>1450844.25</v>
      </c>
      <c r="F2" s="69">
        <v>298260.3046875</v>
      </c>
      <c r="G2" s="69">
        <v>607935.3046875</v>
      </c>
      <c r="H2" s="69">
        <v>211223.3046875</v>
      </c>
      <c r="I2" s="69">
        <v>122579.3046875</v>
      </c>
      <c r="J2" s="69">
        <v>9283.6740625000002</v>
      </c>
      <c r="K2" s="69">
        <v>72263.124062500006</v>
      </c>
      <c r="L2" s="69">
        <v>99703.134062500001</v>
      </c>
      <c r="M2" s="69">
        <v>177288.89406250001</v>
      </c>
      <c r="N2" s="68">
        <v>21943.599999999999</v>
      </c>
      <c r="O2" s="70">
        <v>3071324.9950000001</v>
      </c>
      <c r="P2" s="68"/>
      <c r="Q2" s="70"/>
    </row>
    <row r="3" spans="1:17" hidden="1" x14ac:dyDescent="0.25">
      <c r="A3" t="s">
        <v>67</v>
      </c>
      <c r="B3" s="67">
        <v>43497</v>
      </c>
      <c r="C3">
        <v>2019</v>
      </c>
      <c r="D3">
        <v>2</v>
      </c>
      <c r="E3" s="68">
        <v>1190938.25</v>
      </c>
      <c r="F3" s="69">
        <v>263951.3046875</v>
      </c>
      <c r="G3" s="69">
        <v>546640.3046875</v>
      </c>
      <c r="H3" s="69">
        <v>184049.3046875</v>
      </c>
      <c r="I3" s="69">
        <v>111217.3046875</v>
      </c>
      <c r="J3" s="69">
        <v>8337.7040625000009</v>
      </c>
      <c r="K3" s="69">
        <v>70343.524062500001</v>
      </c>
      <c r="L3" s="69">
        <v>99520.814062499994</v>
      </c>
      <c r="M3" s="69">
        <v>171940.1640625</v>
      </c>
      <c r="N3" s="68">
        <v>19433.510000000002</v>
      </c>
      <c r="O3" s="70">
        <v>2666372.2849999997</v>
      </c>
      <c r="P3" s="68"/>
      <c r="Q3" s="70"/>
    </row>
    <row r="4" spans="1:17" hidden="1" x14ac:dyDescent="0.25">
      <c r="A4" t="s">
        <v>68</v>
      </c>
      <c r="B4" s="67">
        <v>43525</v>
      </c>
      <c r="C4">
        <v>2019</v>
      </c>
      <c r="D4">
        <v>3</v>
      </c>
      <c r="E4" s="68">
        <v>1050120.25</v>
      </c>
      <c r="F4" s="69">
        <v>259975.3046875</v>
      </c>
      <c r="G4" s="69">
        <v>551657.3046875</v>
      </c>
      <c r="H4" s="69">
        <v>193325.3046875</v>
      </c>
      <c r="I4" s="69">
        <v>125597.3046875</v>
      </c>
      <c r="J4" s="69">
        <v>7592.9040624999998</v>
      </c>
      <c r="K4" s="69">
        <v>63662.394062500003</v>
      </c>
      <c r="L4" s="69">
        <v>100322.01406250001</v>
      </c>
      <c r="M4" s="69">
        <v>177339.23406250001</v>
      </c>
      <c r="N4" s="68">
        <v>16938.87</v>
      </c>
      <c r="O4" s="70">
        <v>2546530.9850000003</v>
      </c>
      <c r="P4" s="68"/>
      <c r="Q4" s="70"/>
    </row>
    <row r="5" spans="1:17" hidden="1" x14ac:dyDescent="0.25">
      <c r="A5" t="s">
        <v>69</v>
      </c>
      <c r="B5" s="67">
        <v>43556</v>
      </c>
      <c r="C5">
        <v>2019</v>
      </c>
      <c r="D5">
        <v>4</v>
      </c>
      <c r="E5" s="68">
        <v>809953.25</v>
      </c>
      <c r="F5" s="69">
        <v>233374.3046875</v>
      </c>
      <c r="G5" s="69">
        <v>533284.3046875</v>
      </c>
      <c r="H5" s="69">
        <v>189940.3046875</v>
      </c>
      <c r="I5" s="69">
        <v>128446.3046875</v>
      </c>
      <c r="J5" s="69">
        <v>6363.2840624999999</v>
      </c>
      <c r="K5" s="69">
        <v>66696.784062499995</v>
      </c>
      <c r="L5" s="69">
        <v>99920.724062499998</v>
      </c>
      <c r="M5" s="69">
        <v>180316.92406250001</v>
      </c>
      <c r="N5" s="68">
        <v>16535.36</v>
      </c>
      <c r="O5" s="70">
        <v>2264831.6450000005</v>
      </c>
      <c r="P5" s="68"/>
      <c r="Q5" s="70"/>
    </row>
    <row r="6" spans="1:17" hidden="1" x14ac:dyDescent="0.25">
      <c r="A6" t="s">
        <v>70</v>
      </c>
      <c r="B6" s="67">
        <v>43586</v>
      </c>
      <c r="C6">
        <v>2019</v>
      </c>
      <c r="D6">
        <v>5</v>
      </c>
      <c r="E6" s="68">
        <v>815597.25</v>
      </c>
      <c r="F6" s="69">
        <v>250126.3046875</v>
      </c>
      <c r="G6" s="69">
        <v>580271.3046875</v>
      </c>
      <c r="H6" s="69">
        <v>209167.3046875</v>
      </c>
      <c r="I6" s="69">
        <v>140592.3046875</v>
      </c>
      <c r="J6" s="69">
        <v>5965.1740625000002</v>
      </c>
      <c r="K6" s="69">
        <v>63565.724062499998</v>
      </c>
      <c r="L6" s="69">
        <v>103605.4640625</v>
      </c>
      <c r="M6" s="69">
        <v>191226.81406249999</v>
      </c>
      <c r="N6" s="68">
        <v>13954.6</v>
      </c>
      <c r="O6" s="70">
        <v>2374072.3450000002</v>
      </c>
      <c r="P6" s="68"/>
      <c r="Q6" s="70"/>
    </row>
    <row r="7" spans="1:17" hidden="1" x14ac:dyDescent="0.25">
      <c r="A7" t="s">
        <v>71</v>
      </c>
      <c r="B7" s="67">
        <v>43617</v>
      </c>
      <c r="C7">
        <v>2019</v>
      </c>
      <c r="D7">
        <v>6</v>
      </c>
      <c r="E7" s="68">
        <v>1081145.25</v>
      </c>
      <c r="F7" s="69">
        <v>272206.3046875</v>
      </c>
      <c r="G7" s="69">
        <v>620675.3046875</v>
      </c>
      <c r="H7" s="69">
        <v>216531.3046875</v>
      </c>
      <c r="I7" s="69">
        <v>145254.3046875</v>
      </c>
      <c r="J7" s="69">
        <v>7208.6640625</v>
      </c>
      <c r="K7" s="69">
        <v>72472.434062500004</v>
      </c>
      <c r="L7" s="69">
        <v>107051.2940625</v>
      </c>
      <c r="M7" s="69">
        <v>195192.3840625</v>
      </c>
      <c r="N7" s="68">
        <v>13118.61</v>
      </c>
      <c r="O7" s="70">
        <v>2730855.9550000001</v>
      </c>
      <c r="P7" s="68"/>
      <c r="Q7" s="70"/>
    </row>
    <row r="8" spans="1:17" hidden="1" x14ac:dyDescent="0.25">
      <c r="A8" t="s">
        <v>72</v>
      </c>
      <c r="B8" s="67">
        <v>43647</v>
      </c>
      <c r="C8">
        <v>2019</v>
      </c>
      <c r="D8">
        <v>7</v>
      </c>
      <c r="E8" s="68">
        <v>1302763.25</v>
      </c>
      <c r="F8" s="69">
        <v>310621.3046875</v>
      </c>
      <c r="G8" s="69">
        <v>677804.3046875</v>
      </c>
      <c r="H8" s="69">
        <v>229121.3046875</v>
      </c>
      <c r="I8" s="69">
        <v>154079.3046875</v>
      </c>
      <c r="J8" s="69">
        <v>7912.3340625000001</v>
      </c>
      <c r="K8" s="69">
        <v>74388.454062499994</v>
      </c>
      <c r="L8" s="69">
        <v>112799.7740625</v>
      </c>
      <c r="M8" s="69">
        <v>205944.06406249999</v>
      </c>
      <c r="N8" s="68">
        <v>12639.17</v>
      </c>
      <c r="O8" s="70">
        <v>3088073.3649999998</v>
      </c>
      <c r="P8" s="68"/>
      <c r="Q8" s="70"/>
    </row>
    <row r="9" spans="1:17" hidden="1" x14ac:dyDescent="0.25">
      <c r="A9" t="s">
        <v>73</v>
      </c>
      <c r="B9" s="67">
        <v>43678</v>
      </c>
      <c r="C9">
        <v>2019</v>
      </c>
      <c r="D9">
        <v>8</v>
      </c>
      <c r="E9" s="68">
        <v>1230822.25</v>
      </c>
      <c r="F9" s="69">
        <v>305573.3046875</v>
      </c>
      <c r="G9" s="69">
        <v>665813.3046875</v>
      </c>
      <c r="H9" s="69">
        <v>226750.3046875</v>
      </c>
      <c r="I9" s="69">
        <v>150831.3046875</v>
      </c>
      <c r="J9" s="69">
        <v>7884.6540624999998</v>
      </c>
      <c r="K9" s="69">
        <v>73433.724062499998</v>
      </c>
      <c r="L9" s="69">
        <v>112492.4940625</v>
      </c>
      <c r="M9" s="69">
        <v>215213.61406250001</v>
      </c>
      <c r="N9" s="68">
        <v>12989.72</v>
      </c>
      <c r="O9" s="70">
        <v>3001804.7750000008</v>
      </c>
      <c r="P9" s="68"/>
      <c r="Q9" s="70"/>
    </row>
    <row r="10" spans="1:17" hidden="1" x14ac:dyDescent="0.25">
      <c r="A10" t="s">
        <v>74</v>
      </c>
      <c r="B10" s="67">
        <v>43709</v>
      </c>
      <c r="C10">
        <v>2019</v>
      </c>
      <c r="D10">
        <v>9</v>
      </c>
      <c r="E10" s="68">
        <v>881514.25</v>
      </c>
      <c r="F10" s="69">
        <v>258825.3046875</v>
      </c>
      <c r="G10" s="69">
        <v>579807.3046875</v>
      </c>
      <c r="H10" s="69">
        <v>210072.3046875</v>
      </c>
      <c r="I10" s="69">
        <v>140181.3046875</v>
      </c>
      <c r="J10" s="69">
        <v>6495.6340625000003</v>
      </c>
      <c r="K10" s="69">
        <v>71598.784062499995</v>
      </c>
      <c r="L10" s="69">
        <v>109703.8640625</v>
      </c>
      <c r="M10" s="69">
        <v>207857.17406250001</v>
      </c>
      <c r="N10" s="68">
        <v>14793.630000000001</v>
      </c>
      <c r="O10" s="70">
        <v>2480849.6549999998</v>
      </c>
      <c r="P10" s="68"/>
      <c r="Q10" s="70"/>
    </row>
    <row r="11" spans="1:17" hidden="1" x14ac:dyDescent="0.25">
      <c r="A11" t="s">
        <v>75</v>
      </c>
      <c r="B11" s="67">
        <v>43739</v>
      </c>
      <c r="C11">
        <v>2019</v>
      </c>
      <c r="D11">
        <v>10</v>
      </c>
      <c r="E11" s="68">
        <v>784547.25</v>
      </c>
      <c r="F11" s="69">
        <v>237578.3046875</v>
      </c>
      <c r="G11" s="69">
        <v>542727.3046875</v>
      </c>
      <c r="H11" s="69">
        <v>196951.3046875</v>
      </c>
      <c r="I11" s="69">
        <v>133494.3046875</v>
      </c>
      <c r="J11" s="69">
        <v>7472.8340625000001</v>
      </c>
      <c r="K11" s="69">
        <v>65136.024062500001</v>
      </c>
      <c r="L11" s="69">
        <v>103979.40406250001</v>
      </c>
      <c r="M11" s="69">
        <v>204224.6940625</v>
      </c>
      <c r="N11" s="68">
        <v>16030.92</v>
      </c>
      <c r="O11" s="70">
        <v>2292142.4449999998</v>
      </c>
      <c r="P11" s="68"/>
      <c r="Q11" s="70"/>
    </row>
    <row r="12" spans="1:17" hidden="1" x14ac:dyDescent="0.25">
      <c r="A12" t="s">
        <v>76</v>
      </c>
      <c r="B12" s="67">
        <v>43770</v>
      </c>
      <c r="C12">
        <v>2019</v>
      </c>
      <c r="D12">
        <v>11</v>
      </c>
      <c r="E12" s="68">
        <v>976034.25</v>
      </c>
      <c r="F12" s="69">
        <v>249820.3046875</v>
      </c>
      <c r="G12" s="69">
        <v>537968.3046875</v>
      </c>
      <c r="H12" s="69">
        <v>187799.3046875</v>
      </c>
      <c r="I12" s="69">
        <v>122752.3046875</v>
      </c>
      <c r="J12" s="69">
        <v>9446.9640624999993</v>
      </c>
      <c r="K12" s="69">
        <v>68037.514062500006</v>
      </c>
      <c r="L12" s="69">
        <v>102136.73406250001</v>
      </c>
      <c r="M12" s="69">
        <v>192924.3840625</v>
      </c>
      <c r="N12" s="68">
        <v>18190.23</v>
      </c>
      <c r="O12" s="70">
        <v>2465110.395</v>
      </c>
      <c r="P12" s="68"/>
      <c r="Q12" s="70"/>
    </row>
    <row r="13" spans="1:17" hidden="1" x14ac:dyDescent="0.25">
      <c r="A13" t="s">
        <v>77</v>
      </c>
      <c r="B13" s="67">
        <v>43800</v>
      </c>
      <c r="C13">
        <v>2019</v>
      </c>
      <c r="D13">
        <v>12</v>
      </c>
      <c r="E13" s="68">
        <v>1345036.25</v>
      </c>
      <c r="F13" s="69">
        <v>291071.3046875</v>
      </c>
      <c r="G13" s="69">
        <v>597135.3046875</v>
      </c>
      <c r="H13" s="69">
        <v>207657.3046875</v>
      </c>
      <c r="I13" s="69">
        <v>123836.3046875</v>
      </c>
      <c r="J13" s="69">
        <v>9940.9740624999995</v>
      </c>
      <c r="K13" s="69">
        <v>68931.604062500002</v>
      </c>
      <c r="L13" s="69">
        <v>101505.5240625</v>
      </c>
      <c r="M13" s="69">
        <v>177818.61406250001</v>
      </c>
      <c r="N13" s="68">
        <v>20219.84</v>
      </c>
      <c r="O13" s="70">
        <v>2943153.125</v>
      </c>
      <c r="P13" s="68"/>
      <c r="Q13" s="70"/>
    </row>
    <row r="14" spans="1:17" hidden="1" x14ac:dyDescent="0.25">
      <c r="A14" t="s">
        <v>78</v>
      </c>
      <c r="B14" s="67">
        <v>43831</v>
      </c>
      <c r="C14">
        <v>2020</v>
      </c>
      <c r="D14">
        <v>1</v>
      </c>
      <c r="E14" s="68">
        <v>1419313.1666666667</v>
      </c>
      <c r="F14" s="69">
        <v>297764.330625</v>
      </c>
      <c r="G14" s="69">
        <v>615859.33062499994</v>
      </c>
      <c r="H14" s="69">
        <v>212216.330625</v>
      </c>
      <c r="I14" s="69">
        <v>123459.330625</v>
      </c>
      <c r="J14" s="69">
        <v>9578.3518750000003</v>
      </c>
      <c r="K14" s="69">
        <v>70999.40187500001</v>
      </c>
      <c r="L14" s="69">
        <v>100726.88187500001</v>
      </c>
      <c r="M14" s="69">
        <v>177893.16187500002</v>
      </c>
      <c r="N14" s="68">
        <v>21737.37</v>
      </c>
      <c r="O14" s="70">
        <v>3049547.7566666673</v>
      </c>
      <c r="P14" s="68"/>
      <c r="Q14" s="70"/>
    </row>
    <row r="15" spans="1:17" x14ac:dyDescent="0.25">
      <c r="A15" t="s">
        <v>79</v>
      </c>
      <c r="B15" s="67">
        <v>43862</v>
      </c>
      <c r="C15">
        <v>2020</v>
      </c>
      <c r="D15">
        <v>2</v>
      </c>
      <c r="E15" s="68">
        <v>1209767.1666666667</v>
      </c>
      <c r="F15" s="69">
        <v>273698.330625</v>
      </c>
      <c r="G15" s="69">
        <v>569343.33062499994</v>
      </c>
      <c r="H15" s="69">
        <v>192580.330625</v>
      </c>
      <c r="I15" s="69">
        <v>116244.330625</v>
      </c>
      <c r="J15" s="69">
        <v>8874.5218750000004</v>
      </c>
      <c r="K15" s="69">
        <v>68030.04187500001</v>
      </c>
      <c r="L15" s="69">
        <v>101932.93187500001</v>
      </c>
      <c r="M15" s="69">
        <v>178341.71187500001</v>
      </c>
      <c r="N15" s="68">
        <v>19229.28</v>
      </c>
      <c r="O15" s="70">
        <v>2738042.0766666671</v>
      </c>
      <c r="P15" s="68"/>
      <c r="Q15" s="70"/>
    </row>
    <row r="16" spans="1:17" x14ac:dyDescent="0.25">
      <c r="A16" t="s">
        <v>80</v>
      </c>
      <c r="B16" s="67">
        <v>43891</v>
      </c>
      <c r="C16">
        <v>2020</v>
      </c>
      <c r="D16">
        <v>3</v>
      </c>
      <c r="E16" s="68">
        <v>1030759.1666666666</v>
      </c>
      <c r="F16" s="69">
        <v>260084.330625</v>
      </c>
      <c r="G16" s="69">
        <v>560143.33062499994</v>
      </c>
      <c r="H16" s="69">
        <v>195002.330625</v>
      </c>
      <c r="I16" s="69">
        <v>126666.330625</v>
      </c>
      <c r="J16" s="69">
        <v>8104.6018749999994</v>
      </c>
      <c r="K16" s="69">
        <v>62403.171875</v>
      </c>
      <c r="L16" s="69">
        <v>101852.221875</v>
      </c>
      <c r="M16" s="69">
        <v>178053.65187500001</v>
      </c>
      <c r="N16" s="68">
        <v>16733.61</v>
      </c>
      <c r="O16" s="70">
        <v>2539802.8466666667</v>
      </c>
      <c r="P16" s="68"/>
      <c r="Q16" s="70"/>
    </row>
    <row r="17" spans="1:17" x14ac:dyDescent="0.25">
      <c r="A17" t="s">
        <v>81</v>
      </c>
      <c r="B17" s="67">
        <v>43922</v>
      </c>
      <c r="C17">
        <v>2020</v>
      </c>
      <c r="D17">
        <v>4</v>
      </c>
      <c r="E17" s="68">
        <v>795529.16666666663</v>
      </c>
      <c r="F17" s="69">
        <v>233614.330625</v>
      </c>
      <c r="G17" s="69">
        <v>535260.33062499994</v>
      </c>
      <c r="H17" s="69">
        <v>191764.330625</v>
      </c>
      <c r="I17" s="69">
        <v>129504.330625</v>
      </c>
      <c r="J17" s="69">
        <v>6965.4018749999996</v>
      </c>
      <c r="K17" s="69">
        <v>65524.601875</v>
      </c>
      <c r="L17" s="69">
        <v>101522.531875</v>
      </c>
      <c r="M17" s="69">
        <v>180946.641875</v>
      </c>
      <c r="N17" s="68">
        <v>16330.1</v>
      </c>
      <c r="O17" s="70">
        <v>2256961.8666666667</v>
      </c>
      <c r="P17" s="68"/>
      <c r="Q17" s="70"/>
    </row>
    <row r="18" spans="1:17" x14ac:dyDescent="0.25">
      <c r="A18" t="s">
        <v>82</v>
      </c>
      <c r="B18" s="67">
        <v>43952</v>
      </c>
      <c r="C18">
        <v>2020</v>
      </c>
      <c r="D18">
        <v>5</v>
      </c>
      <c r="E18" s="68">
        <v>801284.16666666663</v>
      </c>
      <c r="F18" s="69">
        <v>250220.330625</v>
      </c>
      <c r="G18" s="69">
        <v>580975.33062499994</v>
      </c>
      <c r="H18" s="69">
        <v>211047.330625</v>
      </c>
      <c r="I18" s="69">
        <v>141658.330625</v>
      </c>
      <c r="J18" s="69">
        <v>6638.7018749999997</v>
      </c>
      <c r="K18" s="69">
        <v>62319.391875000001</v>
      </c>
      <c r="L18" s="69">
        <v>105327.29187500001</v>
      </c>
      <c r="M18" s="69">
        <v>191785.141875</v>
      </c>
      <c r="N18" s="68">
        <v>13750.33</v>
      </c>
      <c r="O18" s="70">
        <v>2365006.4466666668</v>
      </c>
      <c r="P18" s="68"/>
      <c r="Q18" s="70"/>
    </row>
    <row r="19" spans="1:17" x14ac:dyDescent="0.25">
      <c r="A19" t="s">
        <v>83</v>
      </c>
      <c r="B19" s="67">
        <v>43983</v>
      </c>
      <c r="C19">
        <v>2020</v>
      </c>
      <c r="D19">
        <v>6</v>
      </c>
      <c r="E19" s="68">
        <v>1060883.1666666667</v>
      </c>
      <c r="F19" s="69">
        <v>272323.330625</v>
      </c>
      <c r="G19" s="69">
        <v>625239.33062499994</v>
      </c>
      <c r="H19" s="69">
        <v>218574.330625</v>
      </c>
      <c r="I19" s="69">
        <v>146214.330625</v>
      </c>
      <c r="J19" s="69">
        <v>7608.2318749999995</v>
      </c>
      <c r="K19" s="69">
        <v>71232.611875000002</v>
      </c>
      <c r="L19" s="69">
        <v>108757.051875</v>
      </c>
      <c r="M19" s="69">
        <v>195576.171875</v>
      </c>
      <c r="N19" s="68">
        <v>12914.34</v>
      </c>
      <c r="O19" s="70">
        <v>2719322.9966666666</v>
      </c>
      <c r="P19" s="68"/>
      <c r="Q19" s="70"/>
    </row>
    <row r="20" spans="1:17" x14ac:dyDescent="0.25">
      <c r="A20" t="s">
        <v>84</v>
      </c>
      <c r="B20" s="67">
        <v>44013</v>
      </c>
      <c r="C20">
        <v>2020</v>
      </c>
      <c r="D20">
        <v>7</v>
      </c>
      <c r="E20" s="68">
        <v>1278983.1666666667</v>
      </c>
      <c r="F20" s="69">
        <v>310445.330625</v>
      </c>
      <c r="G20" s="69">
        <v>676728.33062499994</v>
      </c>
      <c r="H20" s="69">
        <v>230848.330625</v>
      </c>
      <c r="I20" s="69">
        <v>154877.330625</v>
      </c>
      <c r="J20" s="69">
        <v>8399.5018749999999</v>
      </c>
      <c r="K20" s="69">
        <v>73107.65187500001</v>
      </c>
      <c r="L20" s="69">
        <v>114523.801875</v>
      </c>
      <c r="M20" s="69">
        <v>206188.481875</v>
      </c>
      <c r="N20" s="68">
        <v>12433.91</v>
      </c>
      <c r="O20" s="70">
        <v>3066535.936666667</v>
      </c>
      <c r="P20" s="68"/>
      <c r="Q20" s="70"/>
    </row>
    <row r="21" spans="1:17" x14ac:dyDescent="0.25">
      <c r="A21" t="s">
        <v>85</v>
      </c>
      <c r="B21" s="67">
        <v>44044</v>
      </c>
      <c r="C21">
        <v>2020</v>
      </c>
      <c r="D21">
        <v>8</v>
      </c>
      <c r="E21" s="68">
        <v>1210625.1666666667</v>
      </c>
      <c r="F21" s="69">
        <v>305349.330625</v>
      </c>
      <c r="G21" s="69">
        <v>664772.33062499994</v>
      </c>
      <c r="H21" s="69">
        <v>228323.330625</v>
      </c>
      <c r="I21" s="69">
        <v>151539.330625</v>
      </c>
      <c r="J21" s="69">
        <v>8172.8518749999994</v>
      </c>
      <c r="K21" s="69">
        <v>72232.691875000004</v>
      </c>
      <c r="L21" s="69">
        <v>114028.79187500001</v>
      </c>
      <c r="M21" s="69">
        <v>215343.21187500001</v>
      </c>
      <c r="N21" s="68">
        <v>12785.46</v>
      </c>
      <c r="O21" s="70">
        <v>2983172.5966666671</v>
      </c>
      <c r="P21" s="68"/>
      <c r="Q21" s="70"/>
    </row>
    <row r="22" spans="1:17" x14ac:dyDescent="0.25">
      <c r="A22" t="s">
        <v>86</v>
      </c>
      <c r="B22" s="67">
        <v>44075</v>
      </c>
      <c r="C22">
        <v>2020</v>
      </c>
      <c r="D22">
        <v>9</v>
      </c>
      <c r="E22" s="68">
        <v>869202.16666666663</v>
      </c>
      <c r="F22" s="69">
        <v>258479.330625</v>
      </c>
      <c r="G22" s="69">
        <v>578674.33062499994</v>
      </c>
      <c r="H22" s="69">
        <v>211316.330625</v>
      </c>
      <c r="I22" s="69">
        <v>140693.330625</v>
      </c>
      <c r="J22" s="69">
        <v>6830.1918749999995</v>
      </c>
      <c r="K22" s="69">
        <v>70492.661875000005</v>
      </c>
      <c r="L22" s="69">
        <v>111015.90187500001</v>
      </c>
      <c r="M22" s="69">
        <v>207898.551875</v>
      </c>
      <c r="N22" s="68">
        <v>14589.369999999999</v>
      </c>
      <c r="O22" s="70">
        <v>2469192.2666666666</v>
      </c>
      <c r="P22" s="68"/>
      <c r="Q22" s="70"/>
    </row>
    <row r="23" spans="1:17" x14ac:dyDescent="0.25">
      <c r="A23" t="s">
        <v>87</v>
      </c>
      <c r="B23" s="67">
        <v>44105</v>
      </c>
      <c r="C23">
        <v>2020</v>
      </c>
      <c r="D23">
        <v>10</v>
      </c>
      <c r="E23" s="68">
        <v>775070.16666666663</v>
      </c>
      <c r="F23" s="69">
        <v>237037.330625</v>
      </c>
      <c r="G23" s="69">
        <v>541314.33062499994</v>
      </c>
      <c r="H23" s="69">
        <v>198010.330625</v>
      </c>
      <c r="I23" s="69">
        <v>133887.330625</v>
      </c>
      <c r="J23" s="69">
        <v>7838.0818749999999</v>
      </c>
      <c r="K23" s="69">
        <v>63983.781875000001</v>
      </c>
      <c r="L23" s="69">
        <v>105299.391875</v>
      </c>
      <c r="M23" s="69">
        <v>204184.60187499999</v>
      </c>
      <c r="N23" s="68">
        <v>15826.66</v>
      </c>
      <c r="O23" s="70">
        <v>2282452.1066666669</v>
      </c>
      <c r="P23" s="68"/>
      <c r="Q23" s="70"/>
    </row>
    <row r="24" spans="1:17" x14ac:dyDescent="0.25">
      <c r="A24" t="s">
        <v>88</v>
      </c>
      <c r="B24" s="67">
        <v>44136</v>
      </c>
      <c r="C24">
        <v>2020</v>
      </c>
      <c r="D24">
        <v>11</v>
      </c>
      <c r="E24" s="68">
        <v>966449.16666666663</v>
      </c>
      <c r="F24" s="69">
        <v>249030.330625</v>
      </c>
      <c r="G24" s="69">
        <v>536213.33062499994</v>
      </c>
      <c r="H24" s="69">
        <v>188605.330625</v>
      </c>
      <c r="I24" s="69">
        <v>123082.330625</v>
      </c>
      <c r="J24" s="69">
        <v>9772.6118750000005</v>
      </c>
      <c r="K24" s="69">
        <v>66989.90187500001</v>
      </c>
      <c r="L24" s="69">
        <v>103274.24187500001</v>
      </c>
      <c r="M24" s="69">
        <v>192837.831875</v>
      </c>
      <c r="N24" s="68">
        <v>17986.97</v>
      </c>
      <c r="O24" s="70">
        <v>2454242.146666667</v>
      </c>
      <c r="P24" s="68"/>
      <c r="Q24" s="70"/>
    </row>
    <row r="25" spans="1:17" x14ac:dyDescent="0.25">
      <c r="A25" t="s">
        <v>89</v>
      </c>
      <c r="B25" s="67">
        <v>44166</v>
      </c>
      <c r="C25">
        <v>2020</v>
      </c>
      <c r="D25">
        <v>12</v>
      </c>
      <c r="E25" s="68">
        <v>1334271.1666666667</v>
      </c>
      <c r="F25" s="69">
        <v>289793.330625</v>
      </c>
      <c r="G25" s="69">
        <v>594702.33062499994</v>
      </c>
      <c r="H25" s="69">
        <v>208219.330625</v>
      </c>
      <c r="I25" s="69">
        <v>124090.330625</v>
      </c>
      <c r="J25" s="69">
        <v>10241.851875</v>
      </c>
      <c r="K25" s="69">
        <v>67793.15187500001</v>
      </c>
      <c r="L25" s="69">
        <v>102579.06187500001</v>
      </c>
      <c r="M25" s="69">
        <v>177663.66187500002</v>
      </c>
      <c r="N25" s="68">
        <v>20016.580000000002</v>
      </c>
      <c r="O25" s="70">
        <v>2929370.8966666674</v>
      </c>
      <c r="P25" s="68"/>
      <c r="Q25" s="70"/>
    </row>
    <row r="26" spans="1:17" x14ac:dyDescent="0.25">
      <c r="A26" t="s">
        <v>90</v>
      </c>
      <c r="B26" s="67">
        <v>44197</v>
      </c>
      <c r="C26">
        <v>2021</v>
      </c>
      <c r="D26">
        <v>1</v>
      </c>
      <c r="E26" s="68">
        <v>1416384.9166666667</v>
      </c>
      <c r="F26" s="69">
        <v>296547.74093750003</v>
      </c>
      <c r="G26" s="69">
        <v>612075.74093750003</v>
      </c>
      <c r="H26" s="69">
        <v>212702.7409375</v>
      </c>
      <c r="I26" s="69">
        <v>123657.7409375</v>
      </c>
      <c r="J26" s="69">
        <v>9825.3428125000009</v>
      </c>
      <c r="K26" s="69">
        <v>69763.90281249999</v>
      </c>
      <c r="L26" s="69">
        <v>101852.5728125</v>
      </c>
      <c r="M26" s="69">
        <v>177833.48281250001</v>
      </c>
      <c r="N26" s="68">
        <v>21534.11</v>
      </c>
      <c r="O26" s="70">
        <v>3042178.3916666661</v>
      </c>
      <c r="P26" s="68"/>
      <c r="Q26" s="70"/>
    </row>
    <row r="27" spans="1:17" hidden="1" x14ac:dyDescent="0.25">
      <c r="A27" t="s">
        <v>91</v>
      </c>
      <c r="B27" s="67">
        <v>44228</v>
      </c>
      <c r="C27">
        <v>2021</v>
      </c>
      <c r="D27">
        <v>2</v>
      </c>
      <c r="E27" s="68">
        <v>1164740.9166666667</v>
      </c>
      <c r="F27" s="69">
        <v>262664.74093750003</v>
      </c>
      <c r="G27" s="69">
        <v>550999.74093750003</v>
      </c>
      <c r="H27" s="69">
        <v>185648.7409375</v>
      </c>
      <c r="I27" s="69">
        <v>112170.7409375</v>
      </c>
      <c r="J27" s="69">
        <v>8744.7528125000008</v>
      </c>
      <c r="K27" s="69">
        <v>68167.602812500001</v>
      </c>
      <c r="L27" s="69">
        <v>101480.6928125</v>
      </c>
      <c r="M27" s="69">
        <v>172362.14281250001</v>
      </c>
      <c r="N27" s="68">
        <v>19026.02</v>
      </c>
      <c r="O27" s="70">
        <v>2646006.1916666673</v>
      </c>
      <c r="P27" s="68"/>
      <c r="Q27" s="70"/>
    </row>
    <row r="28" spans="1:17" hidden="1" x14ac:dyDescent="0.25">
      <c r="A28" t="s">
        <v>92</v>
      </c>
      <c r="B28" s="67">
        <v>44256</v>
      </c>
      <c r="C28">
        <v>2021</v>
      </c>
      <c r="D28">
        <v>3</v>
      </c>
      <c r="E28" s="68">
        <v>1028127.9166666666</v>
      </c>
      <c r="F28" s="69">
        <v>258943.7409375</v>
      </c>
      <c r="G28" s="69">
        <v>557195.74093750003</v>
      </c>
      <c r="H28" s="69">
        <v>195289.7409375</v>
      </c>
      <c r="I28" s="69">
        <v>126612.7409375</v>
      </c>
      <c r="J28" s="69">
        <v>7784.5128125000001</v>
      </c>
      <c r="K28" s="69">
        <v>61261.642812499995</v>
      </c>
      <c r="L28" s="69">
        <v>102389.2228125</v>
      </c>
      <c r="M28" s="69">
        <v>177609.1028125</v>
      </c>
      <c r="N28" s="68">
        <v>16531.38</v>
      </c>
      <c r="O28" s="70">
        <v>2531745.8416666663</v>
      </c>
      <c r="P28" s="68"/>
      <c r="Q28" s="70"/>
    </row>
    <row r="29" spans="1:17" hidden="1" x14ac:dyDescent="0.25">
      <c r="A29" t="s">
        <v>93</v>
      </c>
      <c r="B29" s="67">
        <v>44287</v>
      </c>
      <c r="C29">
        <v>2021</v>
      </c>
      <c r="D29">
        <v>4</v>
      </c>
      <c r="E29" s="68">
        <v>793063.91666666663</v>
      </c>
      <c r="F29" s="69">
        <v>232790.7409375</v>
      </c>
      <c r="G29" s="69">
        <v>533072.74093750003</v>
      </c>
      <c r="H29" s="69">
        <v>192205.7409375</v>
      </c>
      <c r="I29" s="69">
        <v>129399.7409375</v>
      </c>
      <c r="J29" s="69">
        <v>6647.9928125000006</v>
      </c>
      <c r="K29" s="69">
        <v>64496.262812499997</v>
      </c>
      <c r="L29" s="69">
        <v>102001.73281249999</v>
      </c>
      <c r="M29" s="69">
        <v>180467.43281249999</v>
      </c>
      <c r="N29" s="68">
        <v>16127.869999999999</v>
      </c>
      <c r="O29" s="70">
        <v>2250274.271666667</v>
      </c>
      <c r="P29" s="68"/>
      <c r="Q29" s="70"/>
    </row>
    <row r="30" spans="1:17" hidden="1" x14ac:dyDescent="0.25">
      <c r="A30" t="s">
        <v>94</v>
      </c>
      <c r="B30" s="67">
        <v>44317</v>
      </c>
      <c r="C30">
        <v>2021</v>
      </c>
      <c r="D30">
        <v>5</v>
      </c>
      <c r="E30" s="68">
        <v>798297.91666666663</v>
      </c>
      <c r="F30" s="69">
        <v>249285.7409375</v>
      </c>
      <c r="G30" s="69">
        <v>578557.74093750003</v>
      </c>
      <c r="H30" s="69">
        <v>211426.7409375</v>
      </c>
      <c r="I30" s="69">
        <v>141421.7409375</v>
      </c>
      <c r="J30" s="69">
        <v>6277.7728125000003</v>
      </c>
      <c r="K30" s="69">
        <v>61190.152812499997</v>
      </c>
      <c r="L30" s="69">
        <v>105760.1828125</v>
      </c>
      <c r="M30" s="69">
        <v>191241.90281249999</v>
      </c>
      <c r="N30" s="68">
        <v>13547.11</v>
      </c>
      <c r="O30" s="70">
        <v>2357007.1016666666</v>
      </c>
      <c r="P30" s="68"/>
      <c r="Q30" s="70"/>
    </row>
    <row r="31" spans="1:17" hidden="1" x14ac:dyDescent="0.25">
      <c r="A31" t="s">
        <v>95</v>
      </c>
      <c r="B31" s="67">
        <v>44348</v>
      </c>
      <c r="C31">
        <v>2021</v>
      </c>
      <c r="D31">
        <v>6</v>
      </c>
      <c r="E31" s="68">
        <v>1056179.9166666667</v>
      </c>
      <c r="F31" s="69">
        <v>271233.74093750003</v>
      </c>
      <c r="G31" s="69">
        <v>622715.74093750003</v>
      </c>
      <c r="H31" s="69">
        <v>218679.7409375</v>
      </c>
      <c r="I31" s="69">
        <v>145892.7409375</v>
      </c>
      <c r="J31" s="69">
        <v>7234.0928125</v>
      </c>
      <c r="K31" s="69">
        <v>70140.042812500003</v>
      </c>
      <c r="L31" s="69">
        <v>109044.9628125</v>
      </c>
      <c r="M31" s="69">
        <v>195054.56281249999</v>
      </c>
      <c r="N31" s="68">
        <v>12712.119999999999</v>
      </c>
      <c r="O31" s="70">
        <v>2708887.7616666672</v>
      </c>
      <c r="P31" s="68"/>
      <c r="Q31" s="70"/>
    </row>
    <row r="32" spans="1:17" hidden="1" x14ac:dyDescent="0.25">
      <c r="A32" t="s">
        <v>96</v>
      </c>
      <c r="B32" s="67">
        <v>44378</v>
      </c>
      <c r="C32">
        <v>2021</v>
      </c>
      <c r="D32">
        <v>7</v>
      </c>
      <c r="E32" s="68">
        <v>1273387.9166666667</v>
      </c>
      <c r="F32" s="69">
        <v>309118.74093750003</v>
      </c>
      <c r="G32" s="69">
        <v>673728.74093750003</v>
      </c>
      <c r="H32" s="69">
        <v>230770.7409375</v>
      </c>
      <c r="I32" s="69">
        <v>154418.7409375</v>
      </c>
      <c r="J32" s="69">
        <v>7978.3728124999998</v>
      </c>
      <c r="K32" s="69">
        <v>71878.492812500001</v>
      </c>
      <c r="L32" s="69">
        <v>114765.37281249999</v>
      </c>
      <c r="M32" s="69">
        <v>205628.65281249999</v>
      </c>
      <c r="N32" s="68">
        <v>12232.68</v>
      </c>
      <c r="O32" s="70">
        <v>3053908.5516666663</v>
      </c>
      <c r="P32" s="68"/>
      <c r="Q32" s="70"/>
    </row>
    <row r="33" spans="1:17" hidden="1" x14ac:dyDescent="0.25">
      <c r="A33" t="s">
        <v>97</v>
      </c>
      <c r="B33" s="67">
        <v>44409</v>
      </c>
      <c r="C33">
        <v>2021</v>
      </c>
      <c r="D33">
        <v>8</v>
      </c>
      <c r="E33" s="68">
        <v>1203012.9166666667</v>
      </c>
      <c r="F33" s="69">
        <v>304118.74093750003</v>
      </c>
      <c r="G33" s="69">
        <v>661994.74093750003</v>
      </c>
      <c r="H33" s="69">
        <v>228304.7409375</v>
      </c>
      <c r="I33" s="69">
        <v>151077.7409375</v>
      </c>
      <c r="J33" s="69">
        <v>7807.3228125000005</v>
      </c>
      <c r="K33" s="69">
        <v>71059.142812499995</v>
      </c>
      <c r="L33" s="69">
        <v>114282.53281249999</v>
      </c>
      <c r="M33" s="69">
        <v>214788.46281249999</v>
      </c>
      <c r="N33" s="68">
        <v>12583.24</v>
      </c>
      <c r="O33" s="70">
        <v>2969029.6816666662</v>
      </c>
      <c r="P33" s="68"/>
      <c r="Q33" s="70"/>
    </row>
    <row r="34" spans="1:17" hidden="1" x14ac:dyDescent="0.25">
      <c r="A34" t="s">
        <v>98</v>
      </c>
      <c r="B34" s="67">
        <v>44440</v>
      </c>
      <c r="C34">
        <v>2021</v>
      </c>
      <c r="D34">
        <v>9</v>
      </c>
      <c r="E34" s="68">
        <v>863454.91666666663</v>
      </c>
      <c r="F34" s="69">
        <v>257345.7409375</v>
      </c>
      <c r="G34" s="69">
        <v>575968.74093750003</v>
      </c>
      <c r="H34" s="69">
        <v>211301.7409375</v>
      </c>
      <c r="I34" s="69">
        <v>140288.7409375</v>
      </c>
      <c r="J34" s="69">
        <v>6523.3328124999998</v>
      </c>
      <c r="K34" s="69">
        <v>69396.15281249999</v>
      </c>
      <c r="L34" s="69">
        <v>111293.31281249999</v>
      </c>
      <c r="M34" s="69">
        <v>207379.7628125</v>
      </c>
      <c r="N34" s="68">
        <v>14389.14</v>
      </c>
      <c r="O34" s="70">
        <v>2457341.6816666666</v>
      </c>
      <c r="P34" s="68"/>
      <c r="Q34" s="70"/>
    </row>
    <row r="35" spans="1:17" hidden="1" x14ac:dyDescent="0.25">
      <c r="A35" t="s">
        <v>99</v>
      </c>
      <c r="B35" s="67">
        <v>44470</v>
      </c>
      <c r="C35">
        <v>2021</v>
      </c>
      <c r="D35">
        <v>10</v>
      </c>
      <c r="E35" s="68">
        <v>771548.91666666663</v>
      </c>
      <c r="F35" s="69">
        <v>235721.7409375</v>
      </c>
      <c r="G35" s="69">
        <v>538342.74093750003</v>
      </c>
      <c r="H35" s="69">
        <v>197797.7409375</v>
      </c>
      <c r="I35" s="69">
        <v>133494.7409375</v>
      </c>
      <c r="J35" s="69">
        <v>7549.9128124999997</v>
      </c>
      <c r="K35" s="69">
        <v>62849.722812499997</v>
      </c>
      <c r="L35" s="69">
        <v>105582.4928125</v>
      </c>
      <c r="M35" s="69">
        <v>203650.98281250001</v>
      </c>
      <c r="N35" s="68">
        <v>15626.439999999999</v>
      </c>
      <c r="O35" s="70">
        <v>2272165.5316666667</v>
      </c>
      <c r="P35" s="68"/>
      <c r="Q35" s="70"/>
    </row>
    <row r="36" spans="1:17" hidden="1" x14ac:dyDescent="0.25">
      <c r="A36" t="s">
        <v>100</v>
      </c>
      <c r="B36" s="67">
        <v>44501</v>
      </c>
      <c r="C36">
        <v>2021</v>
      </c>
      <c r="D36">
        <v>11</v>
      </c>
      <c r="E36" s="68">
        <v>962530.91666666663</v>
      </c>
      <c r="F36" s="69">
        <v>247563.7409375</v>
      </c>
      <c r="G36" s="69">
        <v>532764.74093750003</v>
      </c>
      <c r="H36" s="69">
        <v>188247.7409375</v>
      </c>
      <c r="I36" s="69">
        <v>122706.7409375</v>
      </c>
      <c r="J36" s="69">
        <v>9600.5928125000009</v>
      </c>
      <c r="K36" s="69">
        <v>65923.272812499999</v>
      </c>
      <c r="L36" s="69">
        <v>103558.1328125</v>
      </c>
      <c r="M36" s="69">
        <v>192340.84281249999</v>
      </c>
      <c r="N36" s="68">
        <v>17785.739999999998</v>
      </c>
      <c r="O36" s="70">
        <v>2443022.561666667</v>
      </c>
      <c r="P36" s="68"/>
      <c r="Q36" s="70"/>
    </row>
    <row r="37" spans="1:17" hidden="1" x14ac:dyDescent="0.25">
      <c r="A37" t="s">
        <v>101</v>
      </c>
      <c r="B37" s="67">
        <v>44531</v>
      </c>
      <c r="C37">
        <v>2021</v>
      </c>
      <c r="D37">
        <v>12</v>
      </c>
      <c r="E37" s="68">
        <v>1328800.9166666667</v>
      </c>
      <c r="F37" s="69">
        <v>287764.74093750003</v>
      </c>
      <c r="G37" s="69">
        <v>589818.74093750003</v>
      </c>
      <c r="H37" s="69">
        <v>207494.7409375</v>
      </c>
      <c r="I37" s="69">
        <v>123638.7409375</v>
      </c>
      <c r="J37" s="69">
        <v>10074.072812500001</v>
      </c>
      <c r="K37" s="69">
        <v>66586.932812500003</v>
      </c>
      <c r="L37" s="69">
        <v>102841.6028125</v>
      </c>
      <c r="M37" s="69">
        <v>177146.59281249999</v>
      </c>
      <c r="N37" s="68">
        <v>19816.349999999999</v>
      </c>
      <c r="O37" s="70">
        <v>2913983.5316666663</v>
      </c>
      <c r="P37" s="68"/>
      <c r="Q37" s="70"/>
    </row>
    <row r="38" spans="1:17" hidden="1" x14ac:dyDescent="0.25">
      <c r="A38" t="s">
        <v>102</v>
      </c>
      <c r="B38" s="67">
        <v>44562</v>
      </c>
      <c r="C38">
        <v>2022</v>
      </c>
      <c r="D38">
        <v>1</v>
      </c>
      <c r="E38" s="68">
        <v>1421077.3333333333</v>
      </c>
      <c r="F38" s="69">
        <v>294643.15125</v>
      </c>
      <c r="G38" s="69">
        <v>606810.15125</v>
      </c>
      <c r="H38" s="69">
        <v>212126.15125</v>
      </c>
      <c r="I38" s="69">
        <v>123310.15125</v>
      </c>
      <c r="J38" s="69">
        <v>9622.4437500000004</v>
      </c>
      <c r="K38" s="69">
        <v>68639.243749999994</v>
      </c>
      <c r="L38" s="69">
        <v>102221.55375000001</v>
      </c>
      <c r="M38" s="69">
        <v>177449.50374999997</v>
      </c>
      <c r="N38" s="68">
        <v>21333.88</v>
      </c>
      <c r="O38" s="70">
        <v>3037233.6633333336</v>
      </c>
      <c r="P38" s="68"/>
      <c r="Q38" s="70"/>
    </row>
    <row r="39" spans="1:17" hidden="1" x14ac:dyDescent="0.25">
      <c r="A39" t="s">
        <v>103</v>
      </c>
      <c r="B39" s="67">
        <v>44593</v>
      </c>
      <c r="C39">
        <v>2022</v>
      </c>
      <c r="D39">
        <v>2</v>
      </c>
      <c r="E39" s="68">
        <v>1167672.3333333333</v>
      </c>
      <c r="F39" s="69">
        <v>261269.15125</v>
      </c>
      <c r="G39" s="69">
        <v>547088.15125</v>
      </c>
      <c r="H39" s="69">
        <v>185424.15125</v>
      </c>
      <c r="I39" s="69">
        <v>111908.15125</v>
      </c>
      <c r="J39" s="69">
        <v>8541.8737500000007</v>
      </c>
      <c r="K39" s="69">
        <v>67272.413750000007</v>
      </c>
      <c r="L39" s="69">
        <v>101823.80375000001</v>
      </c>
      <c r="M39" s="69">
        <v>172046.60374999998</v>
      </c>
      <c r="N39" s="68">
        <v>18825.79</v>
      </c>
      <c r="O39" s="70">
        <v>2641872.523333333</v>
      </c>
      <c r="P39" s="68"/>
      <c r="Q39" s="70"/>
    </row>
    <row r="40" spans="1:17" hidden="1" x14ac:dyDescent="0.25">
      <c r="A40" t="s">
        <v>104</v>
      </c>
      <c r="B40" s="67">
        <v>44621</v>
      </c>
      <c r="C40">
        <v>2022</v>
      </c>
      <c r="D40">
        <v>3</v>
      </c>
      <c r="E40" s="68">
        <v>1028873.3333333334</v>
      </c>
      <c r="F40" s="69">
        <v>257936.15125</v>
      </c>
      <c r="G40" s="69">
        <v>554278.15125</v>
      </c>
      <c r="H40" s="69">
        <v>195475.15125</v>
      </c>
      <c r="I40" s="69">
        <v>126367.15125</v>
      </c>
      <c r="J40" s="69">
        <v>7532.2037499999997</v>
      </c>
      <c r="K40" s="69">
        <v>60371.103750000002</v>
      </c>
      <c r="L40" s="69">
        <v>102782.55375000001</v>
      </c>
      <c r="M40" s="69">
        <v>177258.70374999999</v>
      </c>
      <c r="N40" s="68">
        <v>16331.16</v>
      </c>
      <c r="O40" s="70">
        <v>2527205.7633333332</v>
      </c>
      <c r="P40" s="68"/>
      <c r="Q40" s="70"/>
    </row>
    <row r="41" spans="1:17" hidden="1" x14ac:dyDescent="0.25">
      <c r="A41" t="s">
        <v>105</v>
      </c>
      <c r="B41" s="67">
        <v>44652</v>
      </c>
      <c r="C41">
        <v>2022</v>
      </c>
      <c r="D41">
        <v>4</v>
      </c>
      <c r="E41" s="68">
        <v>792281.33333333337</v>
      </c>
      <c r="F41" s="69">
        <v>232327.15125</v>
      </c>
      <c r="G41" s="69">
        <v>531413.15125</v>
      </c>
      <c r="H41" s="69">
        <v>192814.15125</v>
      </c>
      <c r="I41" s="69">
        <v>129183.15125</v>
      </c>
      <c r="J41" s="69">
        <v>6444.8537499999993</v>
      </c>
      <c r="K41" s="69">
        <v>63777.553749999999</v>
      </c>
      <c r="L41" s="69">
        <v>102422.42375</v>
      </c>
      <c r="M41" s="69">
        <v>180157.80374999999</v>
      </c>
      <c r="N41" s="68">
        <v>15927.65</v>
      </c>
      <c r="O41" s="70">
        <v>2246749.3233333337</v>
      </c>
      <c r="P41" s="68"/>
      <c r="Q41" s="70"/>
    </row>
    <row r="42" spans="1:17" hidden="1" x14ac:dyDescent="0.25">
      <c r="A42" t="s">
        <v>106</v>
      </c>
      <c r="B42" s="67">
        <v>44682</v>
      </c>
      <c r="C42">
        <v>2022</v>
      </c>
      <c r="D42">
        <v>5</v>
      </c>
      <c r="E42" s="68">
        <v>796435.33333333337</v>
      </c>
      <c r="F42" s="69">
        <v>248907.15125</v>
      </c>
      <c r="G42" s="69">
        <v>577115.15125</v>
      </c>
      <c r="H42" s="69">
        <v>212173.15125</v>
      </c>
      <c r="I42" s="69">
        <v>141121.15125</v>
      </c>
      <c r="J42" s="69">
        <v>6091.3737499999997</v>
      </c>
      <c r="K42" s="69">
        <v>60477.313750000001</v>
      </c>
      <c r="L42" s="69">
        <v>106211.37375</v>
      </c>
      <c r="M42" s="69">
        <v>190932.70374999999</v>
      </c>
      <c r="N42" s="68">
        <v>13347.880000000001</v>
      </c>
      <c r="O42" s="70">
        <v>2352812.6833333331</v>
      </c>
      <c r="P42" s="68"/>
      <c r="Q42" s="70"/>
    </row>
    <row r="43" spans="1:17" hidden="1" x14ac:dyDescent="0.25">
      <c r="A43" t="s">
        <v>107</v>
      </c>
      <c r="B43" s="67">
        <v>44713</v>
      </c>
      <c r="C43">
        <v>2022</v>
      </c>
      <c r="D43">
        <v>6</v>
      </c>
      <c r="E43" s="68">
        <v>1052833.3333333333</v>
      </c>
      <c r="F43" s="69">
        <v>270922.15125</v>
      </c>
      <c r="G43" s="69">
        <v>621441.15125</v>
      </c>
      <c r="H43" s="69">
        <v>219542.15125</v>
      </c>
      <c r="I43" s="69">
        <v>145523.15125</v>
      </c>
      <c r="J43" s="69">
        <v>7100.1137499999995</v>
      </c>
      <c r="K43" s="69">
        <v>69425.133749999994</v>
      </c>
      <c r="L43" s="69">
        <v>109514.74374999999</v>
      </c>
      <c r="M43" s="69">
        <v>194774.80374999999</v>
      </c>
      <c r="N43" s="68">
        <v>12512.89</v>
      </c>
      <c r="O43" s="70">
        <v>2703589.7233333336</v>
      </c>
      <c r="P43" s="68"/>
      <c r="Q43" s="70"/>
    </row>
    <row r="44" spans="1:17" hidden="1" x14ac:dyDescent="0.25">
      <c r="A44" t="s">
        <v>108</v>
      </c>
      <c r="B44" s="67">
        <v>44743</v>
      </c>
      <c r="C44">
        <v>2022</v>
      </c>
      <c r="D44">
        <v>7</v>
      </c>
      <c r="E44" s="68">
        <v>1269399.3333333333</v>
      </c>
      <c r="F44" s="69">
        <v>308783.15125</v>
      </c>
      <c r="G44" s="69">
        <v>672511.15125</v>
      </c>
      <c r="H44" s="69">
        <v>231688.15125</v>
      </c>
      <c r="I44" s="69">
        <v>153976.15125</v>
      </c>
      <c r="J44" s="69">
        <v>7895.5337499999996</v>
      </c>
      <c r="K44" s="69">
        <v>71319.073749999996</v>
      </c>
      <c r="L44" s="69">
        <v>115285.99374999999</v>
      </c>
      <c r="M44" s="69">
        <v>205340.17374999999</v>
      </c>
      <c r="N44" s="68">
        <v>12033.45</v>
      </c>
      <c r="O44" s="70">
        <v>3048232.2633333337</v>
      </c>
      <c r="P44" s="68"/>
      <c r="Q44" s="70"/>
    </row>
    <row r="45" spans="1:17" hidden="1" x14ac:dyDescent="0.25">
      <c r="A45" t="s">
        <v>109</v>
      </c>
      <c r="B45" s="67">
        <v>44774</v>
      </c>
      <c r="C45">
        <v>2022</v>
      </c>
      <c r="D45">
        <v>8</v>
      </c>
      <c r="E45" s="68">
        <v>1198117.3333333333</v>
      </c>
      <c r="F45" s="69">
        <v>304011.15125</v>
      </c>
      <c r="G45" s="69">
        <v>661367.15125</v>
      </c>
      <c r="H45" s="69">
        <v>229410.15125</v>
      </c>
      <c r="I45" s="69">
        <v>150664.15125</v>
      </c>
      <c r="J45" s="69">
        <v>7791.1437499999993</v>
      </c>
      <c r="K45" s="69">
        <v>70664.653749999998</v>
      </c>
      <c r="L45" s="69">
        <v>114830.02375000001</v>
      </c>
      <c r="M45" s="69">
        <v>214500.17374999999</v>
      </c>
      <c r="N45" s="68">
        <v>12385.01</v>
      </c>
      <c r="O45" s="70">
        <v>2963741.0433333335</v>
      </c>
      <c r="P45" s="68"/>
      <c r="Q45" s="70"/>
    </row>
    <row r="46" spans="1:17" hidden="1" x14ac:dyDescent="0.25">
      <c r="A46" t="s">
        <v>110</v>
      </c>
      <c r="B46" s="67">
        <v>44805</v>
      </c>
      <c r="C46">
        <v>2022</v>
      </c>
      <c r="D46">
        <v>9</v>
      </c>
      <c r="E46" s="68">
        <v>859788.33333333337</v>
      </c>
      <c r="F46" s="69">
        <v>257452.15125</v>
      </c>
      <c r="G46" s="69">
        <v>575788.15125</v>
      </c>
      <c r="H46" s="69">
        <v>212475.15125</v>
      </c>
      <c r="I46" s="69">
        <v>140000.15125</v>
      </c>
      <c r="J46" s="69">
        <v>6537.6837499999992</v>
      </c>
      <c r="K46" s="69">
        <v>69086.003750000003</v>
      </c>
      <c r="L46" s="69">
        <v>111837.15375</v>
      </c>
      <c r="M46" s="69">
        <v>207099.80374999999</v>
      </c>
      <c r="N46" s="68">
        <v>14189.91</v>
      </c>
      <c r="O46" s="70">
        <v>2454254.5933333337</v>
      </c>
      <c r="P46" s="68"/>
      <c r="Q46" s="70"/>
    </row>
    <row r="47" spans="1:17" hidden="1" x14ac:dyDescent="0.25">
      <c r="A47" t="s">
        <v>111</v>
      </c>
      <c r="B47" s="67">
        <v>44835</v>
      </c>
      <c r="C47">
        <v>2022</v>
      </c>
      <c r="D47">
        <v>10</v>
      </c>
      <c r="E47" s="68">
        <v>769324.33333333337</v>
      </c>
      <c r="F47" s="69">
        <v>235914.15125</v>
      </c>
      <c r="G47" s="69">
        <v>538354.15125</v>
      </c>
      <c r="H47" s="69">
        <v>199004.15125</v>
      </c>
      <c r="I47" s="69">
        <v>133301.15125</v>
      </c>
      <c r="J47" s="69">
        <v>7608.6437499999993</v>
      </c>
      <c r="K47" s="69">
        <v>62558.333749999998</v>
      </c>
      <c r="L47" s="69">
        <v>106158.13374999999</v>
      </c>
      <c r="M47" s="69">
        <v>203348.76374999998</v>
      </c>
      <c r="N47" s="68">
        <v>15428.21</v>
      </c>
      <c r="O47" s="70">
        <v>2271000.1233333335</v>
      </c>
      <c r="P47" s="68"/>
      <c r="Q47" s="70"/>
    </row>
    <row r="48" spans="1:17" hidden="1" x14ac:dyDescent="0.25">
      <c r="A48" t="s">
        <v>112</v>
      </c>
      <c r="B48" s="67">
        <v>44866</v>
      </c>
      <c r="C48">
        <v>2022</v>
      </c>
      <c r="D48">
        <v>11</v>
      </c>
      <c r="E48" s="68">
        <v>961637.33333333337</v>
      </c>
      <c r="F48" s="69">
        <v>247699.15125</v>
      </c>
      <c r="G48" s="69">
        <v>532636.15125</v>
      </c>
      <c r="H48" s="69">
        <v>189370.15125</v>
      </c>
      <c r="I48" s="69">
        <v>122589.15125</v>
      </c>
      <c r="J48" s="69">
        <v>9768.0237500000003</v>
      </c>
      <c r="K48" s="69">
        <v>65746.803749999992</v>
      </c>
      <c r="L48" s="69">
        <v>104142.93375</v>
      </c>
      <c r="M48" s="69">
        <v>192054.16374999998</v>
      </c>
      <c r="N48" s="68">
        <v>17586.52</v>
      </c>
      <c r="O48" s="70">
        <v>2443230.4833333334</v>
      </c>
      <c r="P48" s="68"/>
      <c r="Q48" s="70"/>
    </row>
    <row r="49" spans="1:17" hidden="1" x14ac:dyDescent="0.25">
      <c r="A49" t="s">
        <v>113</v>
      </c>
      <c r="B49" s="67">
        <v>44896</v>
      </c>
      <c r="C49">
        <v>2022</v>
      </c>
      <c r="D49">
        <v>12</v>
      </c>
      <c r="E49" s="68">
        <v>1328717.3333333333</v>
      </c>
      <c r="F49" s="69">
        <v>287634.15125</v>
      </c>
      <c r="G49" s="69">
        <v>589141.15125</v>
      </c>
      <c r="H49" s="69">
        <v>208600.15125</v>
      </c>
      <c r="I49" s="69">
        <v>123533.15125</v>
      </c>
      <c r="J49" s="69">
        <v>10323.11375</v>
      </c>
      <c r="K49" s="69">
        <v>66452.943750000006</v>
      </c>
      <c r="L49" s="69">
        <v>103487.45375</v>
      </c>
      <c r="M49" s="69">
        <v>176849.58374999999</v>
      </c>
      <c r="N49" s="68">
        <v>19618.13</v>
      </c>
      <c r="O49" s="70">
        <v>2914357.2633333332</v>
      </c>
      <c r="P49" s="68"/>
      <c r="Q49" s="70"/>
    </row>
    <row r="50" spans="1:17" hidden="1" x14ac:dyDescent="0.25">
      <c r="A50" t="s">
        <v>114</v>
      </c>
      <c r="B50" s="67">
        <v>44927</v>
      </c>
      <c r="C50">
        <v>2023</v>
      </c>
      <c r="D50">
        <v>1</v>
      </c>
      <c r="E50" s="68">
        <v>1412796.5</v>
      </c>
      <c r="F50" s="69">
        <v>294515.48458333331</v>
      </c>
      <c r="G50" s="69">
        <v>606158.48458333337</v>
      </c>
      <c r="H50" s="69">
        <v>213316.48458333334</v>
      </c>
      <c r="I50" s="69">
        <v>123308.48458333334</v>
      </c>
      <c r="J50" s="69">
        <v>9902.4537500000006</v>
      </c>
      <c r="K50" s="69">
        <v>68442.793749999997</v>
      </c>
      <c r="L50" s="69">
        <v>102910.82375</v>
      </c>
      <c r="M50" s="69">
        <v>177170.33374999999</v>
      </c>
      <c r="N50" s="68">
        <v>21135.66</v>
      </c>
      <c r="O50" s="70">
        <v>3029657.603333333</v>
      </c>
      <c r="P50" s="68"/>
      <c r="Q50" s="70"/>
    </row>
    <row r="51" spans="1:17" hidden="1" x14ac:dyDescent="0.25">
      <c r="A51" t="s">
        <v>115</v>
      </c>
      <c r="B51" s="67">
        <v>44958</v>
      </c>
      <c r="C51">
        <v>2023</v>
      </c>
      <c r="D51">
        <v>2</v>
      </c>
      <c r="E51" s="68">
        <v>1161007.5</v>
      </c>
      <c r="F51" s="69">
        <v>261192.48458333334</v>
      </c>
      <c r="G51" s="69">
        <v>546601.48458333337</v>
      </c>
      <c r="H51" s="69">
        <v>186473.48458333334</v>
      </c>
      <c r="I51" s="69">
        <v>111898.48458333334</v>
      </c>
      <c r="J51" s="69">
        <v>8842.59375</v>
      </c>
      <c r="K51" s="69">
        <v>67104.493749999994</v>
      </c>
      <c r="L51" s="69">
        <v>102478.88374999999</v>
      </c>
      <c r="M51" s="69">
        <v>171824.68375</v>
      </c>
      <c r="N51" s="68">
        <v>18628.57</v>
      </c>
      <c r="O51" s="70">
        <v>2636052.7633333327</v>
      </c>
      <c r="P51" s="68"/>
      <c r="Q51" s="70"/>
    </row>
    <row r="52" spans="1:17" hidden="1" x14ac:dyDescent="0.25">
      <c r="A52" t="s">
        <v>116</v>
      </c>
      <c r="B52" s="67">
        <v>44986</v>
      </c>
      <c r="C52">
        <v>2023</v>
      </c>
      <c r="D52">
        <v>3</v>
      </c>
      <c r="E52" s="68">
        <v>1022775.5</v>
      </c>
      <c r="F52" s="69">
        <v>258083.48458333334</v>
      </c>
      <c r="G52" s="69">
        <v>554278.48458333337</v>
      </c>
      <c r="H52" s="69">
        <v>196714.48458333334</v>
      </c>
      <c r="I52" s="69">
        <v>126303.48458333334</v>
      </c>
      <c r="J52" s="69">
        <v>7763.2037499999997</v>
      </c>
      <c r="K52" s="69">
        <v>60155.003750000003</v>
      </c>
      <c r="L52" s="69">
        <v>103407.43375</v>
      </c>
      <c r="M52" s="69">
        <v>176973.38374999998</v>
      </c>
      <c r="N52" s="68">
        <v>16133.93</v>
      </c>
      <c r="O52" s="70">
        <v>2522588.4933333336</v>
      </c>
      <c r="P52" s="68"/>
      <c r="Q52" s="70"/>
    </row>
    <row r="53" spans="1:17" hidden="1" x14ac:dyDescent="0.25">
      <c r="A53" t="s">
        <v>117</v>
      </c>
      <c r="B53" s="67">
        <v>45017</v>
      </c>
      <c r="C53">
        <v>2023</v>
      </c>
      <c r="D53">
        <v>4</v>
      </c>
      <c r="E53" s="68">
        <v>788970.5</v>
      </c>
      <c r="F53" s="69">
        <v>232717.48458333334</v>
      </c>
      <c r="G53" s="69">
        <v>531804.48458333337</v>
      </c>
      <c r="H53" s="69">
        <v>194123.48458333334</v>
      </c>
      <c r="I53" s="69">
        <v>129140.48458333334</v>
      </c>
      <c r="J53" s="69">
        <v>6644.8537499999993</v>
      </c>
      <c r="K53" s="69">
        <v>63596.893750000003</v>
      </c>
      <c r="L53" s="69">
        <v>103003.97375</v>
      </c>
      <c r="M53" s="69">
        <v>179885.32374999998</v>
      </c>
      <c r="N53" s="68">
        <v>15730.42</v>
      </c>
      <c r="O53" s="70">
        <v>2245618.0033333334</v>
      </c>
      <c r="P53" s="68"/>
      <c r="Q53" s="70"/>
    </row>
    <row r="54" spans="1:17" hidden="1" x14ac:dyDescent="0.25">
      <c r="A54" t="s">
        <v>118</v>
      </c>
      <c r="B54" s="67">
        <v>45047</v>
      </c>
      <c r="C54">
        <v>2023</v>
      </c>
      <c r="D54">
        <v>5</v>
      </c>
      <c r="E54" s="68">
        <v>792727.5</v>
      </c>
      <c r="F54" s="69">
        <v>249269.48458333334</v>
      </c>
      <c r="G54" s="69">
        <v>577310.48458333337</v>
      </c>
      <c r="H54" s="69">
        <v>213458.48458333334</v>
      </c>
      <c r="I54" s="69">
        <v>140979.48458333334</v>
      </c>
      <c r="J54" s="69">
        <v>6300.3137499999993</v>
      </c>
      <c r="K54" s="69">
        <v>60262.073750000003</v>
      </c>
      <c r="L54" s="69">
        <v>106793.87375</v>
      </c>
      <c r="M54" s="69">
        <v>190643.10374999998</v>
      </c>
      <c r="N54" s="68">
        <v>13151.65</v>
      </c>
      <c r="O54" s="70">
        <v>2350896.5533333332</v>
      </c>
      <c r="P54" s="68"/>
      <c r="Q54" s="70"/>
    </row>
    <row r="55" spans="1:17" hidden="1" x14ac:dyDescent="0.25">
      <c r="A55" t="s">
        <v>119</v>
      </c>
      <c r="B55" s="67">
        <v>45078</v>
      </c>
      <c r="C55">
        <v>2023</v>
      </c>
      <c r="D55">
        <v>6</v>
      </c>
      <c r="E55" s="68">
        <v>1045716.5</v>
      </c>
      <c r="F55" s="69">
        <v>271185.48458333331</v>
      </c>
      <c r="G55" s="69">
        <v>621311.48458333337</v>
      </c>
      <c r="H55" s="69">
        <v>220739.48458333334</v>
      </c>
      <c r="I55" s="69">
        <v>145291.48458333334</v>
      </c>
      <c r="J55" s="69">
        <v>7308.4837499999994</v>
      </c>
      <c r="K55" s="69">
        <v>69273.873749999999</v>
      </c>
      <c r="L55" s="69">
        <v>110065.33375000001</v>
      </c>
      <c r="M55" s="69">
        <v>194501.06374999997</v>
      </c>
      <c r="N55" s="68">
        <v>12315.66</v>
      </c>
      <c r="O55" s="70">
        <v>2697708.9533333336</v>
      </c>
      <c r="P55" s="68"/>
      <c r="Q55" s="70"/>
    </row>
    <row r="56" spans="1:17" hidden="1" x14ac:dyDescent="0.25">
      <c r="A56" t="s">
        <v>120</v>
      </c>
      <c r="B56" s="67">
        <v>45108</v>
      </c>
      <c r="C56">
        <v>2023</v>
      </c>
      <c r="D56">
        <v>7</v>
      </c>
      <c r="E56" s="68">
        <v>1261328.5</v>
      </c>
      <c r="F56" s="69">
        <v>308875.48458333331</v>
      </c>
      <c r="G56" s="69">
        <v>671976.48458333337</v>
      </c>
      <c r="H56" s="69">
        <v>232754.48458333334</v>
      </c>
      <c r="I56" s="69">
        <v>153664.48458333334</v>
      </c>
      <c r="J56" s="69">
        <v>8100.2137499999999</v>
      </c>
      <c r="K56" s="69">
        <v>70946.813750000001</v>
      </c>
      <c r="L56" s="69">
        <v>115819.11375</v>
      </c>
      <c r="M56" s="69">
        <v>205046.90375</v>
      </c>
      <c r="N56" s="68">
        <v>11837.23</v>
      </c>
      <c r="O56" s="70">
        <v>3040349.8133333335</v>
      </c>
      <c r="P56" s="68"/>
      <c r="Q56" s="70"/>
    </row>
    <row r="57" spans="1:17" hidden="1" x14ac:dyDescent="0.25">
      <c r="A57" t="s">
        <v>121</v>
      </c>
      <c r="B57" s="67">
        <v>45139</v>
      </c>
      <c r="C57">
        <v>2023</v>
      </c>
      <c r="D57">
        <v>8</v>
      </c>
      <c r="E57" s="68">
        <v>1191216.5</v>
      </c>
      <c r="F57" s="69">
        <v>304100.48458333331</v>
      </c>
      <c r="G57" s="69">
        <v>660731.48458333337</v>
      </c>
      <c r="H57" s="69">
        <v>230435.48458333334</v>
      </c>
      <c r="I57" s="69">
        <v>150373.48458333334</v>
      </c>
      <c r="J57" s="69">
        <v>7960.4737500000001</v>
      </c>
      <c r="K57" s="69">
        <v>70343.893750000003</v>
      </c>
      <c r="L57" s="69">
        <v>115303.53375</v>
      </c>
      <c r="M57" s="69">
        <v>214198.25374999997</v>
      </c>
      <c r="N57" s="68">
        <v>12188.78</v>
      </c>
      <c r="O57" s="70">
        <v>2956852.4733333327</v>
      </c>
      <c r="P57" s="68"/>
      <c r="Q57" s="70"/>
    </row>
    <row r="58" spans="1:17" hidden="1" x14ac:dyDescent="0.25">
      <c r="A58" t="s">
        <v>122</v>
      </c>
      <c r="B58" s="67">
        <v>45170</v>
      </c>
      <c r="C58">
        <v>2023</v>
      </c>
      <c r="D58">
        <v>9</v>
      </c>
      <c r="E58" s="68">
        <v>856471.5</v>
      </c>
      <c r="F58" s="69">
        <v>257509.48458333334</v>
      </c>
      <c r="G58" s="69">
        <v>574983.48458333337</v>
      </c>
      <c r="H58" s="69">
        <v>213373.48458333334</v>
      </c>
      <c r="I58" s="69">
        <v>139757.48458333334</v>
      </c>
      <c r="J58" s="69">
        <v>6678.9737500000001</v>
      </c>
      <c r="K58" s="69">
        <v>68743.413750000007</v>
      </c>
      <c r="L58" s="69">
        <v>112260.24374999999</v>
      </c>
      <c r="M58" s="69">
        <v>206810.51374999998</v>
      </c>
      <c r="N58" s="68">
        <v>13993.689999999999</v>
      </c>
      <c r="O58" s="70">
        <v>2450582.3733333331</v>
      </c>
      <c r="P58" s="68"/>
      <c r="Q58" s="70"/>
    </row>
    <row r="59" spans="1:17" hidden="1" x14ac:dyDescent="0.25">
      <c r="A59" t="s">
        <v>123</v>
      </c>
      <c r="B59" s="67">
        <v>45200</v>
      </c>
      <c r="C59">
        <v>2023</v>
      </c>
      <c r="D59">
        <v>10</v>
      </c>
      <c r="E59" s="68">
        <v>767935.5</v>
      </c>
      <c r="F59" s="69">
        <v>235782.48458333334</v>
      </c>
      <c r="G59" s="69">
        <v>537186.48458333337</v>
      </c>
      <c r="H59" s="69">
        <v>199697.48458333334</v>
      </c>
      <c r="I59" s="69">
        <v>133100.48458333334</v>
      </c>
      <c r="J59" s="69">
        <v>7734.7937499999998</v>
      </c>
      <c r="K59" s="69">
        <v>62146.84375</v>
      </c>
      <c r="L59" s="69">
        <v>106553.20375</v>
      </c>
      <c r="M59" s="69">
        <v>203038.25374999997</v>
      </c>
      <c r="N59" s="68">
        <v>15231.98</v>
      </c>
      <c r="O59" s="70">
        <v>2268407.6133333337</v>
      </c>
      <c r="P59" s="68"/>
      <c r="Q59" s="70"/>
    </row>
    <row r="60" spans="1:17" hidden="1" x14ac:dyDescent="0.25">
      <c r="A60" t="s">
        <v>124</v>
      </c>
      <c r="B60" s="67">
        <v>45231</v>
      </c>
      <c r="C60">
        <v>2023</v>
      </c>
      <c r="D60">
        <v>11</v>
      </c>
      <c r="E60" s="68">
        <v>960683.5</v>
      </c>
      <c r="F60" s="69">
        <v>247250.48458333334</v>
      </c>
      <c r="G60" s="69">
        <v>530809.48458333337</v>
      </c>
      <c r="H60" s="69">
        <v>189804.48458333334</v>
      </c>
      <c r="I60" s="69">
        <v>122415.48458333334</v>
      </c>
      <c r="J60" s="69">
        <v>9902.4537500000006</v>
      </c>
      <c r="K60" s="69">
        <v>65317.243750000001</v>
      </c>
      <c r="L60" s="69">
        <v>104503.30375000001</v>
      </c>
      <c r="M60" s="69">
        <v>191758.80374999999</v>
      </c>
      <c r="N60" s="68">
        <v>17391.29</v>
      </c>
      <c r="O60" s="70">
        <v>2439836.6333333338</v>
      </c>
      <c r="P60" s="68"/>
      <c r="Q60" s="70"/>
    </row>
    <row r="61" spans="1:17" hidden="1" x14ac:dyDescent="0.25">
      <c r="A61" t="s">
        <v>125</v>
      </c>
      <c r="B61" s="67">
        <v>45261</v>
      </c>
      <c r="C61">
        <v>2023</v>
      </c>
      <c r="D61">
        <v>12</v>
      </c>
      <c r="E61" s="68">
        <v>1328334.5</v>
      </c>
      <c r="F61" s="69">
        <v>286560.48458333331</v>
      </c>
      <c r="G61" s="69">
        <v>585935.48458333337</v>
      </c>
      <c r="H61" s="69">
        <v>208637.48458333334</v>
      </c>
      <c r="I61" s="69">
        <v>123311.48458333334</v>
      </c>
      <c r="J61" s="69">
        <v>10426.053750000001</v>
      </c>
      <c r="K61" s="69">
        <v>65912.303749999992</v>
      </c>
      <c r="L61" s="69">
        <v>103806.33375000001</v>
      </c>
      <c r="M61" s="69">
        <v>176529.13374999998</v>
      </c>
      <c r="N61" s="68">
        <v>19421.900000000001</v>
      </c>
      <c r="O61" s="70">
        <v>2908875.2633333332</v>
      </c>
      <c r="P61" s="68"/>
      <c r="Q61" s="70"/>
    </row>
    <row r="62" spans="1:17" hidden="1" x14ac:dyDescent="0.25">
      <c r="A62" t="s">
        <v>126</v>
      </c>
      <c r="B62" s="67">
        <v>45292</v>
      </c>
      <c r="C62">
        <v>2024</v>
      </c>
      <c r="D62">
        <v>1</v>
      </c>
      <c r="E62" s="68">
        <v>1411334.7983450401</v>
      </c>
      <c r="F62" s="69">
        <v>293383.81791666668</v>
      </c>
      <c r="G62" s="69">
        <v>602790.81791666662</v>
      </c>
      <c r="H62" s="69">
        <v>212257.81791666665</v>
      </c>
      <c r="I62" s="69">
        <v>123169.81791666667</v>
      </c>
      <c r="J62" s="69">
        <v>9903.2737500000003</v>
      </c>
      <c r="K62" s="69">
        <v>68210.603749999995</v>
      </c>
      <c r="L62" s="69">
        <v>103144.63374999999</v>
      </c>
      <c r="M62" s="69">
        <v>176805.45374999999</v>
      </c>
      <c r="N62" s="68">
        <v>20941.43</v>
      </c>
      <c r="O62" s="70">
        <v>3021942.5650117067</v>
      </c>
      <c r="P62" s="68"/>
      <c r="Q62" s="70"/>
    </row>
    <row r="63" spans="1:17" hidden="1" x14ac:dyDescent="0.25">
      <c r="A63" t="s">
        <v>127</v>
      </c>
      <c r="B63" s="67">
        <v>45323</v>
      </c>
      <c r="C63">
        <v>2024</v>
      </c>
      <c r="D63">
        <v>2</v>
      </c>
      <c r="E63" s="68">
        <v>1202646.2961482818</v>
      </c>
      <c r="F63" s="69">
        <v>270277.81791666668</v>
      </c>
      <c r="G63" s="69">
        <v>559200.81791666662</v>
      </c>
      <c r="H63" s="69">
        <v>193064.81791666665</v>
      </c>
      <c r="I63" s="69">
        <v>115957.81791666667</v>
      </c>
      <c r="J63" s="69">
        <v>8914.0637499999993</v>
      </c>
      <c r="K63" s="69">
        <v>65711.853749999995</v>
      </c>
      <c r="L63" s="69">
        <v>103995.87375</v>
      </c>
      <c r="M63" s="69">
        <v>177181.39374999999</v>
      </c>
      <c r="N63" s="68">
        <v>18432.34</v>
      </c>
      <c r="O63" s="70">
        <v>2715383.192814948</v>
      </c>
      <c r="P63" s="68"/>
      <c r="Q63" s="70"/>
    </row>
    <row r="64" spans="1:17" hidden="1" x14ac:dyDescent="0.25">
      <c r="A64" t="s">
        <v>128</v>
      </c>
      <c r="B64" s="67">
        <v>45352</v>
      </c>
      <c r="C64">
        <v>2024</v>
      </c>
      <c r="D64">
        <v>3</v>
      </c>
      <c r="E64" s="68">
        <v>1022055.9821322042</v>
      </c>
      <c r="F64" s="69">
        <v>257356.81791666665</v>
      </c>
      <c r="G64" s="69">
        <v>551946.81791666662</v>
      </c>
      <c r="H64" s="69">
        <v>195903.81791666665</v>
      </c>
      <c r="I64" s="69">
        <v>126193.81791666667</v>
      </c>
      <c r="J64" s="69">
        <v>7617.6137500000004</v>
      </c>
      <c r="K64" s="69">
        <v>59970.223749999997</v>
      </c>
      <c r="L64" s="69">
        <v>103662.39375</v>
      </c>
      <c r="M64" s="69">
        <v>176614.36374999999</v>
      </c>
      <c r="N64" s="68">
        <v>15938.67</v>
      </c>
      <c r="O64" s="70">
        <v>2517260.6187988706</v>
      </c>
      <c r="P64" s="68"/>
      <c r="Q64" s="70"/>
    </row>
    <row r="65" spans="1:17" hidden="1" x14ac:dyDescent="0.25">
      <c r="A65" t="s">
        <v>129</v>
      </c>
      <c r="B65" s="67">
        <v>45383</v>
      </c>
      <c r="C65">
        <v>2024</v>
      </c>
      <c r="D65">
        <v>4</v>
      </c>
      <c r="E65" s="68">
        <v>787642.66811612679</v>
      </c>
      <c r="F65" s="69">
        <v>232297.81791666665</v>
      </c>
      <c r="G65" s="69">
        <v>530118.81791666662</v>
      </c>
      <c r="H65" s="69">
        <v>193542.81791666665</v>
      </c>
      <c r="I65" s="69">
        <v>128966.81791666667</v>
      </c>
      <c r="J65" s="69">
        <v>6471.5637499999993</v>
      </c>
      <c r="K65" s="69">
        <v>63435.823750000003</v>
      </c>
      <c r="L65" s="69">
        <v>103253.26375</v>
      </c>
      <c r="M65" s="69">
        <v>179546.98374999998</v>
      </c>
      <c r="N65" s="68">
        <v>15536.16</v>
      </c>
      <c r="O65" s="70">
        <v>2240812.8347827932</v>
      </c>
      <c r="P65" s="68"/>
      <c r="Q65" s="70"/>
    </row>
    <row r="66" spans="1:17" hidden="1" x14ac:dyDescent="0.25">
      <c r="A66" t="s">
        <v>130</v>
      </c>
      <c r="B66" s="67">
        <v>45413</v>
      </c>
      <c r="C66">
        <v>2024</v>
      </c>
      <c r="D66">
        <v>5</v>
      </c>
      <c r="E66" s="68">
        <v>789620.04609918012</v>
      </c>
      <c r="F66" s="69">
        <v>248681.81791666665</v>
      </c>
      <c r="G66" s="69">
        <v>575178.81791666662</v>
      </c>
      <c r="H66" s="69">
        <v>212737.81791666665</v>
      </c>
      <c r="I66" s="69">
        <v>140688.81791666665</v>
      </c>
      <c r="J66" s="69">
        <v>6037.3537500000002</v>
      </c>
      <c r="K66" s="69">
        <v>60036.933750000004</v>
      </c>
      <c r="L66" s="69">
        <v>107018.74374999999</v>
      </c>
      <c r="M66" s="69">
        <v>190282.04374999998</v>
      </c>
      <c r="N66" s="68">
        <v>12956.39</v>
      </c>
      <c r="O66" s="70">
        <v>2343238.8827658473</v>
      </c>
      <c r="P66" s="68"/>
      <c r="Q66" s="70"/>
    </row>
    <row r="67" spans="1:17" hidden="1" x14ac:dyDescent="0.25">
      <c r="A67" t="s">
        <v>131</v>
      </c>
      <c r="B67" s="67">
        <v>45444</v>
      </c>
      <c r="C67">
        <v>2024</v>
      </c>
      <c r="D67">
        <v>6</v>
      </c>
      <c r="E67" s="68">
        <v>1040127.4959274863</v>
      </c>
      <c r="F67" s="69">
        <v>270389.81791666668</v>
      </c>
      <c r="G67" s="69">
        <v>618702.81791666662</v>
      </c>
      <c r="H67" s="69">
        <v>219968.81791666665</v>
      </c>
      <c r="I67" s="69">
        <v>144908.81791666665</v>
      </c>
      <c r="J67" s="69">
        <v>6984.0137500000001</v>
      </c>
      <c r="K67" s="69">
        <v>68999.773750000008</v>
      </c>
      <c r="L67" s="69">
        <v>110260.39375</v>
      </c>
      <c r="M67" s="69">
        <v>194155.23374999998</v>
      </c>
      <c r="N67" s="68">
        <v>12121.4</v>
      </c>
      <c r="O67" s="70">
        <v>2686618.6825941531</v>
      </c>
      <c r="P67" s="68"/>
      <c r="Q67" s="70"/>
    </row>
    <row r="68" spans="1:17" hidden="1" x14ac:dyDescent="0.25">
      <c r="A68" t="s">
        <v>132</v>
      </c>
      <c r="B68" s="67">
        <v>45474</v>
      </c>
      <c r="C68">
        <v>2024</v>
      </c>
      <c r="D68">
        <v>7</v>
      </c>
      <c r="E68" s="68">
        <v>1255463.6646705884</v>
      </c>
      <c r="F68" s="69">
        <v>307737.81791666668</v>
      </c>
      <c r="G68" s="69">
        <v>668297.81791666662</v>
      </c>
      <c r="H68" s="69">
        <v>231745.81791666665</v>
      </c>
      <c r="I68" s="69">
        <v>153172.81791666665</v>
      </c>
      <c r="J68" s="69">
        <v>7675.7137500000008</v>
      </c>
      <c r="K68" s="69">
        <v>70542.573749999996</v>
      </c>
      <c r="L68" s="69">
        <v>115976.27375000001</v>
      </c>
      <c r="M68" s="69">
        <v>204676.37375</v>
      </c>
      <c r="N68" s="68">
        <v>11642.96</v>
      </c>
      <c r="O68" s="70">
        <v>3026931.9313372551</v>
      </c>
      <c r="P68" s="68"/>
      <c r="Q68" s="70"/>
    </row>
    <row r="69" spans="1:17" hidden="1" x14ac:dyDescent="0.25">
      <c r="A69" t="s">
        <v>133</v>
      </c>
      <c r="B69" s="67">
        <v>45505</v>
      </c>
      <c r="C69">
        <v>2024</v>
      </c>
      <c r="D69">
        <v>8</v>
      </c>
      <c r="E69" s="68">
        <v>1183982.7410186213</v>
      </c>
      <c r="F69" s="69">
        <v>302992.81791666668</v>
      </c>
      <c r="G69" s="69">
        <v>657778.81791666662</v>
      </c>
      <c r="H69" s="69">
        <v>229465.81791666665</v>
      </c>
      <c r="I69" s="69">
        <v>149897.81791666665</v>
      </c>
      <c r="J69" s="69">
        <v>7548.8537500000002</v>
      </c>
      <c r="K69" s="69">
        <v>70031.313750000001</v>
      </c>
      <c r="L69" s="69">
        <v>115485.89375</v>
      </c>
      <c r="M69" s="69">
        <v>213838.50374999997</v>
      </c>
      <c r="N69" s="68">
        <v>11994.52</v>
      </c>
      <c r="O69" s="70">
        <v>2943017.1976852878</v>
      </c>
      <c r="P69" s="68"/>
      <c r="Q69" s="70"/>
    </row>
    <row r="70" spans="1:17" hidden="1" x14ac:dyDescent="0.25">
      <c r="A70" t="s">
        <v>134</v>
      </c>
      <c r="B70" s="67">
        <v>45536</v>
      </c>
      <c r="C70">
        <v>2024</v>
      </c>
      <c r="D70">
        <v>9</v>
      </c>
      <c r="E70" s="68">
        <v>851051.88345326832</v>
      </c>
      <c r="F70" s="69">
        <v>256525.81791666665</v>
      </c>
      <c r="G70" s="69">
        <v>572119.81791666662</v>
      </c>
      <c r="H70" s="69">
        <v>212449.81791666665</v>
      </c>
      <c r="I70" s="69">
        <v>139379.81791666665</v>
      </c>
      <c r="J70" s="69">
        <v>6288.2737500000003</v>
      </c>
      <c r="K70" s="69">
        <v>68319.84375</v>
      </c>
      <c r="L70" s="69">
        <v>112482.67375</v>
      </c>
      <c r="M70" s="69">
        <v>206486.06374999997</v>
      </c>
      <c r="N70" s="68">
        <v>13800.42</v>
      </c>
      <c r="O70" s="70">
        <v>2438904.5301199346</v>
      </c>
      <c r="P70" s="68"/>
      <c r="Q70" s="70"/>
    </row>
    <row r="71" spans="1:17" hidden="1" x14ac:dyDescent="0.25">
      <c r="A71" t="s">
        <v>135</v>
      </c>
      <c r="B71" s="67">
        <v>45566</v>
      </c>
      <c r="C71">
        <v>2024</v>
      </c>
      <c r="D71">
        <v>10</v>
      </c>
      <c r="E71" s="68">
        <v>764735.84013652534</v>
      </c>
      <c r="F71" s="69">
        <v>234636.81791666665</v>
      </c>
      <c r="G71" s="69">
        <v>534056.81791666662</v>
      </c>
      <c r="H71" s="69">
        <v>198619.81791666665</v>
      </c>
      <c r="I71" s="69">
        <v>132783.81791666665</v>
      </c>
      <c r="J71" s="69">
        <v>7320.7637500000001</v>
      </c>
      <c r="K71" s="69">
        <v>61622.153749999998</v>
      </c>
      <c r="L71" s="69">
        <v>106786.76375</v>
      </c>
      <c r="M71" s="69">
        <v>202706.20374999999</v>
      </c>
      <c r="N71" s="68">
        <v>15037.720000000001</v>
      </c>
      <c r="O71" s="70">
        <v>2258306.8168031918</v>
      </c>
      <c r="P71" s="68"/>
      <c r="Q71" s="70"/>
    </row>
    <row r="72" spans="1:17" hidden="1" x14ac:dyDescent="0.25">
      <c r="A72" t="s">
        <v>136</v>
      </c>
      <c r="B72" s="67">
        <v>45597</v>
      </c>
      <c r="C72">
        <v>2024</v>
      </c>
      <c r="D72">
        <v>11</v>
      </c>
      <c r="E72" s="68">
        <v>956428.46412285906</v>
      </c>
      <c r="F72" s="69">
        <v>245873.81791666665</v>
      </c>
      <c r="G72" s="69">
        <v>527373.81791666662</v>
      </c>
      <c r="H72" s="69">
        <v>188567.81791666665</v>
      </c>
      <c r="I72" s="69">
        <v>122141.81791666667</v>
      </c>
      <c r="J72" s="69">
        <v>9606.09375</v>
      </c>
      <c r="K72" s="69">
        <v>64803.91375</v>
      </c>
      <c r="L72" s="69">
        <v>104748.92375</v>
      </c>
      <c r="M72" s="69">
        <v>191456.28374999997</v>
      </c>
      <c r="N72" s="68">
        <v>17198.03</v>
      </c>
      <c r="O72" s="70">
        <v>2428199.0807895255</v>
      </c>
      <c r="P72" s="68"/>
      <c r="Q72" s="70"/>
    </row>
    <row r="73" spans="1:17" hidden="1" x14ac:dyDescent="0.25">
      <c r="A73" t="s">
        <v>137</v>
      </c>
      <c r="B73" s="67">
        <v>45627</v>
      </c>
      <c r="C73">
        <v>2024</v>
      </c>
      <c r="D73">
        <v>12</v>
      </c>
      <c r="E73" s="68">
        <v>1322950.7758298186</v>
      </c>
      <c r="F73" s="69">
        <v>284485.81791666668</v>
      </c>
      <c r="G73" s="69">
        <v>581120.81791666662</v>
      </c>
      <c r="H73" s="69">
        <v>206951.81791666665</v>
      </c>
      <c r="I73" s="69">
        <v>122983.81791666667</v>
      </c>
      <c r="J73" s="69">
        <v>10114.073750000001</v>
      </c>
      <c r="K73" s="69">
        <v>65252.433750000004</v>
      </c>
      <c r="L73" s="69">
        <v>104037.90375</v>
      </c>
      <c r="M73" s="69">
        <v>176211.63374999998</v>
      </c>
      <c r="N73" s="68">
        <v>19228.64</v>
      </c>
      <c r="O73" s="70">
        <v>2893337.8324964852</v>
      </c>
      <c r="P73" s="68"/>
      <c r="Q73" s="70"/>
    </row>
    <row r="74" spans="1:17" hidden="1" x14ac:dyDescent="0.25">
      <c r="A74" t="s">
        <v>138</v>
      </c>
      <c r="B74" s="67">
        <v>45658</v>
      </c>
      <c r="C74">
        <v>2025</v>
      </c>
      <c r="D74">
        <v>1</v>
      </c>
      <c r="E74" s="68">
        <v>1411348.5925775548</v>
      </c>
      <c r="F74" s="69">
        <v>294268.15125</v>
      </c>
      <c r="G74" s="69">
        <v>605361.15125</v>
      </c>
      <c r="H74" s="69">
        <v>213667.15125</v>
      </c>
      <c r="I74" s="69">
        <v>123549.15125</v>
      </c>
      <c r="J74" s="69">
        <v>9532.5037499999999</v>
      </c>
      <c r="K74" s="69">
        <v>68139.463749999995</v>
      </c>
      <c r="L74" s="69">
        <v>103387.74374999999</v>
      </c>
      <c r="M74" s="69">
        <v>176488.76374999998</v>
      </c>
      <c r="N74" s="68">
        <v>20748.169999999998</v>
      </c>
      <c r="O74" s="70">
        <v>3026490.9425775553</v>
      </c>
      <c r="P74" s="68"/>
      <c r="Q74" s="70"/>
    </row>
    <row r="75" spans="1:17" hidden="1" x14ac:dyDescent="0.25">
      <c r="A75" t="s">
        <v>139</v>
      </c>
      <c r="B75" s="67">
        <v>45689</v>
      </c>
      <c r="C75">
        <v>2025</v>
      </c>
      <c r="D75">
        <v>2</v>
      </c>
      <c r="E75" s="68">
        <v>1159898.2534268815</v>
      </c>
      <c r="F75" s="69">
        <v>261124.15125</v>
      </c>
      <c r="G75" s="69">
        <v>546472.15125</v>
      </c>
      <c r="H75" s="69">
        <v>186900.15125</v>
      </c>
      <c r="I75" s="69">
        <v>112130.15125</v>
      </c>
      <c r="J75" s="69">
        <v>8420.4437500000004</v>
      </c>
      <c r="K75" s="69">
        <v>66881.483749999999</v>
      </c>
      <c r="L75" s="69">
        <v>102958.36375</v>
      </c>
      <c r="M75" s="69">
        <v>171262.35374999998</v>
      </c>
      <c r="N75" s="68">
        <v>18240.080000000002</v>
      </c>
      <c r="O75" s="70">
        <v>2634287.6834268821</v>
      </c>
      <c r="P75" s="68"/>
      <c r="Q75" s="70"/>
    </row>
    <row r="76" spans="1:17" hidden="1" x14ac:dyDescent="0.25">
      <c r="A76" t="s">
        <v>140</v>
      </c>
      <c r="B76" s="67">
        <v>45717</v>
      </c>
      <c r="C76">
        <v>2025</v>
      </c>
      <c r="D76">
        <v>3</v>
      </c>
      <c r="E76" s="68">
        <v>1022124.6012755692</v>
      </c>
      <c r="F76" s="69">
        <v>258479.15125</v>
      </c>
      <c r="G76" s="69">
        <v>555293.15125</v>
      </c>
      <c r="H76" s="69">
        <v>197443.15125</v>
      </c>
      <c r="I76" s="69">
        <v>126544.15125</v>
      </c>
      <c r="J76" s="69">
        <v>7165.0237500000003</v>
      </c>
      <c r="K76" s="69">
        <v>59799.863750000004</v>
      </c>
      <c r="L76" s="69">
        <v>103969.67375</v>
      </c>
      <c r="M76" s="69">
        <v>176322.34375</v>
      </c>
      <c r="N76" s="68">
        <v>15746.439999999999</v>
      </c>
      <c r="O76" s="70">
        <v>2522887.6512755696</v>
      </c>
      <c r="P76" s="68"/>
      <c r="Q76" s="70"/>
    </row>
    <row r="77" spans="1:17" hidden="1" x14ac:dyDescent="0.25">
      <c r="A77" t="s">
        <v>141</v>
      </c>
      <c r="B77" s="67">
        <v>45748</v>
      </c>
      <c r="C77">
        <v>2025</v>
      </c>
      <c r="D77">
        <v>4</v>
      </c>
      <c r="E77" s="68">
        <v>788281.94912425685</v>
      </c>
      <c r="F77" s="69">
        <v>233576.15125</v>
      </c>
      <c r="G77" s="69">
        <v>533565.15125</v>
      </c>
      <c r="H77" s="69">
        <v>195158.15125</v>
      </c>
      <c r="I77" s="69">
        <v>129269.15125</v>
      </c>
      <c r="J77" s="69">
        <v>6077.5337500000005</v>
      </c>
      <c r="K77" s="69">
        <v>63263.973749999997</v>
      </c>
      <c r="L77" s="69">
        <v>103611.45375</v>
      </c>
      <c r="M77" s="69">
        <v>179289.42374999999</v>
      </c>
      <c r="N77" s="68">
        <v>15342.93</v>
      </c>
      <c r="O77" s="70">
        <v>2247435.9691242571</v>
      </c>
      <c r="P77" s="68"/>
      <c r="Q77" s="70"/>
    </row>
    <row r="78" spans="1:17" hidden="1" x14ac:dyDescent="0.25">
      <c r="A78" t="s">
        <v>142</v>
      </c>
      <c r="B78" s="67">
        <v>45778</v>
      </c>
      <c r="C78">
        <v>2025</v>
      </c>
      <c r="D78">
        <v>5</v>
      </c>
      <c r="E78" s="68">
        <v>790931.80190862669</v>
      </c>
      <c r="F78" s="69">
        <v>250014.15125</v>
      </c>
      <c r="G78" s="69">
        <v>578741.15125</v>
      </c>
      <c r="H78" s="69">
        <v>214627.15125</v>
      </c>
      <c r="I78" s="69">
        <v>140912.15125</v>
      </c>
      <c r="J78" s="69">
        <v>5672.9937499999996</v>
      </c>
      <c r="K78" s="69">
        <v>59844.553749999999</v>
      </c>
      <c r="L78" s="69">
        <v>107440.39375</v>
      </c>
      <c r="M78" s="69">
        <v>190026.54374999998</v>
      </c>
      <c r="N78" s="68">
        <v>12765.17</v>
      </c>
      <c r="O78" s="70">
        <v>2350976.1619086266</v>
      </c>
      <c r="P78" s="68"/>
      <c r="Q78" s="70"/>
    </row>
    <row r="79" spans="1:17" hidden="1" x14ac:dyDescent="0.25">
      <c r="A79" t="s">
        <v>143</v>
      </c>
      <c r="B79" s="67">
        <v>45809</v>
      </c>
      <c r="C79">
        <v>2025</v>
      </c>
      <c r="D79">
        <v>6</v>
      </c>
      <c r="E79" s="68">
        <v>1043500.7440295736</v>
      </c>
      <c r="F79" s="69">
        <v>271569.15125</v>
      </c>
      <c r="G79" s="69">
        <v>622124.15125</v>
      </c>
      <c r="H79" s="69">
        <v>216034.15125</v>
      </c>
      <c r="I79" s="69">
        <v>145037.15125</v>
      </c>
      <c r="J79" s="69">
        <v>6704.2837500000005</v>
      </c>
      <c r="K79" s="69">
        <v>68810.373749999999</v>
      </c>
      <c r="L79" s="69">
        <v>110747.77375000001</v>
      </c>
      <c r="M79" s="69">
        <v>193936.95374999999</v>
      </c>
      <c r="N79" s="68">
        <v>11929.17</v>
      </c>
      <c r="O79" s="70">
        <v>2690394.0040295739</v>
      </c>
      <c r="P79" s="68"/>
      <c r="Q79" s="70"/>
    </row>
    <row r="80" spans="1:17" hidden="1" x14ac:dyDescent="0.25">
      <c r="A80" t="s">
        <v>144</v>
      </c>
      <c r="B80" s="67">
        <v>45839</v>
      </c>
      <c r="C80">
        <v>2025</v>
      </c>
      <c r="D80">
        <v>7</v>
      </c>
      <c r="E80" s="68">
        <v>1260428.9635874047</v>
      </c>
      <c r="F80" s="69">
        <v>308873.15125</v>
      </c>
      <c r="G80" s="69">
        <v>672483.15125</v>
      </c>
      <c r="H80" s="69">
        <v>241979.15125</v>
      </c>
      <c r="I80" s="69">
        <v>153304.15125</v>
      </c>
      <c r="J80" s="69">
        <v>7489.0437500000007</v>
      </c>
      <c r="K80" s="69">
        <v>70341.073749999996</v>
      </c>
      <c r="L80" s="69">
        <v>116578.48375</v>
      </c>
      <c r="M80" s="69">
        <v>204470.72374999998</v>
      </c>
      <c r="N80" s="68">
        <v>11450.74</v>
      </c>
      <c r="O80" s="70">
        <v>3047398.7335874056</v>
      </c>
      <c r="P80" s="68"/>
      <c r="Q80" s="70"/>
    </row>
    <row r="81" spans="1:17" hidden="1" x14ac:dyDescent="0.25">
      <c r="A81" t="s">
        <v>145</v>
      </c>
      <c r="B81" s="67">
        <v>45870</v>
      </c>
      <c r="C81">
        <v>2025</v>
      </c>
      <c r="D81">
        <v>8</v>
      </c>
      <c r="E81" s="68">
        <v>1188320.0770760458</v>
      </c>
      <c r="F81" s="69">
        <v>304200.15125</v>
      </c>
      <c r="G81" s="69">
        <v>661630.15125</v>
      </c>
      <c r="H81" s="69">
        <v>239555.15125</v>
      </c>
      <c r="I81" s="69">
        <v>150041.15125</v>
      </c>
      <c r="J81" s="69">
        <v>7446.5437500000007</v>
      </c>
      <c r="K81" s="69">
        <v>69854.903749999998</v>
      </c>
      <c r="L81" s="69">
        <v>116134.47375</v>
      </c>
      <c r="M81" s="69">
        <v>213646.98374999998</v>
      </c>
      <c r="N81" s="68">
        <v>11803.29</v>
      </c>
      <c r="O81" s="70">
        <v>2962632.9770760466</v>
      </c>
      <c r="P81" s="68"/>
      <c r="Q81" s="70"/>
    </row>
    <row r="82" spans="1:17" hidden="1" x14ac:dyDescent="0.25">
      <c r="A82" t="s">
        <v>146</v>
      </c>
      <c r="B82" s="67">
        <v>45901</v>
      </c>
      <c r="C82">
        <v>2025</v>
      </c>
      <c r="D82">
        <v>9</v>
      </c>
      <c r="E82" s="68">
        <v>853110.32682787813</v>
      </c>
      <c r="F82" s="69">
        <v>257771.15125</v>
      </c>
      <c r="G82" s="69">
        <v>575508.15125</v>
      </c>
      <c r="H82" s="69">
        <v>217845.15125</v>
      </c>
      <c r="I82" s="69">
        <v>139587.15125</v>
      </c>
      <c r="J82" s="69">
        <v>6203.6337500000009</v>
      </c>
      <c r="K82" s="69">
        <v>68168.063750000001</v>
      </c>
      <c r="L82" s="69">
        <v>113126.87375</v>
      </c>
      <c r="M82" s="69">
        <v>206313.16374999998</v>
      </c>
      <c r="N82" s="68">
        <v>13608.2</v>
      </c>
      <c r="O82" s="70">
        <v>2451241.9668278787</v>
      </c>
      <c r="P82" s="68"/>
      <c r="Q82" s="70"/>
    </row>
    <row r="83" spans="1:17" hidden="1" x14ac:dyDescent="0.25">
      <c r="A83" t="s">
        <v>147</v>
      </c>
      <c r="B83" s="67">
        <v>45931</v>
      </c>
      <c r="C83">
        <v>2025</v>
      </c>
      <c r="D83">
        <v>10</v>
      </c>
      <c r="E83" s="68">
        <v>765353.13741328579</v>
      </c>
      <c r="F83" s="69">
        <v>236005.15125</v>
      </c>
      <c r="G83" s="69">
        <v>537987.15125</v>
      </c>
      <c r="H83" s="69">
        <v>202623.15125</v>
      </c>
      <c r="I83" s="69">
        <v>133101.15125</v>
      </c>
      <c r="J83" s="69">
        <v>7296.8037500000009</v>
      </c>
      <c r="K83" s="69">
        <v>61459.52375</v>
      </c>
      <c r="L83" s="69">
        <v>107484.90375</v>
      </c>
      <c r="M83" s="69">
        <v>202530.46375</v>
      </c>
      <c r="N83" s="68">
        <v>14847.49</v>
      </c>
      <c r="O83" s="70">
        <v>2268689.0274132863</v>
      </c>
      <c r="P83" s="68"/>
      <c r="Q83" s="70"/>
    </row>
    <row r="84" spans="1:17" hidden="1" x14ac:dyDescent="0.25">
      <c r="A84" t="s">
        <v>148</v>
      </c>
      <c r="B84" s="67">
        <v>45962</v>
      </c>
      <c r="C84">
        <v>2025</v>
      </c>
      <c r="D84">
        <v>11</v>
      </c>
      <c r="E84" s="68">
        <v>956631.58792953962</v>
      </c>
      <c r="F84" s="69">
        <v>247102.15125</v>
      </c>
      <c r="G84" s="69">
        <v>530879.15125</v>
      </c>
      <c r="H84" s="69">
        <v>193910.15125</v>
      </c>
      <c r="I84" s="69">
        <v>122544.15125</v>
      </c>
      <c r="J84" s="69">
        <v>9761.7637500000001</v>
      </c>
      <c r="K84" s="69">
        <v>64767.973749999997</v>
      </c>
      <c r="L84" s="69">
        <v>105472.47375</v>
      </c>
      <c r="M84" s="69">
        <v>191306.20374999999</v>
      </c>
      <c r="N84" s="68">
        <v>17006.8</v>
      </c>
      <c r="O84" s="70">
        <v>2439382.5079295393</v>
      </c>
      <c r="P84" s="68"/>
      <c r="Q84" s="70"/>
    </row>
    <row r="85" spans="1:17" hidden="1" x14ac:dyDescent="0.25">
      <c r="A85" t="s">
        <v>149</v>
      </c>
      <c r="B85" s="67">
        <v>45992</v>
      </c>
      <c r="C85">
        <v>2025</v>
      </c>
      <c r="D85">
        <v>12</v>
      </c>
      <c r="E85" s="68">
        <v>1323075.4328233832</v>
      </c>
      <c r="F85" s="69">
        <v>285448.15125</v>
      </c>
      <c r="G85" s="69">
        <v>584216.15125</v>
      </c>
      <c r="H85" s="69">
        <v>214251.15125</v>
      </c>
      <c r="I85" s="69">
        <v>123018.15125</v>
      </c>
      <c r="J85" s="69">
        <v>9931.8837500000009</v>
      </c>
      <c r="K85" s="69">
        <v>65248.103750000002</v>
      </c>
      <c r="L85" s="69">
        <v>104875.30375000001</v>
      </c>
      <c r="M85" s="69">
        <v>176073.81374999997</v>
      </c>
      <c r="N85" s="68">
        <v>19038.41</v>
      </c>
      <c r="O85" s="70">
        <v>2905176.6528233835</v>
      </c>
      <c r="P85" s="68"/>
      <c r="Q85" s="70"/>
    </row>
    <row r="86" spans="1:17" hidden="1" x14ac:dyDescent="0.25">
      <c r="A86" t="s">
        <v>150</v>
      </c>
      <c r="B86" s="67">
        <v>46023</v>
      </c>
      <c r="C86">
        <v>2026</v>
      </c>
      <c r="D86">
        <v>1</v>
      </c>
      <c r="E86" s="68">
        <v>1411507.5433459471</v>
      </c>
      <c r="F86" s="69">
        <v>295251.48458333331</v>
      </c>
      <c r="G86" s="69">
        <v>609483.48458333337</v>
      </c>
      <c r="H86" s="69">
        <v>222520.48458333334</v>
      </c>
      <c r="I86" s="69">
        <v>124536.48458333334</v>
      </c>
      <c r="J86" s="69">
        <v>9293.3537500000002</v>
      </c>
      <c r="K86" s="69">
        <v>68052.023750000008</v>
      </c>
      <c r="L86" s="69">
        <v>103786.73375</v>
      </c>
      <c r="M86" s="69">
        <v>176281.27374999999</v>
      </c>
      <c r="N86" s="68">
        <v>20556.939999999999</v>
      </c>
      <c r="O86" s="70">
        <v>3041269.9066792806</v>
      </c>
      <c r="P86" s="68"/>
      <c r="Q86" s="70"/>
    </row>
    <row r="87" spans="1:17" hidden="1" x14ac:dyDescent="0.25">
      <c r="A87" t="s">
        <v>151</v>
      </c>
      <c r="B87" s="67">
        <v>46054</v>
      </c>
      <c r="C87">
        <v>2026</v>
      </c>
      <c r="D87">
        <v>2</v>
      </c>
      <c r="E87" s="68">
        <v>1160154.5636500381</v>
      </c>
      <c r="F87" s="69">
        <v>262054.48458333334</v>
      </c>
      <c r="G87" s="69">
        <v>550149.48458333337</v>
      </c>
      <c r="H87" s="69">
        <v>194483.48458333334</v>
      </c>
      <c r="I87" s="69">
        <v>112991.48458333334</v>
      </c>
      <c r="J87" s="69">
        <v>8164.0637499999993</v>
      </c>
      <c r="K87" s="69">
        <v>66748.763749999998</v>
      </c>
      <c r="L87" s="69">
        <v>103339.15375</v>
      </c>
      <c r="M87" s="69">
        <v>171100.51374999998</v>
      </c>
      <c r="N87" s="68">
        <v>18049.849999999999</v>
      </c>
      <c r="O87" s="70">
        <v>2647235.9469833714</v>
      </c>
      <c r="P87" s="68"/>
      <c r="Q87" s="70"/>
    </row>
    <row r="88" spans="1:17" hidden="1" x14ac:dyDescent="0.25">
      <c r="A88" t="s">
        <v>152</v>
      </c>
      <c r="B88" s="67">
        <v>46082</v>
      </c>
      <c r="C88">
        <v>2026</v>
      </c>
      <c r="D88">
        <v>3</v>
      </c>
      <c r="E88" s="68">
        <v>1022474.7576522253</v>
      </c>
      <c r="F88" s="69">
        <v>259667.48458333334</v>
      </c>
      <c r="G88" s="69">
        <v>559435.48458333337</v>
      </c>
      <c r="H88" s="69">
        <v>203943.48458333334</v>
      </c>
      <c r="I88" s="69">
        <v>127324.48458333334</v>
      </c>
      <c r="J88" s="69">
        <v>6768.4537500000006</v>
      </c>
      <c r="K88" s="69">
        <v>59549.363750000004</v>
      </c>
      <c r="L88" s="69">
        <v>104359.35374999999</v>
      </c>
      <c r="M88" s="69">
        <v>176116.47374999998</v>
      </c>
      <c r="N88" s="68">
        <v>15556.21</v>
      </c>
      <c r="O88" s="70">
        <v>2535195.6509855581</v>
      </c>
      <c r="P88" s="68"/>
      <c r="Q88" s="70"/>
    </row>
    <row r="89" spans="1:17" hidden="1" x14ac:dyDescent="0.25">
      <c r="A89" t="s">
        <v>153</v>
      </c>
      <c r="B89" s="67">
        <v>46113</v>
      </c>
      <c r="C89">
        <v>2026</v>
      </c>
      <c r="D89">
        <v>4</v>
      </c>
      <c r="E89" s="68">
        <v>789323.95165441255</v>
      </c>
      <c r="F89" s="69">
        <v>234902.48458333334</v>
      </c>
      <c r="G89" s="69">
        <v>537471.48458333337</v>
      </c>
      <c r="H89" s="69">
        <v>199611.48458333334</v>
      </c>
      <c r="I89" s="69">
        <v>129874.48458333334</v>
      </c>
      <c r="J89" s="69">
        <v>5684.8337499999998</v>
      </c>
      <c r="K89" s="69">
        <v>63024.073750000003</v>
      </c>
      <c r="L89" s="69">
        <v>103995.48375</v>
      </c>
      <c r="M89" s="69">
        <v>179099.16374999998</v>
      </c>
      <c r="N89" s="68">
        <v>15153.71</v>
      </c>
      <c r="O89" s="70">
        <v>2258141.254987746</v>
      </c>
      <c r="P89" s="68"/>
      <c r="Q89" s="70"/>
    </row>
    <row r="90" spans="1:17" hidden="1" x14ac:dyDescent="0.25">
      <c r="A90" t="s">
        <v>154</v>
      </c>
      <c r="B90" s="67">
        <v>46143</v>
      </c>
      <c r="C90">
        <v>2026</v>
      </c>
      <c r="D90">
        <v>5</v>
      </c>
      <c r="E90" s="68">
        <v>792732.01280772779</v>
      </c>
      <c r="F90" s="69">
        <v>251442.48458333334</v>
      </c>
      <c r="G90" s="69">
        <v>583017.48458333337</v>
      </c>
      <c r="H90" s="69">
        <v>219479.48458333334</v>
      </c>
      <c r="I90" s="69">
        <v>141484.48458333334</v>
      </c>
      <c r="J90" s="69">
        <v>5250.80375</v>
      </c>
      <c r="K90" s="69">
        <v>59608.943749999999</v>
      </c>
      <c r="L90" s="69">
        <v>107828.38374999999</v>
      </c>
      <c r="M90" s="69">
        <v>189823.92374999999</v>
      </c>
      <c r="N90" s="68">
        <v>12573.94</v>
      </c>
      <c r="O90" s="70">
        <v>2363242.0461410615</v>
      </c>
      <c r="P90" s="68"/>
      <c r="Q90" s="70"/>
    </row>
    <row r="91" spans="1:17" hidden="1" x14ac:dyDescent="0.25">
      <c r="A91" t="s">
        <v>155</v>
      </c>
      <c r="B91" s="67">
        <v>46174</v>
      </c>
      <c r="C91">
        <v>2026</v>
      </c>
      <c r="D91">
        <v>6</v>
      </c>
      <c r="E91" s="68">
        <v>1047423.7560947861</v>
      </c>
      <c r="F91" s="69">
        <v>272921.48458333331</v>
      </c>
      <c r="G91" s="69">
        <v>626827.48458333337</v>
      </c>
      <c r="H91" s="69">
        <v>231008.48458333334</v>
      </c>
      <c r="I91" s="69">
        <v>145803.48458333334</v>
      </c>
      <c r="J91" s="69">
        <v>6298.2437499999996</v>
      </c>
      <c r="K91" s="69">
        <v>68588.203750000001</v>
      </c>
      <c r="L91" s="69">
        <v>111131.21375</v>
      </c>
      <c r="M91" s="69">
        <v>193753.53374999997</v>
      </c>
      <c r="N91" s="68">
        <v>11739.95</v>
      </c>
      <c r="O91" s="70">
        <v>2715495.9394281195</v>
      </c>
      <c r="P91" s="68"/>
      <c r="Q91" s="70"/>
    </row>
    <row r="92" spans="1:17" hidden="1" x14ac:dyDescent="0.25">
      <c r="A92" t="s">
        <v>156</v>
      </c>
      <c r="B92" s="67">
        <v>46204</v>
      </c>
      <c r="C92">
        <v>2026</v>
      </c>
      <c r="D92">
        <v>7</v>
      </c>
      <c r="E92" s="68">
        <v>1266072.0918719196</v>
      </c>
      <c r="F92" s="69">
        <v>310271.48458333331</v>
      </c>
      <c r="G92" s="69">
        <v>677455.48458333337</v>
      </c>
      <c r="H92" s="69">
        <v>245531.48458333334</v>
      </c>
      <c r="I92" s="69">
        <v>154176.48458333334</v>
      </c>
      <c r="J92" s="69">
        <v>7067.1037500000002</v>
      </c>
      <c r="K92" s="69">
        <v>70111.833750000005</v>
      </c>
      <c r="L92" s="69">
        <v>116967.22375</v>
      </c>
      <c r="M92" s="69">
        <v>204279.76374999998</v>
      </c>
      <c r="N92" s="68">
        <v>11261.51</v>
      </c>
      <c r="O92" s="70">
        <v>3063194.5652052523</v>
      </c>
      <c r="P92" s="68"/>
      <c r="Q92" s="70"/>
    </row>
    <row r="93" spans="1:17" hidden="1" x14ac:dyDescent="0.25">
      <c r="A93" t="s">
        <v>157</v>
      </c>
      <c r="B93" s="67">
        <v>46235</v>
      </c>
      <c r="C93">
        <v>2026</v>
      </c>
      <c r="D93">
        <v>8</v>
      </c>
      <c r="E93" s="68">
        <v>1193380.6391311465</v>
      </c>
      <c r="F93" s="69">
        <v>305647.48458333331</v>
      </c>
      <c r="G93" s="69">
        <v>666457.48458333337</v>
      </c>
      <c r="H93" s="69">
        <v>242878.48458333334</v>
      </c>
      <c r="I93" s="69">
        <v>150885.48458333334</v>
      </c>
      <c r="J93" s="69">
        <v>7066.0437500000007</v>
      </c>
      <c r="K93" s="69">
        <v>69655.233749999999</v>
      </c>
      <c r="L93" s="69">
        <v>116526.30375000001</v>
      </c>
      <c r="M93" s="69">
        <v>213464.63374999998</v>
      </c>
      <c r="N93" s="68">
        <v>11614.07</v>
      </c>
      <c r="O93" s="70">
        <v>2977575.9624644797</v>
      </c>
      <c r="P93" s="68"/>
      <c r="Q93" s="70"/>
    </row>
    <row r="94" spans="1:17" hidden="1" x14ac:dyDescent="0.25">
      <c r="A94" t="s">
        <v>158</v>
      </c>
      <c r="B94" s="67">
        <v>46266</v>
      </c>
      <c r="C94">
        <v>2026</v>
      </c>
      <c r="D94">
        <v>9</v>
      </c>
      <c r="E94" s="68">
        <v>855791.352431676</v>
      </c>
      <c r="F94" s="69">
        <v>259190.48458333334</v>
      </c>
      <c r="G94" s="69">
        <v>579430.48458333337</v>
      </c>
      <c r="H94" s="69">
        <v>220150.48458333334</v>
      </c>
      <c r="I94" s="69">
        <v>140162.48458333334</v>
      </c>
      <c r="J94" s="69">
        <v>5841.6537499999995</v>
      </c>
      <c r="K94" s="69">
        <v>67975.693750000006</v>
      </c>
      <c r="L94" s="69">
        <v>113514.89375</v>
      </c>
      <c r="M94" s="69">
        <v>206152.80374999999</v>
      </c>
      <c r="N94" s="68">
        <v>13418.970000000001</v>
      </c>
      <c r="O94" s="70">
        <v>2461629.4057650096</v>
      </c>
      <c r="P94" s="68"/>
      <c r="Q94" s="70"/>
    </row>
    <row r="95" spans="1:17" hidden="1" x14ac:dyDescent="0.25">
      <c r="A95" t="s">
        <v>159</v>
      </c>
      <c r="B95" s="67">
        <v>46296</v>
      </c>
      <c r="C95">
        <v>2026</v>
      </c>
      <c r="D95">
        <v>10</v>
      </c>
      <c r="E95" s="68">
        <v>766535.94519148988</v>
      </c>
      <c r="F95" s="69">
        <v>237463.48458333334</v>
      </c>
      <c r="G95" s="69">
        <v>541777.48458333337</v>
      </c>
      <c r="H95" s="69">
        <v>204730.48458333334</v>
      </c>
      <c r="I95" s="69">
        <v>133683.48458333334</v>
      </c>
      <c r="J95" s="69">
        <v>6948.4237499999999</v>
      </c>
      <c r="K95" s="69">
        <v>61285.043749999997</v>
      </c>
      <c r="L95" s="69">
        <v>107880.60374999999</v>
      </c>
      <c r="M95" s="69">
        <v>202365.84375</v>
      </c>
      <c r="N95" s="68">
        <v>14657.27</v>
      </c>
      <c r="O95" s="70">
        <v>2277328.1685248236</v>
      </c>
      <c r="P95" s="68"/>
      <c r="Q95" s="70"/>
    </row>
    <row r="96" spans="1:17" hidden="1" x14ac:dyDescent="0.25">
      <c r="A96" t="s">
        <v>160</v>
      </c>
      <c r="B96" s="67">
        <v>46327</v>
      </c>
      <c r="C96">
        <v>2026</v>
      </c>
      <c r="D96">
        <v>11</v>
      </c>
      <c r="E96" s="68">
        <v>957365.08565604617</v>
      </c>
      <c r="F96" s="69">
        <v>248488.48458333334</v>
      </c>
      <c r="G96" s="69">
        <v>534488.48458333337</v>
      </c>
      <c r="H96" s="69">
        <v>195935.48458333334</v>
      </c>
      <c r="I96" s="69">
        <v>123223.48458333334</v>
      </c>
      <c r="J96" s="69">
        <v>9572.7437499999996</v>
      </c>
      <c r="K96" s="69">
        <v>64683.703750000001</v>
      </c>
      <c r="L96" s="69">
        <v>105872.68375</v>
      </c>
      <c r="M96" s="69">
        <v>191166.30374999999</v>
      </c>
      <c r="N96" s="68">
        <v>16818.580000000002</v>
      </c>
      <c r="O96" s="70">
        <v>2447615.1389893796</v>
      </c>
      <c r="P96" s="68"/>
      <c r="Q96" s="70"/>
    </row>
    <row r="97" spans="1:17" hidden="1" x14ac:dyDescent="0.25">
      <c r="A97" t="s">
        <v>161</v>
      </c>
      <c r="B97" s="67">
        <v>46357</v>
      </c>
      <c r="C97">
        <v>2026</v>
      </c>
      <c r="D97">
        <v>12</v>
      </c>
      <c r="E97" s="68">
        <v>1323712.2685125852</v>
      </c>
      <c r="F97" s="69">
        <v>286618.48458333331</v>
      </c>
      <c r="G97" s="69">
        <v>587644.48458333337</v>
      </c>
      <c r="H97" s="69">
        <v>217113.48458333334</v>
      </c>
      <c r="I97" s="69">
        <v>124376.48458333334</v>
      </c>
      <c r="J97" s="69">
        <v>9777.34375</v>
      </c>
      <c r="K97" s="69">
        <v>65217.513749999998</v>
      </c>
      <c r="L97" s="69">
        <v>105284.62375</v>
      </c>
      <c r="M97" s="69">
        <v>175932.11374999999</v>
      </c>
      <c r="N97" s="68">
        <v>18850.189999999999</v>
      </c>
      <c r="O97" s="70">
        <v>2914527.091845918</v>
      </c>
      <c r="P97" s="68"/>
      <c r="Q97" s="70"/>
    </row>
    <row r="98" spans="1:17" hidden="1" x14ac:dyDescent="0.25">
      <c r="A98" t="s">
        <v>162</v>
      </c>
      <c r="B98" s="67">
        <v>46388</v>
      </c>
      <c r="C98">
        <v>2027</v>
      </c>
      <c r="D98">
        <v>1</v>
      </c>
      <c r="E98" s="68">
        <v>1411850.1548157744</v>
      </c>
      <c r="F98" s="69">
        <v>296347.81791666668</v>
      </c>
      <c r="G98" s="69">
        <v>612109.81791666662</v>
      </c>
      <c r="H98" s="69">
        <v>224181.81791666665</v>
      </c>
      <c r="I98" s="69">
        <v>125045.81791666667</v>
      </c>
      <c r="J98" s="69">
        <v>9055.7737500000003</v>
      </c>
      <c r="K98" s="69">
        <v>68208.653749999998</v>
      </c>
      <c r="L98" s="69">
        <v>104228.84375</v>
      </c>
      <c r="M98" s="69">
        <v>176193.37375</v>
      </c>
      <c r="N98" s="68">
        <v>20368.72</v>
      </c>
      <c r="O98" s="70">
        <v>3047590.8914824412</v>
      </c>
      <c r="P98" s="68"/>
      <c r="Q98" s="70"/>
    </row>
    <row r="99" spans="1:17" hidden="1" x14ac:dyDescent="0.25">
      <c r="A99" t="s">
        <v>163</v>
      </c>
      <c r="B99" s="67">
        <v>46419</v>
      </c>
      <c r="C99">
        <v>2027</v>
      </c>
      <c r="D99">
        <v>2</v>
      </c>
      <c r="E99" s="68">
        <v>1160609.9473443138</v>
      </c>
      <c r="F99" s="69">
        <v>263104.81791666668</v>
      </c>
      <c r="G99" s="69">
        <v>552694.81791666662</v>
      </c>
      <c r="H99" s="69">
        <v>196028.81791666665</v>
      </c>
      <c r="I99" s="69">
        <v>113457.81791666667</v>
      </c>
      <c r="J99" s="69">
        <v>7909.1337500000009</v>
      </c>
      <c r="K99" s="69">
        <v>66880.783750000002</v>
      </c>
      <c r="L99" s="69">
        <v>103759.39375</v>
      </c>
      <c r="M99" s="69">
        <v>171052.54374999998</v>
      </c>
      <c r="N99" s="68">
        <v>17861.63</v>
      </c>
      <c r="O99" s="70">
        <v>2653359.8040109803</v>
      </c>
      <c r="P99" s="68"/>
      <c r="Q99" s="70"/>
    </row>
    <row r="100" spans="1:17" hidden="1" x14ac:dyDescent="0.25">
      <c r="A100" t="s">
        <v>164</v>
      </c>
      <c r="B100" s="67">
        <v>46447</v>
      </c>
      <c r="C100">
        <v>2027</v>
      </c>
      <c r="D100">
        <v>3</v>
      </c>
      <c r="E100" s="68">
        <v>1023085.4189751482</v>
      </c>
      <c r="F100" s="69">
        <v>261001.81791666665</v>
      </c>
      <c r="G100" s="69">
        <v>562694.81791666662</v>
      </c>
      <c r="H100" s="69">
        <v>205733.81791666665</v>
      </c>
      <c r="I100" s="69">
        <v>127832.81791666667</v>
      </c>
      <c r="J100" s="69">
        <v>6373.5237500000003</v>
      </c>
      <c r="K100" s="69">
        <v>59638.473749999997</v>
      </c>
      <c r="L100" s="69">
        <v>104793.18375</v>
      </c>
      <c r="M100" s="69">
        <v>176043.71375</v>
      </c>
      <c r="N100" s="68">
        <v>15368.99</v>
      </c>
      <c r="O100" s="70">
        <v>2542566.6756418152</v>
      </c>
      <c r="P100" s="68"/>
      <c r="Q100" s="70"/>
    </row>
    <row r="101" spans="1:17" hidden="1" x14ac:dyDescent="0.25">
      <c r="A101" t="s">
        <v>165</v>
      </c>
      <c r="B101" s="67">
        <v>46478</v>
      </c>
      <c r="C101">
        <v>2027</v>
      </c>
      <c r="D101">
        <v>4</v>
      </c>
      <c r="E101" s="68">
        <v>790609.89060598274</v>
      </c>
      <c r="F101" s="69">
        <v>236390.81791666665</v>
      </c>
      <c r="G101" s="69">
        <v>540919.81791666662</v>
      </c>
      <c r="H101" s="69">
        <v>201442.81791666665</v>
      </c>
      <c r="I101" s="69">
        <v>130303.81791666667</v>
      </c>
      <c r="J101" s="69">
        <v>5293.7437499999996</v>
      </c>
      <c r="K101" s="69">
        <v>63097.683750000004</v>
      </c>
      <c r="L101" s="69">
        <v>104422.77375000001</v>
      </c>
      <c r="M101" s="69">
        <v>179044.74374999999</v>
      </c>
      <c r="N101" s="68">
        <v>14966.48</v>
      </c>
      <c r="O101" s="70">
        <v>2266492.6872726493</v>
      </c>
      <c r="P101" s="68"/>
      <c r="Q101" s="70"/>
    </row>
    <row r="102" spans="1:17" hidden="1" x14ac:dyDescent="0.25">
      <c r="A102" t="s">
        <v>166</v>
      </c>
      <c r="B102" s="67">
        <v>46508</v>
      </c>
      <c r="C102">
        <v>2027</v>
      </c>
      <c r="D102">
        <v>5</v>
      </c>
      <c r="E102" s="68">
        <v>794922.2294263324</v>
      </c>
      <c r="F102" s="69">
        <v>253058.81791666665</v>
      </c>
      <c r="G102" s="69">
        <v>586766.81791666662</v>
      </c>
      <c r="H102" s="69">
        <v>221470.81791666665</v>
      </c>
      <c r="I102" s="69">
        <v>141872.81791666665</v>
      </c>
      <c r="J102" s="69">
        <v>4830.3137500000003</v>
      </c>
      <c r="K102" s="69">
        <v>59670.573750000003</v>
      </c>
      <c r="L102" s="69">
        <v>108261.61375</v>
      </c>
      <c r="M102" s="69">
        <v>189767.83374999999</v>
      </c>
      <c r="N102" s="68">
        <v>12386.71</v>
      </c>
      <c r="O102" s="70">
        <v>2373008.6460929983</v>
      </c>
      <c r="P102" s="68"/>
      <c r="Q102" s="70"/>
    </row>
    <row r="103" spans="1:17" hidden="1" x14ac:dyDescent="0.25">
      <c r="A103" t="s">
        <v>167</v>
      </c>
      <c r="B103" s="67">
        <v>46539</v>
      </c>
      <c r="C103">
        <v>2027</v>
      </c>
      <c r="D103">
        <v>6</v>
      </c>
      <c r="E103" s="68">
        <v>1052178.5778581058</v>
      </c>
      <c r="F103" s="69">
        <v>274472.81791666668</v>
      </c>
      <c r="G103" s="69">
        <v>630351.81791666662</v>
      </c>
      <c r="H103" s="69">
        <v>233048.81791666665</v>
      </c>
      <c r="I103" s="69">
        <v>146127.81791666665</v>
      </c>
      <c r="J103" s="69">
        <v>5893.8637500000004</v>
      </c>
      <c r="K103" s="69">
        <v>68665.463749999995</v>
      </c>
      <c r="L103" s="69">
        <v>111558.75375</v>
      </c>
      <c r="M103" s="69">
        <v>193715.80374999999</v>
      </c>
      <c r="N103" s="68">
        <v>11552.72</v>
      </c>
      <c r="O103" s="70">
        <v>2727566.5545247728</v>
      </c>
      <c r="P103" s="68"/>
      <c r="Q103" s="70"/>
    </row>
    <row r="104" spans="1:17" hidden="1" x14ac:dyDescent="0.25">
      <c r="A104" t="s">
        <v>168</v>
      </c>
      <c r="B104" s="67">
        <v>46569</v>
      </c>
      <c r="C104">
        <v>2027</v>
      </c>
      <c r="D104">
        <v>7</v>
      </c>
      <c r="E104" s="68">
        <v>1272824.047974725</v>
      </c>
      <c r="F104" s="69">
        <v>311892.81791666668</v>
      </c>
      <c r="G104" s="69">
        <v>681187.81791666662</v>
      </c>
      <c r="H104" s="69">
        <v>247695.81791666665</v>
      </c>
      <c r="I104" s="69">
        <v>154472.81791666665</v>
      </c>
      <c r="J104" s="69">
        <v>6646.8937499999993</v>
      </c>
      <c r="K104" s="69">
        <v>70201.613750000004</v>
      </c>
      <c r="L104" s="69">
        <v>117401.74374999999</v>
      </c>
      <c r="M104" s="69">
        <v>204241.32374999998</v>
      </c>
      <c r="N104" s="68">
        <v>11074.28</v>
      </c>
      <c r="O104" s="70">
        <v>3077639.2746413914</v>
      </c>
      <c r="P104" s="68"/>
      <c r="Q104" s="70"/>
    </row>
    <row r="105" spans="1:17" hidden="1" x14ac:dyDescent="0.25">
      <c r="A105" t="s">
        <v>169</v>
      </c>
      <c r="B105" s="67">
        <v>46600</v>
      </c>
      <c r="C105">
        <v>2027</v>
      </c>
      <c r="D105">
        <v>8</v>
      </c>
      <c r="E105" s="68">
        <v>1199427.2871783688</v>
      </c>
      <c r="F105" s="69">
        <v>307306.81791666668</v>
      </c>
      <c r="G105" s="69">
        <v>670235.81791666662</v>
      </c>
      <c r="H105" s="69">
        <v>245038.81791666665</v>
      </c>
      <c r="I105" s="69">
        <v>151192.81791666665</v>
      </c>
      <c r="J105" s="69">
        <v>6687.2737500000003</v>
      </c>
      <c r="K105" s="69">
        <v>69807.153749999998</v>
      </c>
      <c r="L105" s="69">
        <v>116964.14375</v>
      </c>
      <c r="M105" s="69">
        <v>213435.16374999998</v>
      </c>
      <c r="N105" s="68">
        <v>11426.84</v>
      </c>
      <c r="O105" s="70">
        <v>2991522.2338450351</v>
      </c>
      <c r="P105" s="68"/>
      <c r="Q105" s="70"/>
    </row>
    <row r="106" spans="1:17" hidden="1" x14ac:dyDescent="0.25">
      <c r="A106" t="s">
        <v>170</v>
      </c>
      <c r="B106" s="67">
        <v>46631</v>
      </c>
      <c r="C106">
        <v>2027</v>
      </c>
      <c r="D106">
        <v>9</v>
      </c>
      <c r="E106" s="68">
        <v>858959.79299968947</v>
      </c>
      <c r="F106" s="69">
        <v>260808.81791666665</v>
      </c>
      <c r="G106" s="69">
        <v>583065.81791666662</v>
      </c>
      <c r="H106" s="69">
        <v>222123.81791666665</v>
      </c>
      <c r="I106" s="69">
        <v>140505.81791666665</v>
      </c>
      <c r="J106" s="69">
        <v>5481.3637500000004</v>
      </c>
      <c r="K106" s="69">
        <v>68077.083750000005</v>
      </c>
      <c r="L106" s="69">
        <v>113947.55375000001</v>
      </c>
      <c r="M106" s="69">
        <v>206139.27374999999</v>
      </c>
      <c r="N106" s="68">
        <v>13233.75</v>
      </c>
      <c r="O106" s="70">
        <v>2472343.1896663564</v>
      </c>
      <c r="P106" s="68"/>
      <c r="Q106" s="70"/>
    </row>
    <row r="107" spans="1:17" hidden="1" x14ac:dyDescent="0.25">
      <c r="A107" t="s">
        <v>171</v>
      </c>
      <c r="B107" s="67">
        <v>46661</v>
      </c>
      <c r="C107">
        <v>2027</v>
      </c>
      <c r="D107">
        <v>10</v>
      </c>
      <c r="E107" s="68">
        <v>767935.26277804002</v>
      </c>
      <c r="F107" s="69">
        <v>239123.81791666665</v>
      </c>
      <c r="G107" s="69">
        <v>545464.81791666662</v>
      </c>
      <c r="H107" s="69">
        <v>206741.81791666665</v>
      </c>
      <c r="I107" s="69">
        <v>134132.81791666665</v>
      </c>
      <c r="J107" s="69">
        <v>6601.7837500000005</v>
      </c>
      <c r="K107" s="69">
        <v>61390.933750000004</v>
      </c>
      <c r="L107" s="69">
        <v>108322.34375</v>
      </c>
      <c r="M107" s="69">
        <v>202350.20374999999</v>
      </c>
      <c r="N107" s="68">
        <v>14472.04</v>
      </c>
      <c r="O107" s="70">
        <v>2286535.9394447068</v>
      </c>
      <c r="P107" s="68"/>
      <c r="Q107" s="70"/>
    </row>
    <row r="108" spans="1:17" hidden="1" x14ac:dyDescent="0.25">
      <c r="A108" t="s">
        <v>172</v>
      </c>
      <c r="B108" s="67">
        <v>46692</v>
      </c>
      <c r="C108">
        <v>2027</v>
      </c>
      <c r="D108">
        <v>11</v>
      </c>
      <c r="E108" s="68">
        <v>958273.11473261809</v>
      </c>
      <c r="F108" s="69">
        <v>250029.81791666665</v>
      </c>
      <c r="G108" s="69">
        <v>537807.81791666662</v>
      </c>
      <c r="H108" s="69">
        <v>197800.81791666665</v>
      </c>
      <c r="I108" s="69">
        <v>123731.81791666667</v>
      </c>
      <c r="J108" s="69">
        <v>9385.4037499999995</v>
      </c>
      <c r="K108" s="69">
        <v>64893.743750000001</v>
      </c>
      <c r="L108" s="69">
        <v>106317.43375</v>
      </c>
      <c r="M108" s="69">
        <v>191166.88374999998</v>
      </c>
      <c r="N108" s="68">
        <v>16632.349999999999</v>
      </c>
      <c r="O108" s="70">
        <v>2456039.301399285</v>
      </c>
      <c r="P108" s="68"/>
      <c r="Q108" s="70"/>
    </row>
    <row r="109" spans="1:17" hidden="1" x14ac:dyDescent="0.25">
      <c r="A109" t="s">
        <v>173</v>
      </c>
      <c r="B109" s="67">
        <v>46722</v>
      </c>
      <c r="C109">
        <v>2027</v>
      </c>
      <c r="D109">
        <v>12</v>
      </c>
      <c r="E109" s="68">
        <v>1324590.2433109016</v>
      </c>
      <c r="F109" s="69">
        <v>287938.81791666668</v>
      </c>
      <c r="G109" s="69">
        <v>590514.81791666662</v>
      </c>
      <c r="H109" s="69">
        <v>218955.81791666665</v>
      </c>
      <c r="I109" s="69">
        <v>124859.81791666667</v>
      </c>
      <c r="J109" s="69">
        <v>9624.5337500000005</v>
      </c>
      <c r="K109" s="69">
        <v>65442.833749999998</v>
      </c>
      <c r="L109" s="69">
        <v>105739.72375</v>
      </c>
      <c r="M109" s="69">
        <v>175930.43375</v>
      </c>
      <c r="N109" s="68">
        <v>18662.96</v>
      </c>
      <c r="O109" s="70">
        <v>2922260.0999775678</v>
      </c>
      <c r="P109" s="68"/>
      <c r="Q109" s="70"/>
    </row>
    <row r="110" spans="1:17" hidden="1" x14ac:dyDescent="0.25">
      <c r="A110" t="s">
        <v>174</v>
      </c>
      <c r="B110" s="67">
        <v>46753</v>
      </c>
      <c r="C110">
        <v>2028</v>
      </c>
      <c r="D110">
        <v>1</v>
      </c>
      <c r="E110" s="68">
        <v>1413704.9335765659</v>
      </c>
      <c r="F110" s="69">
        <v>297648.15125</v>
      </c>
      <c r="G110" s="69">
        <v>615077.15125</v>
      </c>
      <c r="H110" s="69">
        <v>226065.15125</v>
      </c>
      <c r="I110" s="69">
        <v>125570.15125</v>
      </c>
      <c r="J110" s="69">
        <v>8819.5137500000001</v>
      </c>
      <c r="K110" s="69">
        <v>68026.183749999997</v>
      </c>
      <c r="L110" s="69">
        <v>104705.11375</v>
      </c>
      <c r="M110" s="69">
        <v>176226.82374999998</v>
      </c>
      <c r="N110" s="68">
        <v>20183.489999999998</v>
      </c>
      <c r="O110" s="70">
        <v>3056026.7635765662</v>
      </c>
      <c r="P110" s="68"/>
      <c r="Q110" s="70"/>
    </row>
    <row r="111" spans="1:17" hidden="1" x14ac:dyDescent="0.25">
      <c r="A111" t="s">
        <v>175</v>
      </c>
      <c r="B111" s="67">
        <v>46784</v>
      </c>
      <c r="C111">
        <v>2028</v>
      </c>
      <c r="D111">
        <v>2</v>
      </c>
      <c r="E111" s="68">
        <v>1205141.6302711251</v>
      </c>
      <c r="F111" s="69">
        <v>274480.15125</v>
      </c>
      <c r="G111" s="69">
        <v>571264.15125</v>
      </c>
      <c r="H111" s="69">
        <v>205445.15125</v>
      </c>
      <c r="I111" s="69">
        <v>118162.15125</v>
      </c>
      <c r="J111" s="69">
        <v>7722.8837500000009</v>
      </c>
      <c r="K111" s="69">
        <v>65412.613750000004</v>
      </c>
      <c r="L111" s="69">
        <v>105519.76375</v>
      </c>
      <c r="M111" s="69">
        <v>176722.83374999999</v>
      </c>
      <c r="N111" s="68">
        <v>17676.400000000001</v>
      </c>
      <c r="O111" s="70">
        <v>2747547.8302711258</v>
      </c>
      <c r="P111" s="68"/>
      <c r="Q111" s="70"/>
    </row>
    <row r="112" spans="1:17" hidden="1" x14ac:dyDescent="0.25">
      <c r="A112" t="s">
        <v>176</v>
      </c>
      <c r="B112" s="67">
        <v>46813</v>
      </c>
      <c r="C112">
        <v>2028</v>
      </c>
      <c r="D112">
        <v>3</v>
      </c>
      <c r="E112" s="68">
        <v>1024872.8620456763</v>
      </c>
      <c r="F112" s="69">
        <v>262498.15125</v>
      </c>
      <c r="G112" s="69">
        <v>566293.15125</v>
      </c>
      <c r="H112" s="69">
        <v>207699.15125</v>
      </c>
      <c r="I112" s="69">
        <v>128332.15125</v>
      </c>
      <c r="J112" s="69">
        <v>5979.88375</v>
      </c>
      <c r="K112" s="69">
        <v>59323.683750000004</v>
      </c>
      <c r="L112" s="69">
        <v>105260.69375000001</v>
      </c>
      <c r="M112" s="69">
        <v>176082.82374999998</v>
      </c>
      <c r="N112" s="68">
        <v>15182.73</v>
      </c>
      <c r="O112" s="70">
        <v>2551525.3820456765</v>
      </c>
      <c r="P112" s="68"/>
      <c r="Q112" s="70"/>
    </row>
    <row r="113" spans="1:17" hidden="1" x14ac:dyDescent="0.25">
      <c r="A113" t="s">
        <v>177</v>
      </c>
      <c r="B113" s="67">
        <v>46844</v>
      </c>
      <c r="C113">
        <v>2028</v>
      </c>
      <c r="D113">
        <v>4</v>
      </c>
      <c r="E113" s="68">
        <v>792902.09382022766</v>
      </c>
      <c r="F113" s="69">
        <v>238001.15125</v>
      </c>
      <c r="G113" s="69">
        <v>544630.15125</v>
      </c>
      <c r="H113" s="69">
        <v>203420.15125</v>
      </c>
      <c r="I113" s="69">
        <v>130759.15125</v>
      </c>
      <c r="J113" s="69">
        <v>4903.9037499999995</v>
      </c>
      <c r="K113" s="69">
        <v>62777.883750000001</v>
      </c>
      <c r="L113" s="69">
        <v>104882.59375</v>
      </c>
      <c r="M113" s="69">
        <v>179095.91374999998</v>
      </c>
      <c r="N113" s="68">
        <v>14781.220000000001</v>
      </c>
      <c r="O113" s="70">
        <v>2276154.313820228</v>
      </c>
      <c r="P113" s="68"/>
      <c r="Q113" s="70"/>
    </row>
    <row r="114" spans="1:17" hidden="1" x14ac:dyDescent="0.25">
      <c r="A114" t="s">
        <v>178</v>
      </c>
      <c r="B114" s="67">
        <v>46874</v>
      </c>
      <c r="C114">
        <v>2028</v>
      </c>
      <c r="D114">
        <v>5</v>
      </c>
      <c r="E114" s="68">
        <v>797915.62751718098</v>
      </c>
      <c r="F114" s="69">
        <v>254808.15125</v>
      </c>
      <c r="G114" s="69">
        <v>590725.15125</v>
      </c>
      <c r="H114" s="69">
        <v>223630.15125</v>
      </c>
      <c r="I114" s="69">
        <v>142268.15125</v>
      </c>
      <c r="J114" s="69">
        <v>4411.1137500000004</v>
      </c>
      <c r="K114" s="69">
        <v>59335.463750000003</v>
      </c>
      <c r="L114" s="69">
        <v>108728.31375</v>
      </c>
      <c r="M114" s="69">
        <v>189817.69374999998</v>
      </c>
      <c r="N114" s="68">
        <v>12202.45</v>
      </c>
      <c r="O114" s="70">
        <v>2383842.3675171821</v>
      </c>
      <c r="P114" s="68"/>
      <c r="Q114" s="70"/>
    </row>
    <row r="115" spans="1:17" hidden="1" x14ac:dyDescent="0.25">
      <c r="A115" t="s">
        <v>179</v>
      </c>
      <c r="B115" s="67">
        <v>46905</v>
      </c>
      <c r="C115">
        <v>2028</v>
      </c>
      <c r="D115">
        <v>6</v>
      </c>
      <c r="E115" s="68">
        <v>1057631.5043019862</v>
      </c>
      <c r="F115" s="69">
        <v>276166.15125</v>
      </c>
      <c r="G115" s="69">
        <v>634167.15125</v>
      </c>
      <c r="H115" s="69">
        <v>235185.15125</v>
      </c>
      <c r="I115" s="69">
        <v>146464.15125</v>
      </c>
      <c r="J115" s="69">
        <v>5490.7337500000003</v>
      </c>
      <c r="K115" s="69">
        <v>68358.713749999995</v>
      </c>
      <c r="L115" s="69">
        <v>112018.70375</v>
      </c>
      <c r="M115" s="69">
        <v>193776.94374999998</v>
      </c>
      <c r="N115" s="68">
        <v>11367.46</v>
      </c>
      <c r="O115" s="70">
        <v>2740626.7643019869</v>
      </c>
      <c r="P115" s="68"/>
      <c r="Q115" s="70"/>
    </row>
    <row r="116" spans="1:17" hidden="1" x14ac:dyDescent="0.25">
      <c r="A116" t="s">
        <v>180</v>
      </c>
      <c r="B116" s="67">
        <v>46935</v>
      </c>
      <c r="C116">
        <v>2028</v>
      </c>
      <c r="D116">
        <v>7</v>
      </c>
      <c r="E116" s="68">
        <v>1280340.9741791426</v>
      </c>
      <c r="F116" s="69">
        <v>313689.15125</v>
      </c>
      <c r="G116" s="69">
        <v>685328.15125</v>
      </c>
      <c r="H116" s="69">
        <v>250068.15125</v>
      </c>
      <c r="I116" s="69">
        <v>154795.15125</v>
      </c>
      <c r="J116" s="69">
        <v>6227.9937499999996</v>
      </c>
      <c r="K116" s="69">
        <v>69908.543749999997</v>
      </c>
      <c r="L116" s="69">
        <v>117869.91375000001</v>
      </c>
      <c r="M116" s="69">
        <v>204301.64374999999</v>
      </c>
      <c r="N116" s="68">
        <v>10890.02</v>
      </c>
      <c r="O116" s="70">
        <v>3093419.7941791429</v>
      </c>
      <c r="P116" s="68"/>
      <c r="Q116" s="70"/>
    </row>
    <row r="117" spans="1:17" hidden="1" x14ac:dyDescent="0.25">
      <c r="A117" t="s">
        <v>181</v>
      </c>
      <c r="B117" s="67">
        <v>46966</v>
      </c>
      <c r="C117">
        <v>2028</v>
      </c>
      <c r="D117">
        <v>8</v>
      </c>
      <c r="E117" s="68">
        <v>1206161.1187664492</v>
      </c>
      <c r="F117" s="69">
        <v>309171.15125</v>
      </c>
      <c r="G117" s="69">
        <v>674379.15125</v>
      </c>
      <c r="H117" s="69">
        <v>247403.15125</v>
      </c>
      <c r="I117" s="69">
        <v>151456.15125</v>
      </c>
      <c r="J117" s="69">
        <v>6309.8337499999998</v>
      </c>
      <c r="K117" s="69">
        <v>69564.553750000006</v>
      </c>
      <c r="L117" s="69">
        <v>117435.79375</v>
      </c>
      <c r="M117" s="69">
        <v>213502.51374999998</v>
      </c>
      <c r="N117" s="68">
        <v>11242.58</v>
      </c>
      <c r="O117" s="70">
        <v>3006626.0987664498</v>
      </c>
      <c r="P117" s="68"/>
      <c r="Q117" s="70"/>
    </row>
    <row r="118" spans="1:17" hidden="1" x14ac:dyDescent="0.25">
      <c r="A118" t="s">
        <v>182</v>
      </c>
      <c r="B118" s="67">
        <v>46997</v>
      </c>
      <c r="C118">
        <v>2028</v>
      </c>
      <c r="D118">
        <v>9</v>
      </c>
      <c r="E118" s="68">
        <v>862791.06570562092</v>
      </c>
      <c r="F118" s="69">
        <v>262730.15125</v>
      </c>
      <c r="G118" s="69">
        <v>587277.15125</v>
      </c>
      <c r="H118" s="69">
        <v>224464.15125</v>
      </c>
      <c r="I118" s="69">
        <v>140892.15125</v>
      </c>
      <c r="J118" s="69">
        <v>5122.3737500000007</v>
      </c>
      <c r="K118" s="69">
        <v>67845.083750000005</v>
      </c>
      <c r="L118" s="69">
        <v>114413.23375</v>
      </c>
      <c r="M118" s="69">
        <v>206220.05374999999</v>
      </c>
      <c r="N118" s="68">
        <v>13048.48</v>
      </c>
      <c r="O118" s="70">
        <v>2484803.9957056213</v>
      </c>
      <c r="P118" s="68"/>
      <c r="Q118" s="70"/>
    </row>
    <row r="119" spans="1:17" hidden="1" x14ac:dyDescent="0.25">
      <c r="A119" t="s">
        <v>183</v>
      </c>
      <c r="B119" s="67">
        <v>47027</v>
      </c>
      <c r="C119">
        <v>2028</v>
      </c>
      <c r="D119">
        <v>10</v>
      </c>
      <c r="E119" s="68">
        <v>770149.98682930693</v>
      </c>
      <c r="F119" s="69">
        <v>241134.15125</v>
      </c>
      <c r="G119" s="69">
        <v>549842.15125</v>
      </c>
      <c r="H119" s="69">
        <v>209020.15125</v>
      </c>
      <c r="I119" s="69">
        <v>134752.15125</v>
      </c>
      <c r="J119" s="69">
        <v>6256.5237500000003</v>
      </c>
      <c r="K119" s="69">
        <v>61155.173750000002</v>
      </c>
      <c r="L119" s="69">
        <v>108798.64375</v>
      </c>
      <c r="M119" s="69">
        <v>202434.67374999999</v>
      </c>
      <c r="N119" s="68">
        <v>14287.779999999999</v>
      </c>
      <c r="O119" s="70">
        <v>2297831.4868293069</v>
      </c>
      <c r="P119" s="68"/>
      <c r="Q119" s="70"/>
    </row>
    <row r="120" spans="1:17" hidden="1" x14ac:dyDescent="0.25">
      <c r="A120" t="s">
        <v>184</v>
      </c>
      <c r="B120" s="67">
        <v>47058</v>
      </c>
      <c r="C120">
        <v>2028</v>
      </c>
      <c r="D120">
        <v>11</v>
      </c>
      <c r="E120" s="68">
        <v>960061.52868818713</v>
      </c>
      <c r="F120" s="69">
        <v>252050.15125</v>
      </c>
      <c r="G120" s="69">
        <v>542292.15125</v>
      </c>
      <c r="H120" s="69">
        <v>199957.15125</v>
      </c>
      <c r="I120" s="69">
        <v>124282.15125</v>
      </c>
      <c r="J120" s="69">
        <v>9199.4137499999997</v>
      </c>
      <c r="K120" s="69">
        <v>64818.543749999997</v>
      </c>
      <c r="L120" s="69">
        <v>106795.93375</v>
      </c>
      <c r="M120" s="69">
        <v>191267.32374999998</v>
      </c>
      <c r="N120" s="68">
        <v>16448.09</v>
      </c>
      <c r="O120" s="70">
        <v>2467172.538688187</v>
      </c>
      <c r="P120" s="68"/>
      <c r="Q120" s="70"/>
    </row>
    <row r="121" spans="1:17" hidden="1" x14ac:dyDescent="0.25">
      <c r="A121" t="s">
        <v>185</v>
      </c>
      <c r="B121" s="67">
        <v>47088</v>
      </c>
      <c r="C121">
        <v>2028</v>
      </c>
      <c r="D121">
        <v>12</v>
      </c>
      <c r="E121" s="68">
        <v>1326576.142298531</v>
      </c>
      <c r="F121" s="69">
        <v>289867.15125</v>
      </c>
      <c r="G121" s="69">
        <v>595069.15125</v>
      </c>
      <c r="H121" s="69">
        <v>221124.15125</v>
      </c>
      <c r="I121" s="69">
        <v>125361.15125</v>
      </c>
      <c r="J121" s="69">
        <v>9473.1237500000007</v>
      </c>
      <c r="K121" s="69">
        <v>65357.393750000003</v>
      </c>
      <c r="L121" s="69">
        <v>106229.97375</v>
      </c>
      <c r="M121" s="69">
        <v>176034.87375</v>
      </c>
      <c r="N121" s="68">
        <v>18479.7</v>
      </c>
      <c r="O121" s="70">
        <v>2933572.9122985308</v>
      </c>
      <c r="P121" s="68"/>
      <c r="Q121" s="70"/>
    </row>
    <row r="122" spans="1:17" hidden="1" x14ac:dyDescent="0.25">
      <c r="A122" t="s">
        <v>186</v>
      </c>
      <c r="B122" s="67">
        <v>47119</v>
      </c>
      <c r="C122">
        <v>2029</v>
      </c>
      <c r="D122">
        <v>1</v>
      </c>
      <c r="E122" s="68">
        <v>1416062.3077794069</v>
      </c>
      <c r="F122" s="69">
        <v>299522.48458333331</v>
      </c>
      <c r="G122" s="69">
        <v>619854.48458333337</v>
      </c>
      <c r="H122" s="69">
        <v>228406.48458333334</v>
      </c>
      <c r="I122" s="69">
        <v>126359.48458333334</v>
      </c>
      <c r="J122" s="69">
        <v>8583.6037500000002</v>
      </c>
      <c r="K122" s="69">
        <v>68029.813750000001</v>
      </c>
      <c r="L122" s="69">
        <v>105187.01375</v>
      </c>
      <c r="M122" s="69">
        <v>176333.30374999999</v>
      </c>
      <c r="N122" s="68">
        <v>20000.23</v>
      </c>
      <c r="O122" s="70">
        <v>3068339.3111127396</v>
      </c>
      <c r="P122" s="68"/>
      <c r="Q122" s="70"/>
    </row>
    <row r="123" spans="1:17" hidden="1" x14ac:dyDescent="0.25">
      <c r="A123" t="s">
        <v>187</v>
      </c>
      <c r="B123" s="67">
        <v>47150</v>
      </c>
      <c r="C123">
        <v>2029</v>
      </c>
      <c r="D123">
        <v>2</v>
      </c>
      <c r="E123" s="68">
        <v>1164598.7989884524</v>
      </c>
      <c r="F123" s="69">
        <v>266148.48458333331</v>
      </c>
      <c r="G123" s="69">
        <v>560096.48458333337</v>
      </c>
      <c r="H123" s="69">
        <v>199806.48458333334</v>
      </c>
      <c r="I123" s="69">
        <v>114680.48458333334</v>
      </c>
      <c r="J123" s="69">
        <v>7401.9537500000006</v>
      </c>
      <c r="K123" s="69">
        <v>66680.043749999997</v>
      </c>
      <c r="L123" s="69">
        <v>104666.26375</v>
      </c>
      <c r="M123" s="69">
        <v>171235.35374999998</v>
      </c>
      <c r="N123" s="68">
        <v>17493.14</v>
      </c>
      <c r="O123" s="70">
        <v>2672807.5923217856</v>
      </c>
      <c r="P123" s="68"/>
      <c r="Q123" s="70"/>
    </row>
    <row r="124" spans="1:17" hidden="1" x14ac:dyDescent="0.25">
      <c r="A124" t="s">
        <v>188</v>
      </c>
      <c r="B124" s="67">
        <v>47178</v>
      </c>
      <c r="C124">
        <v>2029</v>
      </c>
      <c r="D124">
        <v>3</v>
      </c>
      <c r="E124" s="68">
        <v>1027153.9257035289</v>
      </c>
      <c r="F124" s="69">
        <v>264702.48458333331</v>
      </c>
      <c r="G124" s="69">
        <v>571811.48458333337</v>
      </c>
      <c r="H124" s="69">
        <v>210288.48458333334</v>
      </c>
      <c r="I124" s="69">
        <v>129173.48458333334</v>
      </c>
      <c r="J124" s="69">
        <v>5586.63375</v>
      </c>
      <c r="K124" s="69">
        <v>59286.853750000002</v>
      </c>
      <c r="L124" s="69">
        <v>105734.32375</v>
      </c>
      <c r="M124" s="69">
        <v>176202.28374999997</v>
      </c>
      <c r="N124" s="68">
        <v>14999.5</v>
      </c>
      <c r="O124" s="70">
        <v>2564939.5590368621</v>
      </c>
      <c r="P124" s="68"/>
      <c r="Q124" s="70"/>
    </row>
    <row r="125" spans="1:17" hidden="1" x14ac:dyDescent="0.25">
      <c r="A125" t="s">
        <v>189</v>
      </c>
      <c r="B125" s="67">
        <v>47209</v>
      </c>
      <c r="C125">
        <v>2029</v>
      </c>
      <c r="D125">
        <v>4</v>
      </c>
      <c r="E125" s="68">
        <v>795725.05241860519</v>
      </c>
      <c r="F125" s="69">
        <v>240469.48458333334</v>
      </c>
      <c r="G125" s="69">
        <v>550488.48458333337</v>
      </c>
      <c r="H125" s="69">
        <v>206052.48458333334</v>
      </c>
      <c r="I125" s="69">
        <v>131563.48458333334</v>
      </c>
      <c r="J125" s="69">
        <v>4514.4437500000004</v>
      </c>
      <c r="K125" s="69">
        <v>62760.873749999999</v>
      </c>
      <c r="L125" s="69">
        <v>105348.36375</v>
      </c>
      <c r="M125" s="69">
        <v>179226.36374999999</v>
      </c>
      <c r="N125" s="68">
        <v>14597.99</v>
      </c>
      <c r="O125" s="70">
        <v>2290747.1257519391</v>
      </c>
      <c r="P125" s="68"/>
      <c r="Q125" s="70"/>
    </row>
    <row r="126" spans="1:17" hidden="1" x14ac:dyDescent="0.25">
      <c r="A126" t="s">
        <v>190</v>
      </c>
      <c r="B126" s="67">
        <v>47239</v>
      </c>
      <c r="C126">
        <v>2029</v>
      </c>
      <c r="D126">
        <v>5</v>
      </c>
      <c r="E126" s="68">
        <v>801390.99924302474</v>
      </c>
      <c r="F126" s="69">
        <v>257357.48458333334</v>
      </c>
      <c r="G126" s="69">
        <v>597147.48458333337</v>
      </c>
      <c r="H126" s="69">
        <v>226507.48458333334</v>
      </c>
      <c r="I126" s="69">
        <v>143257.48458333334</v>
      </c>
      <c r="J126" s="69">
        <v>3992.2937499999998</v>
      </c>
      <c r="K126" s="69">
        <v>59271.16375</v>
      </c>
      <c r="L126" s="69">
        <v>109201.21375</v>
      </c>
      <c r="M126" s="69">
        <v>189950.24374999999</v>
      </c>
      <c r="N126" s="68">
        <v>12019.22</v>
      </c>
      <c r="O126" s="70">
        <v>2400095.1725763585</v>
      </c>
      <c r="P126" s="68"/>
      <c r="Q126" s="70"/>
    </row>
    <row r="127" spans="1:17" hidden="1" x14ac:dyDescent="0.25">
      <c r="A127" t="s">
        <v>191</v>
      </c>
      <c r="B127" s="67">
        <v>47270</v>
      </c>
      <c r="C127">
        <v>2029</v>
      </c>
      <c r="D127">
        <v>6</v>
      </c>
      <c r="E127" s="68">
        <v>1063538.7155416326</v>
      </c>
      <c r="F127" s="69">
        <v>278836.48458333331</v>
      </c>
      <c r="G127" s="69">
        <v>640721.48458333337</v>
      </c>
      <c r="H127" s="69">
        <v>238147.48458333334</v>
      </c>
      <c r="I127" s="69">
        <v>147482.48458333334</v>
      </c>
      <c r="J127" s="69">
        <v>5087.9737500000001</v>
      </c>
      <c r="K127" s="69">
        <v>68153.073749999996</v>
      </c>
      <c r="L127" s="69">
        <v>112484.46375</v>
      </c>
      <c r="M127" s="69">
        <v>193917.57374999998</v>
      </c>
      <c r="N127" s="68">
        <v>11185.23</v>
      </c>
      <c r="O127" s="70">
        <v>2759555.0688749659</v>
      </c>
      <c r="P127" s="68"/>
      <c r="Q127" s="70"/>
    </row>
    <row r="128" spans="1:17" hidden="1" x14ac:dyDescent="0.25">
      <c r="A128" t="s">
        <v>192</v>
      </c>
      <c r="B128" s="67">
        <v>47300</v>
      </c>
      <c r="C128">
        <v>2029</v>
      </c>
      <c r="D128">
        <v>7</v>
      </c>
      <c r="E128" s="68">
        <v>1288399.3578133266</v>
      </c>
      <c r="F128" s="69">
        <v>316454.48458333331</v>
      </c>
      <c r="G128" s="69">
        <v>692132.48458333337</v>
      </c>
      <c r="H128" s="69">
        <v>253998.48458333334</v>
      </c>
      <c r="I128" s="69">
        <v>155967.48458333334</v>
      </c>
      <c r="J128" s="69">
        <v>5809.4337500000001</v>
      </c>
      <c r="K128" s="69">
        <v>70001.503750000003</v>
      </c>
      <c r="L128" s="69">
        <v>118343.58375000001</v>
      </c>
      <c r="M128" s="69">
        <v>204442.27374999999</v>
      </c>
      <c r="N128" s="68">
        <v>10706.8</v>
      </c>
      <c r="O128" s="70">
        <v>3116255.9911466599</v>
      </c>
      <c r="P128" s="68"/>
      <c r="Q128" s="70"/>
    </row>
    <row r="129" spans="1:17" hidden="1" x14ac:dyDescent="0.25">
      <c r="A129" t="s">
        <v>193</v>
      </c>
      <c r="B129" s="67">
        <v>47331</v>
      </c>
      <c r="C129">
        <v>2029</v>
      </c>
      <c r="D129">
        <v>8</v>
      </c>
      <c r="E129" s="68">
        <v>1213367.1582205275</v>
      </c>
      <c r="F129" s="69">
        <v>312036.48458333331</v>
      </c>
      <c r="G129" s="69">
        <v>682368.48458333337</v>
      </c>
      <c r="H129" s="69">
        <v>251966.48458333334</v>
      </c>
      <c r="I129" s="69">
        <v>153175.48458333334</v>
      </c>
      <c r="J129" s="69">
        <v>5932.7137500000008</v>
      </c>
      <c r="K129" s="69">
        <v>69685.683749999997</v>
      </c>
      <c r="L129" s="69">
        <v>117912.52375000001</v>
      </c>
      <c r="M129" s="69">
        <v>213647.91374999998</v>
      </c>
      <c r="N129" s="68">
        <v>11060.35</v>
      </c>
      <c r="O129" s="70">
        <v>3031153.3815538604</v>
      </c>
      <c r="P129" s="68"/>
      <c r="Q129" s="70"/>
    </row>
    <row r="130" spans="1:17" hidden="1" x14ac:dyDescent="0.25">
      <c r="A130" t="s">
        <v>194</v>
      </c>
      <c r="B130" s="67">
        <v>47362</v>
      </c>
      <c r="C130">
        <v>2029</v>
      </c>
      <c r="D130">
        <v>9</v>
      </c>
      <c r="E130" s="68">
        <v>867068.28833317431</v>
      </c>
      <c r="F130" s="69">
        <v>265482.48458333331</v>
      </c>
      <c r="G130" s="69">
        <v>594586.48458333337</v>
      </c>
      <c r="H130" s="69">
        <v>228087.48458333334</v>
      </c>
      <c r="I130" s="69">
        <v>142105.48458333334</v>
      </c>
      <c r="J130" s="69">
        <v>4763.6637499999997</v>
      </c>
      <c r="K130" s="69">
        <v>68027.503750000003</v>
      </c>
      <c r="L130" s="69">
        <v>114883.38374999999</v>
      </c>
      <c r="M130" s="69">
        <v>206373.86374999999</v>
      </c>
      <c r="N130" s="68">
        <v>12867.26</v>
      </c>
      <c r="O130" s="70">
        <v>2504246.0016665077</v>
      </c>
      <c r="P130" s="68"/>
      <c r="Q130" s="70"/>
    </row>
    <row r="131" spans="1:17" hidden="1" x14ac:dyDescent="0.25">
      <c r="A131" t="s">
        <v>195</v>
      </c>
      <c r="B131" s="67">
        <v>47392</v>
      </c>
      <c r="C131">
        <v>2029</v>
      </c>
      <c r="D131">
        <v>10</v>
      </c>
      <c r="E131" s="68">
        <v>772876.44227739784</v>
      </c>
      <c r="F131" s="69">
        <v>244139.48458333334</v>
      </c>
      <c r="G131" s="69">
        <v>557613.48458333337</v>
      </c>
      <c r="H131" s="69">
        <v>212346.48458333334</v>
      </c>
      <c r="I131" s="69">
        <v>135703.48458333334</v>
      </c>
      <c r="J131" s="69">
        <v>5911.5037499999999</v>
      </c>
      <c r="K131" s="69">
        <v>61391.823750000003</v>
      </c>
      <c r="L131" s="69">
        <v>109279.04375</v>
      </c>
      <c r="M131" s="69">
        <v>202591.36374999999</v>
      </c>
      <c r="N131" s="68">
        <v>14105.55</v>
      </c>
      <c r="O131" s="70">
        <v>2315958.7656107312</v>
      </c>
      <c r="P131" s="68"/>
      <c r="Q131" s="70"/>
    </row>
    <row r="132" spans="1:17" hidden="1" x14ac:dyDescent="0.25">
      <c r="A132" t="s">
        <v>196</v>
      </c>
      <c r="B132" s="67">
        <v>47423</v>
      </c>
      <c r="C132">
        <v>2029</v>
      </c>
      <c r="D132">
        <v>11</v>
      </c>
      <c r="E132" s="68">
        <v>962295.80136031052</v>
      </c>
      <c r="F132" s="69">
        <v>255083.48458333334</v>
      </c>
      <c r="G132" s="69">
        <v>549293.48458333337</v>
      </c>
      <c r="H132" s="69">
        <v>202800.48458333334</v>
      </c>
      <c r="I132" s="69">
        <v>125215.48458333334</v>
      </c>
      <c r="J132" s="69">
        <v>9013.6337500000009</v>
      </c>
      <c r="K132" s="69">
        <v>65205.003750000003</v>
      </c>
      <c r="L132" s="69">
        <v>107277.92375</v>
      </c>
      <c r="M132" s="69">
        <v>191433.89374999999</v>
      </c>
      <c r="N132" s="68">
        <v>16266.86</v>
      </c>
      <c r="O132" s="70">
        <v>2483886.154693644</v>
      </c>
      <c r="P132" s="68"/>
      <c r="Q132" s="70"/>
    </row>
    <row r="133" spans="1:17" hidden="1" x14ac:dyDescent="0.25">
      <c r="A133" t="s">
        <v>197</v>
      </c>
      <c r="B133" s="67">
        <v>47453</v>
      </c>
      <c r="C133">
        <v>2029</v>
      </c>
      <c r="D133">
        <v>12</v>
      </c>
      <c r="E133" s="68">
        <v>1328991.1203206123</v>
      </c>
      <c r="F133" s="69">
        <v>292756.48458333331</v>
      </c>
      <c r="G133" s="69">
        <v>601536.48458333337</v>
      </c>
      <c r="H133" s="69">
        <v>224220.48458333334</v>
      </c>
      <c r="I133" s="69">
        <v>126320.48458333334</v>
      </c>
      <c r="J133" s="69">
        <v>9321.9137499999997</v>
      </c>
      <c r="K133" s="69">
        <v>65821.463749999995</v>
      </c>
      <c r="L133" s="69">
        <v>106723.31375</v>
      </c>
      <c r="M133" s="69">
        <v>176202.80374999999</v>
      </c>
      <c r="N133" s="68">
        <v>18297.47</v>
      </c>
      <c r="O133" s="70">
        <v>2950192.1236539455</v>
      </c>
      <c r="P133" s="68"/>
      <c r="Q133" s="70"/>
    </row>
    <row r="134" spans="1:17" hidden="1" x14ac:dyDescent="0.25">
      <c r="A134" t="s">
        <v>198</v>
      </c>
      <c r="B134" s="67">
        <v>47484</v>
      </c>
      <c r="C134">
        <v>2030</v>
      </c>
      <c r="D134">
        <v>1</v>
      </c>
      <c r="E134" s="68">
        <v>1416121.0850271273</v>
      </c>
      <c r="F134" s="69">
        <v>301600.81791666668</v>
      </c>
      <c r="G134" s="69">
        <v>625366.81791666662</v>
      </c>
      <c r="H134" s="69">
        <v>230887.81791666665</v>
      </c>
      <c r="I134" s="69">
        <v>126741.81791666667</v>
      </c>
      <c r="J134" s="69">
        <v>8347.4037499999995</v>
      </c>
      <c r="K134" s="69">
        <v>68343.833750000005</v>
      </c>
      <c r="L134" s="69">
        <v>105658.29375</v>
      </c>
      <c r="M134" s="69">
        <v>176481.50374999997</v>
      </c>
      <c r="N134" s="68">
        <v>19818</v>
      </c>
      <c r="O134" s="70">
        <v>3079367.4916937947</v>
      </c>
      <c r="P134" s="68"/>
      <c r="Q134" s="70"/>
    </row>
    <row r="135" spans="1:17" hidden="1" x14ac:dyDescent="0.25">
      <c r="A135" t="s">
        <v>199</v>
      </c>
      <c r="B135" s="67">
        <v>47515</v>
      </c>
      <c r="C135">
        <v>2030</v>
      </c>
      <c r="D135">
        <v>2</v>
      </c>
      <c r="E135" s="68">
        <v>1164854.5270263164</v>
      </c>
      <c r="F135" s="69">
        <v>268099.81791666668</v>
      </c>
      <c r="G135" s="69">
        <v>565481.81791666662</v>
      </c>
      <c r="H135" s="69">
        <v>202200.81791666665</v>
      </c>
      <c r="I135" s="69">
        <v>115016.81791666667</v>
      </c>
      <c r="J135" s="69">
        <v>7148.2337499999994</v>
      </c>
      <c r="K135" s="69">
        <v>66937.653749999998</v>
      </c>
      <c r="L135" s="69">
        <v>105112.25375</v>
      </c>
      <c r="M135" s="69">
        <v>171393.45374999999</v>
      </c>
      <c r="N135" s="68">
        <v>17311.91</v>
      </c>
      <c r="O135" s="70">
        <v>2683557.4036929836</v>
      </c>
      <c r="P135" s="68"/>
      <c r="Q135" s="70"/>
    </row>
    <row r="136" spans="1:17" hidden="1" x14ac:dyDescent="0.25">
      <c r="A136" t="s">
        <v>200</v>
      </c>
      <c r="B136" s="67">
        <v>47543</v>
      </c>
      <c r="C136">
        <v>2030</v>
      </c>
      <c r="D136">
        <v>3</v>
      </c>
      <c r="E136" s="68">
        <v>1027507.8850357679</v>
      </c>
      <c r="F136" s="69">
        <v>267039.81791666668</v>
      </c>
      <c r="G136" s="69">
        <v>578391.81791666662</v>
      </c>
      <c r="H136" s="69">
        <v>212911.81791666665</v>
      </c>
      <c r="I136" s="69">
        <v>129568.81791666667</v>
      </c>
      <c r="J136" s="69">
        <v>5192.9937499999996</v>
      </c>
      <c r="K136" s="69">
        <v>59343.41375</v>
      </c>
      <c r="L136" s="69">
        <v>106196.13374999999</v>
      </c>
      <c r="M136" s="69">
        <v>176351.09375</v>
      </c>
      <c r="N136" s="68">
        <v>14819.27</v>
      </c>
      <c r="O136" s="70">
        <v>2577323.1617024345</v>
      </c>
      <c r="P136" s="68"/>
      <c r="Q136" s="70"/>
    </row>
    <row r="137" spans="1:17" hidden="1" x14ac:dyDescent="0.25">
      <c r="A137" t="s">
        <v>201</v>
      </c>
      <c r="B137" s="67">
        <v>47574</v>
      </c>
      <c r="C137">
        <v>2030</v>
      </c>
      <c r="D137">
        <v>4</v>
      </c>
      <c r="E137" s="68">
        <v>796876.24304521957</v>
      </c>
      <c r="F137" s="69">
        <v>242879.81791666665</v>
      </c>
      <c r="G137" s="69">
        <v>556934.81791666662</v>
      </c>
      <c r="H137" s="69">
        <v>208693.81791666665</v>
      </c>
      <c r="I137" s="69">
        <v>132227.81791666665</v>
      </c>
      <c r="J137" s="69">
        <v>4124.59375</v>
      </c>
      <c r="K137" s="69">
        <v>62901.543749999997</v>
      </c>
      <c r="L137" s="69">
        <v>105802.24374999999</v>
      </c>
      <c r="M137" s="69">
        <v>179380.92374999999</v>
      </c>
      <c r="N137" s="68">
        <v>14416.76</v>
      </c>
      <c r="O137" s="70">
        <v>2304238.6797118862</v>
      </c>
      <c r="P137" s="68"/>
      <c r="Q137" s="70"/>
    </row>
    <row r="138" spans="1:17" hidden="1" x14ac:dyDescent="0.25">
      <c r="A138" t="s">
        <v>202</v>
      </c>
      <c r="B138" s="67">
        <v>47604</v>
      </c>
      <c r="C138">
        <v>2030</v>
      </c>
      <c r="D138">
        <v>5</v>
      </c>
      <c r="E138" s="68">
        <v>803332.69277104607</v>
      </c>
      <c r="F138" s="69">
        <v>260189.81791666665</v>
      </c>
      <c r="G138" s="69">
        <v>604756.81791666662</v>
      </c>
      <c r="H138" s="69">
        <v>230129.81791666665</v>
      </c>
      <c r="I138" s="69">
        <v>143992.81791666665</v>
      </c>
      <c r="J138" s="69">
        <v>3573.0437500000003</v>
      </c>
      <c r="K138" s="69">
        <v>59447.483749999999</v>
      </c>
      <c r="L138" s="69">
        <v>109661.39375</v>
      </c>
      <c r="M138" s="69">
        <v>190104.99374999999</v>
      </c>
      <c r="N138" s="68">
        <v>11839</v>
      </c>
      <c r="O138" s="70">
        <v>2417027.9794377126</v>
      </c>
      <c r="P138" s="68"/>
      <c r="Q138" s="70"/>
    </row>
    <row r="139" spans="1:17" hidden="1" x14ac:dyDescent="0.25">
      <c r="A139" t="s">
        <v>203</v>
      </c>
      <c r="B139" s="67">
        <v>47635</v>
      </c>
      <c r="C139">
        <v>2030</v>
      </c>
      <c r="D139">
        <v>6</v>
      </c>
      <c r="E139" s="68">
        <v>1068057.6563968298</v>
      </c>
      <c r="F139" s="69">
        <v>281455.81791666668</v>
      </c>
      <c r="G139" s="69">
        <v>648544.81791666662</v>
      </c>
      <c r="H139" s="69">
        <v>242499.81791666665</v>
      </c>
      <c r="I139" s="69">
        <v>148162.81791666665</v>
      </c>
      <c r="J139" s="69">
        <v>4684.7737500000003</v>
      </c>
      <c r="K139" s="69">
        <v>68474.803750000006</v>
      </c>
      <c r="L139" s="69">
        <v>112937.58375000001</v>
      </c>
      <c r="M139" s="69">
        <v>194079.09375</v>
      </c>
      <c r="N139" s="68">
        <v>11004.01</v>
      </c>
      <c r="O139" s="70">
        <v>2779901.2930634967</v>
      </c>
      <c r="P139" s="68"/>
      <c r="Q139" s="70"/>
    </row>
    <row r="140" spans="1:17" hidden="1" x14ac:dyDescent="0.25">
      <c r="A140" t="s">
        <v>204</v>
      </c>
      <c r="B140" s="67">
        <v>47665</v>
      </c>
      <c r="C140">
        <v>2030</v>
      </c>
      <c r="D140">
        <v>7</v>
      </c>
      <c r="E140" s="68">
        <v>1295027.194800768</v>
      </c>
      <c r="F140" s="69">
        <v>319220.81791666668</v>
      </c>
      <c r="G140" s="69">
        <v>700111.81791666662</v>
      </c>
      <c r="H140" s="69">
        <v>257948.81791666665</v>
      </c>
      <c r="I140" s="69">
        <v>156466.81791666665</v>
      </c>
      <c r="J140" s="69">
        <v>5390.4037499999995</v>
      </c>
      <c r="K140" s="69">
        <v>69970.493749999994</v>
      </c>
      <c r="L140" s="69">
        <v>118804.02375000001</v>
      </c>
      <c r="M140" s="69">
        <v>204604.86374999999</v>
      </c>
      <c r="N140" s="68">
        <v>10527.57</v>
      </c>
      <c r="O140" s="70">
        <v>3138072.9214674346</v>
      </c>
      <c r="P140" s="68"/>
      <c r="Q140" s="70"/>
    </row>
    <row r="141" spans="1:17" hidden="1" x14ac:dyDescent="0.25">
      <c r="A141" t="s">
        <v>205</v>
      </c>
      <c r="B141" s="67">
        <v>47696</v>
      </c>
      <c r="C141">
        <v>2030</v>
      </c>
      <c r="D141">
        <v>8</v>
      </c>
      <c r="E141" s="68">
        <v>1219112.0314066254</v>
      </c>
      <c r="F141" s="69">
        <v>314919.81791666668</v>
      </c>
      <c r="G141" s="69">
        <v>692221.81791666662</v>
      </c>
      <c r="H141" s="69">
        <v>256353.81791666665</v>
      </c>
      <c r="I141" s="69">
        <v>154151.81791666665</v>
      </c>
      <c r="J141" s="69">
        <v>5555.0837499999998</v>
      </c>
      <c r="K141" s="69">
        <v>69690.073749999996</v>
      </c>
      <c r="L141" s="69">
        <v>118375.64375</v>
      </c>
      <c r="M141" s="69">
        <v>213814.64374999999</v>
      </c>
      <c r="N141" s="68">
        <v>10881.130000000001</v>
      </c>
      <c r="O141" s="70">
        <v>3055075.9780732915</v>
      </c>
      <c r="P141" s="68"/>
      <c r="Q141" s="70"/>
    </row>
    <row r="142" spans="1:17" hidden="1" x14ac:dyDescent="0.25">
      <c r="A142" t="s">
        <v>206</v>
      </c>
      <c r="B142" s="67">
        <v>47727</v>
      </c>
      <c r="C142">
        <v>2030</v>
      </c>
      <c r="D142">
        <v>9</v>
      </c>
      <c r="E142" s="68">
        <v>869905.44562731881</v>
      </c>
      <c r="F142" s="69">
        <v>268225.81791666668</v>
      </c>
      <c r="G142" s="69">
        <v>602419.81791666662</v>
      </c>
      <c r="H142" s="69">
        <v>231549.81791666665</v>
      </c>
      <c r="I142" s="69">
        <v>142892.81791666665</v>
      </c>
      <c r="J142" s="69">
        <v>4404.4237499999999</v>
      </c>
      <c r="K142" s="69">
        <v>68005.09375</v>
      </c>
      <c r="L142" s="69">
        <v>115339.77375000001</v>
      </c>
      <c r="M142" s="69">
        <v>206545.89374999999</v>
      </c>
      <c r="N142" s="68">
        <v>12687.029999999999</v>
      </c>
      <c r="O142" s="70">
        <v>2521976.0322939856</v>
      </c>
      <c r="P142" s="68"/>
      <c r="Q142" s="70"/>
    </row>
    <row r="143" spans="1:17" hidden="1" x14ac:dyDescent="0.25">
      <c r="A143" t="s">
        <v>207</v>
      </c>
      <c r="B143" s="67">
        <v>47757</v>
      </c>
      <c r="C143">
        <v>2030</v>
      </c>
      <c r="D143">
        <v>10</v>
      </c>
      <c r="E143" s="68">
        <v>773922.67230082361</v>
      </c>
      <c r="F143" s="69">
        <v>247105.81791666665</v>
      </c>
      <c r="G143" s="69">
        <v>565420.81791666662</v>
      </c>
      <c r="H143" s="69">
        <v>215375.81791666665</v>
      </c>
      <c r="I143" s="69">
        <v>136641.81791666665</v>
      </c>
      <c r="J143" s="69">
        <v>5565.9337500000001</v>
      </c>
      <c r="K143" s="69">
        <v>61331.693749999999</v>
      </c>
      <c r="L143" s="69">
        <v>109744.90375</v>
      </c>
      <c r="M143" s="69">
        <v>202764.47374999998</v>
      </c>
      <c r="N143" s="68">
        <v>13926.33</v>
      </c>
      <c r="O143" s="70">
        <v>2331800.37896749</v>
      </c>
      <c r="P143" s="68"/>
      <c r="Q143" s="70"/>
    </row>
    <row r="144" spans="1:17" hidden="1" x14ac:dyDescent="0.25">
      <c r="A144" t="s">
        <v>208</v>
      </c>
      <c r="B144" s="67">
        <v>47788</v>
      </c>
      <c r="C144">
        <v>2030</v>
      </c>
      <c r="D144">
        <v>11</v>
      </c>
      <c r="E144" s="68">
        <v>962597.18287706084</v>
      </c>
      <c r="F144" s="69">
        <v>257960.81791666665</v>
      </c>
      <c r="G144" s="69">
        <v>555936.81791666662</v>
      </c>
      <c r="H144" s="69">
        <v>205550.81791666665</v>
      </c>
      <c r="I144" s="69">
        <v>126084.81791666667</v>
      </c>
      <c r="J144" s="69">
        <v>8827.3037500000009</v>
      </c>
      <c r="K144" s="69">
        <v>65450.173750000002</v>
      </c>
      <c r="L144" s="69">
        <v>107745.67375</v>
      </c>
      <c r="M144" s="69">
        <v>191616.00374999997</v>
      </c>
      <c r="N144" s="68">
        <v>16086.630000000001</v>
      </c>
      <c r="O144" s="70">
        <v>2497856.3395437277</v>
      </c>
      <c r="P144" s="68"/>
      <c r="Q144" s="70"/>
    </row>
    <row r="145" spans="1:17" hidden="1" x14ac:dyDescent="0.25">
      <c r="A145" t="s">
        <v>209</v>
      </c>
      <c r="B145" s="67">
        <v>47818</v>
      </c>
      <c r="C145">
        <v>2030</v>
      </c>
      <c r="D145">
        <v>12</v>
      </c>
      <c r="E145" s="68">
        <v>1329095.3516850965</v>
      </c>
      <c r="F145" s="69">
        <v>295248.81791666668</v>
      </c>
      <c r="G145" s="69">
        <v>607833.81791666662</v>
      </c>
      <c r="H145" s="69">
        <v>226684.81791666665</v>
      </c>
      <c r="I145" s="69">
        <v>127482.81791666667</v>
      </c>
      <c r="J145" s="69">
        <v>9170.1237500000007</v>
      </c>
      <c r="K145" s="69">
        <v>66147.173750000002</v>
      </c>
      <c r="L145" s="69">
        <v>107202.01375</v>
      </c>
      <c r="M145" s="69">
        <v>176389.73374999998</v>
      </c>
      <c r="N145" s="68">
        <v>18119.25</v>
      </c>
      <c r="O145" s="70">
        <v>2963374.018351763</v>
      </c>
      <c r="P145" s="68"/>
      <c r="Q145" s="7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zoomScale="81" zoomScaleNormal="81" zoomScaleSheetLayoutView="85" workbookViewId="0">
      <selection activeCell="J16" sqref="J16"/>
    </sheetView>
  </sheetViews>
  <sheetFormatPr defaultRowHeight="15" x14ac:dyDescent="0.25"/>
  <cols>
    <col min="1" max="1" width="2.7109375" customWidth="1"/>
    <col min="2" max="2" width="23.28515625" bestFit="1" customWidth="1"/>
    <col min="3" max="3" width="17.28515625" bestFit="1" customWidth="1"/>
    <col min="4" max="4" width="14.85546875" bestFit="1" customWidth="1"/>
    <col min="5" max="5" width="19" bestFit="1" customWidth="1"/>
    <col min="6" max="6" width="20.28515625" bestFit="1" customWidth="1"/>
    <col min="7" max="7" width="5.42578125" customWidth="1"/>
    <col min="8" max="8" width="27.28515625" customWidth="1"/>
    <col min="9" max="9" width="42.42578125" customWidth="1"/>
    <col min="10" max="10" width="15.5703125" bestFit="1" customWidth="1"/>
    <col min="11" max="11" width="15" bestFit="1" customWidth="1"/>
    <col min="12" max="12" width="21.85546875" bestFit="1" customWidth="1"/>
    <col min="13" max="13" width="17" bestFit="1" customWidth="1"/>
    <col min="14" max="14" width="17.5703125" bestFit="1" customWidth="1"/>
  </cols>
  <sheetData>
    <row r="1" spans="2:14" ht="15.75" thickBot="1" x14ac:dyDescent="0.3"/>
    <row r="2" spans="2:14" ht="19.5" thickBot="1" x14ac:dyDescent="0.35">
      <c r="B2" s="176" t="s">
        <v>210</v>
      </c>
      <c r="C2" s="177"/>
      <c r="D2" s="178"/>
      <c r="E2" s="178"/>
      <c r="F2" s="179"/>
      <c r="H2" s="176" t="s">
        <v>211</v>
      </c>
      <c r="I2" s="177"/>
      <c r="J2" s="177"/>
      <c r="K2" s="177"/>
      <c r="L2" s="177"/>
      <c r="M2" s="177"/>
      <c r="N2" s="180"/>
    </row>
    <row r="3" spans="2:14" x14ac:dyDescent="0.25">
      <c r="B3" s="53"/>
      <c r="C3" s="54"/>
      <c r="D3" s="181" t="s">
        <v>212</v>
      </c>
      <c r="E3" s="182"/>
      <c r="F3" s="72">
        <f>AVERAGE(F17,F30)</f>
        <v>8.5150301181978E-2</v>
      </c>
      <c r="H3" s="53"/>
      <c r="I3" s="73" t="s">
        <v>213</v>
      </c>
      <c r="J3" s="74">
        <f>N30</f>
        <v>7.9421187514823632E-2</v>
      </c>
      <c r="K3" s="54"/>
      <c r="L3" s="54"/>
      <c r="M3" s="54"/>
      <c r="N3" s="55"/>
    </row>
    <row r="4" spans="2:14" ht="15.75" thickBot="1" x14ac:dyDescent="0.3">
      <c r="B4" s="53"/>
      <c r="C4" s="54"/>
      <c r="D4" s="183" t="s">
        <v>214</v>
      </c>
      <c r="E4" s="184"/>
      <c r="F4" s="75">
        <v>42826</v>
      </c>
      <c r="H4" s="53"/>
      <c r="I4" s="76" t="s">
        <v>215</v>
      </c>
      <c r="J4" s="77">
        <f>I30</f>
        <v>8.0771812080612057E-2</v>
      </c>
      <c r="K4" s="54"/>
      <c r="L4" s="54"/>
      <c r="M4" s="54"/>
      <c r="N4" s="55"/>
    </row>
    <row r="5" spans="2:14" ht="15.75" thickBot="1" x14ac:dyDescent="0.3">
      <c r="B5" s="53"/>
      <c r="C5" s="54"/>
      <c r="D5" s="54"/>
      <c r="E5" s="54"/>
      <c r="F5" s="55"/>
      <c r="H5" s="53"/>
      <c r="I5" s="78" t="s">
        <v>216</v>
      </c>
      <c r="J5" s="77">
        <f>(L29+M29)/H29</f>
        <v>-1.3506245657884069E-3</v>
      </c>
      <c r="K5" s="54"/>
      <c r="L5" s="54"/>
      <c r="M5" s="54"/>
      <c r="N5" s="55"/>
    </row>
    <row r="6" spans="2:14" ht="15.75" x14ac:dyDescent="0.25">
      <c r="B6" s="170" t="s">
        <v>217</v>
      </c>
      <c r="C6" s="171"/>
      <c r="D6" s="171"/>
      <c r="E6" s="171"/>
      <c r="F6" s="172"/>
      <c r="H6" s="53"/>
      <c r="I6" s="76" t="s">
        <v>218</v>
      </c>
      <c r="J6" s="79">
        <f>(J3/F3)^(1/((J7-F4)/365))-1</f>
        <v>-2.424117237385226E-2</v>
      </c>
      <c r="K6" s="54"/>
      <c r="L6" s="54"/>
      <c r="M6" s="54"/>
      <c r="N6" s="55"/>
    </row>
    <row r="7" spans="2:14" x14ac:dyDescent="0.25">
      <c r="B7" s="76"/>
      <c r="C7" s="80" t="s">
        <v>219</v>
      </c>
      <c r="D7" s="80" t="s">
        <v>220</v>
      </c>
      <c r="E7" s="80" t="s">
        <v>221</v>
      </c>
      <c r="F7" s="81" t="s">
        <v>222</v>
      </c>
      <c r="H7" s="53"/>
      <c r="I7" s="76" t="s">
        <v>214</v>
      </c>
      <c r="J7" s="82">
        <v>43862</v>
      </c>
      <c r="K7" s="54"/>
      <c r="L7" s="54"/>
      <c r="M7" s="54"/>
      <c r="N7" s="55"/>
    </row>
    <row r="8" spans="2:14" x14ac:dyDescent="0.25">
      <c r="B8" s="76" t="s">
        <v>223</v>
      </c>
      <c r="C8" s="83">
        <v>1308982935.1561263</v>
      </c>
      <c r="D8" s="84">
        <v>12812045844.15897</v>
      </c>
      <c r="E8" s="85">
        <f>D8*0.00124</f>
        <v>15886936.846757123</v>
      </c>
      <c r="F8" s="86">
        <f>C8+E8</f>
        <v>1324869872.0028834</v>
      </c>
      <c r="H8" s="53"/>
      <c r="I8" s="76" t="s">
        <v>224</v>
      </c>
      <c r="J8" s="87">
        <f>(J7-F4)/365</f>
        <v>2.8383561643835615</v>
      </c>
      <c r="K8" s="54"/>
      <c r="L8" s="54"/>
      <c r="M8" s="54"/>
      <c r="N8" s="55"/>
    </row>
    <row r="9" spans="2:14" x14ac:dyDescent="0.25">
      <c r="B9" s="76" t="s">
        <v>225</v>
      </c>
      <c r="C9" s="83">
        <v>316514060.7287904</v>
      </c>
      <c r="D9" s="84">
        <v>3314685710.2862983</v>
      </c>
      <c r="E9" s="85">
        <f t="shared" ref="E9:E14" si="0">D9*0.00124</f>
        <v>4110210.28075501</v>
      </c>
      <c r="F9" s="86">
        <f t="shared" ref="F9:F15" si="1">C9+E9</f>
        <v>320624271.00954539</v>
      </c>
      <c r="H9" s="53"/>
      <c r="I9" s="76" t="s">
        <v>226</v>
      </c>
      <c r="J9" s="77">
        <f>(F3*(1.0285^(J8)))</f>
        <v>9.2220256813005996E-2</v>
      </c>
      <c r="K9" s="54"/>
      <c r="N9" s="55"/>
    </row>
    <row r="10" spans="2:14" x14ac:dyDescent="0.25">
      <c r="B10" s="76" t="s">
        <v>227</v>
      </c>
      <c r="C10" s="83">
        <v>609538433.00189579</v>
      </c>
      <c r="D10" s="84">
        <v>8031106053.8757181</v>
      </c>
      <c r="E10" s="85">
        <f t="shared" si="0"/>
        <v>9958571.5068058912</v>
      </c>
      <c r="F10" s="86">
        <f t="shared" si="1"/>
        <v>619497004.50870168</v>
      </c>
      <c r="H10" s="53"/>
      <c r="I10" s="76" t="s">
        <v>228</v>
      </c>
      <c r="J10" s="77">
        <f>I30-F3</f>
        <v>-4.3784891013659427E-3</v>
      </c>
      <c r="K10" s="54"/>
      <c r="L10" s="54"/>
      <c r="M10" s="54"/>
      <c r="N10" s="55"/>
    </row>
    <row r="11" spans="2:14" x14ac:dyDescent="0.25">
      <c r="B11" s="76" t="s">
        <v>229</v>
      </c>
      <c r="C11" s="83">
        <v>245102970.57551768</v>
      </c>
      <c r="D11" s="84">
        <v>3683300923.8602734</v>
      </c>
      <c r="E11" s="85">
        <f>D11*0.0012</f>
        <v>4419961.108632328</v>
      </c>
      <c r="F11" s="86">
        <f t="shared" si="1"/>
        <v>249522931.68415001</v>
      </c>
      <c r="H11" s="53"/>
      <c r="I11" s="76" t="s">
        <v>230</v>
      </c>
      <c r="J11" s="77">
        <f>J9-F3</f>
        <v>7.0699556310279965E-3</v>
      </c>
      <c r="K11" s="54"/>
      <c r="L11" s="54"/>
      <c r="M11" s="54"/>
      <c r="N11" s="55"/>
    </row>
    <row r="12" spans="2:14" x14ac:dyDescent="0.25">
      <c r="B12" s="76" t="s">
        <v>231</v>
      </c>
      <c r="C12" s="83">
        <v>215769113.9882344</v>
      </c>
      <c r="D12" s="84">
        <v>3778918417.2382569</v>
      </c>
      <c r="E12" s="85">
        <f>D12*0.0012</f>
        <v>4534702.1006859075</v>
      </c>
      <c r="F12" s="86">
        <f t="shared" si="1"/>
        <v>220303816.0889203</v>
      </c>
      <c r="H12" s="53"/>
      <c r="I12" s="76" t="s">
        <v>232</v>
      </c>
      <c r="J12" s="77">
        <f>L30</f>
        <v>-1.3506245657884069E-3</v>
      </c>
      <c r="K12" s="54"/>
      <c r="L12" s="54"/>
      <c r="M12" s="54"/>
      <c r="N12" s="55"/>
    </row>
    <row r="13" spans="2:14" ht="15.75" thickBot="1" x14ac:dyDescent="0.3">
      <c r="B13" s="76" t="s">
        <v>233</v>
      </c>
      <c r="C13" s="83">
        <v>38160833.115842789</v>
      </c>
      <c r="D13" s="84">
        <v>140442436</v>
      </c>
      <c r="E13" s="85">
        <f>D13*0.00124</f>
        <v>174148.62064000001</v>
      </c>
      <c r="F13" s="86">
        <f t="shared" si="1"/>
        <v>38334981.736482792</v>
      </c>
      <c r="H13" s="53"/>
      <c r="I13" s="88" t="s">
        <v>234</v>
      </c>
      <c r="J13" s="89">
        <f>M30</f>
        <v>0</v>
      </c>
      <c r="K13" s="54"/>
      <c r="L13" s="54"/>
      <c r="M13" s="54"/>
      <c r="N13" s="55"/>
    </row>
    <row r="14" spans="2:14" ht="15.75" thickBot="1" x14ac:dyDescent="0.3">
      <c r="B14" s="76" t="s">
        <v>235</v>
      </c>
      <c r="C14" s="83">
        <v>3935407.4222543421</v>
      </c>
      <c r="D14" s="84">
        <v>76147883</v>
      </c>
      <c r="E14" s="85">
        <f t="shared" si="0"/>
        <v>94423.374920000002</v>
      </c>
      <c r="F14" s="86">
        <f t="shared" si="1"/>
        <v>4029830.797174342</v>
      </c>
      <c r="H14" s="53"/>
      <c r="I14" s="54"/>
      <c r="J14" s="54"/>
      <c r="K14" s="54"/>
      <c r="L14" s="54"/>
      <c r="M14" s="54"/>
      <c r="N14" s="55"/>
    </row>
    <row r="15" spans="2:14" x14ac:dyDescent="0.25">
      <c r="B15" s="76" t="s">
        <v>236</v>
      </c>
      <c r="C15" s="83">
        <v>79827.129125472435</v>
      </c>
      <c r="D15" s="84">
        <v>680679</v>
      </c>
      <c r="E15" s="85">
        <v>0</v>
      </c>
      <c r="F15" s="86">
        <f t="shared" si="1"/>
        <v>79827.129125472435</v>
      </c>
      <c r="H15" s="53"/>
      <c r="I15" s="185" t="s">
        <v>237</v>
      </c>
      <c r="J15" s="186"/>
      <c r="K15" s="54"/>
      <c r="L15" s="54"/>
      <c r="M15" s="54"/>
      <c r="N15" s="55"/>
    </row>
    <row r="16" spans="2:14" x14ac:dyDescent="0.25">
      <c r="B16" s="76" t="s">
        <v>238</v>
      </c>
      <c r="C16" s="83">
        <f>SUM(C8:C15)</f>
        <v>2738083581.1177878</v>
      </c>
      <c r="D16" s="84">
        <f>SUM(D8:D15)</f>
        <v>31837327947.419518</v>
      </c>
      <c r="E16" s="85">
        <f>SUM(E8:E15)</f>
        <v>39178953.839196265</v>
      </c>
      <c r="F16" s="86">
        <f>SUM(F8:F15)</f>
        <v>2777262534.9569836</v>
      </c>
      <c r="H16" s="53"/>
      <c r="I16" s="76" t="s">
        <v>239</v>
      </c>
      <c r="J16" s="90">
        <f>J11-J10-J12</f>
        <v>1.2799069298182347E-2</v>
      </c>
      <c r="K16" s="54"/>
      <c r="L16" s="54"/>
      <c r="M16" s="54"/>
      <c r="N16" s="55"/>
    </row>
    <row r="17" spans="2:14" ht="15.75" thickBot="1" x14ac:dyDescent="0.3">
      <c r="B17" s="91"/>
      <c r="C17" s="92" t="s">
        <v>215</v>
      </c>
      <c r="D17" s="93">
        <f>C16/D16</f>
        <v>8.6002304767530444E-2</v>
      </c>
      <c r="E17" s="94" t="s">
        <v>213</v>
      </c>
      <c r="F17" s="95">
        <f>F16/D16</f>
        <v>8.7232902822238459E-2</v>
      </c>
      <c r="H17" s="53"/>
      <c r="I17" s="88" t="s">
        <v>240</v>
      </c>
      <c r="J17" s="96">
        <f>J11-J10-J13</f>
        <v>1.1448444732393939E-2</v>
      </c>
      <c r="K17" s="54"/>
      <c r="L17" s="54"/>
      <c r="M17" s="54"/>
      <c r="N17" s="55"/>
    </row>
    <row r="18" spans="2:14" ht="15.75" thickBot="1" x14ac:dyDescent="0.3">
      <c r="B18" s="53"/>
      <c r="C18" s="54"/>
      <c r="D18" s="54"/>
      <c r="E18" s="54"/>
      <c r="F18" s="55"/>
      <c r="H18" s="53"/>
      <c r="I18" s="54"/>
      <c r="J18" s="54"/>
      <c r="K18" s="54"/>
      <c r="L18" s="54"/>
      <c r="M18" s="54"/>
      <c r="N18" s="55"/>
    </row>
    <row r="19" spans="2:14" ht="15.75" x14ac:dyDescent="0.25">
      <c r="B19" s="170" t="s">
        <v>241</v>
      </c>
      <c r="C19" s="171"/>
      <c r="D19" s="171"/>
      <c r="E19" s="171"/>
      <c r="F19" s="172"/>
      <c r="H19" s="173" t="s">
        <v>242</v>
      </c>
      <c r="I19" s="174"/>
      <c r="J19" s="174"/>
      <c r="K19" s="174"/>
      <c r="L19" s="174"/>
      <c r="M19" s="174"/>
      <c r="N19" s="175"/>
    </row>
    <row r="20" spans="2:14" ht="45" x14ac:dyDescent="0.25">
      <c r="B20" s="76"/>
      <c r="C20" s="80" t="s">
        <v>243</v>
      </c>
      <c r="D20" s="80" t="s">
        <v>219</v>
      </c>
      <c r="E20" s="80" t="s">
        <v>221</v>
      </c>
      <c r="F20" s="81" t="s">
        <v>222</v>
      </c>
      <c r="H20" s="97" t="s">
        <v>244</v>
      </c>
      <c r="I20" s="98" t="s">
        <v>245</v>
      </c>
      <c r="J20" s="80" t="s">
        <v>246</v>
      </c>
      <c r="K20" s="80" t="s">
        <v>234</v>
      </c>
      <c r="L20" s="80" t="s">
        <v>247</v>
      </c>
      <c r="M20" s="80" t="s">
        <v>248</v>
      </c>
      <c r="N20" s="81" t="s">
        <v>249</v>
      </c>
    </row>
    <row r="21" spans="2:14" x14ac:dyDescent="0.25">
      <c r="B21" s="76" t="s">
        <v>223</v>
      </c>
      <c r="C21" s="83">
        <v>-79595105</v>
      </c>
      <c r="D21" s="83">
        <f t="shared" ref="D21:D28" si="2">C8+C21</f>
        <v>1229387830.1561263</v>
      </c>
      <c r="E21" s="83">
        <f>D8*0.00231</f>
        <v>29595825.900007222</v>
      </c>
      <c r="F21" s="99">
        <f t="shared" ref="F21:F28" si="3">C8+C21+E21</f>
        <v>1258983656.0561335</v>
      </c>
      <c r="H21" s="100">
        <v>12812045844.15897</v>
      </c>
      <c r="I21" s="101">
        <v>1229387830.1561263</v>
      </c>
      <c r="J21" s="102">
        <v>-1.3600000000000001E-3</v>
      </c>
      <c r="K21" s="102">
        <v>0</v>
      </c>
      <c r="L21" s="83">
        <f>J21*H21</f>
        <v>-17424382.348056201</v>
      </c>
      <c r="M21" s="83">
        <f>K21*H21</f>
        <v>0</v>
      </c>
      <c r="N21" s="99">
        <f t="shared" ref="N21:N28" si="4">L21+I21+M21</f>
        <v>1211963447.8080699</v>
      </c>
    </row>
    <row r="22" spans="2:14" x14ac:dyDescent="0.25">
      <c r="B22" s="76" t="s">
        <v>225</v>
      </c>
      <c r="C22" s="83">
        <v>-19272860</v>
      </c>
      <c r="D22" s="83">
        <f t="shared" si="2"/>
        <v>297241200.7287904</v>
      </c>
      <c r="E22" s="83">
        <f>D9*0.00231</f>
        <v>7656923.990761349</v>
      </c>
      <c r="F22" s="99">
        <f t="shared" si="3"/>
        <v>304898124.71955174</v>
      </c>
      <c r="H22" s="100">
        <v>3314685710.2862983</v>
      </c>
      <c r="I22" s="101">
        <v>297241200.7287904</v>
      </c>
      <c r="J22" s="102">
        <f>J21</f>
        <v>-1.3600000000000001E-3</v>
      </c>
      <c r="K22" s="102">
        <f t="shared" ref="K22:K28" si="5">K21</f>
        <v>0</v>
      </c>
      <c r="L22" s="83">
        <f t="shared" ref="L22:L28" si="6">J22*H22</f>
        <v>-4507972.5659893658</v>
      </c>
      <c r="M22" s="83">
        <f t="shared" ref="M22:M28" si="7">K22*H22</f>
        <v>0</v>
      </c>
      <c r="N22" s="99">
        <f t="shared" si="4"/>
        <v>292733228.16280103</v>
      </c>
    </row>
    <row r="23" spans="2:14" x14ac:dyDescent="0.25">
      <c r="B23" s="76" t="s">
        <v>227</v>
      </c>
      <c r="C23" s="83">
        <v>-37046737</v>
      </c>
      <c r="D23" s="83">
        <f t="shared" si="2"/>
        <v>572491696.00189579</v>
      </c>
      <c r="E23" s="83">
        <f>D10*0.00231</f>
        <v>18551854.984452907</v>
      </c>
      <c r="F23" s="99">
        <f t="shared" si="3"/>
        <v>591043550.98634875</v>
      </c>
      <c r="H23" s="100">
        <v>8031106053.8757181</v>
      </c>
      <c r="I23" s="101">
        <v>572491696.00189579</v>
      </c>
      <c r="J23" s="102">
        <f>J22</f>
        <v>-1.3600000000000001E-3</v>
      </c>
      <c r="K23" s="102">
        <f t="shared" si="5"/>
        <v>0</v>
      </c>
      <c r="L23" s="83">
        <f t="shared" si="6"/>
        <v>-10922304.233270977</v>
      </c>
      <c r="M23" s="83">
        <f t="shared" si="7"/>
        <v>0</v>
      </c>
      <c r="N23" s="99">
        <f t="shared" si="4"/>
        <v>561569391.76862478</v>
      </c>
    </row>
    <row r="24" spans="2:14" x14ac:dyDescent="0.25">
      <c r="B24" s="76" t="s">
        <v>229</v>
      </c>
      <c r="C24" s="83">
        <v>-14895970</v>
      </c>
      <c r="D24" s="83">
        <f t="shared" si="2"/>
        <v>230207000.57551768</v>
      </c>
      <c r="E24" s="83">
        <f>D11*0.00225</f>
        <v>8287427.0786856143</v>
      </c>
      <c r="F24" s="99">
        <f t="shared" si="3"/>
        <v>238494427.6542033</v>
      </c>
      <c r="H24" s="100">
        <v>3683300923.8602734</v>
      </c>
      <c r="I24" s="101">
        <v>230207000.57551768</v>
      </c>
      <c r="J24" s="102">
        <v>-1.32E-3</v>
      </c>
      <c r="K24" s="102">
        <f t="shared" si="5"/>
        <v>0</v>
      </c>
      <c r="L24" s="83">
        <f t="shared" si="6"/>
        <v>-4861957.219495561</v>
      </c>
      <c r="M24" s="83">
        <f t="shared" si="7"/>
        <v>0</v>
      </c>
      <c r="N24" s="99">
        <f t="shared" si="4"/>
        <v>225345043.35602212</v>
      </c>
    </row>
    <row r="25" spans="2:14" x14ac:dyDescent="0.25">
      <c r="B25" s="76" t="s">
        <v>231</v>
      </c>
      <c r="C25" s="83">
        <v>-13141909</v>
      </c>
      <c r="D25" s="83">
        <f t="shared" si="2"/>
        <v>202627204.9882344</v>
      </c>
      <c r="E25" s="83">
        <f>D12*0.00225</f>
        <v>8502566.4387860782</v>
      </c>
      <c r="F25" s="99">
        <f t="shared" si="3"/>
        <v>211129771.42702049</v>
      </c>
      <c r="H25" s="100">
        <v>3778918417.2382569</v>
      </c>
      <c r="I25" s="101">
        <v>202627204.9882344</v>
      </c>
      <c r="J25" s="102">
        <f>J24</f>
        <v>-1.32E-3</v>
      </c>
      <c r="K25" s="102">
        <f t="shared" si="5"/>
        <v>0</v>
      </c>
      <c r="L25" s="83">
        <f t="shared" si="6"/>
        <v>-4988172.3107544994</v>
      </c>
      <c r="M25" s="83">
        <f t="shared" si="7"/>
        <v>0</v>
      </c>
      <c r="N25" s="99">
        <f t="shared" si="4"/>
        <v>197639032.67747989</v>
      </c>
    </row>
    <row r="26" spans="2:14" x14ac:dyDescent="0.25">
      <c r="B26" s="76" t="s">
        <v>233</v>
      </c>
      <c r="C26" s="83">
        <v>-2327399</v>
      </c>
      <c r="D26" s="83">
        <f t="shared" si="2"/>
        <v>35833434.115842789</v>
      </c>
      <c r="E26" s="83">
        <f>D13*0.00231</f>
        <v>324422.02716</v>
      </c>
      <c r="F26" s="99">
        <f t="shared" si="3"/>
        <v>36157856.143002786</v>
      </c>
      <c r="H26" s="100">
        <v>140442436</v>
      </c>
      <c r="I26" s="101">
        <v>35833434.115842789</v>
      </c>
      <c r="J26" s="102">
        <f>J21</f>
        <v>-1.3600000000000001E-3</v>
      </c>
      <c r="K26" s="102">
        <f t="shared" si="5"/>
        <v>0</v>
      </c>
      <c r="L26" s="83">
        <f t="shared" si="6"/>
        <v>-191001.71296</v>
      </c>
      <c r="M26" s="83">
        <f t="shared" si="7"/>
        <v>0</v>
      </c>
      <c r="N26" s="99">
        <f t="shared" si="4"/>
        <v>35642432.402882792</v>
      </c>
    </row>
    <row r="27" spans="2:14" x14ac:dyDescent="0.25">
      <c r="B27" s="76" t="s">
        <v>235</v>
      </c>
      <c r="C27" s="83">
        <v>-240063</v>
      </c>
      <c r="D27" s="83">
        <f t="shared" si="2"/>
        <v>3695344.4222543421</v>
      </c>
      <c r="E27" s="83">
        <f>D14*0.00231</f>
        <v>175901.60973</v>
      </c>
      <c r="F27" s="99">
        <f t="shared" si="3"/>
        <v>3871246.0319843423</v>
      </c>
      <c r="H27" s="100">
        <v>76147883</v>
      </c>
      <c r="I27" s="101">
        <v>3695344.4222543421</v>
      </c>
      <c r="J27" s="102">
        <f>J26</f>
        <v>-1.3600000000000001E-3</v>
      </c>
      <c r="K27" s="102">
        <f t="shared" si="5"/>
        <v>0</v>
      </c>
      <c r="L27" s="83">
        <f t="shared" si="6"/>
        <v>-103561.12088</v>
      </c>
      <c r="M27" s="83">
        <f t="shared" si="7"/>
        <v>0</v>
      </c>
      <c r="N27" s="99">
        <f t="shared" si="4"/>
        <v>3591783.3013743423</v>
      </c>
    </row>
    <row r="28" spans="2:14" x14ac:dyDescent="0.25">
      <c r="B28" s="76" t="s">
        <v>236</v>
      </c>
      <c r="C28" s="83">
        <v>-4868</v>
      </c>
      <c r="D28" s="83">
        <f t="shared" si="2"/>
        <v>74959.129125472435</v>
      </c>
      <c r="E28" s="83">
        <v>0</v>
      </c>
      <c r="F28" s="99">
        <f t="shared" si="3"/>
        <v>74959.129125472435</v>
      </c>
      <c r="H28" s="100">
        <v>680679</v>
      </c>
      <c r="I28" s="101">
        <v>74959.129125472435</v>
      </c>
      <c r="J28" s="102">
        <f>J27</f>
        <v>-1.3600000000000001E-3</v>
      </c>
      <c r="K28" s="102">
        <f t="shared" si="5"/>
        <v>0</v>
      </c>
      <c r="L28" s="83">
        <f t="shared" si="6"/>
        <v>-925.7234400000001</v>
      </c>
      <c r="M28" s="83">
        <f t="shared" si="7"/>
        <v>0</v>
      </c>
      <c r="N28" s="99">
        <f t="shared" si="4"/>
        <v>74033.405685472433</v>
      </c>
    </row>
    <row r="29" spans="2:14" x14ac:dyDescent="0.25">
      <c r="B29" s="76" t="s">
        <v>238</v>
      </c>
      <c r="C29" s="83">
        <f>SUM(C21:C28)</f>
        <v>-166524911</v>
      </c>
      <c r="D29" s="83">
        <f>SUM(D21:D28)</f>
        <v>2571558670.1177878</v>
      </c>
      <c r="E29" s="83">
        <f>SUM(E21:E28)</f>
        <v>73094922.029583171</v>
      </c>
      <c r="F29" s="99">
        <f>SUM(F21:F28)</f>
        <v>2644653592.1473708</v>
      </c>
      <c r="H29" s="103">
        <f>SUM(H21:H28)</f>
        <v>31837327947.419518</v>
      </c>
      <c r="I29" s="84">
        <f>SUM(I21:I28)</f>
        <v>2571558670.1177878</v>
      </c>
      <c r="J29" s="80"/>
      <c r="K29" s="80"/>
      <c r="L29" s="83">
        <f>SUM(L21:L28)</f>
        <v>-43000277.234846599</v>
      </c>
      <c r="M29" s="83">
        <f>SUM(M21:M28)</f>
        <v>0</v>
      </c>
      <c r="N29" s="99">
        <f>SUM(N21:N28)</f>
        <v>2528558392.8829403</v>
      </c>
    </row>
    <row r="30" spans="2:14" ht="15.75" thickBot="1" x14ac:dyDescent="0.3">
      <c r="B30" s="91"/>
      <c r="C30" s="92" t="s">
        <v>215</v>
      </c>
      <c r="D30" s="93">
        <f>D29/D16</f>
        <v>8.0771812080612057E-2</v>
      </c>
      <c r="E30" s="94" t="s">
        <v>213</v>
      </c>
      <c r="F30" s="104">
        <f>F29/D16</f>
        <v>8.3067699541717527E-2</v>
      </c>
      <c r="H30" s="105" t="s">
        <v>250</v>
      </c>
      <c r="I30" s="93">
        <f>I29/$H$29</f>
        <v>8.0771812080612057E-2</v>
      </c>
      <c r="J30" s="106"/>
      <c r="K30" s="107" t="s">
        <v>250</v>
      </c>
      <c r="L30" s="108">
        <f>L29/$H$29</f>
        <v>-1.3506245657884069E-3</v>
      </c>
      <c r="M30" s="93">
        <f>M29/$H$29</f>
        <v>0</v>
      </c>
      <c r="N30" s="109">
        <f>N29/$H$29</f>
        <v>7.9421187514823632E-2</v>
      </c>
    </row>
  </sheetData>
  <mergeCells count="8">
    <mergeCell ref="B19:F19"/>
    <mergeCell ref="H19:N19"/>
    <mergeCell ref="B2:F2"/>
    <mergeCell ref="H2:N2"/>
    <mergeCell ref="D3:E3"/>
    <mergeCell ref="D4:E4"/>
    <mergeCell ref="B6:F6"/>
    <mergeCell ref="I15:J15"/>
  </mergeCells>
  <pageMargins left="0.7" right="0.7" top="0.75" bottom="0.75" header="0.3" footer="0.3"/>
  <pageSetup scale="75" fitToHeight="2"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52"/>
  <sheetViews>
    <sheetView workbookViewId="0">
      <selection activeCell="EM49" sqref="EM49"/>
    </sheetView>
  </sheetViews>
  <sheetFormatPr defaultRowHeight="15" x14ac:dyDescent="0.25"/>
  <cols>
    <col min="1" max="1" width="14.5703125" bestFit="1" customWidth="1"/>
    <col min="2" max="2" width="15.5703125" style="122" hidden="1" customWidth="1"/>
    <col min="3" max="3" width="15.42578125" style="123" hidden="1" customWidth="1"/>
    <col min="4" max="4" width="15.42578125" hidden="1" customWidth="1"/>
    <col min="5" max="5" width="15.5703125" style="122" bestFit="1" customWidth="1"/>
    <col min="6" max="6" width="4.85546875" style="123" bestFit="1" customWidth="1"/>
    <col min="7" max="7" width="15.42578125" bestFit="1" customWidth="1"/>
    <col min="8" max="8" width="15.42578125" style="122" hidden="1" customWidth="1"/>
    <col min="9" max="9" width="10.28515625" style="123" hidden="1" customWidth="1"/>
    <col min="10" max="10" width="13.42578125" hidden="1" customWidth="1"/>
    <col min="11" max="11" width="14.42578125" style="122" hidden="1" customWidth="1"/>
    <col min="12" max="12" width="10.28515625" style="123" hidden="1" customWidth="1"/>
    <col min="13" max="13" width="11.7109375" hidden="1" customWidth="1"/>
    <col min="14" max="14" width="14.42578125" style="122" hidden="1" customWidth="1"/>
    <col min="15" max="15" width="10.28515625" style="123" hidden="1" customWidth="1"/>
    <col min="16" max="16" width="11.7109375" hidden="1" customWidth="1"/>
    <col min="17" max="17" width="15.42578125" style="122" hidden="1" customWidth="1"/>
    <col min="18" max="18" width="10.28515625" style="123" hidden="1" customWidth="1"/>
    <col min="19" max="19" width="11.7109375" hidden="1" customWidth="1"/>
    <col min="20" max="20" width="15.42578125" style="122" hidden="1" customWidth="1"/>
    <col min="21" max="21" width="10.28515625" style="123" hidden="1" customWidth="1"/>
    <col min="22" max="22" width="11.7109375" hidden="1" customWidth="1"/>
    <col min="23" max="23" width="15.42578125" style="122" hidden="1" customWidth="1"/>
    <col min="24" max="24" width="10.28515625" style="123" hidden="1" customWidth="1"/>
    <col min="25" max="25" width="11.7109375" hidden="1" customWidth="1"/>
    <col min="26" max="26" width="15.42578125" style="122" hidden="1" customWidth="1"/>
    <col min="27" max="27" width="10.28515625" style="123" hidden="1" customWidth="1"/>
    <col min="28" max="28" width="11.7109375" hidden="1" customWidth="1"/>
    <col min="29" max="29" width="15.42578125" style="122" hidden="1" customWidth="1"/>
    <col min="30" max="30" width="10.28515625" style="123" hidden="1" customWidth="1"/>
    <col min="31" max="31" width="11.7109375" hidden="1" customWidth="1"/>
    <col min="32" max="32" width="14.42578125" style="122" hidden="1" customWidth="1"/>
    <col min="33" max="33" width="10.28515625" style="123" hidden="1" customWidth="1"/>
    <col min="34" max="34" width="10.7109375" hidden="1" customWidth="1"/>
    <col min="35" max="35" width="14.42578125" style="122" customWidth="1"/>
    <col min="36" max="36" width="10.28515625" style="123" customWidth="1"/>
    <col min="37" max="37" width="11.7109375" bestFit="1" customWidth="1"/>
    <col min="38" max="38" width="14.42578125" style="122" customWidth="1"/>
    <col min="39" max="39" width="10.28515625" style="123" customWidth="1"/>
    <col min="40" max="40" width="10.7109375" customWidth="1"/>
    <col min="41" max="41" width="15.42578125" style="122" bestFit="1" customWidth="1"/>
    <col min="42" max="42" width="12.28515625" style="123" bestFit="1" customWidth="1"/>
    <col min="43" max="43" width="11.7109375" bestFit="1" customWidth="1"/>
    <col min="44" max="44" width="15.42578125" style="122" bestFit="1" customWidth="1"/>
    <col min="45" max="45" width="10.28515625" style="123" bestFit="1" customWidth="1"/>
    <col min="46" max="46" width="11.7109375" bestFit="1" customWidth="1"/>
    <col min="47" max="47" width="14.42578125" style="122" hidden="1" customWidth="1"/>
    <col min="48" max="48" width="10.28515625" style="123" hidden="1" customWidth="1"/>
    <col min="49" max="49" width="10.7109375" hidden="1" customWidth="1"/>
    <col min="50" max="50" width="14.42578125" style="122" hidden="1" customWidth="1"/>
    <col min="51" max="51" width="10.28515625" style="123" hidden="1" customWidth="1"/>
    <col min="52" max="52" width="10.7109375" hidden="1" customWidth="1"/>
    <col min="53" max="53" width="14.42578125" style="122" hidden="1" customWidth="1"/>
    <col min="54" max="54" width="10.28515625" style="123" hidden="1" customWidth="1"/>
    <col min="55" max="55" width="10.7109375" hidden="1" customWidth="1"/>
    <col min="56" max="56" width="14.42578125" style="122" hidden="1" customWidth="1"/>
    <col min="57" max="57" width="10.28515625" style="123" hidden="1" customWidth="1"/>
    <col min="58" max="58" width="10.7109375" hidden="1" customWidth="1"/>
    <col min="59" max="59" width="14.42578125" style="122" hidden="1" customWidth="1"/>
    <col min="60" max="60" width="10.28515625" style="123" hidden="1" customWidth="1"/>
    <col min="61" max="61" width="10.7109375" hidden="1" customWidth="1"/>
    <col min="62" max="62" width="14.42578125" style="122" hidden="1" customWidth="1"/>
    <col min="63" max="63" width="10.28515625" style="123" hidden="1" customWidth="1"/>
    <col min="64" max="64" width="10.7109375" hidden="1" customWidth="1"/>
    <col min="65" max="65" width="14.42578125" style="122" hidden="1" customWidth="1"/>
    <col min="66" max="66" width="10.28515625" style="123" hidden="1" customWidth="1"/>
    <col min="67" max="67" width="10.7109375" hidden="1" customWidth="1"/>
    <col min="68" max="68" width="14.42578125" style="122" hidden="1" customWidth="1"/>
    <col min="69" max="69" width="10.28515625" style="123" hidden="1" customWidth="1"/>
    <col min="70" max="70" width="10.7109375" hidden="1" customWidth="1"/>
    <col min="71" max="71" width="14.42578125" style="122" hidden="1" customWidth="1"/>
    <col min="72" max="72" width="10.28515625" style="123" hidden="1" customWidth="1"/>
    <col min="73" max="73" width="10.7109375" hidden="1" customWidth="1"/>
    <col min="74" max="74" width="14.42578125" style="122" hidden="1" customWidth="1"/>
    <col min="75" max="75" width="10.28515625" style="123" hidden="1" customWidth="1"/>
    <col min="76" max="76" width="10.7109375" hidden="1" customWidth="1"/>
    <col min="77" max="77" width="14.42578125" style="122" hidden="1" customWidth="1"/>
    <col min="78" max="78" width="10.28515625" style="123" hidden="1" customWidth="1"/>
    <col min="79" max="79" width="10.7109375" hidden="1" customWidth="1"/>
    <col min="80" max="80" width="14.42578125" style="122" hidden="1" customWidth="1"/>
    <col min="81" max="81" width="10.28515625" style="123" hidden="1" customWidth="1"/>
    <col min="82" max="82" width="10.7109375" hidden="1" customWidth="1"/>
    <col min="83" max="83" width="14.42578125" style="122" hidden="1" customWidth="1"/>
    <col min="84" max="84" width="10.28515625" style="123" hidden="1" customWidth="1"/>
    <col min="85" max="85" width="10.7109375" hidden="1" customWidth="1"/>
    <col min="86" max="86" width="14.42578125" style="122" hidden="1" customWidth="1"/>
    <col min="87" max="87" width="10.28515625" style="123" hidden="1" customWidth="1"/>
    <col min="88" max="88" width="10.7109375" hidden="1" customWidth="1"/>
    <col min="89" max="89" width="14.42578125" style="122" hidden="1" customWidth="1"/>
    <col min="90" max="90" width="10.28515625" style="123" hidden="1" customWidth="1"/>
    <col min="91" max="91" width="10.7109375" hidden="1" customWidth="1"/>
    <col min="92" max="92" width="14.42578125" style="122" hidden="1" customWidth="1"/>
    <col min="93" max="93" width="10.28515625" style="123" hidden="1" customWidth="1"/>
    <col min="94" max="94" width="10.7109375" hidden="1" customWidth="1"/>
    <col min="95" max="95" width="14.42578125" style="122" hidden="1" customWidth="1"/>
    <col min="96" max="96" width="10.28515625" style="123" hidden="1" customWidth="1"/>
    <col min="97" max="97" width="10.7109375" hidden="1" customWidth="1"/>
    <col min="98" max="98" width="14.42578125" style="122" hidden="1" customWidth="1"/>
    <col min="99" max="99" width="10.28515625" style="123" hidden="1" customWidth="1"/>
    <col min="100" max="100" width="10.7109375" hidden="1" customWidth="1"/>
    <col min="101" max="101" width="14.42578125" style="122" hidden="1" customWidth="1"/>
    <col min="102" max="102" width="10.28515625" style="123" hidden="1" customWidth="1"/>
    <col min="103" max="103" width="10.7109375" hidden="1" customWidth="1"/>
    <col min="104" max="104" width="14.42578125" style="122" hidden="1" customWidth="1"/>
    <col min="105" max="105" width="10.28515625" style="123" hidden="1" customWidth="1"/>
    <col min="106" max="106" width="10.7109375" hidden="1" customWidth="1"/>
    <col min="107" max="107" width="14.42578125" style="122" hidden="1" customWidth="1"/>
    <col min="108" max="108" width="10.28515625" style="123" hidden="1" customWidth="1"/>
    <col min="109" max="109" width="10.7109375" hidden="1" customWidth="1"/>
    <col min="110" max="110" width="14.42578125" style="122" hidden="1" customWidth="1"/>
    <col min="111" max="111" width="10.28515625" style="123" hidden="1" customWidth="1"/>
    <col min="112" max="112" width="10.7109375" hidden="1" customWidth="1"/>
    <col min="113" max="113" width="14.42578125" style="122" hidden="1" customWidth="1"/>
    <col min="114" max="114" width="10.28515625" style="123" hidden="1" customWidth="1"/>
    <col min="115" max="115" width="10.7109375" hidden="1" customWidth="1"/>
    <col min="116" max="116" width="14.42578125" style="122" hidden="1" customWidth="1"/>
    <col min="117" max="117" width="10.28515625" style="123" hidden="1" customWidth="1"/>
    <col min="118" max="118" width="10.7109375" hidden="1" customWidth="1"/>
    <col min="119" max="119" width="14.42578125" style="122" hidden="1" customWidth="1"/>
    <col min="120" max="120" width="10.28515625" style="123" hidden="1" customWidth="1"/>
    <col min="121" max="121" width="10.7109375" hidden="1" customWidth="1"/>
    <col min="122" max="122" width="14.42578125" style="122" hidden="1" customWidth="1"/>
    <col min="123" max="123" width="10.28515625" style="123" hidden="1" customWidth="1"/>
    <col min="124" max="124" width="10.7109375" hidden="1" customWidth="1"/>
    <col min="125" max="125" width="14.42578125" style="122" hidden="1" customWidth="1"/>
    <col min="126" max="126" width="10.28515625" style="123" hidden="1" customWidth="1"/>
    <col min="127" max="127" width="10.7109375" hidden="1" customWidth="1"/>
    <col min="128" max="128" width="14.42578125" style="122" hidden="1" customWidth="1"/>
    <col min="129" max="129" width="10.28515625" style="123" hidden="1" customWidth="1"/>
    <col min="130" max="130" width="10.7109375" hidden="1" customWidth="1"/>
    <col min="131" max="131" width="2.7109375" customWidth="1"/>
    <col min="132" max="132" width="15.42578125" bestFit="1" customWidth="1"/>
    <col min="133" max="133" width="15.42578125" hidden="1" customWidth="1"/>
    <col min="134" max="134" width="14.42578125" bestFit="1" customWidth="1"/>
    <col min="135" max="135" width="17.7109375" bestFit="1" customWidth="1"/>
    <col min="136" max="136" width="2.7109375" customWidth="1"/>
    <col min="137" max="137" width="15.42578125" hidden="1" customWidth="1"/>
    <col min="138" max="138" width="14.42578125" hidden="1" customWidth="1"/>
    <col min="139" max="139" width="12.42578125" hidden="1" customWidth="1"/>
    <col min="140" max="140" width="2.7109375" hidden="1" customWidth="1"/>
    <col min="141" max="141" width="15.42578125" bestFit="1" customWidth="1"/>
    <col min="142" max="142" width="15.42578125" hidden="1" customWidth="1"/>
    <col min="143" max="143" width="14.42578125" bestFit="1" customWidth="1"/>
    <col min="144" max="144" width="15.42578125" bestFit="1" customWidth="1"/>
    <col min="145" max="145" width="42.85546875" bestFit="1" customWidth="1"/>
    <col min="146" max="146" width="15.28515625" bestFit="1" customWidth="1"/>
    <col min="147" max="147" width="23.140625" bestFit="1" customWidth="1"/>
  </cols>
  <sheetData>
    <row r="1" spans="1:147" s="115" customFormat="1" ht="15.75" x14ac:dyDescent="0.25">
      <c r="A1" s="112" t="s">
        <v>0</v>
      </c>
      <c r="B1" s="113"/>
      <c r="C1" s="114"/>
      <c r="E1" s="113"/>
      <c r="F1" s="114"/>
      <c r="H1" s="113"/>
      <c r="I1" s="114"/>
      <c r="K1" s="113"/>
      <c r="L1" s="114"/>
      <c r="N1" s="113"/>
      <c r="O1" s="114"/>
      <c r="Q1" s="113"/>
      <c r="R1" s="114"/>
      <c r="T1" s="113"/>
      <c r="U1" s="114"/>
      <c r="W1" s="113"/>
      <c r="X1" s="114"/>
      <c r="Z1" s="113"/>
      <c r="AA1" s="114"/>
      <c r="AC1" s="113"/>
      <c r="AD1" s="114"/>
      <c r="AF1" s="113"/>
      <c r="AG1" s="114"/>
      <c r="AI1" s="113"/>
      <c r="AJ1" s="114"/>
      <c r="AL1" s="113"/>
      <c r="AM1" s="114"/>
      <c r="AO1" s="113"/>
      <c r="AP1" s="114"/>
      <c r="AR1" s="113"/>
      <c r="AS1" s="114"/>
      <c r="AU1" s="113"/>
      <c r="AV1" s="114"/>
      <c r="AX1" s="113"/>
      <c r="AY1" s="114"/>
      <c r="BA1" s="113"/>
      <c r="BB1" s="114"/>
      <c r="BD1" s="113"/>
      <c r="BE1" s="114"/>
      <c r="BG1" s="113"/>
      <c r="BH1" s="114"/>
      <c r="BJ1" s="113"/>
      <c r="BK1" s="114"/>
      <c r="BM1" s="113"/>
      <c r="BN1" s="114"/>
      <c r="BP1" s="113"/>
      <c r="BQ1" s="114"/>
      <c r="BS1" s="113"/>
      <c r="BT1" s="114"/>
      <c r="BV1" s="113"/>
      <c r="BW1" s="114"/>
      <c r="BY1" s="113"/>
      <c r="BZ1" s="114"/>
      <c r="CB1" s="113"/>
      <c r="CC1" s="114"/>
      <c r="CE1" s="113"/>
      <c r="CF1" s="114"/>
      <c r="CH1" s="113"/>
      <c r="CI1" s="114"/>
      <c r="CK1" s="113"/>
      <c r="CL1" s="114"/>
      <c r="CN1" s="113"/>
      <c r="CO1" s="114"/>
      <c r="CQ1" s="113"/>
      <c r="CR1" s="114"/>
      <c r="CT1" s="113"/>
      <c r="CU1" s="114"/>
      <c r="CW1" s="113"/>
      <c r="CX1" s="114"/>
      <c r="CZ1" s="113"/>
      <c r="DA1" s="114"/>
      <c r="DC1" s="113"/>
      <c r="DD1" s="114"/>
      <c r="DF1" s="113"/>
      <c r="DG1" s="114"/>
      <c r="DI1" s="113"/>
      <c r="DJ1" s="114"/>
      <c r="DL1" s="113"/>
      <c r="DM1" s="114"/>
      <c r="DO1" s="113"/>
      <c r="DP1" s="114"/>
      <c r="DR1" s="113"/>
      <c r="DS1" s="114"/>
      <c r="DU1" s="113"/>
      <c r="DV1" s="114"/>
      <c r="DX1" s="113"/>
      <c r="DY1" s="114"/>
      <c r="DZ1" s="116"/>
      <c r="ED1" s="117"/>
      <c r="EE1" s="118" t="s">
        <v>257</v>
      </c>
      <c r="EI1" s="117" t="s">
        <v>258</v>
      </c>
      <c r="EM1" s="117"/>
      <c r="EN1" s="117" t="s">
        <v>259</v>
      </c>
      <c r="EO1" s="112" t="s">
        <v>260</v>
      </c>
      <c r="EP1" s="112" t="s">
        <v>261</v>
      </c>
      <c r="EQ1" s="112" t="s">
        <v>262</v>
      </c>
    </row>
    <row r="2" spans="1:147" s="115" customFormat="1" ht="16.5" thickBot="1" x14ac:dyDescent="0.3">
      <c r="A2" s="112" t="s">
        <v>263</v>
      </c>
      <c r="B2" s="113"/>
      <c r="C2" s="114"/>
      <c r="E2" s="119"/>
      <c r="F2" s="114"/>
      <c r="G2" s="117"/>
      <c r="H2" s="113"/>
      <c r="I2" s="114"/>
      <c r="K2" s="113"/>
      <c r="L2" s="114"/>
      <c r="N2" s="113"/>
      <c r="O2" s="114"/>
      <c r="Q2" s="113"/>
      <c r="R2" s="114"/>
      <c r="T2" s="113"/>
      <c r="U2" s="114"/>
      <c r="W2" s="113"/>
      <c r="X2" s="114"/>
      <c r="Z2" s="113"/>
      <c r="AA2" s="114"/>
      <c r="AC2" s="113"/>
      <c r="AD2" s="114"/>
      <c r="AF2" s="113"/>
      <c r="AG2" s="114"/>
      <c r="AI2" s="113"/>
      <c r="AJ2" s="114"/>
      <c r="AL2" s="113"/>
      <c r="AM2" s="114"/>
      <c r="AO2" s="113"/>
      <c r="AP2" s="114"/>
      <c r="AR2" s="113"/>
      <c r="AS2" s="114"/>
      <c r="AU2" s="113"/>
      <c r="AV2" s="114"/>
      <c r="AX2" s="113"/>
      <c r="AY2" s="114"/>
      <c r="BA2" s="113"/>
      <c r="BB2" s="114"/>
      <c r="BD2" s="113"/>
      <c r="BE2" s="114"/>
      <c r="BG2" s="113"/>
      <c r="BH2" s="114"/>
      <c r="BJ2" s="113"/>
      <c r="BK2" s="114"/>
      <c r="BM2" s="113"/>
      <c r="BN2" s="114"/>
      <c r="BP2" s="113"/>
      <c r="BQ2" s="114"/>
      <c r="BS2" s="113"/>
      <c r="BT2" s="114"/>
      <c r="BV2" s="113"/>
      <c r="BW2" s="114"/>
      <c r="BY2" s="113"/>
      <c r="BZ2" s="114"/>
      <c r="CB2" s="113"/>
      <c r="CC2" s="114"/>
      <c r="CE2" s="113"/>
      <c r="CF2" s="114"/>
      <c r="CH2" s="113"/>
      <c r="CI2" s="114"/>
      <c r="CK2" s="113"/>
      <c r="CL2" s="114"/>
      <c r="CN2" s="113"/>
      <c r="CO2" s="114"/>
      <c r="CQ2" s="113"/>
      <c r="CR2" s="114"/>
      <c r="CT2" s="113"/>
      <c r="CU2" s="114"/>
      <c r="CW2" s="113"/>
      <c r="CX2" s="114"/>
      <c r="CZ2" s="113"/>
      <c r="DA2" s="114"/>
      <c r="DC2" s="113"/>
      <c r="DD2" s="114"/>
      <c r="DF2" s="113"/>
      <c r="DG2" s="114"/>
      <c r="DI2" s="113"/>
      <c r="DJ2" s="114"/>
      <c r="DL2" s="113"/>
      <c r="DM2" s="114"/>
      <c r="DO2" s="113"/>
      <c r="DP2" s="114"/>
      <c r="DR2" s="113"/>
      <c r="DS2" s="114"/>
      <c r="DU2" s="113"/>
      <c r="DV2" s="114"/>
      <c r="DX2" s="113"/>
      <c r="DY2" s="114"/>
      <c r="EB2" s="54" t="s">
        <v>264</v>
      </c>
      <c r="EC2" s="54"/>
      <c r="ED2" s="120"/>
      <c r="EE2" s="120">
        <f>EB42</f>
        <v>197225000</v>
      </c>
      <c r="EI2" s="120">
        <f>EG41</f>
        <v>0</v>
      </c>
      <c r="EM2" s="120"/>
      <c r="EN2" s="120">
        <f>EK42</f>
        <v>197225000</v>
      </c>
      <c r="EO2" s="113">
        <v>-99472.22</v>
      </c>
      <c r="EP2" s="113">
        <f>EN2+EO2</f>
        <v>197125527.78</v>
      </c>
      <c r="EQ2" s="113">
        <f>EE2+EO2</f>
        <v>197125527.78</v>
      </c>
    </row>
    <row r="3" spans="1:147" ht="16.5" thickTop="1" x14ac:dyDescent="0.25">
      <c r="A3" s="121" t="s">
        <v>265</v>
      </c>
      <c r="E3" s="124" t="s">
        <v>266</v>
      </c>
      <c r="F3" s="125"/>
      <c r="G3" s="126"/>
      <c r="EB3" s="54" t="s">
        <v>267</v>
      </c>
      <c r="EC3" s="54"/>
      <c r="ED3" s="120"/>
      <c r="EE3" s="120">
        <f>AVERAGE(EB12:EB42)</f>
        <v>134465322.58064517</v>
      </c>
      <c r="EI3" s="120">
        <f>AVERAGE(EG12:EG41)</f>
        <v>0</v>
      </c>
      <c r="EM3" s="120"/>
      <c r="EN3" s="120">
        <f>AVERAGE(EK12:EK42)</f>
        <v>134465322.58064517</v>
      </c>
    </row>
    <row r="4" spans="1:147" ht="15.75" x14ac:dyDescent="0.25">
      <c r="A4" s="121"/>
      <c r="E4" s="127"/>
      <c r="F4" s="128"/>
      <c r="G4" s="129"/>
      <c r="EB4" s="54"/>
      <c r="EC4" s="54"/>
      <c r="ED4" s="120"/>
      <c r="EE4" s="120"/>
      <c r="EI4" s="120"/>
      <c r="EM4" s="120"/>
      <c r="EN4" s="120"/>
    </row>
    <row r="5" spans="1:147" x14ac:dyDescent="0.25">
      <c r="D5" s="54"/>
      <c r="E5" s="130" t="s">
        <v>264</v>
      </c>
      <c r="F5" s="120"/>
      <c r="G5" s="131">
        <f>EQ2</f>
        <v>197125527.78</v>
      </c>
      <c r="AI5" s="132" t="s">
        <v>268</v>
      </c>
      <c r="EB5" s="54" t="s">
        <v>269</v>
      </c>
      <c r="EC5" s="54"/>
      <c r="ED5" s="128"/>
      <c r="EE5" s="128">
        <f>IF(EE3=0,0,360*(AVERAGE(ED12:ED42)/EE3))</f>
        <v>2.8696952685966507E-2</v>
      </c>
      <c r="EI5" s="128">
        <f>IF(EI3=0,0,360*(AVERAGE(EH12:EH41)/EI3))</f>
        <v>0</v>
      </c>
      <c r="EM5" s="128"/>
      <c r="EN5" s="128">
        <f>IF(EN3=0,0,360*(AVERAGE(EM12:EM42)/EN3))</f>
        <v>2.8696952685966507E-2</v>
      </c>
      <c r="EO5" s="133" t="s">
        <v>270</v>
      </c>
      <c r="EQ5" s="134" t="s">
        <v>268</v>
      </c>
    </row>
    <row r="6" spans="1:147" ht="15.75" x14ac:dyDescent="0.25">
      <c r="D6" s="54"/>
      <c r="E6" s="130" t="s">
        <v>267</v>
      </c>
      <c r="F6" s="120"/>
      <c r="G6" s="131">
        <f>EE3</f>
        <v>134465322.58064517</v>
      </c>
      <c r="AI6" s="135" t="s">
        <v>259</v>
      </c>
      <c r="EB6" s="136" t="s">
        <v>271</v>
      </c>
      <c r="EC6" s="136"/>
      <c r="ED6" s="120"/>
      <c r="EE6" s="120">
        <f>MAX(EB12:EB42)</f>
        <v>198900000</v>
      </c>
      <c r="EI6" s="120">
        <f>MAX(EG12:EG41)</f>
        <v>0</v>
      </c>
      <c r="EM6" s="120"/>
      <c r="EN6" s="120">
        <f>MAX(EK12:EK42)</f>
        <v>198900000</v>
      </c>
    </row>
    <row r="7" spans="1:147" x14ac:dyDescent="0.25">
      <c r="D7" s="54"/>
      <c r="E7" s="130" t="s">
        <v>269</v>
      </c>
      <c r="F7" s="120"/>
      <c r="G7" s="137">
        <f>EE5</f>
        <v>2.8696952685966507E-2</v>
      </c>
    </row>
    <row r="8" spans="1:147" ht="16.5" thickBot="1" x14ac:dyDescent="0.3">
      <c r="D8" s="54"/>
      <c r="E8" s="138" t="s">
        <v>271</v>
      </c>
      <c r="F8" s="139"/>
      <c r="G8" s="140">
        <f>EE6</f>
        <v>198900000</v>
      </c>
      <c r="AI8" s="135" t="s">
        <v>259</v>
      </c>
      <c r="EB8" s="141" t="s">
        <v>272</v>
      </c>
      <c r="EC8" s="141"/>
      <c r="ED8" s="142"/>
      <c r="EE8" s="142"/>
      <c r="EG8" s="141" t="s">
        <v>273</v>
      </c>
      <c r="EH8" s="142"/>
      <c r="EI8" s="142"/>
      <c r="EJ8" s="143"/>
      <c r="EK8" s="141" t="s">
        <v>274</v>
      </c>
      <c r="EL8" s="141"/>
      <c r="EM8" s="142"/>
      <c r="EN8" s="142"/>
    </row>
    <row r="9" spans="1:147" ht="15.75" thickTop="1" x14ac:dyDescent="0.25">
      <c r="AI9" s="144" t="s">
        <v>275</v>
      </c>
      <c r="AL9" s="144" t="s">
        <v>275</v>
      </c>
      <c r="AO9" s="144" t="s">
        <v>275</v>
      </c>
      <c r="AR9" s="144" t="s">
        <v>275</v>
      </c>
      <c r="AU9" s="144" t="s">
        <v>275</v>
      </c>
      <c r="AX9" s="144" t="s">
        <v>275</v>
      </c>
      <c r="BA9" s="144" t="s">
        <v>275</v>
      </c>
      <c r="BD9" s="144" t="s">
        <v>275</v>
      </c>
      <c r="BG9" s="144" t="s">
        <v>275</v>
      </c>
      <c r="BJ9" s="144" t="s">
        <v>275</v>
      </c>
      <c r="BM9" s="144" t="s">
        <v>275</v>
      </c>
      <c r="BP9" s="144" t="s">
        <v>275</v>
      </c>
      <c r="BS9" s="144" t="s">
        <v>275</v>
      </c>
      <c r="BV9" s="144" t="s">
        <v>275</v>
      </c>
      <c r="BY9" s="144" t="s">
        <v>275</v>
      </c>
      <c r="CB9" s="144" t="s">
        <v>275</v>
      </c>
      <c r="CE9" s="144" t="s">
        <v>275</v>
      </c>
      <c r="CH9" s="144" t="s">
        <v>275</v>
      </c>
      <c r="CK9" s="144" t="s">
        <v>275</v>
      </c>
      <c r="CN9" s="144" t="s">
        <v>275</v>
      </c>
      <c r="CQ9" s="144" t="s">
        <v>275</v>
      </c>
      <c r="CT9" s="144" t="s">
        <v>275</v>
      </c>
      <c r="CW9" s="144" t="s">
        <v>275</v>
      </c>
      <c r="CZ9" s="144" t="s">
        <v>275</v>
      </c>
      <c r="DC9" s="144" t="s">
        <v>275</v>
      </c>
      <c r="DF9" s="144" t="s">
        <v>275</v>
      </c>
      <c r="DI9" s="144" t="s">
        <v>275</v>
      </c>
      <c r="DL9" s="144" t="s">
        <v>275</v>
      </c>
      <c r="DO9" s="144" t="s">
        <v>275</v>
      </c>
      <c r="DR9" s="144" t="s">
        <v>275</v>
      </c>
      <c r="EB9" s="145"/>
      <c r="EC9" s="145"/>
      <c r="ED9" s="145"/>
      <c r="EE9" s="145" t="s">
        <v>276</v>
      </c>
      <c r="EG9" s="145"/>
      <c r="EH9" s="146" t="s">
        <v>258</v>
      </c>
      <c r="EI9" s="145" t="s">
        <v>276</v>
      </c>
      <c r="EJ9" s="145"/>
      <c r="EK9" s="134" t="s">
        <v>277</v>
      </c>
      <c r="EL9" s="134" t="s">
        <v>278</v>
      </c>
      <c r="EM9" s="146" t="s">
        <v>279</v>
      </c>
      <c r="EN9" s="145" t="s">
        <v>276</v>
      </c>
    </row>
    <row r="10" spans="1:147" x14ac:dyDescent="0.25">
      <c r="B10" s="147" t="s">
        <v>280</v>
      </c>
      <c r="C10" s="148"/>
      <c r="D10" s="142"/>
      <c r="E10" s="147" t="s">
        <v>281</v>
      </c>
      <c r="F10" s="148"/>
      <c r="G10" s="142"/>
      <c r="H10" s="147" t="s">
        <v>282</v>
      </c>
      <c r="I10" s="148"/>
      <c r="J10" s="142"/>
      <c r="K10" s="147" t="s">
        <v>283</v>
      </c>
      <c r="L10" s="148"/>
      <c r="M10" s="142"/>
      <c r="N10" s="147" t="s">
        <v>284</v>
      </c>
      <c r="O10" s="148"/>
      <c r="P10" s="142"/>
      <c r="Q10" s="147" t="s">
        <v>285</v>
      </c>
      <c r="R10" s="148"/>
      <c r="S10" s="142"/>
      <c r="T10" s="147" t="s">
        <v>286</v>
      </c>
      <c r="U10" s="148"/>
      <c r="V10" s="142"/>
      <c r="W10" s="147" t="s">
        <v>287</v>
      </c>
      <c r="X10" s="148"/>
      <c r="Y10" s="142"/>
      <c r="Z10" s="147" t="s">
        <v>288</v>
      </c>
      <c r="AA10" s="148"/>
      <c r="AB10" s="142"/>
      <c r="AC10" s="149" t="s">
        <v>289</v>
      </c>
      <c r="AD10" s="148"/>
      <c r="AE10" s="142"/>
      <c r="AF10" s="149" t="s">
        <v>290</v>
      </c>
      <c r="AG10" s="148"/>
      <c r="AH10" s="142"/>
      <c r="AI10" s="147" t="s">
        <v>291</v>
      </c>
      <c r="AJ10" s="148"/>
      <c r="AK10" s="142"/>
      <c r="AL10" s="147" t="s">
        <v>292</v>
      </c>
      <c r="AM10" s="148"/>
      <c r="AN10" s="142"/>
      <c r="AO10" s="147" t="s">
        <v>293</v>
      </c>
      <c r="AP10" s="148"/>
      <c r="AQ10" s="142"/>
      <c r="AR10" s="147" t="s">
        <v>294</v>
      </c>
      <c r="AS10" s="148"/>
      <c r="AT10" s="142"/>
      <c r="AU10" s="147" t="s">
        <v>295</v>
      </c>
      <c r="AV10" s="148"/>
      <c r="AW10" s="142"/>
      <c r="AX10" s="147" t="s">
        <v>296</v>
      </c>
      <c r="AY10" s="148"/>
      <c r="AZ10" s="142"/>
      <c r="BA10" s="147" t="s">
        <v>297</v>
      </c>
      <c r="BB10" s="148"/>
      <c r="BC10" s="142"/>
      <c r="BD10" s="147" t="s">
        <v>298</v>
      </c>
      <c r="BE10" s="148"/>
      <c r="BF10" s="142"/>
      <c r="BG10" s="147" t="s">
        <v>299</v>
      </c>
      <c r="BH10" s="148"/>
      <c r="BI10" s="142"/>
      <c r="BJ10" s="147" t="s">
        <v>300</v>
      </c>
      <c r="BK10" s="148"/>
      <c r="BL10" s="142"/>
      <c r="BM10" s="147" t="s">
        <v>301</v>
      </c>
      <c r="BN10" s="148"/>
      <c r="BO10" s="142"/>
      <c r="BP10" s="147" t="s">
        <v>302</v>
      </c>
      <c r="BQ10" s="148"/>
      <c r="BR10" s="142"/>
      <c r="BS10" s="147" t="s">
        <v>303</v>
      </c>
      <c r="BT10" s="148"/>
      <c r="BU10" s="142"/>
      <c r="BV10" s="147" t="s">
        <v>304</v>
      </c>
      <c r="BW10" s="148"/>
      <c r="BX10" s="142"/>
      <c r="BY10" s="147" t="s">
        <v>305</v>
      </c>
      <c r="BZ10" s="148"/>
      <c r="CA10" s="142"/>
      <c r="CB10" s="147" t="s">
        <v>306</v>
      </c>
      <c r="CC10" s="148"/>
      <c r="CD10" s="142"/>
      <c r="CE10" s="147" t="s">
        <v>307</v>
      </c>
      <c r="CF10" s="148"/>
      <c r="CG10" s="142"/>
      <c r="CH10" s="147" t="s">
        <v>308</v>
      </c>
      <c r="CI10" s="148"/>
      <c r="CJ10" s="142"/>
      <c r="CK10" s="147" t="s">
        <v>309</v>
      </c>
      <c r="CL10" s="148"/>
      <c r="CM10" s="142"/>
      <c r="CN10" s="147" t="s">
        <v>310</v>
      </c>
      <c r="CO10" s="148"/>
      <c r="CP10" s="142"/>
      <c r="CQ10" s="147" t="s">
        <v>311</v>
      </c>
      <c r="CR10" s="148"/>
      <c r="CS10" s="142"/>
      <c r="CT10" s="147" t="s">
        <v>312</v>
      </c>
      <c r="CU10" s="148"/>
      <c r="CV10" s="142"/>
      <c r="CW10" s="147" t="s">
        <v>313</v>
      </c>
      <c r="CX10" s="148"/>
      <c r="CY10" s="142"/>
      <c r="CZ10" s="147" t="s">
        <v>314</v>
      </c>
      <c r="DA10" s="148"/>
      <c r="DB10" s="142"/>
      <c r="DC10" s="147" t="s">
        <v>315</v>
      </c>
      <c r="DD10" s="148"/>
      <c r="DE10" s="142"/>
      <c r="DF10" s="147" t="s">
        <v>316</v>
      </c>
      <c r="DG10" s="148"/>
      <c r="DH10" s="142"/>
      <c r="DI10" s="147" t="s">
        <v>317</v>
      </c>
      <c r="DJ10" s="148"/>
      <c r="DK10" s="142"/>
      <c r="DL10" s="147" t="s">
        <v>318</v>
      </c>
      <c r="DM10" s="148"/>
      <c r="DN10" s="142"/>
      <c r="DO10" s="147" t="s">
        <v>319</v>
      </c>
      <c r="DP10" s="148"/>
      <c r="DQ10" s="142"/>
      <c r="DR10" s="147" t="s">
        <v>320</v>
      </c>
      <c r="DS10" s="148"/>
      <c r="DT10" s="142"/>
      <c r="DU10" s="147" t="s">
        <v>321</v>
      </c>
      <c r="DV10" s="148"/>
      <c r="DW10" s="142"/>
      <c r="DX10" s="150" t="s">
        <v>322</v>
      </c>
      <c r="DY10" s="148"/>
      <c r="DZ10" s="142"/>
      <c r="EA10" s="143"/>
      <c r="EB10" s="134" t="s">
        <v>323</v>
      </c>
      <c r="EC10" s="134" t="s">
        <v>324</v>
      </c>
      <c r="ED10" s="145" t="s">
        <v>325</v>
      </c>
      <c r="EE10" s="145" t="s">
        <v>326</v>
      </c>
      <c r="EG10" s="146" t="s">
        <v>327</v>
      </c>
      <c r="EH10" s="145" t="s">
        <v>325</v>
      </c>
      <c r="EI10" s="145" t="s">
        <v>326</v>
      </c>
      <c r="EJ10" s="145"/>
      <c r="EK10" s="146" t="s">
        <v>279</v>
      </c>
      <c r="EL10" s="146" t="s">
        <v>279</v>
      </c>
      <c r="EM10" s="145" t="s">
        <v>325</v>
      </c>
      <c r="EN10" s="145" t="s">
        <v>326</v>
      </c>
    </row>
    <row r="11" spans="1:147" x14ac:dyDescent="0.25">
      <c r="A11" s="145" t="s">
        <v>328</v>
      </c>
      <c r="B11" s="151" t="s">
        <v>329</v>
      </c>
      <c r="C11" s="152" t="s">
        <v>330</v>
      </c>
      <c r="D11" s="153" t="s">
        <v>25</v>
      </c>
      <c r="E11" s="151" t="s">
        <v>329</v>
      </c>
      <c r="F11" s="152" t="s">
        <v>330</v>
      </c>
      <c r="G11" s="153" t="s">
        <v>25</v>
      </c>
      <c r="H11" s="151" t="s">
        <v>329</v>
      </c>
      <c r="I11" s="152" t="s">
        <v>330</v>
      </c>
      <c r="J11" s="153" t="s">
        <v>25</v>
      </c>
      <c r="K11" s="151" t="s">
        <v>329</v>
      </c>
      <c r="L11" s="152" t="s">
        <v>330</v>
      </c>
      <c r="M11" s="153" t="s">
        <v>25</v>
      </c>
      <c r="N11" s="151" t="s">
        <v>329</v>
      </c>
      <c r="O11" s="152" t="s">
        <v>330</v>
      </c>
      <c r="P11" s="153" t="s">
        <v>25</v>
      </c>
      <c r="Q11" s="151" t="s">
        <v>329</v>
      </c>
      <c r="R11" s="152" t="s">
        <v>330</v>
      </c>
      <c r="S11" s="153" t="s">
        <v>25</v>
      </c>
      <c r="T11" s="151" t="s">
        <v>329</v>
      </c>
      <c r="U11" s="152" t="s">
        <v>330</v>
      </c>
      <c r="V11" s="153" t="s">
        <v>25</v>
      </c>
      <c r="W11" s="151" t="s">
        <v>329</v>
      </c>
      <c r="X11" s="152" t="s">
        <v>330</v>
      </c>
      <c r="Y11" s="153" t="s">
        <v>25</v>
      </c>
      <c r="Z11" s="151" t="s">
        <v>329</v>
      </c>
      <c r="AA11" s="152" t="s">
        <v>330</v>
      </c>
      <c r="AB11" s="153" t="s">
        <v>25</v>
      </c>
      <c r="AC11" s="151" t="s">
        <v>329</v>
      </c>
      <c r="AD11" s="152" t="s">
        <v>330</v>
      </c>
      <c r="AE11" s="153" t="s">
        <v>25</v>
      </c>
      <c r="AF11" s="151" t="s">
        <v>329</v>
      </c>
      <c r="AG11" s="152" t="s">
        <v>330</v>
      </c>
      <c r="AH11" s="153" t="s">
        <v>25</v>
      </c>
      <c r="AI11" s="151" t="s">
        <v>329</v>
      </c>
      <c r="AJ11" s="152" t="s">
        <v>330</v>
      </c>
      <c r="AK11" s="153" t="s">
        <v>25</v>
      </c>
      <c r="AL11" s="151" t="s">
        <v>329</v>
      </c>
      <c r="AM11" s="152" t="s">
        <v>330</v>
      </c>
      <c r="AN11" s="153" t="s">
        <v>25</v>
      </c>
      <c r="AO11" s="151" t="s">
        <v>329</v>
      </c>
      <c r="AP11" s="152" t="s">
        <v>330</v>
      </c>
      <c r="AQ11" s="153" t="s">
        <v>25</v>
      </c>
      <c r="AR11" s="151" t="s">
        <v>329</v>
      </c>
      <c r="AS11" s="152" t="s">
        <v>330</v>
      </c>
      <c r="AT11" s="153" t="s">
        <v>25</v>
      </c>
      <c r="AU11" s="151" t="s">
        <v>329</v>
      </c>
      <c r="AV11" s="152" t="s">
        <v>330</v>
      </c>
      <c r="AW11" s="153" t="s">
        <v>25</v>
      </c>
      <c r="AX11" s="151" t="s">
        <v>329</v>
      </c>
      <c r="AY11" s="152" t="s">
        <v>330</v>
      </c>
      <c r="AZ11" s="153" t="s">
        <v>25</v>
      </c>
      <c r="BA11" s="151" t="s">
        <v>329</v>
      </c>
      <c r="BB11" s="152" t="s">
        <v>330</v>
      </c>
      <c r="BC11" s="153" t="s">
        <v>25</v>
      </c>
      <c r="BD11" s="151" t="s">
        <v>329</v>
      </c>
      <c r="BE11" s="152" t="s">
        <v>330</v>
      </c>
      <c r="BF11" s="153" t="s">
        <v>25</v>
      </c>
      <c r="BG11" s="151" t="s">
        <v>329</v>
      </c>
      <c r="BH11" s="152" t="s">
        <v>330</v>
      </c>
      <c r="BI11" s="153" t="s">
        <v>25</v>
      </c>
      <c r="BJ11" s="151" t="s">
        <v>329</v>
      </c>
      <c r="BK11" s="152" t="s">
        <v>330</v>
      </c>
      <c r="BL11" s="153" t="s">
        <v>25</v>
      </c>
      <c r="BM11" s="151" t="s">
        <v>329</v>
      </c>
      <c r="BN11" s="152" t="s">
        <v>330</v>
      </c>
      <c r="BO11" s="153" t="s">
        <v>25</v>
      </c>
      <c r="BP11" s="151" t="s">
        <v>329</v>
      </c>
      <c r="BQ11" s="152" t="s">
        <v>330</v>
      </c>
      <c r="BR11" s="153" t="s">
        <v>25</v>
      </c>
      <c r="BS11" s="151" t="s">
        <v>329</v>
      </c>
      <c r="BT11" s="152" t="s">
        <v>330</v>
      </c>
      <c r="BU11" s="153" t="s">
        <v>25</v>
      </c>
      <c r="BV11" s="151" t="s">
        <v>329</v>
      </c>
      <c r="BW11" s="152" t="s">
        <v>330</v>
      </c>
      <c r="BX11" s="153" t="s">
        <v>25</v>
      </c>
      <c r="BY11" s="151" t="s">
        <v>329</v>
      </c>
      <c r="BZ11" s="152" t="s">
        <v>330</v>
      </c>
      <c r="CA11" s="153" t="s">
        <v>25</v>
      </c>
      <c r="CB11" s="151" t="s">
        <v>329</v>
      </c>
      <c r="CC11" s="152" t="s">
        <v>330</v>
      </c>
      <c r="CD11" s="153" t="s">
        <v>25</v>
      </c>
      <c r="CE11" s="151" t="s">
        <v>329</v>
      </c>
      <c r="CF11" s="152" t="s">
        <v>330</v>
      </c>
      <c r="CG11" s="153" t="s">
        <v>25</v>
      </c>
      <c r="CH11" s="151" t="s">
        <v>329</v>
      </c>
      <c r="CI11" s="152" t="s">
        <v>330</v>
      </c>
      <c r="CJ11" s="153" t="s">
        <v>25</v>
      </c>
      <c r="CK11" s="151" t="s">
        <v>329</v>
      </c>
      <c r="CL11" s="152" t="s">
        <v>330</v>
      </c>
      <c r="CM11" s="153" t="s">
        <v>25</v>
      </c>
      <c r="CN11" s="151" t="s">
        <v>329</v>
      </c>
      <c r="CO11" s="152" t="s">
        <v>330</v>
      </c>
      <c r="CP11" s="153" t="s">
        <v>25</v>
      </c>
      <c r="CQ11" s="151" t="s">
        <v>329</v>
      </c>
      <c r="CR11" s="152" t="s">
        <v>330</v>
      </c>
      <c r="CS11" s="153" t="s">
        <v>25</v>
      </c>
      <c r="CT11" s="151" t="s">
        <v>329</v>
      </c>
      <c r="CU11" s="152" t="s">
        <v>330</v>
      </c>
      <c r="CV11" s="153" t="s">
        <v>25</v>
      </c>
      <c r="CW11" s="151" t="s">
        <v>329</v>
      </c>
      <c r="CX11" s="152" t="s">
        <v>330</v>
      </c>
      <c r="CY11" s="153" t="s">
        <v>25</v>
      </c>
      <c r="CZ11" s="151" t="s">
        <v>329</v>
      </c>
      <c r="DA11" s="152" t="s">
        <v>330</v>
      </c>
      <c r="DB11" s="153" t="s">
        <v>25</v>
      </c>
      <c r="DC11" s="151" t="s">
        <v>329</v>
      </c>
      <c r="DD11" s="152" t="s">
        <v>330</v>
      </c>
      <c r="DE11" s="153" t="s">
        <v>25</v>
      </c>
      <c r="DF11" s="151" t="s">
        <v>329</v>
      </c>
      <c r="DG11" s="152" t="s">
        <v>330</v>
      </c>
      <c r="DH11" s="153" t="s">
        <v>25</v>
      </c>
      <c r="DI11" s="151" t="s">
        <v>329</v>
      </c>
      <c r="DJ11" s="152" t="s">
        <v>330</v>
      </c>
      <c r="DK11" s="153" t="s">
        <v>25</v>
      </c>
      <c r="DL11" s="151" t="s">
        <v>329</v>
      </c>
      <c r="DM11" s="152" t="s">
        <v>330</v>
      </c>
      <c r="DN11" s="153" t="s">
        <v>25</v>
      </c>
      <c r="DO11" s="151" t="s">
        <v>329</v>
      </c>
      <c r="DP11" s="152" t="s">
        <v>330</v>
      </c>
      <c r="DQ11" s="153" t="s">
        <v>25</v>
      </c>
      <c r="DR11" s="151" t="s">
        <v>329</v>
      </c>
      <c r="DS11" s="152" t="s">
        <v>330</v>
      </c>
      <c r="DT11" s="153" t="s">
        <v>25</v>
      </c>
      <c r="DU11" s="151" t="s">
        <v>329</v>
      </c>
      <c r="DV11" s="152" t="s">
        <v>330</v>
      </c>
      <c r="DW11" s="153" t="s">
        <v>25</v>
      </c>
      <c r="DX11" s="151" t="s">
        <v>329</v>
      </c>
      <c r="DY11" s="152"/>
      <c r="DZ11" s="153"/>
      <c r="EA11" s="153"/>
      <c r="EB11" s="153" t="s">
        <v>331</v>
      </c>
      <c r="EC11" s="153" t="s">
        <v>331</v>
      </c>
      <c r="ED11" s="153" t="s">
        <v>25</v>
      </c>
      <c r="EE11" s="154" t="s">
        <v>330</v>
      </c>
      <c r="EG11" s="153" t="s">
        <v>331</v>
      </c>
      <c r="EH11" s="153" t="s">
        <v>25</v>
      </c>
      <c r="EI11" s="154" t="s">
        <v>330</v>
      </c>
      <c r="EJ11" s="154"/>
      <c r="EK11" s="153" t="s">
        <v>331</v>
      </c>
      <c r="EL11" s="153" t="s">
        <v>331</v>
      </c>
      <c r="EM11" s="153" t="s">
        <v>25</v>
      </c>
      <c r="EN11" s="154" t="s">
        <v>330</v>
      </c>
    </row>
    <row r="12" spans="1:147" x14ac:dyDescent="0.25">
      <c r="A12" s="66">
        <v>43466</v>
      </c>
      <c r="D12" s="122">
        <f>(B12*C12)/360</f>
        <v>0</v>
      </c>
      <c r="G12" s="122">
        <f>(E12*F12)/360</f>
        <v>0</v>
      </c>
      <c r="J12" s="122">
        <f>(H12*I12)/360</f>
        <v>0</v>
      </c>
      <c r="M12" s="122">
        <f>(K12*L12)/360</f>
        <v>0</v>
      </c>
      <c r="P12" s="122">
        <f>(N12*O12)/360</f>
        <v>0</v>
      </c>
      <c r="S12" s="122">
        <f>(Q12*R12)/360</f>
        <v>0</v>
      </c>
      <c r="V12" s="122">
        <f>(T12*U12)/360</f>
        <v>0</v>
      </c>
      <c r="Y12" s="122">
        <f>(W12*X12)/360</f>
        <v>0</v>
      </c>
      <c r="AB12" s="122">
        <f>(Z12*AA12)/360</f>
        <v>0</v>
      </c>
      <c r="AE12" s="122">
        <v>0</v>
      </c>
      <c r="AH12" s="122">
        <v>0</v>
      </c>
      <c r="AI12" s="155">
        <f>49600000</f>
        <v>49600000</v>
      </c>
      <c r="AJ12" s="156">
        <v>2.75E-2</v>
      </c>
      <c r="AK12" s="122">
        <f>(AI12*AJ12)/360</f>
        <v>3788.8888888888887</v>
      </c>
      <c r="AL12" s="155">
        <f t="shared" ref="AL12:AL25" si="0">5000000</f>
        <v>5000000</v>
      </c>
      <c r="AM12" s="156">
        <v>2.8000000000000001E-2</v>
      </c>
      <c r="AN12" s="122">
        <f>(AL12*AM12)/360</f>
        <v>388.88888888888891</v>
      </c>
      <c r="AO12" s="155"/>
      <c r="AP12" s="156"/>
      <c r="AQ12" s="122">
        <f>(AO12*AP12)/360</f>
        <v>0</v>
      </c>
      <c r="AR12" s="155"/>
      <c r="AS12" s="156"/>
      <c r="AT12" s="122">
        <f>(AR12*AS12)/360</f>
        <v>0</v>
      </c>
      <c r="AW12" s="122">
        <f>(AU12*AV12)/360</f>
        <v>0</v>
      </c>
      <c r="AZ12" s="122">
        <f>(AX12*AY12)/360</f>
        <v>0</v>
      </c>
      <c r="BC12" s="122">
        <f>(BA12*BB12)/360</f>
        <v>0</v>
      </c>
      <c r="BF12" s="122">
        <f>(BD12*BE12)/360</f>
        <v>0</v>
      </c>
      <c r="BI12" s="122">
        <f>(BG12*BH12)/360</f>
        <v>0</v>
      </c>
      <c r="BL12" s="122">
        <f>(BJ12*BK12)/360</f>
        <v>0</v>
      </c>
      <c r="BO12" s="122">
        <f>(BM12*BN12)/360</f>
        <v>0</v>
      </c>
      <c r="BR12" s="122">
        <f>(BP12*BQ12)/360</f>
        <v>0</v>
      </c>
      <c r="BU12" s="122">
        <f>(BS12*BT12)/360</f>
        <v>0</v>
      </c>
      <c r="BX12" s="122">
        <f>(BV12*BW12)/360</f>
        <v>0</v>
      </c>
      <c r="CA12" s="122">
        <f>(BY12*BZ12)/360</f>
        <v>0</v>
      </c>
      <c r="CD12" s="122">
        <f>(CB12*CC12)/360</f>
        <v>0</v>
      </c>
      <c r="CG12" s="122">
        <f>(CE12*CF12)/360</f>
        <v>0</v>
      </c>
      <c r="CJ12" s="122">
        <f>(CH12*CI12)/360</f>
        <v>0</v>
      </c>
      <c r="CM12" s="122">
        <f>(CK12*CL12)/360</f>
        <v>0</v>
      </c>
      <c r="CP12" s="122">
        <f>(CN12*CO12)/360</f>
        <v>0</v>
      </c>
      <c r="CS12" s="122">
        <f>(CQ12*CR12)/360</f>
        <v>0</v>
      </c>
      <c r="CV12" s="122">
        <f>(CT12*CU12)/360</f>
        <v>0</v>
      </c>
      <c r="CY12" s="122">
        <f>(CW12*CX12)/360</f>
        <v>0</v>
      </c>
      <c r="DB12" s="122">
        <f>(CZ12*DA12)/360</f>
        <v>0</v>
      </c>
      <c r="DE12" s="122">
        <f>(DC12*DD12)/360</f>
        <v>0</v>
      </c>
      <c r="DH12" s="122">
        <f>(DF12*DG12)/360</f>
        <v>0</v>
      </c>
      <c r="DK12" s="122">
        <f>(DI12*DJ12)/360</f>
        <v>0</v>
      </c>
      <c r="DN12" s="122">
        <f>(DL12*DM12)/360</f>
        <v>0</v>
      </c>
      <c r="DQ12" s="122">
        <f>(DO12*DP12)/360</f>
        <v>0</v>
      </c>
      <c r="DT12" s="122">
        <f>(DR12*DS12)/360</f>
        <v>0</v>
      </c>
      <c r="DW12" s="122">
        <f>(DU12*DV12)/360</f>
        <v>0</v>
      </c>
      <c r="DZ12" s="122"/>
      <c r="EA12" s="122"/>
      <c r="EB12" s="157">
        <f>B12+E12+H12+K12+N12+Q12+T12+W12+Z12+AC12+AF12+AL12+AO12+AR12+AU12+AX12+BA12+BD12+BG12+DU12+AI12+DR12+DO12+DL12+DI12+DF12+DC12+CZ12+CW12+CT12+CQ12+CN12+CK12+CH12+CE12+CB12+BY12+BV12+BS12+BP12+BM12+BJ12</f>
        <v>54600000</v>
      </c>
      <c r="EC12" s="157">
        <f>EB12-EK12+EL12</f>
        <v>0</v>
      </c>
      <c r="ED12" s="122">
        <f>D12+G12+J12+M12+P12+S12+V12+Y12+AB12+AE12+AH12+AK12+AN12+AQ12+AT12+AW12+AZ12+BC12+BF12+BI12+DW12+DT12+DQ12+DN12+DK12+DH12+DE12+DB12+CY12+CV12+CS12+CP12+CM12+CJ12+CG12+CD12+CA12+BX12+BU12+BR12+BO12+BL12</f>
        <v>4177.7777777777774</v>
      </c>
      <c r="EE12" s="123">
        <f>IF(EB12&lt;&gt;0,((ED12/EB12)*360),0)</f>
        <v>2.7545787545787546E-2</v>
      </c>
      <c r="EG12" s="157">
        <f>Q12+T12+W12+Z12+AC12+AF12</f>
        <v>0</v>
      </c>
      <c r="EH12" s="122">
        <f>S12+V12+Y12+AB12+AE12+AH12</f>
        <v>0</v>
      </c>
      <c r="EI12" s="123">
        <f>IF(EG12&lt;&gt;0,((EH12/EG12)*360),0)</f>
        <v>0</v>
      </c>
      <c r="EJ12" s="123"/>
      <c r="EK12" s="157">
        <f>DR12+DL12+DI12+DF12+DC12+CZ12+CW12+CT12+CQ12+CN12+CK12+CH12+CE12+CB12+BY12+BV12+BS12+BP12+BM12+BJ12+BG12+BD12+BA12+AX12+AU12+AR12+AO12+AL12+AI12+DO12</f>
        <v>54600000</v>
      </c>
      <c r="EL12" s="157">
        <f>DX12</f>
        <v>0</v>
      </c>
      <c r="EM12" s="157">
        <f>DT12+DQ12+DN12+DK12+DH12+DE12+DB12+CY12+CV12+CS12+CP12+CM12+CJ12+CG12+CD12+CA12+BX12+BU12+BR12+BO12+BL12+BI12+BF12+BC12+AZ12+AW12+AT12+AQ12+AN12+AK12</f>
        <v>4177.7777777777774</v>
      </c>
      <c r="EN12" s="123">
        <f>IF(EK12&lt;&gt;0,((EM12/EK12)*360),0)</f>
        <v>2.7545787545787546E-2</v>
      </c>
    </row>
    <row r="13" spans="1:147" x14ac:dyDescent="0.25">
      <c r="A13" s="66">
        <f>1+A12</f>
        <v>43467</v>
      </c>
      <c r="D13" s="122">
        <f t="shared" ref="D13:D42" si="1">(B13*C13)/360</f>
        <v>0</v>
      </c>
      <c r="G13" s="122">
        <f t="shared" ref="G13:G42" si="2">(E13*F13)/360</f>
        <v>0</v>
      </c>
      <c r="J13" s="122">
        <f t="shared" ref="J13:J42" si="3">(H13*I13)/360</f>
        <v>0</v>
      </c>
      <c r="M13" s="122">
        <f t="shared" ref="M13:M42" si="4">(K13*L13)/360</f>
        <v>0</v>
      </c>
      <c r="P13" s="122">
        <f t="shared" ref="P13:P42" si="5">(N13*O13)/360</f>
        <v>0</v>
      </c>
      <c r="S13" s="122">
        <f t="shared" ref="S13:S42" si="6">(Q13*R13)/360</f>
        <v>0</v>
      </c>
      <c r="V13" s="122">
        <f t="shared" ref="V13:V42" si="7">(T13*U13)/360</f>
        <v>0</v>
      </c>
      <c r="Y13" s="122">
        <f t="shared" ref="Y13:Y42" si="8">(W13*X13)/360</f>
        <v>0</v>
      </c>
      <c r="AB13" s="122">
        <f t="shared" ref="AB13:AB42" si="9">(Z13*AA13)/360</f>
        <v>0</v>
      </c>
      <c r="AE13" s="122">
        <v>0</v>
      </c>
      <c r="AH13" s="122">
        <v>0</v>
      </c>
      <c r="AI13" s="155">
        <f>48025000</f>
        <v>48025000</v>
      </c>
      <c r="AJ13" s="156">
        <v>2.75E-2</v>
      </c>
      <c r="AK13" s="122">
        <f t="shared" ref="AK13:AK42" si="10">(AI13*AJ13)/360</f>
        <v>3668.5763888888887</v>
      </c>
      <c r="AL13" s="155">
        <f t="shared" si="0"/>
        <v>5000000</v>
      </c>
      <c r="AM13" s="156">
        <v>2.8000000000000001E-2</v>
      </c>
      <c r="AN13" s="122">
        <f t="shared" ref="AN13:AN42" si="11">(AL13*AM13)/360</f>
        <v>388.88888888888891</v>
      </c>
      <c r="AO13" s="155"/>
      <c r="AP13" s="156"/>
      <c r="AQ13" s="122">
        <f t="shared" ref="AQ13:AQ42" si="12">(AO13*AP13)/360</f>
        <v>0</v>
      </c>
      <c r="AR13" s="155"/>
      <c r="AS13" s="156"/>
      <c r="AT13" s="122">
        <f t="shared" ref="AT13:AT42" si="13">(AR13*AS13)/360</f>
        <v>0</v>
      </c>
      <c r="AW13" s="122">
        <f t="shared" ref="AW13:AW42" si="14">(AU13*AV13)/360</f>
        <v>0</v>
      </c>
      <c r="AZ13" s="122">
        <f t="shared" ref="AZ13:AZ42" si="15">(AX13*AY13)/360</f>
        <v>0</v>
      </c>
      <c r="BC13" s="122">
        <f t="shared" ref="BC13:BC42" si="16">(BA13*BB13)/360</f>
        <v>0</v>
      </c>
      <c r="BF13" s="122">
        <f t="shared" ref="BF13:BF42" si="17">(BD13*BE13)/360</f>
        <v>0</v>
      </c>
      <c r="BI13" s="122">
        <f t="shared" ref="BI13:BI42" si="18">(BG13*BH13)/360</f>
        <v>0</v>
      </c>
      <c r="BL13" s="122">
        <f t="shared" ref="BL13:BL42" si="19">(BJ13*BK13)/360</f>
        <v>0</v>
      </c>
      <c r="BO13" s="122">
        <f t="shared" ref="BO13:BO42" si="20">(BM13*BN13)/360</f>
        <v>0</v>
      </c>
      <c r="BR13" s="122">
        <f t="shared" ref="BR13:BR42" si="21">(BP13*BQ13)/360</f>
        <v>0</v>
      </c>
      <c r="BU13" s="122">
        <f t="shared" ref="BU13:BU42" si="22">(BS13*BT13)/360</f>
        <v>0</v>
      </c>
      <c r="BX13" s="122">
        <f t="shared" ref="BX13:BX42" si="23">(BV13*BW13)/360</f>
        <v>0</v>
      </c>
      <c r="CA13" s="122">
        <f t="shared" ref="CA13:CA42" si="24">(BY13*BZ13)/360</f>
        <v>0</v>
      </c>
      <c r="CD13" s="122">
        <f t="shared" ref="CD13:CD42" si="25">(CB13*CC13)/360</f>
        <v>0</v>
      </c>
      <c r="CG13" s="122">
        <f t="shared" ref="CG13:CG42" si="26">(CE13*CF13)/360</f>
        <v>0</v>
      </c>
      <c r="CJ13" s="122">
        <f t="shared" ref="CJ13:CJ42" si="27">(CH13*CI13)/360</f>
        <v>0</v>
      </c>
      <c r="CM13" s="122">
        <f t="shared" ref="CM13:CM42" si="28">(CK13*CL13)/360</f>
        <v>0</v>
      </c>
      <c r="CP13" s="122">
        <f t="shared" ref="CP13:CP42" si="29">(CN13*CO13)/360</f>
        <v>0</v>
      </c>
      <c r="CS13" s="122">
        <f t="shared" ref="CS13:CS42" si="30">(CQ13*CR13)/360</f>
        <v>0</v>
      </c>
      <c r="CV13" s="122">
        <f t="shared" ref="CV13:CV42" si="31">(CT13*CU13)/360</f>
        <v>0</v>
      </c>
      <c r="CY13" s="122">
        <f t="shared" ref="CY13:CY42" si="32">(CW13*CX13)/360</f>
        <v>0</v>
      </c>
      <c r="DB13" s="122">
        <f t="shared" ref="DB13:DB42" si="33">(CZ13*DA13)/360</f>
        <v>0</v>
      </c>
      <c r="DE13" s="122">
        <f t="shared" ref="DE13:DE42" si="34">(DC13*DD13)/360</f>
        <v>0</v>
      </c>
      <c r="DH13" s="122">
        <f t="shared" ref="DH13:DH42" si="35">(DF13*DG13)/360</f>
        <v>0</v>
      </c>
      <c r="DK13" s="122">
        <f t="shared" ref="DK13:DK42" si="36">(DI13*DJ13)/360</f>
        <v>0</v>
      </c>
      <c r="DN13" s="122">
        <f t="shared" ref="DN13:DN42" si="37">(DL13*DM13)/360</f>
        <v>0</v>
      </c>
      <c r="DQ13" s="122">
        <f t="shared" ref="DQ13:DQ42" si="38">(DO13*DP13)/360</f>
        <v>0</v>
      </c>
      <c r="DT13" s="122">
        <f t="shared" ref="DT13:DT42" si="39">(DR13*DS13)/360</f>
        <v>0</v>
      </c>
      <c r="DW13" s="122">
        <f t="shared" ref="DW13:DW42" si="40">(DU13*DV13)/360</f>
        <v>0</v>
      </c>
      <c r="DZ13" s="122"/>
      <c r="EA13" s="122"/>
      <c r="EB13" s="157">
        <f t="shared" ref="EB13:EB42" si="41">B13+E13+H13+K13+N13+Q13+T13+W13+Z13+AC13+AF13+AL13+AO13+AR13+AU13+AX13+BA13+BD13+BG13+DU13+AI13+DR13+DO13+DL13+DI13+DF13+DC13+CZ13+CW13+CT13+CQ13+CN13+CK13+CH13+CE13+CB13+BY13+BV13+BS13+BP13+BM13+BJ13</f>
        <v>53025000</v>
      </c>
      <c r="EC13" s="157">
        <f t="shared" ref="EC13:EC42" si="42">EB13-EK13+EL13</f>
        <v>0</v>
      </c>
      <c r="ED13" s="122">
        <f t="shared" ref="ED13:ED42" si="43">D13+G13+J13+M13+P13+S13+V13+Y13+AB13+AE13+AH13+AK13+AN13+AQ13+AT13+AW13+AZ13+BC13+BF13+BI13+DW13+DT13+DQ13+DN13+DK13+DH13+DE13+DB13+CY13+CV13+CS13+CP13+CM13+CJ13+CG13+CD13+CA13+BX13+BU13+BR13+BO13+BL13</f>
        <v>4057.4652777777774</v>
      </c>
      <c r="EE13" s="123">
        <f t="shared" ref="EE13:EE42" si="44">IF(EB13&lt;&gt;0,((ED13/EB13)*360),0)</f>
        <v>2.7547147571900046E-2</v>
      </c>
      <c r="EG13" s="157">
        <f t="shared" ref="EG13:EG42" si="45">Q13+T13+W13+Z13+AC13+AF13</f>
        <v>0</v>
      </c>
      <c r="EH13" s="122">
        <f t="shared" ref="EH13:EH42" si="46">S13+V13+Y13+AB13+AE13+AH13</f>
        <v>0</v>
      </c>
      <c r="EI13" s="123">
        <f t="shared" ref="EI13:EI42" si="47">IF(EG13&lt;&gt;0,((EH13/EG13)*360),0)</f>
        <v>0</v>
      </c>
      <c r="EJ13" s="123"/>
      <c r="EK13" s="157">
        <f t="shared" ref="EK13:EK42" si="48">DR13+DL13+DI13+DF13+DC13+CZ13+CW13+CT13+CQ13+CN13+CK13+CH13+CE13+CB13+BY13+BV13+BS13+BP13+BM13+BJ13+BG13+BD13+BA13+AX13+AU13+AR13+AO13+AL13+AI13+DO13</f>
        <v>53025000</v>
      </c>
      <c r="EL13" s="157">
        <f t="shared" ref="EL13:EL42" si="49">DX13</f>
        <v>0</v>
      </c>
      <c r="EM13" s="157">
        <f t="shared" ref="EM13:EM42" si="50">DT13+DQ13+DN13+DK13+DH13+DE13+DB13+CY13+CV13+CS13+CP13+CM13+CJ13+CG13+CD13+CA13+BX13+BU13+BR13+BO13+BL13+BI13+BF13+BC13+AZ13+AW13+AT13+AQ13+AN13+AK13</f>
        <v>4057.4652777777774</v>
      </c>
      <c r="EN13" s="123">
        <f t="shared" ref="EN13:EN42" si="51">IF(EK13&lt;&gt;0,((EM13/EK13)*360),0)</f>
        <v>2.7547147571900046E-2</v>
      </c>
    </row>
    <row r="14" spans="1:147" x14ac:dyDescent="0.25">
      <c r="A14" s="66">
        <f t="shared" ref="A14:A42" si="52">1+A13</f>
        <v>43468</v>
      </c>
      <c r="D14" s="122">
        <f t="shared" si="1"/>
        <v>0</v>
      </c>
      <c r="G14" s="122">
        <f t="shared" si="2"/>
        <v>0</v>
      </c>
      <c r="J14" s="122">
        <f t="shared" si="3"/>
        <v>0</v>
      </c>
      <c r="M14" s="122">
        <f t="shared" si="4"/>
        <v>0</v>
      </c>
      <c r="P14" s="122">
        <f t="shared" si="5"/>
        <v>0</v>
      </c>
      <c r="S14" s="122">
        <f t="shared" si="6"/>
        <v>0</v>
      </c>
      <c r="V14" s="122">
        <f t="shared" si="7"/>
        <v>0</v>
      </c>
      <c r="Y14" s="122">
        <f t="shared" si="8"/>
        <v>0</v>
      </c>
      <c r="AB14" s="122">
        <f t="shared" si="9"/>
        <v>0</v>
      </c>
      <c r="AE14" s="122">
        <v>0</v>
      </c>
      <c r="AH14" s="122">
        <v>0</v>
      </c>
      <c r="AI14" s="155">
        <f>52875000</f>
        <v>52875000</v>
      </c>
      <c r="AJ14" s="156">
        <v>2.75E-2</v>
      </c>
      <c r="AK14" s="122">
        <f t="shared" si="10"/>
        <v>4039.0625</v>
      </c>
      <c r="AL14" s="155">
        <f t="shared" si="0"/>
        <v>5000000</v>
      </c>
      <c r="AM14" s="156">
        <v>2.8000000000000001E-2</v>
      </c>
      <c r="AN14" s="122">
        <f t="shared" si="11"/>
        <v>388.88888888888891</v>
      </c>
      <c r="AO14" s="155"/>
      <c r="AP14" s="156"/>
      <c r="AQ14" s="122">
        <f t="shared" si="12"/>
        <v>0</v>
      </c>
      <c r="AR14" s="155"/>
      <c r="AS14" s="156"/>
      <c r="AT14" s="122">
        <f t="shared" si="13"/>
        <v>0</v>
      </c>
      <c r="AW14" s="122">
        <f t="shared" si="14"/>
        <v>0</v>
      </c>
      <c r="AZ14" s="122">
        <f t="shared" si="15"/>
        <v>0</v>
      </c>
      <c r="BC14" s="122">
        <f t="shared" si="16"/>
        <v>0</v>
      </c>
      <c r="BF14" s="122">
        <f t="shared" si="17"/>
        <v>0</v>
      </c>
      <c r="BI14" s="122">
        <f t="shared" si="18"/>
        <v>0</v>
      </c>
      <c r="BL14" s="122">
        <f t="shared" si="19"/>
        <v>0</v>
      </c>
      <c r="BO14" s="122">
        <f t="shared" si="20"/>
        <v>0</v>
      </c>
      <c r="BR14" s="122">
        <f t="shared" si="21"/>
        <v>0</v>
      </c>
      <c r="BU14" s="122">
        <f t="shared" si="22"/>
        <v>0</v>
      </c>
      <c r="BX14" s="122">
        <f t="shared" si="23"/>
        <v>0</v>
      </c>
      <c r="CA14" s="122">
        <f t="shared" si="24"/>
        <v>0</v>
      </c>
      <c r="CD14" s="122">
        <f t="shared" si="25"/>
        <v>0</v>
      </c>
      <c r="CG14" s="122">
        <f t="shared" si="26"/>
        <v>0</v>
      </c>
      <c r="CJ14" s="122">
        <f t="shared" si="27"/>
        <v>0</v>
      </c>
      <c r="CM14" s="122">
        <f t="shared" si="28"/>
        <v>0</v>
      </c>
      <c r="CP14" s="122">
        <f t="shared" si="29"/>
        <v>0</v>
      </c>
      <c r="CS14" s="122">
        <f t="shared" si="30"/>
        <v>0</v>
      </c>
      <c r="CV14" s="122">
        <f t="shared" si="31"/>
        <v>0</v>
      </c>
      <c r="CY14" s="122">
        <f t="shared" si="32"/>
        <v>0</v>
      </c>
      <c r="DB14" s="122">
        <f t="shared" si="33"/>
        <v>0</v>
      </c>
      <c r="DE14" s="122">
        <f t="shared" si="34"/>
        <v>0</v>
      </c>
      <c r="DH14" s="122">
        <f t="shared" si="35"/>
        <v>0</v>
      </c>
      <c r="DK14" s="122">
        <f t="shared" si="36"/>
        <v>0</v>
      </c>
      <c r="DN14" s="122">
        <f t="shared" si="37"/>
        <v>0</v>
      </c>
      <c r="DQ14" s="122">
        <f t="shared" si="38"/>
        <v>0</v>
      </c>
      <c r="DT14" s="122">
        <f t="shared" si="39"/>
        <v>0</v>
      </c>
      <c r="DW14" s="122">
        <f t="shared" si="40"/>
        <v>0</v>
      </c>
      <c r="DZ14" s="122"/>
      <c r="EA14" s="122"/>
      <c r="EB14" s="157">
        <f t="shared" si="41"/>
        <v>57875000</v>
      </c>
      <c r="EC14" s="157">
        <f t="shared" si="42"/>
        <v>0</v>
      </c>
      <c r="ED14" s="122">
        <f t="shared" si="43"/>
        <v>4427.9513888888887</v>
      </c>
      <c r="EE14" s="123">
        <f t="shared" si="44"/>
        <v>2.7543196544276456E-2</v>
      </c>
      <c r="EG14" s="157">
        <f t="shared" si="45"/>
        <v>0</v>
      </c>
      <c r="EH14" s="122">
        <f t="shared" si="46"/>
        <v>0</v>
      </c>
      <c r="EI14" s="123">
        <f t="shared" si="47"/>
        <v>0</v>
      </c>
      <c r="EJ14" s="123"/>
      <c r="EK14" s="157">
        <f t="shared" si="48"/>
        <v>57875000</v>
      </c>
      <c r="EL14" s="157">
        <f t="shared" si="49"/>
        <v>0</v>
      </c>
      <c r="EM14" s="157">
        <f t="shared" si="50"/>
        <v>4427.9513888888887</v>
      </c>
      <c r="EN14" s="123">
        <f t="shared" si="51"/>
        <v>2.7543196544276456E-2</v>
      </c>
    </row>
    <row r="15" spans="1:147" x14ac:dyDescent="0.25">
      <c r="A15" s="66">
        <f t="shared" si="52"/>
        <v>43469</v>
      </c>
      <c r="D15" s="122">
        <f t="shared" si="1"/>
        <v>0</v>
      </c>
      <c r="G15" s="122">
        <f t="shared" si="2"/>
        <v>0</v>
      </c>
      <c r="J15" s="122">
        <f t="shared" si="3"/>
        <v>0</v>
      </c>
      <c r="M15" s="122">
        <f t="shared" si="4"/>
        <v>0</v>
      </c>
      <c r="P15" s="122">
        <f t="shared" si="5"/>
        <v>0</v>
      </c>
      <c r="S15" s="122">
        <f t="shared" si="6"/>
        <v>0</v>
      </c>
      <c r="V15" s="122">
        <f t="shared" si="7"/>
        <v>0</v>
      </c>
      <c r="Y15" s="122">
        <f t="shared" si="8"/>
        <v>0</v>
      </c>
      <c r="AB15" s="122">
        <f t="shared" si="9"/>
        <v>0</v>
      </c>
      <c r="AE15" s="122">
        <v>0</v>
      </c>
      <c r="AH15" s="122">
        <v>0</v>
      </c>
      <c r="AI15" s="155">
        <f>26125000</f>
        <v>26125000</v>
      </c>
      <c r="AJ15" s="156">
        <v>2.75E-2</v>
      </c>
      <c r="AK15" s="122">
        <f t="shared" si="10"/>
        <v>1995.6597222222222</v>
      </c>
      <c r="AL15" s="155">
        <f t="shared" si="0"/>
        <v>5000000</v>
      </c>
      <c r="AM15" s="156">
        <v>2.8000000000000001E-2</v>
      </c>
      <c r="AN15" s="122">
        <f t="shared" si="11"/>
        <v>388.88888888888891</v>
      </c>
      <c r="AO15" s="155">
        <f t="shared" ref="AO15:AO42" si="53">50000000</f>
        <v>50000000</v>
      </c>
      <c r="AP15" s="156">
        <v>2.9700000000000001E-2</v>
      </c>
      <c r="AQ15" s="122">
        <f t="shared" si="12"/>
        <v>4125</v>
      </c>
      <c r="AR15" s="155"/>
      <c r="AS15" s="156"/>
      <c r="AT15" s="122">
        <f t="shared" si="13"/>
        <v>0</v>
      </c>
      <c r="AW15" s="122">
        <f t="shared" si="14"/>
        <v>0</v>
      </c>
      <c r="AZ15" s="122">
        <f t="shared" si="15"/>
        <v>0</v>
      </c>
      <c r="BC15" s="122">
        <f t="shared" si="16"/>
        <v>0</v>
      </c>
      <c r="BF15" s="122">
        <f t="shared" si="17"/>
        <v>0</v>
      </c>
      <c r="BI15" s="122">
        <f t="shared" si="18"/>
        <v>0</v>
      </c>
      <c r="BL15" s="122">
        <f t="shared" si="19"/>
        <v>0</v>
      </c>
      <c r="BO15" s="122">
        <f t="shared" si="20"/>
        <v>0</v>
      </c>
      <c r="BR15" s="122">
        <f t="shared" si="21"/>
        <v>0</v>
      </c>
      <c r="BU15" s="122">
        <f t="shared" si="22"/>
        <v>0</v>
      </c>
      <c r="BX15" s="122">
        <f t="shared" si="23"/>
        <v>0</v>
      </c>
      <c r="CA15" s="122">
        <f t="shared" si="24"/>
        <v>0</v>
      </c>
      <c r="CD15" s="122">
        <f t="shared" si="25"/>
        <v>0</v>
      </c>
      <c r="CG15" s="122">
        <f t="shared" si="26"/>
        <v>0</v>
      </c>
      <c r="CJ15" s="122">
        <f t="shared" si="27"/>
        <v>0</v>
      </c>
      <c r="CM15" s="122">
        <f t="shared" si="28"/>
        <v>0</v>
      </c>
      <c r="CP15" s="122">
        <f t="shared" si="29"/>
        <v>0</v>
      </c>
      <c r="CS15" s="122">
        <f t="shared" si="30"/>
        <v>0</v>
      </c>
      <c r="CV15" s="122">
        <f t="shared" si="31"/>
        <v>0</v>
      </c>
      <c r="CY15" s="122">
        <f t="shared" si="32"/>
        <v>0</v>
      </c>
      <c r="DB15" s="122">
        <f t="shared" si="33"/>
        <v>0</v>
      </c>
      <c r="DE15" s="122">
        <f t="shared" si="34"/>
        <v>0</v>
      </c>
      <c r="DH15" s="122">
        <f t="shared" si="35"/>
        <v>0</v>
      </c>
      <c r="DK15" s="122">
        <f t="shared" si="36"/>
        <v>0</v>
      </c>
      <c r="DN15" s="122">
        <f t="shared" si="37"/>
        <v>0</v>
      </c>
      <c r="DQ15" s="122">
        <f t="shared" si="38"/>
        <v>0</v>
      </c>
      <c r="DT15" s="122">
        <f t="shared" si="39"/>
        <v>0</v>
      </c>
      <c r="DW15" s="122">
        <f t="shared" si="40"/>
        <v>0</v>
      </c>
      <c r="DZ15" s="122"/>
      <c r="EA15" s="122"/>
      <c r="EB15" s="157">
        <f t="shared" si="41"/>
        <v>81125000</v>
      </c>
      <c r="EC15" s="157">
        <f t="shared" si="42"/>
        <v>0</v>
      </c>
      <c r="ED15" s="122">
        <f t="shared" si="43"/>
        <v>6509.5486111111113</v>
      </c>
      <c r="EE15" s="123">
        <f t="shared" si="44"/>
        <v>2.8886748844375965E-2</v>
      </c>
      <c r="EG15" s="157">
        <f t="shared" si="45"/>
        <v>0</v>
      </c>
      <c r="EH15" s="122">
        <f t="shared" si="46"/>
        <v>0</v>
      </c>
      <c r="EI15" s="123">
        <f t="shared" si="47"/>
        <v>0</v>
      </c>
      <c r="EJ15" s="123"/>
      <c r="EK15" s="157">
        <f t="shared" si="48"/>
        <v>81125000</v>
      </c>
      <c r="EL15" s="157">
        <f t="shared" si="49"/>
        <v>0</v>
      </c>
      <c r="EM15" s="157">
        <f t="shared" si="50"/>
        <v>6509.5486111111113</v>
      </c>
      <c r="EN15" s="123">
        <f t="shared" si="51"/>
        <v>2.8886748844375965E-2</v>
      </c>
    </row>
    <row r="16" spans="1:147" x14ac:dyDescent="0.25">
      <c r="A16" s="66">
        <f t="shared" si="52"/>
        <v>43470</v>
      </c>
      <c r="D16" s="122">
        <f t="shared" si="1"/>
        <v>0</v>
      </c>
      <c r="G16" s="122">
        <f t="shared" si="2"/>
        <v>0</v>
      </c>
      <c r="J16" s="122">
        <f t="shared" si="3"/>
        <v>0</v>
      </c>
      <c r="M16" s="122">
        <f t="shared" si="4"/>
        <v>0</v>
      </c>
      <c r="P16" s="122">
        <f t="shared" si="5"/>
        <v>0</v>
      </c>
      <c r="S16" s="122">
        <f t="shared" si="6"/>
        <v>0</v>
      </c>
      <c r="V16" s="122">
        <f t="shared" si="7"/>
        <v>0</v>
      </c>
      <c r="Y16" s="122">
        <f t="shared" si="8"/>
        <v>0</v>
      </c>
      <c r="AB16" s="122">
        <f t="shared" si="9"/>
        <v>0</v>
      </c>
      <c r="AE16" s="122">
        <v>0</v>
      </c>
      <c r="AH16" s="122">
        <v>0</v>
      </c>
      <c r="AI16" s="155">
        <f>26125000</f>
        <v>26125000</v>
      </c>
      <c r="AJ16" s="156">
        <v>2.75E-2</v>
      </c>
      <c r="AK16" s="122">
        <f t="shared" si="10"/>
        <v>1995.6597222222222</v>
      </c>
      <c r="AL16" s="155">
        <f t="shared" si="0"/>
        <v>5000000</v>
      </c>
      <c r="AM16" s="156">
        <v>2.8000000000000001E-2</v>
      </c>
      <c r="AN16" s="122">
        <f t="shared" si="11"/>
        <v>388.88888888888891</v>
      </c>
      <c r="AO16" s="155">
        <f t="shared" si="53"/>
        <v>50000000</v>
      </c>
      <c r="AP16" s="156">
        <v>2.9700000000000001E-2</v>
      </c>
      <c r="AQ16" s="122">
        <f t="shared" si="12"/>
        <v>4125</v>
      </c>
      <c r="AR16" s="155"/>
      <c r="AS16" s="156"/>
      <c r="AT16" s="122">
        <f t="shared" si="13"/>
        <v>0</v>
      </c>
      <c r="AW16" s="122">
        <f t="shared" si="14"/>
        <v>0</v>
      </c>
      <c r="AZ16" s="122">
        <f t="shared" si="15"/>
        <v>0</v>
      </c>
      <c r="BC16" s="122">
        <f t="shared" si="16"/>
        <v>0</v>
      </c>
      <c r="BF16" s="122">
        <f t="shared" si="17"/>
        <v>0</v>
      </c>
      <c r="BI16" s="122">
        <f t="shared" si="18"/>
        <v>0</v>
      </c>
      <c r="BL16" s="122">
        <f t="shared" si="19"/>
        <v>0</v>
      </c>
      <c r="BO16" s="122">
        <f t="shared" si="20"/>
        <v>0</v>
      </c>
      <c r="BR16" s="122">
        <f t="shared" si="21"/>
        <v>0</v>
      </c>
      <c r="BU16" s="122">
        <f t="shared" si="22"/>
        <v>0</v>
      </c>
      <c r="BX16" s="122">
        <f t="shared" si="23"/>
        <v>0</v>
      </c>
      <c r="CA16" s="122">
        <f t="shared" si="24"/>
        <v>0</v>
      </c>
      <c r="CD16" s="122">
        <f t="shared" si="25"/>
        <v>0</v>
      </c>
      <c r="CG16" s="122">
        <f t="shared" si="26"/>
        <v>0</v>
      </c>
      <c r="CJ16" s="122">
        <f t="shared" si="27"/>
        <v>0</v>
      </c>
      <c r="CM16" s="122">
        <f t="shared" si="28"/>
        <v>0</v>
      </c>
      <c r="CP16" s="122">
        <f t="shared" si="29"/>
        <v>0</v>
      </c>
      <c r="CS16" s="122">
        <f t="shared" si="30"/>
        <v>0</v>
      </c>
      <c r="CV16" s="122">
        <f t="shared" si="31"/>
        <v>0</v>
      </c>
      <c r="CY16" s="122">
        <f t="shared" si="32"/>
        <v>0</v>
      </c>
      <c r="DB16" s="122">
        <f t="shared" si="33"/>
        <v>0</v>
      </c>
      <c r="DE16" s="122">
        <f t="shared" si="34"/>
        <v>0</v>
      </c>
      <c r="DH16" s="122">
        <f t="shared" si="35"/>
        <v>0</v>
      </c>
      <c r="DK16" s="122">
        <f t="shared" si="36"/>
        <v>0</v>
      </c>
      <c r="DN16" s="122">
        <f t="shared" si="37"/>
        <v>0</v>
      </c>
      <c r="DQ16" s="122">
        <f t="shared" si="38"/>
        <v>0</v>
      </c>
      <c r="DT16" s="122">
        <f t="shared" si="39"/>
        <v>0</v>
      </c>
      <c r="DW16" s="122">
        <f t="shared" si="40"/>
        <v>0</v>
      </c>
      <c r="DZ16" s="122"/>
      <c r="EA16" s="122"/>
      <c r="EB16" s="157">
        <f t="shared" si="41"/>
        <v>81125000</v>
      </c>
      <c r="EC16" s="157">
        <f t="shared" si="42"/>
        <v>0</v>
      </c>
      <c r="ED16" s="122">
        <f t="shared" si="43"/>
        <v>6509.5486111111113</v>
      </c>
      <c r="EE16" s="123">
        <f t="shared" si="44"/>
        <v>2.8886748844375965E-2</v>
      </c>
      <c r="EG16" s="157">
        <f t="shared" si="45"/>
        <v>0</v>
      </c>
      <c r="EH16" s="122">
        <f t="shared" si="46"/>
        <v>0</v>
      </c>
      <c r="EI16" s="123">
        <f t="shared" si="47"/>
        <v>0</v>
      </c>
      <c r="EJ16" s="123"/>
      <c r="EK16" s="157">
        <f t="shared" si="48"/>
        <v>81125000</v>
      </c>
      <c r="EL16" s="157">
        <f t="shared" si="49"/>
        <v>0</v>
      </c>
      <c r="EM16" s="157">
        <f t="shared" si="50"/>
        <v>6509.5486111111113</v>
      </c>
      <c r="EN16" s="123">
        <f t="shared" si="51"/>
        <v>2.8886748844375965E-2</v>
      </c>
    </row>
    <row r="17" spans="1:144" x14ac:dyDescent="0.25">
      <c r="A17" s="66">
        <f t="shared" si="52"/>
        <v>43471</v>
      </c>
      <c r="D17" s="122">
        <f t="shared" si="1"/>
        <v>0</v>
      </c>
      <c r="G17" s="122">
        <f t="shared" si="2"/>
        <v>0</v>
      </c>
      <c r="J17" s="122">
        <f t="shared" si="3"/>
        <v>0</v>
      </c>
      <c r="M17" s="122">
        <f t="shared" si="4"/>
        <v>0</v>
      </c>
      <c r="P17" s="122">
        <f t="shared" si="5"/>
        <v>0</v>
      </c>
      <c r="S17" s="122">
        <f t="shared" si="6"/>
        <v>0</v>
      </c>
      <c r="V17" s="122">
        <f t="shared" si="7"/>
        <v>0</v>
      </c>
      <c r="Y17" s="122">
        <f t="shared" si="8"/>
        <v>0</v>
      </c>
      <c r="AB17" s="122">
        <f t="shared" si="9"/>
        <v>0</v>
      </c>
      <c r="AE17" s="122">
        <v>0</v>
      </c>
      <c r="AH17" s="122">
        <v>0</v>
      </c>
      <c r="AI17" s="155">
        <f>26125000</f>
        <v>26125000</v>
      </c>
      <c r="AJ17" s="156">
        <v>2.75E-2</v>
      </c>
      <c r="AK17" s="122">
        <f t="shared" si="10"/>
        <v>1995.6597222222222</v>
      </c>
      <c r="AL17" s="155">
        <f t="shared" si="0"/>
        <v>5000000</v>
      </c>
      <c r="AM17" s="156">
        <v>2.8000000000000001E-2</v>
      </c>
      <c r="AN17" s="122">
        <f t="shared" si="11"/>
        <v>388.88888888888891</v>
      </c>
      <c r="AO17" s="155">
        <f t="shared" si="53"/>
        <v>50000000</v>
      </c>
      <c r="AP17" s="156">
        <v>2.9700000000000001E-2</v>
      </c>
      <c r="AQ17" s="122">
        <f t="shared" si="12"/>
        <v>4125</v>
      </c>
      <c r="AR17" s="155"/>
      <c r="AS17" s="156"/>
      <c r="AT17" s="122">
        <f t="shared" si="13"/>
        <v>0</v>
      </c>
      <c r="AW17" s="122">
        <f t="shared" si="14"/>
        <v>0</v>
      </c>
      <c r="AZ17" s="122">
        <f t="shared" si="15"/>
        <v>0</v>
      </c>
      <c r="BC17" s="122">
        <f t="shared" si="16"/>
        <v>0</v>
      </c>
      <c r="BF17" s="122">
        <f t="shared" si="17"/>
        <v>0</v>
      </c>
      <c r="BI17" s="122">
        <f t="shared" si="18"/>
        <v>0</v>
      </c>
      <c r="BL17" s="122">
        <f t="shared" si="19"/>
        <v>0</v>
      </c>
      <c r="BO17" s="122">
        <f t="shared" si="20"/>
        <v>0</v>
      </c>
      <c r="BR17" s="122">
        <f t="shared" si="21"/>
        <v>0</v>
      </c>
      <c r="BU17" s="122">
        <f t="shared" si="22"/>
        <v>0</v>
      </c>
      <c r="BX17" s="122">
        <f t="shared" si="23"/>
        <v>0</v>
      </c>
      <c r="CA17" s="122">
        <f t="shared" si="24"/>
        <v>0</v>
      </c>
      <c r="CD17" s="122">
        <f t="shared" si="25"/>
        <v>0</v>
      </c>
      <c r="CG17" s="122">
        <f t="shared" si="26"/>
        <v>0</v>
      </c>
      <c r="CJ17" s="122">
        <f t="shared" si="27"/>
        <v>0</v>
      </c>
      <c r="CM17" s="122">
        <f t="shared" si="28"/>
        <v>0</v>
      </c>
      <c r="CP17" s="122">
        <f t="shared" si="29"/>
        <v>0</v>
      </c>
      <c r="CS17" s="122">
        <f t="shared" si="30"/>
        <v>0</v>
      </c>
      <c r="CV17" s="122">
        <f t="shared" si="31"/>
        <v>0</v>
      </c>
      <c r="CY17" s="122">
        <f t="shared" si="32"/>
        <v>0</v>
      </c>
      <c r="DB17" s="122">
        <f t="shared" si="33"/>
        <v>0</v>
      </c>
      <c r="DE17" s="122">
        <f t="shared" si="34"/>
        <v>0</v>
      </c>
      <c r="DH17" s="122">
        <f t="shared" si="35"/>
        <v>0</v>
      </c>
      <c r="DK17" s="122">
        <f t="shared" si="36"/>
        <v>0</v>
      </c>
      <c r="DN17" s="122">
        <f t="shared" si="37"/>
        <v>0</v>
      </c>
      <c r="DQ17" s="122">
        <f t="shared" si="38"/>
        <v>0</v>
      </c>
      <c r="DT17" s="122">
        <f t="shared" si="39"/>
        <v>0</v>
      </c>
      <c r="DW17" s="122">
        <f t="shared" si="40"/>
        <v>0</v>
      </c>
      <c r="DZ17" s="122"/>
      <c r="EA17" s="122"/>
      <c r="EB17" s="157">
        <f t="shared" si="41"/>
        <v>81125000</v>
      </c>
      <c r="EC17" s="157">
        <f t="shared" si="42"/>
        <v>0</v>
      </c>
      <c r="ED17" s="122">
        <f t="shared" si="43"/>
        <v>6509.5486111111113</v>
      </c>
      <c r="EE17" s="123">
        <f t="shared" si="44"/>
        <v>2.8886748844375965E-2</v>
      </c>
      <c r="EG17" s="157">
        <f t="shared" si="45"/>
        <v>0</v>
      </c>
      <c r="EH17" s="122">
        <f t="shared" si="46"/>
        <v>0</v>
      </c>
      <c r="EI17" s="123">
        <f t="shared" si="47"/>
        <v>0</v>
      </c>
      <c r="EJ17" s="123"/>
      <c r="EK17" s="157">
        <f t="shared" si="48"/>
        <v>81125000</v>
      </c>
      <c r="EL17" s="157">
        <f t="shared" si="49"/>
        <v>0</v>
      </c>
      <c r="EM17" s="157">
        <f t="shared" si="50"/>
        <v>6509.5486111111113</v>
      </c>
      <c r="EN17" s="123">
        <f t="shared" si="51"/>
        <v>2.8886748844375965E-2</v>
      </c>
    </row>
    <row r="18" spans="1:144" x14ac:dyDescent="0.25">
      <c r="A18" s="66">
        <f t="shared" si="52"/>
        <v>43472</v>
      </c>
      <c r="D18" s="122">
        <f t="shared" si="1"/>
        <v>0</v>
      </c>
      <c r="G18" s="122">
        <f t="shared" si="2"/>
        <v>0</v>
      </c>
      <c r="J18" s="122">
        <f t="shared" si="3"/>
        <v>0</v>
      </c>
      <c r="M18" s="122">
        <f t="shared" si="4"/>
        <v>0</v>
      </c>
      <c r="P18" s="122">
        <f t="shared" si="5"/>
        <v>0</v>
      </c>
      <c r="S18" s="122">
        <f t="shared" si="6"/>
        <v>0</v>
      </c>
      <c r="V18" s="122">
        <f t="shared" si="7"/>
        <v>0</v>
      </c>
      <c r="Y18" s="122">
        <f t="shared" si="8"/>
        <v>0</v>
      </c>
      <c r="AB18" s="122">
        <f t="shared" si="9"/>
        <v>0</v>
      </c>
      <c r="AE18" s="122">
        <v>0</v>
      </c>
      <c r="AH18" s="122">
        <v>0</v>
      </c>
      <c r="AI18" s="155">
        <f>38425000</f>
        <v>38425000</v>
      </c>
      <c r="AJ18" s="156">
        <v>2.7300000000000001E-2</v>
      </c>
      <c r="AK18" s="122">
        <f t="shared" si="10"/>
        <v>2913.8958333333335</v>
      </c>
      <c r="AL18" s="155">
        <f t="shared" si="0"/>
        <v>5000000</v>
      </c>
      <c r="AM18" s="156">
        <v>2.8000000000000001E-2</v>
      </c>
      <c r="AN18" s="122">
        <f t="shared" si="11"/>
        <v>388.88888888888891</v>
      </c>
      <c r="AO18" s="155">
        <f t="shared" si="53"/>
        <v>50000000</v>
      </c>
      <c r="AP18" s="156">
        <v>2.9700000000000001E-2</v>
      </c>
      <c r="AQ18" s="122">
        <f t="shared" si="12"/>
        <v>4125</v>
      </c>
      <c r="AR18" s="155"/>
      <c r="AS18" s="156"/>
      <c r="AT18" s="122">
        <f t="shared" si="13"/>
        <v>0</v>
      </c>
      <c r="AW18" s="122">
        <f t="shared" si="14"/>
        <v>0</v>
      </c>
      <c r="AZ18" s="122">
        <f t="shared" si="15"/>
        <v>0</v>
      </c>
      <c r="BC18" s="122">
        <f t="shared" si="16"/>
        <v>0</v>
      </c>
      <c r="BF18" s="122">
        <f t="shared" si="17"/>
        <v>0</v>
      </c>
      <c r="BI18" s="122">
        <f t="shared" si="18"/>
        <v>0</v>
      </c>
      <c r="BL18" s="122">
        <f t="shared" si="19"/>
        <v>0</v>
      </c>
      <c r="BO18" s="122">
        <f t="shared" si="20"/>
        <v>0</v>
      </c>
      <c r="BR18" s="122">
        <f t="shared" si="21"/>
        <v>0</v>
      </c>
      <c r="BU18" s="122">
        <f t="shared" si="22"/>
        <v>0</v>
      </c>
      <c r="BX18" s="122">
        <f t="shared" si="23"/>
        <v>0</v>
      </c>
      <c r="CA18" s="122">
        <f t="shared" si="24"/>
        <v>0</v>
      </c>
      <c r="CD18" s="122">
        <f t="shared" si="25"/>
        <v>0</v>
      </c>
      <c r="CG18" s="122">
        <f t="shared" si="26"/>
        <v>0</v>
      </c>
      <c r="CJ18" s="122">
        <f t="shared" si="27"/>
        <v>0</v>
      </c>
      <c r="CM18" s="122">
        <f t="shared" si="28"/>
        <v>0</v>
      </c>
      <c r="CP18" s="122">
        <f t="shared" si="29"/>
        <v>0</v>
      </c>
      <c r="CS18" s="122">
        <f t="shared" si="30"/>
        <v>0</v>
      </c>
      <c r="CV18" s="122">
        <f t="shared" si="31"/>
        <v>0</v>
      </c>
      <c r="CY18" s="122">
        <f t="shared" si="32"/>
        <v>0</v>
      </c>
      <c r="DB18" s="122">
        <f t="shared" si="33"/>
        <v>0</v>
      </c>
      <c r="DE18" s="122">
        <f t="shared" si="34"/>
        <v>0</v>
      </c>
      <c r="DH18" s="122">
        <f t="shared" si="35"/>
        <v>0</v>
      </c>
      <c r="DK18" s="122">
        <f t="shared" si="36"/>
        <v>0</v>
      </c>
      <c r="DN18" s="122">
        <f t="shared" si="37"/>
        <v>0</v>
      </c>
      <c r="DQ18" s="122">
        <f t="shared" si="38"/>
        <v>0</v>
      </c>
      <c r="DT18" s="122">
        <f t="shared" si="39"/>
        <v>0</v>
      </c>
      <c r="DW18" s="122">
        <f t="shared" si="40"/>
        <v>0</v>
      </c>
      <c r="DZ18" s="122"/>
      <c r="EA18" s="122"/>
      <c r="EB18" s="157">
        <f t="shared" si="41"/>
        <v>93425000</v>
      </c>
      <c r="EC18" s="157">
        <f t="shared" si="42"/>
        <v>0</v>
      </c>
      <c r="ED18" s="122">
        <f t="shared" si="43"/>
        <v>7427.7847222222226</v>
      </c>
      <c r="EE18" s="123">
        <f t="shared" si="44"/>
        <v>2.8621915975381322E-2</v>
      </c>
      <c r="EG18" s="157">
        <f t="shared" si="45"/>
        <v>0</v>
      </c>
      <c r="EH18" s="122">
        <f t="shared" si="46"/>
        <v>0</v>
      </c>
      <c r="EI18" s="123">
        <f t="shared" si="47"/>
        <v>0</v>
      </c>
      <c r="EJ18" s="123"/>
      <c r="EK18" s="157">
        <f t="shared" si="48"/>
        <v>93425000</v>
      </c>
      <c r="EL18" s="157">
        <f t="shared" si="49"/>
        <v>0</v>
      </c>
      <c r="EM18" s="157">
        <f t="shared" si="50"/>
        <v>7427.7847222222226</v>
      </c>
      <c r="EN18" s="123">
        <f t="shared" si="51"/>
        <v>2.8621915975381322E-2</v>
      </c>
    </row>
    <row r="19" spans="1:144" x14ac:dyDescent="0.25">
      <c r="A19" s="66">
        <f t="shared" si="52"/>
        <v>43473</v>
      </c>
      <c r="D19" s="122">
        <f t="shared" si="1"/>
        <v>0</v>
      </c>
      <c r="G19" s="122">
        <f t="shared" si="2"/>
        <v>0</v>
      </c>
      <c r="J19" s="122">
        <f t="shared" si="3"/>
        <v>0</v>
      </c>
      <c r="M19" s="122">
        <f t="shared" si="4"/>
        <v>0</v>
      </c>
      <c r="P19" s="122">
        <f t="shared" si="5"/>
        <v>0</v>
      </c>
      <c r="S19" s="122">
        <f t="shared" si="6"/>
        <v>0</v>
      </c>
      <c r="V19" s="122">
        <f t="shared" si="7"/>
        <v>0</v>
      </c>
      <c r="Y19" s="122">
        <f t="shared" si="8"/>
        <v>0</v>
      </c>
      <c r="AB19" s="122">
        <f t="shared" si="9"/>
        <v>0</v>
      </c>
      <c r="AE19" s="122">
        <v>0</v>
      </c>
      <c r="AH19" s="122">
        <v>0</v>
      </c>
      <c r="AI19" s="155">
        <f>38275000</f>
        <v>38275000</v>
      </c>
      <c r="AJ19" s="156">
        <v>2.7199999999999998E-2</v>
      </c>
      <c r="AK19" s="122">
        <f t="shared" si="10"/>
        <v>2891.8888888888887</v>
      </c>
      <c r="AL19" s="155">
        <f t="shared" si="0"/>
        <v>5000000</v>
      </c>
      <c r="AM19" s="156">
        <v>2.8000000000000001E-2</v>
      </c>
      <c r="AN19" s="122">
        <f t="shared" si="11"/>
        <v>388.88888888888891</v>
      </c>
      <c r="AO19" s="155">
        <f t="shared" si="53"/>
        <v>50000000</v>
      </c>
      <c r="AP19" s="156">
        <v>2.9700000000000001E-2</v>
      </c>
      <c r="AQ19" s="122">
        <f t="shared" si="12"/>
        <v>4125</v>
      </c>
      <c r="AR19" s="155"/>
      <c r="AS19" s="156"/>
      <c r="AT19" s="122">
        <f t="shared" si="13"/>
        <v>0</v>
      </c>
      <c r="AW19" s="122">
        <f t="shared" si="14"/>
        <v>0</v>
      </c>
      <c r="AZ19" s="122">
        <f t="shared" si="15"/>
        <v>0</v>
      </c>
      <c r="BC19" s="122">
        <f t="shared" si="16"/>
        <v>0</v>
      </c>
      <c r="BF19" s="122">
        <f t="shared" si="17"/>
        <v>0</v>
      </c>
      <c r="BI19" s="122">
        <f t="shared" si="18"/>
        <v>0</v>
      </c>
      <c r="BL19" s="122">
        <f t="shared" si="19"/>
        <v>0</v>
      </c>
      <c r="BO19" s="122">
        <f t="shared" si="20"/>
        <v>0</v>
      </c>
      <c r="BR19" s="122">
        <f t="shared" si="21"/>
        <v>0</v>
      </c>
      <c r="BU19" s="122">
        <f t="shared" si="22"/>
        <v>0</v>
      </c>
      <c r="BX19" s="122">
        <f t="shared" si="23"/>
        <v>0</v>
      </c>
      <c r="CA19" s="122">
        <f t="shared" si="24"/>
        <v>0</v>
      </c>
      <c r="CD19" s="122">
        <f t="shared" si="25"/>
        <v>0</v>
      </c>
      <c r="CG19" s="122">
        <f t="shared" si="26"/>
        <v>0</v>
      </c>
      <c r="CJ19" s="122">
        <f t="shared" si="27"/>
        <v>0</v>
      </c>
      <c r="CM19" s="122">
        <f t="shared" si="28"/>
        <v>0</v>
      </c>
      <c r="CP19" s="122">
        <f t="shared" si="29"/>
        <v>0</v>
      </c>
      <c r="CS19" s="122">
        <f t="shared" si="30"/>
        <v>0</v>
      </c>
      <c r="CV19" s="122">
        <f t="shared" si="31"/>
        <v>0</v>
      </c>
      <c r="CY19" s="122">
        <f t="shared" si="32"/>
        <v>0</v>
      </c>
      <c r="DB19" s="122">
        <f t="shared" si="33"/>
        <v>0</v>
      </c>
      <c r="DE19" s="122">
        <f t="shared" si="34"/>
        <v>0</v>
      </c>
      <c r="DH19" s="122">
        <f t="shared" si="35"/>
        <v>0</v>
      </c>
      <c r="DK19" s="122">
        <f t="shared" si="36"/>
        <v>0</v>
      </c>
      <c r="DN19" s="122">
        <f t="shared" si="37"/>
        <v>0</v>
      </c>
      <c r="DQ19" s="122">
        <f t="shared" si="38"/>
        <v>0</v>
      </c>
      <c r="DT19" s="122">
        <f t="shared" si="39"/>
        <v>0</v>
      </c>
      <c r="DW19" s="122">
        <f t="shared" si="40"/>
        <v>0</v>
      </c>
      <c r="DZ19" s="122"/>
      <c r="EA19" s="122"/>
      <c r="EB19" s="157">
        <f t="shared" si="41"/>
        <v>93275000</v>
      </c>
      <c r="EC19" s="157">
        <f t="shared" si="42"/>
        <v>0</v>
      </c>
      <c r="ED19" s="122">
        <f t="shared" si="43"/>
        <v>7405.7777777777774</v>
      </c>
      <c r="EE19" s="123">
        <f t="shared" si="44"/>
        <v>2.8583007236665771E-2</v>
      </c>
      <c r="EG19" s="157">
        <f t="shared" si="45"/>
        <v>0</v>
      </c>
      <c r="EH19" s="122">
        <f t="shared" si="46"/>
        <v>0</v>
      </c>
      <c r="EI19" s="123">
        <f t="shared" si="47"/>
        <v>0</v>
      </c>
      <c r="EJ19" s="123"/>
      <c r="EK19" s="157">
        <f t="shared" si="48"/>
        <v>93275000</v>
      </c>
      <c r="EL19" s="157">
        <f t="shared" si="49"/>
        <v>0</v>
      </c>
      <c r="EM19" s="157">
        <f t="shared" si="50"/>
        <v>7405.7777777777774</v>
      </c>
      <c r="EN19" s="123">
        <f t="shared" si="51"/>
        <v>2.8583007236665771E-2</v>
      </c>
    </row>
    <row r="20" spans="1:144" x14ac:dyDescent="0.25">
      <c r="A20" s="66">
        <f t="shared" si="52"/>
        <v>43474</v>
      </c>
      <c r="D20" s="122">
        <f t="shared" si="1"/>
        <v>0</v>
      </c>
      <c r="G20" s="122">
        <f t="shared" si="2"/>
        <v>0</v>
      </c>
      <c r="J20" s="122">
        <f t="shared" si="3"/>
        <v>0</v>
      </c>
      <c r="M20" s="122">
        <f t="shared" si="4"/>
        <v>0</v>
      </c>
      <c r="P20" s="122">
        <f t="shared" si="5"/>
        <v>0</v>
      </c>
      <c r="S20" s="122">
        <f t="shared" si="6"/>
        <v>0</v>
      </c>
      <c r="V20" s="122">
        <f t="shared" si="7"/>
        <v>0</v>
      </c>
      <c r="Y20" s="122">
        <f t="shared" si="8"/>
        <v>0</v>
      </c>
      <c r="AB20" s="122">
        <f t="shared" si="9"/>
        <v>0</v>
      </c>
      <c r="AE20" s="122">
        <v>0</v>
      </c>
      <c r="AH20" s="122">
        <v>0</v>
      </c>
      <c r="AI20" s="155">
        <f>41875000</f>
        <v>41875000</v>
      </c>
      <c r="AJ20" s="156">
        <v>2.7E-2</v>
      </c>
      <c r="AK20" s="122">
        <f t="shared" si="10"/>
        <v>3140.625</v>
      </c>
      <c r="AL20" s="155">
        <f t="shared" si="0"/>
        <v>5000000</v>
      </c>
      <c r="AM20" s="156">
        <v>2.8000000000000001E-2</v>
      </c>
      <c r="AN20" s="122">
        <f t="shared" si="11"/>
        <v>388.88888888888891</v>
      </c>
      <c r="AO20" s="155">
        <f t="shared" si="53"/>
        <v>50000000</v>
      </c>
      <c r="AP20" s="156">
        <v>2.9700000000000001E-2</v>
      </c>
      <c r="AQ20" s="122">
        <f t="shared" si="12"/>
        <v>4125</v>
      </c>
      <c r="AR20" s="155"/>
      <c r="AS20" s="156"/>
      <c r="AT20" s="122">
        <f t="shared" si="13"/>
        <v>0</v>
      </c>
      <c r="AW20" s="122">
        <f t="shared" si="14"/>
        <v>0</v>
      </c>
      <c r="AZ20" s="122">
        <f t="shared" si="15"/>
        <v>0</v>
      </c>
      <c r="BC20" s="122">
        <f t="shared" si="16"/>
        <v>0</v>
      </c>
      <c r="BF20" s="122">
        <f t="shared" si="17"/>
        <v>0</v>
      </c>
      <c r="BI20" s="122">
        <f t="shared" si="18"/>
        <v>0</v>
      </c>
      <c r="BL20" s="122">
        <f t="shared" si="19"/>
        <v>0</v>
      </c>
      <c r="BO20" s="122">
        <f t="shared" si="20"/>
        <v>0</v>
      </c>
      <c r="BR20" s="122">
        <f t="shared" si="21"/>
        <v>0</v>
      </c>
      <c r="BU20" s="122">
        <f t="shared" si="22"/>
        <v>0</v>
      </c>
      <c r="BX20" s="122">
        <f t="shared" si="23"/>
        <v>0</v>
      </c>
      <c r="CA20" s="122">
        <f t="shared" si="24"/>
        <v>0</v>
      </c>
      <c r="CD20" s="122">
        <f t="shared" si="25"/>
        <v>0</v>
      </c>
      <c r="CG20" s="122">
        <f t="shared" si="26"/>
        <v>0</v>
      </c>
      <c r="CJ20" s="122">
        <f t="shared" si="27"/>
        <v>0</v>
      </c>
      <c r="CM20" s="122">
        <f t="shared" si="28"/>
        <v>0</v>
      </c>
      <c r="CP20" s="122">
        <f t="shared" si="29"/>
        <v>0</v>
      </c>
      <c r="CS20" s="122">
        <f t="shared" si="30"/>
        <v>0</v>
      </c>
      <c r="CV20" s="122">
        <f t="shared" si="31"/>
        <v>0</v>
      </c>
      <c r="CY20" s="122">
        <f t="shared" si="32"/>
        <v>0</v>
      </c>
      <c r="DB20" s="122">
        <f t="shared" si="33"/>
        <v>0</v>
      </c>
      <c r="DE20" s="122">
        <f t="shared" si="34"/>
        <v>0</v>
      </c>
      <c r="DH20" s="122">
        <f t="shared" si="35"/>
        <v>0</v>
      </c>
      <c r="DK20" s="122">
        <f t="shared" si="36"/>
        <v>0</v>
      </c>
      <c r="DN20" s="122">
        <f t="shared" si="37"/>
        <v>0</v>
      </c>
      <c r="DQ20" s="122">
        <f t="shared" si="38"/>
        <v>0</v>
      </c>
      <c r="DT20" s="122">
        <f t="shared" si="39"/>
        <v>0</v>
      </c>
      <c r="DW20" s="122">
        <f t="shared" si="40"/>
        <v>0</v>
      </c>
      <c r="DZ20" s="122"/>
      <c r="EA20" s="122"/>
      <c r="EB20" s="157">
        <f t="shared" si="41"/>
        <v>96875000</v>
      </c>
      <c r="EC20" s="157">
        <f t="shared" si="42"/>
        <v>0</v>
      </c>
      <c r="ED20" s="122">
        <f t="shared" si="43"/>
        <v>7654.5138888888887</v>
      </c>
      <c r="EE20" s="123">
        <f t="shared" si="44"/>
        <v>2.8445161290322582E-2</v>
      </c>
      <c r="EG20" s="157">
        <f t="shared" si="45"/>
        <v>0</v>
      </c>
      <c r="EH20" s="122">
        <f t="shared" si="46"/>
        <v>0</v>
      </c>
      <c r="EI20" s="123">
        <f t="shared" si="47"/>
        <v>0</v>
      </c>
      <c r="EJ20" s="123"/>
      <c r="EK20" s="157">
        <f t="shared" si="48"/>
        <v>96875000</v>
      </c>
      <c r="EL20" s="157">
        <f t="shared" si="49"/>
        <v>0</v>
      </c>
      <c r="EM20" s="157">
        <f t="shared" si="50"/>
        <v>7654.5138888888887</v>
      </c>
      <c r="EN20" s="123">
        <f t="shared" si="51"/>
        <v>2.8445161290322582E-2</v>
      </c>
    </row>
    <row r="21" spans="1:144" x14ac:dyDescent="0.25">
      <c r="A21" s="66">
        <f t="shared" si="52"/>
        <v>43475</v>
      </c>
      <c r="D21" s="122">
        <f t="shared" si="1"/>
        <v>0</v>
      </c>
      <c r="G21" s="122">
        <f t="shared" si="2"/>
        <v>0</v>
      </c>
      <c r="J21" s="122">
        <f t="shared" si="3"/>
        <v>0</v>
      </c>
      <c r="M21" s="122">
        <f t="shared" si="4"/>
        <v>0</v>
      </c>
      <c r="P21" s="122">
        <f t="shared" si="5"/>
        <v>0</v>
      </c>
      <c r="S21" s="122">
        <f t="shared" si="6"/>
        <v>0</v>
      </c>
      <c r="V21" s="122">
        <f t="shared" si="7"/>
        <v>0</v>
      </c>
      <c r="Y21" s="122">
        <f t="shared" si="8"/>
        <v>0</v>
      </c>
      <c r="AB21" s="122">
        <f t="shared" si="9"/>
        <v>0</v>
      </c>
      <c r="AE21" s="122">
        <v>0</v>
      </c>
      <c r="AH21" s="122">
        <v>0</v>
      </c>
      <c r="AI21" s="155">
        <f>37400000</f>
        <v>37400000</v>
      </c>
      <c r="AJ21" s="156">
        <v>2.7E-2</v>
      </c>
      <c r="AK21" s="122">
        <f t="shared" si="10"/>
        <v>2805</v>
      </c>
      <c r="AL21" s="155">
        <f t="shared" si="0"/>
        <v>5000000</v>
      </c>
      <c r="AM21" s="156">
        <v>2.8000000000000001E-2</v>
      </c>
      <c r="AN21" s="122">
        <f t="shared" si="11"/>
        <v>388.88888888888891</v>
      </c>
      <c r="AO21" s="155">
        <f t="shared" si="53"/>
        <v>50000000</v>
      </c>
      <c r="AP21" s="156">
        <v>2.9700000000000001E-2</v>
      </c>
      <c r="AQ21" s="122">
        <f t="shared" si="12"/>
        <v>4125</v>
      </c>
      <c r="AR21" s="155"/>
      <c r="AS21" s="156"/>
      <c r="AT21" s="122">
        <f t="shared" si="13"/>
        <v>0</v>
      </c>
      <c r="AW21" s="122">
        <f t="shared" si="14"/>
        <v>0</v>
      </c>
      <c r="AZ21" s="122">
        <f t="shared" si="15"/>
        <v>0</v>
      </c>
      <c r="BC21" s="122">
        <f t="shared" si="16"/>
        <v>0</v>
      </c>
      <c r="BF21" s="122">
        <f t="shared" si="17"/>
        <v>0</v>
      </c>
      <c r="BI21" s="122">
        <f t="shared" si="18"/>
        <v>0</v>
      </c>
      <c r="BL21" s="122">
        <f t="shared" si="19"/>
        <v>0</v>
      </c>
      <c r="BO21" s="122">
        <f t="shared" si="20"/>
        <v>0</v>
      </c>
      <c r="BR21" s="122">
        <f t="shared" si="21"/>
        <v>0</v>
      </c>
      <c r="BU21" s="122">
        <f t="shared" si="22"/>
        <v>0</v>
      </c>
      <c r="BX21" s="122">
        <f t="shared" si="23"/>
        <v>0</v>
      </c>
      <c r="CA21" s="122">
        <f t="shared" si="24"/>
        <v>0</v>
      </c>
      <c r="CD21" s="122">
        <f t="shared" si="25"/>
        <v>0</v>
      </c>
      <c r="CG21" s="122">
        <f t="shared" si="26"/>
        <v>0</v>
      </c>
      <c r="CJ21" s="122">
        <f t="shared" si="27"/>
        <v>0</v>
      </c>
      <c r="CM21" s="122">
        <f t="shared" si="28"/>
        <v>0</v>
      </c>
      <c r="CP21" s="122">
        <f t="shared" si="29"/>
        <v>0</v>
      </c>
      <c r="CS21" s="122">
        <f t="shared" si="30"/>
        <v>0</v>
      </c>
      <c r="CV21" s="122">
        <f t="shared" si="31"/>
        <v>0</v>
      </c>
      <c r="CY21" s="122">
        <f t="shared" si="32"/>
        <v>0</v>
      </c>
      <c r="DB21" s="122">
        <f t="shared" si="33"/>
        <v>0</v>
      </c>
      <c r="DE21" s="122">
        <f t="shared" si="34"/>
        <v>0</v>
      </c>
      <c r="DH21" s="122">
        <f t="shared" si="35"/>
        <v>0</v>
      </c>
      <c r="DK21" s="122">
        <f t="shared" si="36"/>
        <v>0</v>
      </c>
      <c r="DN21" s="122">
        <f t="shared" si="37"/>
        <v>0</v>
      </c>
      <c r="DQ21" s="122">
        <f t="shared" si="38"/>
        <v>0</v>
      </c>
      <c r="DT21" s="122">
        <f t="shared" si="39"/>
        <v>0</v>
      </c>
      <c r="DW21" s="122">
        <f t="shared" si="40"/>
        <v>0</v>
      </c>
      <c r="DZ21" s="122"/>
      <c r="EA21" s="122"/>
      <c r="EB21" s="157">
        <f t="shared" si="41"/>
        <v>92400000</v>
      </c>
      <c r="EC21" s="157">
        <f t="shared" si="42"/>
        <v>0</v>
      </c>
      <c r="ED21" s="122">
        <f t="shared" si="43"/>
        <v>7318.8888888888887</v>
      </c>
      <c r="EE21" s="123">
        <f t="shared" si="44"/>
        <v>2.8515151515151518E-2</v>
      </c>
      <c r="EG21" s="157">
        <f t="shared" si="45"/>
        <v>0</v>
      </c>
      <c r="EH21" s="122">
        <f t="shared" si="46"/>
        <v>0</v>
      </c>
      <c r="EI21" s="123">
        <f t="shared" si="47"/>
        <v>0</v>
      </c>
      <c r="EJ21" s="123"/>
      <c r="EK21" s="157">
        <f t="shared" si="48"/>
        <v>92400000</v>
      </c>
      <c r="EL21" s="157">
        <f t="shared" si="49"/>
        <v>0</v>
      </c>
      <c r="EM21" s="157">
        <f t="shared" si="50"/>
        <v>7318.8888888888887</v>
      </c>
      <c r="EN21" s="123">
        <f t="shared" si="51"/>
        <v>2.8515151515151518E-2</v>
      </c>
    </row>
    <row r="22" spans="1:144" x14ac:dyDescent="0.25">
      <c r="A22" s="66">
        <f t="shared" si="52"/>
        <v>43476</v>
      </c>
      <c r="D22" s="122">
        <f t="shared" si="1"/>
        <v>0</v>
      </c>
      <c r="G22" s="122">
        <f t="shared" si="2"/>
        <v>0</v>
      </c>
      <c r="J22" s="122">
        <f t="shared" si="3"/>
        <v>0</v>
      </c>
      <c r="M22" s="122">
        <f t="shared" si="4"/>
        <v>0</v>
      </c>
      <c r="P22" s="122">
        <f t="shared" si="5"/>
        <v>0</v>
      </c>
      <c r="S22" s="122">
        <f t="shared" si="6"/>
        <v>0</v>
      </c>
      <c r="V22" s="122">
        <f t="shared" si="7"/>
        <v>0</v>
      </c>
      <c r="Y22" s="122">
        <f t="shared" si="8"/>
        <v>0</v>
      </c>
      <c r="AB22" s="122">
        <f t="shared" si="9"/>
        <v>0</v>
      </c>
      <c r="AE22" s="122">
        <v>0</v>
      </c>
      <c r="AH22" s="122">
        <v>0</v>
      </c>
      <c r="AI22" s="155">
        <f>31575000</f>
        <v>31575000</v>
      </c>
      <c r="AJ22" s="156">
        <v>2.7E-2</v>
      </c>
      <c r="AK22" s="122">
        <f t="shared" si="10"/>
        <v>2368.125</v>
      </c>
      <c r="AL22" s="155">
        <f t="shared" si="0"/>
        <v>5000000</v>
      </c>
      <c r="AM22" s="156">
        <v>2.8000000000000001E-2</v>
      </c>
      <c r="AN22" s="122">
        <f t="shared" si="11"/>
        <v>388.88888888888891</v>
      </c>
      <c r="AO22" s="155">
        <f t="shared" si="53"/>
        <v>50000000</v>
      </c>
      <c r="AP22" s="156">
        <v>2.9700000000000001E-2</v>
      </c>
      <c r="AQ22" s="122">
        <f t="shared" si="12"/>
        <v>4125</v>
      </c>
      <c r="AR22" s="155"/>
      <c r="AS22" s="156"/>
      <c r="AT22" s="122">
        <f t="shared" si="13"/>
        <v>0</v>
      </c>
      <c r="AW22" s="122">
        <f t="shared" si="14"/>
        <v>0</v>
      </c>
      <c r="AZ22" s="122">
        <f t="shared" si="15"/>
        <v>0</v>
      </c>
      <c r="BC22" s="122">
        <f t="shared" si="16"/>
        <v>0</v>
      </c>
      <c r="BF22" s="122">
        <f t="shared" si="17"/>
        <v>0</v>
      </c>
      <c r="BI22" s="122">
        <f t="shared" si="18"/>
        <v>0</v>
      </c>
      <c r="BL22" s="122">
        <f t="shared" si="19"/>
        <v>0</v>
      </c>
      <c r="BO22" s="122">
        <f t="shared" si="20"/>
        <v>0</v>
      </c>
      <c r="BR22" s="122">
        <f t="shared" si="21"/>
        <v>0</v>
      </c>
      <c r="BU22" s="122">
        <f t="shared" si="22"/>
        <v>0</v>
      </c>
      <c r="BX22" s="122">
        <f t="shared" si="23"/>
        <v>0</v>
      </c>
      <c r="CA22" s="122">
        <f t="shared" si="24"/>
        <v>0</v>
      </c>
      <c r="CD22" s="122">
        <f t="shared" si="25"/>
        <v>0</v>
      </c>
      <c r="CG22" s="122">
        <f t="shared" si="26"/>
        <v>0</v>
      </c>
      <c r="CJ22" s="122">
        <f t="shared" si="27"/>
        <v>0</v>
      </c>
      <c r="CM22" s="122">
        <f t="shared" si="28"/>
        <v>0</v>
      </c>
      <c r="CP22" s="122">
        <f t="shared" si="29"/>
        <v>0</v>
      </c>
      <c r="CS22" s="122">
        <f t="shared" si="30"/>
        <v>0</v>
      </c>
      <c r="CV22" s="122">
        <f t="shared" si="31"/>
        <v>0</v>
      </c>
      <c r="CY22" s="122">
        <f t="shared" si="32"/>
        <v>0</v>
      </c>
      <c r="DB22" s="122">
        <f t="shared" si="33"/>
        <v>0</v>
      </c>
      <c r="DE22" s="122">
        <f t="shared" si="34"/>
        <v>0</v>
      </c>
      <c r="DH22" s="122">
        <f t="shared" si="35"/>
        <v>0</v>
      </c>
      <c r="DK22" s="122">
        <f t="shared" si="36"/>
        <v>0</v>
      </c>
      <c r="DN22" s="122">
        <f t="shared" si="37"/>
        <v>0</v>
      </c>
      <c r="DQ22" s="122">
        <f t="shared" si="38"/>
        <v>0</v>
      </c>
      <c r="DT22" s="122">
        <f t="shared" si="39"/>
        <v>0</v>
      </c>
      <c r="DW22" s="122">
        <f t="shared" si="40"/>
        <v>0</v>
      </c>
      <c r="DZ22" s="122"/>
      <c r="EA22" s="122"/>
      <c r="EB22" s="157">
        <f t="shared" si="41"/>
        <v>86575000</v>
      </c>
      <c r="EC22" s="157">
        <f t="shared" si="42"/>
        <v>0</v>
      </c>
      <c r="ED22" s="122">
        <f t="shared" si="43"/>
        <v>6882.0138888888887</v>
      </c>
      <c r="EE22" s="123">
        <f t="shared" si="44"/>
        <v>2.8617095004331503E-2</v>
      </c>
      <c r="EG22" s="157">
        <f t="shared" si="45"/>
        <v>0</v>
      </c>
      <c r="EH22" s="122">
        <f t="shared" si="46"/>
        <v>0</v>
      </c>
      <c r="EI22" s="123">
        <f t="shared" si="47"/>
        <v>0</v>
      </c>
      <c r="EJ22" s="123"/>
      <c r="EK22" s="157">
        <f t="shared" si="48"/>
        <v>86575000</v>
      </c>
      <c r="EL22" s="157">
        <f t="shared" si="49"/>
        <v>0</v>
      </c>
      <c r="EM22" s="157">
        <f t="shared" si="50"/>
        <v>6882.0138888888887</v>
      </c>
      <c r="EN22" s="123">
        <f t="shared" si="51"/>
        <v>2.8617095004331503E-2</v>
      </c>
    </row>
    <row r="23" spans="1:144" x14ac:dyDescent="0.25">
      <c r="A23" s="66">
        <f t="shared" si="52"/>
        <v>43477</v>
      </c>
      <c r="D23" s="122">
        <f t="shared" si="1"/>
        <v>0</v>
      </c>
      <c r="G23" s="122">
        <f t="shared" si="2"/>
        <v>0</v>
      </c>
      <c r="J23" s="122">
        <f t="shared" si="3"/>
        <v>0</v>
      </c>
      <c r="M23" s="122">
        <f t="shared" si="4"/>
        <v>0</v>
      </c>
      <c r="P23" s="122">
        <f t="shared" si="5"/>
        <v>0</v>
      </c>
      <c r="S23" s="122">
        <f t="shared" si="6"/>
        <v>0</v>
      </c>
      <c r="V23" s="122">
        <f t="shared" si="7"/>
        <v>0</v>
      </c>
      <c r="Y23" s="122">
        <f t="shared" si="8"/>
        <v>0</v>
      </c>
      <c r="AB23" s="122">
        <f t="shared" si="9"/>
        <v>0</v>
      </c>
      <c r="AE23" s="122">
        <v>0</v>
      </c>
      <c r="AH23" s="122">
        <v>0</v>
      </c>
      <c r="AI23" s="155">
        <f>31575000</f>
        <v>31575000</v>
      </c>
      <c r="AJ23" s="156">
        <v>2.7E-2</v>
      </c>
      <c r="AK23" s="122">
        <f t="shared" si="10"/>
        <v>2368.125</v>
      </c>
      <c r="AL23" s="155">
        <f t="shared" si="0"/>
        <v>5000000</v>
      </c>
      <c r="AM23" s="156">
        <v>2.8000000000000001E-2</v>
      </c>
      <c r="AN23" s="122">
        <f t="shared" si="11"/>
        <v>388.88888888888891</v>
      </c>
      <c r="AO23" s="155">
        <f t="shared" si="53"/>
        <v>50000000</v>
      </c>
      <c r="AP23" s="156">
        <v>2.9700000000000001E-2</v>
      </c>
      <c r="AQ23" s="122">
        <f t="shared" si="12"/>
        <v>4125</v>
      </c>
      <c r="AR23" s="155"/>
      <c r="AS23" s="156"/>
      <c r="AT23" s="122">
        <f t="shared" si="13"/>
        <v>0</v>
      </c>
      <c r="AW23" s="122">
        <f t="shared" si="14"/>
        <v>0</v>
      </c>
      <c r="AZ23" s="122">
        <f t="shared" si="15"/>
        <v>0</v>
      </c>
      <c r="BC23" s="122">
        <f t="shared" si="16"/>
        <v>0</v>
      </c>
      <c r="BF23" s="122">
        <f t="shared" si="17"/>
        <v>0</v>
      </c>
      <c r="BI23" s="122">
        <f t="shared" si="18"/>
        <v>0</v>
      </c>
      <c r="BL23" s="122">
        <f t="shared" si="19"/>
        <v>0</v>
      </c>
      <c r="BO23" s="122">
        <f t="shared" si="20"/>
        <v>0</v>
      </c>
      <c r="BR23" s="122">
        <f t="shared" si="21"/>
        <v>0</v>
      </c>
      <c r="BU23" s="122">
        <f t="shared" si="22"/>
        <v>0</v>
      </c>
      <c r="BX23" s="122">
        <f t="shared" si="23"/>
        <v>0</v>
      </c>
      <c r="CA23" s="122">
        <f t="shared" si="24"/>
        <v>0</v>
      </c>
      <c r="CD23" s="122">
        <f t="shared" si="25"/>
        <v>0</v>
      </c>
      <c r="CG23" s="122">
        <f t="shared" si="26"/>
        <v>0</v>
      </c>
      <c r="CJ23" s="122">
        <f t="shared" si="27"/>
        <v>0</v>
      </c>
      <c r="CM23" s="122">
        <f t="shared" si="28"/>
        <v>0</v>
      </c>
      <c r="CP23" s="122">
        <f t="shared" si="29"/>
        <v>0</v>
      </c>
      <c r="CS23" s="122">
        <f t="shared" si="30"/>
        <v>0</v>
      </c>
      <c r="CV23" s="122">
        <f t="shared" si="31"/>
        <v>0</v>
      </c>
      <c r="CY23" s="122">
        <f t="shared" si="32"/>
        <v>0</v>
      </c>
      <c r="DB23" s="122">
        <f t="shared" si="33"/>
        <v>0</v>
      </c>
      <c r="DE23" s="122">
        <f t="shared" si="34"/>
        <v>0</v>
      </c>
      <c r="DH23" s="122">
        <f t="shared" si="35"/>
        <v>0</v>
      </c>
      <c r="DK23" s="122">
        <f t="shared" si="36"/>
        <v>0</v>
      </c>
      <c r="DN23" s="122">
        <f t="shared" si="37"/>
        <v>0</v>
      </c>
      <c r="DQ23" s="122">
        <f t="shared" si="38"/>
        <v>0</v>
      </c>
      <c r="DT23" s="122">
        <f t="shared" si="39"/>
        <v>0</v>
      </c>
      <c r="DW23" s="122">
        <f t="shared" si="40"/>
        <v>0</v>
      </c>
      <c r="DZ23" s="122"/>
      <c r="EA23" s="122"/>
      <c r="EB23" s="157">
        <f t="shared" si="41"/>
        <v>86575000</v>
      </c>
      <c r="EC23" s="157">
        <f t="shared" si="42"/>
        <v>0</v>
      </c>
      <c r="ED23" s="122">
        <f t="shared" si="43"/>
        <v>6882.0138888888887</v>
      </c>
      <c r="EE23" s="123">
        <f t="shared" si="44"/>
        <v>2.8617095004331503E-2</v>
      </c>
      <c r="EG23" s="157">
        <f t="shared" si="45"/>
        <v>0</v>
      </c>
      <c r="EH23" s="122">
        <f t="shared" si="46"/>
        <v>0</v>
      </c>
      <c r="EI23" s="123">
        <f t="shared" si="47"/>
        <v>0</v>
      </c>
      <c r="EJ23" s="123"/>
      <c r="EK23" s="157">
        <f t="shared" si="48"/>
        <v>86575000</v>
      </c>
      <c r="EL23" s="157">
        <f t="shared" si="49"/>
        <v>0</v>
      </c>
      <c r="EM23" s="157">
        <f t="shared" si="50"/>
        <v>6882.0138888888887</v>
      </c>
      <c r="EN23" s="123">
        <f t="shared" si="51"/>
        <v>2.8617095004331503E-2</v>
      </c>
    </row>
    <row r="24" spans="1:144" x14ac:dyDescent="0.25">
      <c r="A24" s="66">
        <f t="shared" si="52"/>
        <v>43478</v>
      </c>
      <c r="D24" s="122">
        <f t="shared" si="1"/>
        <v>0</v>
      </c>
      <c r="G24" s="122">
        <f t="shared" si="2"/>
        <v>0</v>
      </c>
      <c r="J24" s="122">
        <f t="shared" si="3"/>
        <v>0</v>
      </c>
      <c r="M24" s="122">
        <f t="shared" si="4"/>
        <v>0</v>
      </c>
      <c r="P24" s="122">
        <f t="shared" si="5"/>
        <v>0</v>
      </c>
      <c r="S24" s="122">
        <f t="shared" si="6"/>
        <v>0</v>
      </c>
      <c r="V24" s="122">
        <f t="shared" si="7"/>
        <v>0</v>
      </c>
      <c r="Y24" s="122">
        <f t="shared" si="8"/>
        <v>0</v>
      </c>
      <c r="AB24" s="122">
        <f t="shared" si="9"/>
        <v>0</v>
      </c>
      <c r="AE24" s="122">
        <v>0</v>
      </c>
      <c r="AH24" s="122">
        <v>0</v>
      </c>
      <c r="AI24" s="155">
        <f>31575000</f>
        <v>31575000</v>
      </c>
      <c r="AJ24" s="156">
        <v>2.7E-2</v>
      </c>
      <c r="AK24" s="122">
        <f t="shared" si="10"/>
        <v>2368.125</v>
      </c>
      <c r="AL24" s="155">
        <f t="shared" si="0"/>
        <v>5000000</v>
      </c>
      <c r="AM24" s="156">
        <v>2.8000000000000001E-2</v>
      </c>
      <c r="AN24" s="122">
        <f t="shared" si="11"/>
        <v>388.88888888888891</v>
      </c>
      <c r="AO24" s="155">
        <f t="shared" si="53"/>
        <v>50000000</v>
      </c>
      <c r="AP24" s="156">
        <v>2.9700000000000001E-2</v>
      </c>
      <c r="AQ24" s="122">
        <f t="shared" si="12"/>
        <v>4125</v>
      </c>
      <c r="AR24" s="155"/>
      <c r="AS24" s="156"/>
      <c r="AT24" s="122">
        <f t="shared" si="13"/>
        <v>0</v>
      </c>
      <c r="AW24" s="122">
        <f t="shared" si="14"/>
        <v>0</v>
      </c>
      <c r="AZ24" s="122">
        <f t="shared" si="15"/>
        <v>0</v>
      </c>
      <c r="BC24" s="122">
        <f t="shared" si="16"/>
        <v>0</v>
      </c>
      <c r="BF24" s="122">
        <f t="shared" si="17"/>
        <v>0</v>
      </c>
      <c r="BI24" s="122">
        <f t="shared" si="18"/>
        <v>0</v>
      </c>
      <c r="BL24" s="122">
        <f t="shared" si="19"/>
        <v>0</v>
      </c>
      <c r="BO24" s="122">
        <f t="shared" si="20"/>
        <v>0</v>
      </c>
      <c r="BR24" s="122">
        <f t="shared" si="21"/>
        <v>0</v>
      </c>
      <c r="BU24" s="122">
        <f t="shared" si="22"/>
        <v>0</v>
      </c>
      <c r="BX24" s="122">
        <f t="shared" si="23"/>
        <v>0</v>
      </c>
      <c r="CA24" s="122">
        <f t="shared" si="24"/>
        <v>0</v>
      </c>
      <c r="CD24" s="122">
        <f t="shared" si="25"/>
        <v>0</v>
      </c>
      <c r="CG24" s="122">
        <f t="shared" si="26"/>
        <v>0</v>
      </c>
      <c r="CJ24" s="122">
        <f t="shared" si="27"/>
        <v>0</v>
      </c>
      <c r="CM24" s="122">
        <f t="shared" si="28"/>
        <v>0</v>
      </c>
      <c r="CP24" s="122">
        <f t="shared" si="29"/>
        <v>0</v>
      </c>
      <c r="CS24" s="122">
        <f t="shared" si="30"/>
        <v>0</v>
      </c>
      <c r="CV24" s="122">
        <f t="shared" si="31"/>
        <v>0</v>
      </c>
      <c r="CY24" s="122">
        <f t="shared" si="32"/>
        <v>0</v>
      </c>
      <c r="DB24" s="122">
        <f t="shared" si="33"/>
        <v>0</v>
      </c>
      <c r="DE24" s="122">
        <f t="shared" si="34"/>
        <v>0</v>
      </c>
      <c r="DH24" s="122">
        <f t="shared" si="35"/>
        <v>0</v>
      </c>
      <c r="DK24" s="122">
        <f t="shared" si="36"/>
        <v>0</v>
      </c>
      <c r="DN24" s="122">
        <f t="shared" si="37"/>
        <v>0</v>
      </c>
      <c r="DQ24" s="122">
        <f t="shared" si="38"/>
        <v>0</v>
      </c>
      <c r="DT24" s="122">
        <f t="shared" si="39"/>
        <v>0</v>
      </c>
      <c r="DW24" s="122">
        <f t="shared" si="40"/>
        <v>0</v>
      </c>
      <c r="DZ24" s="122"/>
      <c r="EA24" s="122"/>
      <c r="EB24" s="157">
        <f t="shared" si="41"/>
        <v>86575000</v>
      </c>
      <c r="EC24" s="157">
        <f t="shared" si="42"/>
        <v>0</v>
      </c>
      <c r="ED24" s="122">
        <f t="shared" si="43"/>
        <v>6882.0138888888887</v>
      </c>
      <c r="EE24" s="123">
        <f t="shared" si="44"/>
        <v>2.8617095004331503E-2</v>
      </c>
      <c r="EG24" s="157">
        <f t="shared" si="45"/>
        <v>0</v>
      </c>
      <c r="EH24" s="122">
        <f t="shared" si="46"/>
        <v>0</v>
      </c>
      <c r="EI24" s="123">
        <f t="shared" si="47"/>
        <v>0</v>
      </c>
      <c r="EJ24" s="123"/>
      <c r="EK24" s="157">
        <f t="shared" si="48"/>
        <v>86575000</v>
      </c>
      <c r="EL24" s="157">
        <f t="shared" si="49"/>
        <v>0</v>
      </c>
      <c r="EM24" s="157">
        <f t="shared" si="50"/>
        <v>6882.0138888888887</v>
      </c>
      <c r="EN24" s="123">
        <f t="shared" si="51"/>
        <v>2.8617095004331503E-2</v>
      </c>
    </row>
    <row r="25" spans="1:144" x14ac:dyDescent="0.25">
      <c r="A25" s="66">
        <f t="shared" si="52"/>
        <v>43479</v>
      </c>
      <c r="D25" s="122">
        <f t="shared" si="1"/>
        <v>0</v>
      </c>
      <c r="G25" s="122">
        <f t="shared" si="2"/>
        <v>0</v>
      </c>
      <c r="J25" s="122">
        <f t="shared" si="3"/>
        <v>0</v>
      </c>
      <c r="M25" s="122">
        <f t="shared" si="4"/>
        <v>0</v>
      </c>
      <c r="P25" s="122">
        <f t="shared" si="5"/>
        <v>0</v>
      </c>
      <c r="S25" s="122">
        <f t="shared" si="6"/>
        <v>0</v>
      </c>
      <c r="V25" s="122">
        <f t="shared" si="7"/>
        <v>0</v>
      </c>
      <c r="Y25" s="122">
        <f t="shared" si="8"/>
        <v>0</v>
      </c>
      <c r="AB25" s="122">
        <f t="shared" si="9"/>
        <v>0</v>
      </c>
      <c r="AE25" s="122">
        <v>0</v>
      </c>
      <c r="AH25" s="122">
        <v>0</v>
      </c>
      <c r="AI25" s="155">
        <f>37225000</f>
        <v>37225000</v>
      </c>
      <c r="AJ25" s="156">
        <v>2.7E-2</v>
      </c>
      <c r="AK25" s="122">
        <f t="shared" si="10"/>
        <v>2791.875</v>
      </c>
      <c r="AL25" s="155">
        <f t="shared" si="0"/>
        <v>5000000</v>
      </c>
      <c r="AM25" s="156">
        <v>2.8000000000000001E-2</v>
      </c>
      <c r="AN25" s="122">
        <f t="shared" si="11"/>
        <v>388.88888888888891</v>
      </c>
      <c r="AO25" s="155">
        <f t="shared" si="53"/>
        <v>50000000</v>
      </c>
      <c r="AP25" s="156">
        <v>2.9700000000000001E-2</v>
      </c>
      <c r="AQ25" s="122">
        <f t="shared" si="12"/>
        <v>4125</v>
      </c>
      <c r="AR25" s="155">
        <f t="shared" ref="AR25:AR42" si="54">50000000</f>
        <v>50000000</v>
      </c>
      <c r="AS25" s="156">
        <v>2.9499999999999998E-2</v>
      </c>
      <c r="AT25" s="122">
        <f t="shared" si="13"/>
        <v>4097.2222222222226</v>
      </c>
      <c r="AW25" s="122">
        <f t="shared" si="14"/>
        <v>0</v>
      </c>
      <c r="AZ25" s="122">
        <f t="shared" si="15"/>
        <v>0</v>
      </c>
      <c r="BC25" s="122">
        <f t="shared" si="16"/>
        <v>0</v>
      </c>
      <c r="BF25" s="122">
        <f t="shared" si="17"/>
        <v>0</v>
      </c>
      <c r="BI25" s="122">
        <f t="shared" si="18"/>
        <v>0</v>
      </c>
      <c r="BL25" s="122">
        <f t="shared" si="19"/>
        <v>0</v>
      </c>
      <c r="BO25" s="122">
        <f t="shared" si="20"/>
        <v>0</v>
      </c>
      <c r="BR25" s="122">
        <f t="shared" si="21"/>
        <v>0</v>
      </c>
      <c r="BU25" s="122">
        <f t="shared" si="22"/>
        <v>0</v>
      </c>
      <c r="BX25" s="122">
        <f t="shared" si="23"/>
        <v>0</v>
      </c>
      <c r="CA25" s="122">
        <f t="shared" si="24"/>
        <v>0</v>
      </c>
      <c r="CD25" s="122">
        <f t="shared" si="25"/>
        <v>0</v>
      </c>
      <c r="CG25" s="122">
        <f t="shared" si="26"/>
        <v>0</v>
      </c>
      <c r="CJ25" s="122">
        <f t="shared" si="27"/>
        <v>0</v>
      </c>
      <c r="CM25" s="122">
        <f t="shared" si="28"/>
        <v>0</v>
      </c>
      <c r="CP25" s="122">
        <f t="shared" si="29"/>
        <v>0</v>
      </c>
      <c r="CS25" s="122">
        <f t="shared" si="30"/>
        <v>0</v>
      </c>
      <c r="CV25" s="122">
        <f t="shared" si="31"/>
        <v>0</v>
      </c>
      <c r="CY25" s="122">
        <f t="shared" si="32"/>
        <v>0</v>
      </c>
      <c r="DB25" s="122">
        <f t="shared" si="33"/>
        <v>0</v>
      </c>
      <c r="DE25" s="122">
        <f t="shared" si="34"/>
        <v>0</v>
      </c>
      <c r="DH25" s="122">
        <f t="shared" si="35"/>
        <v>0</v>
      </c>
      <c r="DK25" s="122">
        <f t="shared" si="36"/>
        <v>0</v>
      </c>
      <c r="DN25" s="122">
        <f t="shared" si="37"/>
        <v>0</v>
      </c>
      <c r="DQ25" s="122">
        <f t="shared" si="38"/>
        <v>0</v>
      </c>
      <c r="DT25" s="122">
        <f t="shared" si="39"/>
        <v>0</v>
      </c>
      <c r="DW25" s="122">
        <f t="shared" si="40"/>
        <v>0</v>
      </c>
      <c r="DZ25" s="122"/>
      <c r="EA25" s="122"/>
      <c r="EB25" s="157">
        <f t="shared" si="41"/>
        <v>142225000</v>
      </c>
      <c r="EC25" s="157">
        <f t="shared" si="42"/>
        <v>0</v>
      </c>
      <c r="ED25" s="122">
        <f t="shared" si="43"/>
        <v>11402.986111111111</v>
      </c>
      <c r="EE25" s="123">
        <f t="shared" si="44"/>
        <v>2.8863244858498855E-2</v>
      </c>
      <c r="EG25" s="157">
        <f t="shared" si="45"/>
        <v>0</v>
      </c>
      <c r="EH25" s="122">
        <f t="shared" si="46"/>
        <v>0</v>
      </c>
      <c r="EI25" s="123">
        <f t="shared" si="47"/>
        <v>0</v>
      </c>
      <c r="EJ25" s="123"/>
      <c r="EK25" s="157">
        <f t="shared" si="48"/>
        <v>142225000</v>
      </c>
      <c r="EL25" s="157">
        <f t="shared" si="49"/>
        <v>0</v>
      </c>
      <c r="EM25" s="157">
        <f t="shared" si="50"/>
        <v>11402.986111111111</v>
      </c>
      <c r="EN25" s="123">
        <f t="shared" si="51"/>
        <v>2.8863244858498855E-2</v>
      </c>
    </row>
    <row r="26" spans="1:144" x14ac:dyDescent="0.25">
      <c r="A26" s="66">
        <f t="shared" si="52"/>
        <v>43480</v>
      </c>
      <c r="D26" s="122">
        <f t="shared" si="1"/>
        <v>0</v>
      </c>
      <c r="G26" s="122">
        <f t="shared" si="2"/>
        <v>0</v>
      </c>
      <c r="J26" s="122">
        <f t="shared" si="3"/>
        <v>0</v>
      </c>
      <c r="M26" s="122">
        <f t="shared" si="4"/>
        <v>0</v>
      </c>
      <c r="P26" s="122">
        <f t="shared" si="5"/>
        <v>0</v>
      </c>
      <c r="S26" s="122">
        <f t="shared" si="6"/>
        <v>0</v>
      </c>
      <c r="V26" s="122">
        <f t="shared" si="7"/>
        <v>0</v>
      </c>
      <c r="Y26" s="122">
        <f t="shared" si="8"/>
        <v>0</v>
      </c>
      <c r="AB26" s="122">
        <f t="shared" si="9"/>
        <v>0</v>
      </c>
      <c r="AE26" s="122">
        <v>0</v>
      </c>
      <c r="AH26" s="122">
        <v>0</v>
      </c>
      <c r="AI26" s="155">
        <f>76000000</f>
        <v>76000000</v>
      </c>
      <c r="AJ26" s="156">
        <v>2.7E-2</v>
      </c>
      <c r="AK26" s="122">
        <f t="shared" si="10"/>
        <v>5700</v>
      </c>
      <c r="AL26" s="155"/>
      <c r="AM26" s="156"/>
      <c r="AN26" s="122">
        <f t="shared" si="11"/>
        <v>0</v>
      </c>
      <c r="AO26" s="155">
        <f t="shared" si="53"/>
        <v>50000000</v>
      </c>
      <c r="AP26" s="156">
        <v>2.9700000000000001E-2</v>
      </c>
      <c r="AQ26" s="122">
        <f t="shared" si="12"/>
        <v>4125</v>
      </c>
      <c r="AR26" s="155">
        <f t="shared" si="54"/>
        <v>50000000</v>
      </c>
      <c r="AS26" s="156">
        <v>2.9499999999999998E-2</v>
      </c>
      <c r="AT26" s="122">
        <f t="shared" si="13"/>
        <v>4097.2222222222226</v>
      </c>
      <c r="AW26" s="122">
        <f t="shared" si="14"/>
        <v>0</v>
      </c>
      <c r="AZ26" s="122">
        <f t="shared" si="15"/>
        <v>0</v>
      </c>
      <c r="BC26" s="122">
        <f t="shared" si="16"/>
        <v>0</v>
      </c>
      <c r="BF26" s="122">
        <f t="shared" si="17"/>
        <v>0</v>
      </c>
      <c r="BI26" s="122">
        <f t="shared" si="18"/>
        <v>0</v>
      </c>
      <c r="BL26" s="122">
        <f t="shared" si="19"/>
        <v>0</v>
      </c>
      <c r="BO26" s="122">
        <f t="shared" si="20"/>
        <v>0</v>
      </c>
      <c r="BR26" s="122">
        <f t="shared" si="21"/>
        <v>0</v>
      </c>
      <c r="BU26" s="122">
        <f t="shared" si="22"/>
        <v>0</v>
      </c>
      <c r="BX26" s="122">
        <f t="shared" si="23"/>
        <v>0</v>
      </c>
      <c r="CA26" s="122">
        <f t="shared" si="24"/>
        <v>0</v>
      </c>
      <c r="CD26" s="122">
        <f t="shared" si="25"/>
        <v>0</v>
      </c>
      <c r="CG26" s="122">
        <f t="shared" si="26"/>
        <v>0</v>
      </c>
      <c r="CJ26" s="122">
        <f t="shared" si="27"/>
        <v>0</v>
      </c>
      <c r="CM26" s="122">
        <f t="shared" si="28"/>
        <v>0</v>
      </c>
      <c r="CP26" s="122">
        <f t="shared" si="29"/>
        <v>0</v>
      </c>
      <c r="CS26" s="122">
        <f t="shared" si="30"/>
        <v>0</v>
      </c>
      <c r="CV26" s="122">
        <f t="shared" si="31"/>
        <v>0</v>
      </c>
      <c r="CY26" s="122">
        <f t="shared" si="32"/>
        <v>0</v>
      </c>
      <c r="DB26" s="122">
        <f t="shared" si="33"/>
        <v>0</v>
      </c>
      <c r="DE26" s="122">
        <f t="shared" si="34"/>
        <v>0</v>
      </c>
      <c r="DH26" s="122">
        <f t="shared" si="35"/>
        <v>0</v>
      </c>
      <c r="DK26" s="122">
        <f t="shared" si="36"/>
        <v>0</v>
      </c>
      <c r="DN26" s="122">
        <f t="shared" si="37"/>
        <v>0</v>
      </c>
      <c r="DQ26" s="122">
        <f t="shared" si="38"/>
        <v>0</v>
      </c>
      <c r="DT26" s="122">
        <f t="shared" si="39"/>
        <v>0</v>
      </c>
      <c r="DW26" s="122">
        <f t="shared" si="40"/>
        <v>0</v>
      </c>
      <c r="DZ26" s="122"/>
      <c r="EA26" s="122"/>
      <c r="EB26" s="157">
        <f t="shared" si="41"/>
        <v>176000000</v>
      </c>
      <c r="EC26" s="157">
        <f t="shared" si="42"/>
        <v>0</v>
      </c>
      <c r="ED26" s="122">
        <f t="shared" si="43"/>
        <v>13922.222222222223</v>
      </c>
      <c r="EE26" s="123">
        <f t="shared" si="44"/>
        <v>2.8477272727272726E-2</v>
      </c>
      <c r="EG26" s="157">
        <f t="shared" si="45"/>
        <v>0</v>
      </c>
      <c r="EH26" s="122">
        <f t="shared" si="46"/>
        <v>0</v>
      </c>
      <c r="EI26" s="123">
        <f t="shared" si="47"/>
        <v>0</v>
      </c>
      <c r="EJ26" s="123"/>
      <c r="EK26" s="157">
        <f t="shared" si="48"/>
        <v>176000000</v>
      </c>
      <c r="EL26" s="157">
        <f t="shared" si="49"/>
        <v>0</v>
      </c>
      <c r="EM26" s="157">
        <f t="shared" si="50"/>
        <v>13922.222222222223</v>
      </c>
      <c r="EN26" s="123">
        <f t="shared" si="51"/>
        <v>2.8477272727272726E-2</v>
      </c>
    </row>
    <row r="27" spans="1:144" x14ac:dyDescent="0.25">
      <c r="A27" s="66">
        <f t="shared" si="52"/>
        <v>43481</v>
      </c>
      <c r="D27" s="122">
        <f t="shared" si="1"/>
        <v>0</v>
      </c>
      <c r="G27" s="122">
        <f t="shared" si="2"/>
        <v>0</v>
      </c>
      <c r="J27" s="122">
        <f t="shared" si="3"/>
        <v>0</v>
      </c>
      <c r="M27" s="122">
        <f t="shared" si="4"/>
        <v>0</v>
      </c>
      <c r="P27" s="122">
        <f t="shared" si="5"/>
        <v>0</v>
      </c>
      <c r="S27" s="122">
        <f t="shared" si="6"/>
        <v>0</v>
      </c>
      <c r="V27" s="122">
        <f t="shared" si="7"/>
        <v>0</v>
      </c>
      <c r="Y27" s="122">
        <f t="shared" si="8"/>
        <v>0</v>
      </c>
      <c r="AB27" s="122">
        <f t="shared" si="9"/>
        <v>0</v>
      </c>
      <c r="AE27" s="122">
        <v>0</v>
      </c>
      <c r="AH27" s="122">
        <v>0</v>
      </c>
      <c r="AI27" s="155">
        <f>66450000</f>
        <v>66450000</v>
      </c>
      <c r="AJ27" s="156">
        <v>2.7E-2</v>
      </c>
      <c r="AK27" s="122">
        <f t="shared" si="10"/>
        <v>4983.75</v>
      </c>
      <c r="AL27" s="155"/>
      <c r="AM27" s="156"/>
      <c r="AN27" s="122">
        <f t="shared" si="11"/>
        <v>0</v>
      </c>
      <c r="AO27" s="155">
        <f t="shared" si="53"/>
        <v>50000000</v>
      </c>
      <c r="AP27" s="156">
        <v>2.9700000000000001E-2</v>
      </c>
      <c r="AQ27" s="122">
        <f t="shared" si="12"/>
        <v>4125</v>
      </c>
      <c r="AR27" s="155">
        <f t="shared" si="54"/>
        <v>50000000</v>
      </c>
      <c r="AS27" s="156">
        <v>2.9499999999999998E-2</v>
      </c>
      <c r="AT27" s="122">
        <f t="shared" si="13"/>
        <v>4097.2222222222226</v>
      </c>
      <c r="AW27" s="122">
        <f t="shared" si="14"/>
        <v>0</v>
      </c>
      <c r="AZ27" s="122">
        <f t="shared" si="15"/>
        <v>0</v>
      </c>
      <c r="BC27" s="122">
        <f t="shared" si="16"/>
        <v>0</v>
      </c>
      <c r="BF27" s="122">
        <f t="shared" si="17"/>
        <v>0</v>
      </c>
      <c r="BI27" s="122">
        <f t="shared" si="18"/>
        <v>0</v>
      </c>
      <c r="BL27" s="122">
        <f t="shared" si="19"/>
        <v>0</v>
      </c>
      <c r="BO27" s="122">
        <f t="shared" si="20"/>
        <v>0</v>
      </c>
      <c r="BR27" s="122">
        <f t="shared" si="21"/>
        <v>0</v>
      </c>
      <c r="BU27" s="122">
        <f t="shared" si="22"/>
        <v>0</v>
      </c>
      <c r="BX27" s="122">
        <f t="shared" si="23"/>
        <v>0</v>
      </c>
      <c r="CA27" s="122">
        <f t="shared" si="24"/>
        <v>0</v>
      </c>
      <c r="CD27" s="122">
        <f t="shared" si="25"/>
        <v>0</v>
      </c>
      <c r="CG27" s="122">
        <f t="shared" si="26"/>
        <v>0</v>
      </c>
      <c r="CJ27" s="122">
        <f t="shared" si="27"/>
        <v>0</v>
      </c>
      <c r="CM27" s="122">
        <f t="shared" si="28"/>
        <v>0</v>
      </c>
      <c r="CP27" s="122">
        <f t="shared" si="29"/>
        <v>0</v>
      </c>
      <c r="CS27" s="122">
        <f t="shared" si="30"/>
        <v>0</v>
      </c>
      <c r="CV27" s="122">
        <f t="shared" si="31"/>
        <v>0</v>
      </c>
      <c r="CY27" s="122">
        <f t="shared" si="32"/>
        <v>0</v>
      </c>
      <c r="DB27" s="122">
        <f t="shared" si="33"/>
        <v>0</v>
      </c>
      <c r="DE27" s="122">
        <f t="shared" si="34"/>
        <v>0</v>
      </c>
      <c r="DH27" s="122">
        <f t="shared" si="35"/>
        <v>0</v>
      </c>
      <c r="DK27" s="122">
        <f t="shared" si="36"/>
        <v>0</v>
      </c>
      <c r="DN27" s="122">
        <f t="shared" si="37"/>
        <v>0</v>
      </c>
      <c r="DQ27" s="122">
        <f t="shared" si="38"/>
        <v>0</v>
      </c>
      <c r="DT27" s="122">
        <f t="shared" si="39"/>
        <v>0</v>
      </c>
      <c r="DW27" s="122">
        <f t="shared" si="40"/>
        <v>0</v>
      </c>
      <c r="DZ27" s="122"/>
      <c r="EA27" s="122"/>
      <c r="EB27" s="157">
        <f t="shared" si="41"/>
        <v>166450000</v>
      </c>
      <c r="EC27" s="157">
        <f t="shared" si="42"/>
        <v>0</v>
      </c>
      <c r="ED27" s="122">
        <f t="shared" si="43"/>
        <v>13205.972222222223</v>
      </c>
      <c r="EE27" s="123">
        <f t="shared" si="44"/>
        <v>2.856203063983178E-2</v>
      </c>
      <c r="EG27" s="157">
        <f t="shared" si="45"/>
        <v>0</v>
      </c>
      <c r="EH27" s="122">
        <f t="shared" si="46"/>
        <v>0</v>
      </c>
      <c r="EI27" s="123">
        <f t="shared" si="47"/>
        <v>0</v>
      </c>
      <c r="EJ27" s="123"/>
      <c r="EK27" s="157">
        <f t="shared" si="48"/>
        <v>166450000</v>
      </c>
      <c r="EL27" s="157">
        <f t="shared" si="49"/>
        <v>0</v>
      </c>
      <c r="EM27" s="157">
        <f t="shared" si="50"/>
        <v>13205.972222222223</v>
      </c>
      <c r="EN27" s="123">
        <f t="shared" si="51"/>
        <v>2.856203063983178E-2</v>
      </c>
    </row>
    <row r="28" spans="1:144" x14ac:dyDescent="0.25">
      <c r="A28" s="66">
        <f t="shared" si="52"/>
        <v>43482</v>
      </c>
      <c r="D28" s="122">
        <f t="shared" si="1"/>
        <v>0</v>
      </c>
      <c r="G28" s="122">
        <f t="shared" si="2"/>
        <v>0</v>
      </c>
      <c r="J28" s="122">
        <f t="shared" si="3"/>
        <v>0</v>
      </c>
      <c r="M28" s="122">
        <f t="shared" si="4"/>
        <v>0</v>
      </c>
      <c r="P28" s="122">
        <f t="shared" si="5"/>
        <v>0</v>
      </c>
      <c r="S28" s="122">
        <f t="shared" si="6"/>
        <v>0</v>
      </c>
      <c r="V28" s="122">
        <f t="shared" si="7"/>
        <v>0</v>
      </c>
      <c r="Y28" s="122">
        <f t="shared" si="8"/>
        <v>0</v>
      </c>
      <c r="AB28" s="122">
        <f t="shared" si="9"/>
        <v>0</v>
      </c>
      <c r="AE28" s="122">
        <v>0</v>
      </c>
      <c r="AH28" s="122">
        <v>0</v>
      </c>
      <c r="AI28" s="155">
        <f>53475000</f>
        <v>53475000</v>
      </c>
      <c r="AJ28" s="156">
        <v>2.7E-2</v>
      </c>
      <c r="AK28" s="122">
        <f t="shared" si="10"/>
        <v>4010.625</v>
      </c>
      <c r="AL28" s="155"/>
      <c r="AM28" s="156"/>
      <c r="AN28" s="122">
        <f t="shared" si="11"/>
        <v>0</v>
      </c>
      <c r="AO28" s="155">
        <f t="shared" si="53"/>
        <v>50000000</v>
      </c>
      <c r="AP28" s="156">
        <v>2.9700000000000001E-2</v>
      </c>
      <c r="AQ28" s="122">
        <f t="shared" si="12"/>
        <v>4125</v>
      </c>
      <c r="AR28" s="155">
        <f t="shared" si="54"/>
        <v>50000000</v>
      </c>
      <c r="AS28" s="156">
        <v>2.9499999999999998E-2</v>
      </c>
      <c r="AT28" s="122">
        <f t="shared" si="13"/>
        <v>4097.2222222222226</v>
      </c>
      <c r="AW28" s="122">
        <f t="shared" si="14"/>
        <v>0</v>
      </c>
      <c r="AZ28" s="122">
        <f t="shared" si="15"/>
        <v>0</v>
      </c>
      <c r="BC28" s="122">
        <f t="shared" si="16"/>
        <v>0</v>
      </c>
      <c r="BF28" s="122">
        <f t="shared" si="17"/>
        <v>0</v>
      </c>
      <c r="BI28" s="122">
        <f t="shared" si="18"/>
        <v>0</v>
      </c>
      <c r="BL28" s="122">
        <f t="shared" si="19"/>
        <v>0</v>
      </c>
      <c r="BO28" s="122">
        <f t="shared" si="20"/>
        <v>0</v>
      </c>
      <c r="BR28" s="122">
        <f t="shared" si="21"/>
        <v>0</v>
      </c>
      <c r="BU28" s="122">
        <f t="shared" si="22"/>
        <v>0</v>
      </c>
      <c r="BX28" s="122">
        <f t="shared" si="23"/>
        <v>0</v>
      </c>
      <c r="CA28" s="122">
        <f t="shared" si="24"/>
        <v>0</v>
      </c>
      <c r="CD28" s="122">
        <f t="shared" si="25"/>
        <v>0</v>
      </c>
      <c r="CG28" s="122">
        <f t="shared" si="26"/>
        <v>0</v>
      </c>
      <c r="CJ28" s="122">
        <f t="shared" si="27"/>
        <v>0</v>
      </c>
      <c r="CM28" s="122">
        <f t="shared" si="28"/>
        <v>0</v>
      </c>
      <c r="CP28" s="122">
        <f t="shared" si="29"/>
        <v>0</v>
      </c>
      <c r="CS28" s="122">
        <f t="shared" si="30"/>
        <v>0</v>
      </c>
      <c r="CV28" s="122">
        <f t="shared" si="31"/>
        <v>0</v>
      </c>
      <c r="CY28" s="122">
        <f t="shared" si="32"/>
        <v>0</v>
      </c>
      <c r="DB28" s="122">
        <f t="shared" si="33"/>
        <v>0</v>
      </c>
      <c r="DE28" s="122">
        <f t="shared" si="34"/>
        <v>0</v>
      </c>
      <c r="DH28" s="122">
        <f t="shared" si="35"/>
        <v>0</v>
      </c>
      <c r="DK28" s="122">
        <f t="shared" si="36"/>
        <v>0</v>
      </c>
      <c r="DN28" s="122">
        <f t="shared" si="37"/>
        <v>0</v>
      </c>
      <c r="DQ28" s="122">
        <f t="shared" si="38"/>
        <v>0</v>
      </c>
      <c r="DT28" s="122">
        <f t="shared" si="39"/>
        <v>0</v>
      </c>
      <c r="DW28" s="122">
        <f t="shared" si="40"/>
        <v>0</v>
      </c>
      <c r="DZ28" s="122"/>
      <c r="EA28" s="122"/>
      <c r="EB28" s="157">
        <f t="shared" si="41"/>
        <v>153475000</v>
      </c>
      <c r="EC28" s="157">
        <f t="shared" si="42"/>
        <v>0</v>
      </c>
      <c r="ED28" s="122">
        <f t="shared" si="43"/>
        <v>12232.847222222223</v>
      </c>
      <c r="EE28" s="123">
        <f t="shared" si="44"/>
        <v>2.8694086984850955E-2</v>
      </c>
      <c r="EG28" s="157">
        <f t="shared" si="45"/>
        <v>0</v>
      </c>
      <c r="EH28" s="122">
        <f t="shared" si="46"/>
        <v>0</v>
      </c>
      <c r="EI28" s="123">
        <f t="shared" si="47"/>
        <v>0</v>
      </c>
      <c r="EJ28" s="123"/>
      <c r="EK28" s="157">
        <f t="shared" si="48"/>
        <v>153475000</v>
      </c>
      <c r="EL28" s="157">
        <f t="shared" si="49"/>
        <v>0</v>
      </c>
      <c r="EM28" s="157">
        <f t="shared" si="50"/>
        <v>12232.847222222223</v>
      </c>
      <c r="EN28" s="123">
        <f t="shared" si="51"/>
        <v>2.8694086984850955E-2</v>
      </c>
    </row>
    <row r="29" spans="1:144" x14ac:dyDescent="0.25">
      <c r="A29" s="66">
        <f t="shared" si="52"/>
        <v>43483</v>
      </c>
      <c r="D29" s="122">
        <f t="shared" si="1"/>
        <v>0</v>
      </c>
      <c r="G29" s="122">
        <f t="shared" si="2"/>
        <v>0</v>
      </c>
      <c r="J29" s="122">
        <f t="shared" si="3"/>
        <v>0</v>
      </c>
      <c r="M29" s="122">
        <f t="shared" si="4"/>
        <v>0</v>
      </c>
      <c r="P29" s="122">
        <f t="shared" si="5"/>
        <v>0</v>
      </c>
      <c r="S29" s="122">
        <f t="shared" si="6"/>
        <v>0</v>
      </c>
      <c r="V29" s="122">
        <f t="shared" si="7"/>
        <v>0</v>
      </c>
      <c r="Y29" s="122">
        <f t="shared" si="8"/>
        <v>0</v>
      </c>
      <c r="AB29" s="122">
        <f t="shared" si="9"/>
        <v>0</v>
      </c>
      <c r="AE29" s="122">
        <v>0</v>
      </c>
      <c r="AH29" s="122">
        <v>0</v>
      </c>
      <c r="AI29" s="155">
        <f>33875000</f>
        <v>33875000</v>
      </c>
      <c r="AJ29" s="156">
        <v>2.7E-2</v>
      </c>
      <c r="AK29" s="122">
        <f t="shared" si="10"/>
        <v>2540.625</v>
      </c>
      <c r="AL29" s="155">
        <f t="shared" ref="AL29:AL42" si="55">30000000</f>
        <v>30000000</v>
      </c>
      <c r="AM29" s="156">
        <v>2.9000000000000001E-2</v>
      </c>
      <c r="AN29" s="122">
        <f t="shared" si="11"/>
        <v>2416.6666666666665</v>
      </c>
      <c r="AO29" s="155">
        <f t="shared" si="53"/>
        <v>50000000</v>
      </c>
      <c r="AP29" s="156">
        <v>2.9700000000000001E-2</v>
      </c>
      <c r="AQ29" s="122">
        <f t="shared" si="12"/>
        <v>4125</v>
      </c>
      <c r="AR29" s="155">
        <f t="shared" si="54"/>
        <v>50000000</v>
      </c>
      <c r="AS29" s="156">
        <v>2.9499999999999998E-2</v>
      </c>
      <c r="AT29" s="122">
        <f t="shared" si="13"/>
        <v>4097.2222222222226</v>
      </c>
      <c r="AW29" s="122">
        <f t="shared" si="14"/>
        <v>0</v>
      </c>
      <c r="AZ29" s="122">
        <f t="shared" si="15"/>
        <v>0</v>
      </c>
      <c r="BC29" s="122">
        <f t="shared" si="16"/>
        <v>0</v>
      </c>
      <c r="BF29" s="122">
        <f t="shared" si="17"/>
        <v>0</v>
      </c>
      <c r="BI29" s="122">
        <f t="shared" si="18"/>
        <v>0</v>
      </c>
      <c r="BL29" s="122">
        <f t="shared" si="19"/>
        <v>0</v>
      </c>
      <c r="BO29" s="122">
        <f t="shared" si="20"/>
        <v>0</v>
      </c>
      <c r="BR29" s="122">
        <f t="shared" si="21"/>
        <v>0</v>
      </c>
      <c r="BU29" s="122">
        <f t="shared" si="22"/>
        <v>0</v>
      </c>
      <c r="BX29" s="122">
        <f t="shared" si="23"/>
        <v>0</v>
      </c>
      <c r="CA29" s="122">
        <f t="shared" si="24"/>
        <v>0</v>
      </c>
      <c r="CD29" s="122">
        <f t="shared" si="25"/>
        <v>0</v>
      </c>
      <c r="CG29" s="122">
        <f t="shared" si="26"/>
        <v>0</v>
      </c>
      <c r="CJ29" s="122">
        <f t="shared" si="27"/>
        <v>0</v>
      </c>
      <c r="CM29" s="122">
        <f t="shared" si="28"/>
        <v>0</v>
      </c>
      <c r="CP29" s="122">
        <f t="shared" si="29"/>
        <v>0</v>
      </c>
      <c r="CS29" s="122">
        <f t="shared" si="30"/>
        <v>0</v>
      </c>
      <c r="CV29" s="122">
        <f t="shared" si="31"/>
        <v>0</v>
      </c>
      <c r="CY29" s="122">
        <f t="shared" si="32"/>
        <v>0</v>
      </c>
      <c r="DB29" s="122">
        <f t="shared" si="33"/>
        <v>0</v>
      </c>
      <c r="DE29" s="122">
        <f t="shared" si="34"/>
        <v>0</v>
      </c>
      <c r="DH29" s="122">
        <f t="shared" si="35"/>
        <v>0</v>
      </c>
      <c r="DK29" s="122">
        <f t="shared" si="36"/>
        <v>0</v>
      </c>
      <c r="DN29" s="122">
        <f t="shared" si="37"/>
        <v>0</v>
      </c>
      <c r="DQ29" s="122">
        <f t="shared" si="38"/>
        <v>0</v>
      </c>
      <c r="DT29" s="122">
        <f t="shared" si="39"/>
        <v>0</v>
      </c>
      <c r="DW29" s="122">
        <f t="shared" si="40"/>
        <v>0</v>
      </c>
      <c r="DZ29" s="122"/>
      <c r="EA29" s="122"/>
      <c r="EB29" s="157">
        <f t="shared" si="41"/>
        <v>163875000</v>
      </c>
      <c r="EC29" s="157">
        <f t="shared" si="42"/>
        <v>0</v>
      </c>
      <c r="ED29" s="122">
        <f t="shared" si="43"/>
        <v>13179.513888888889</v>
      </c>
      <c r="EE29" s="123">
        <f t="shared" si="44"/>
        <v>2.8952707856598016E-2</v>
      </c>
      <c r="EG29" s="157">
        <f t="shared" si="45"/>
        <v>0</v>
      </c>
      <c r="EH29" s="122">
        <f t="shared" si="46"/>
        <v>0</v>
      </c>
      <c r="EI29" s="123">
        <f t="shared" si="47"/>
        <v>0</v>
      </c>
      <c r="EJ29" s="123"/>
      <c r="EK29" s="157">
        <f t="shared" si="48"/>
        <v>163875000</v>
      </c>
      <c r="EL29" s="157">
        <f t="shared" si="49"/>
        <v>0</v>
      </c>
      <c r="EM29" s="157">
        <f t="shared" si="50"/>
        <v>13179.513888888889</v>
      </c>
      <c r="EN29" s="123">
        <f t="shared" si="51"/>
        <v>2.8952707856598016E-2</v>
      </c>
    </row>
    <row r="30" spans="1:144" x14ac:dyDescent="0.25">
      <c r="A30" s="66">
        <f t="shared" si="52"/>
        <v>43484</v>
      </c>
      <c r="D30" s="122">
        <f t="shared" si="1"/>
        <v>0</v>
      </c>
      <c r="G30" s="122">
        <f t="shared" si="2"/>
        <v>0</v>
      </c>
      <c r="J30" s="122">
        <f t="shared" si="3"/>
        <v>0</v>
      </c>
      <c r="M30" s="122">
        <f t="shared" si="4"/>
        <v>0</v>
      </c>
      <c r="P30" s="122">
        <f t="shared" si="5"/>
        <v>0</v>
      </c>
      <c r="S30" s="122">
        <f t="shared" si="6"/>
        <v>0</v>
      </c>
      <c r="V30" s="122">
        <f t="shared" si="7"/>
        <v>0</v>
      </c>
      <c r="Y30" s="122">
        <f t="shared" si="8"/>
        <v>0</v>
      </c>
      <c r="AB30" s="122">
        <f t="shared" si="9"/>
        <v>0</v>
      </c>
      <c r="AE30" s="122">
        <v>0</v>
      </c>
      <c r="AH30" s="122">
        <v>0</v>
      </c>
      <c r="AI30" s="155">
        <f>33875000</f>
        <v>33875000</v>
      </c>
      <c r="AJ30" s="156">
        <v>2.7E-2</v>
      </c>
      <c r="AK30" s="122">
        <f t="shared" si="10"/>
        <v>2540.625</v>
      </c>
      <c r="AL30" s="155">
        <f t="shared" si="55"/>
        <v>30000000</v>
      </c>
      <c r="AM30" s="156">
        <v>2.9000000000000001E-2</v>
      </c>
      <c r="AN30" s="122">
        <f t="shared" si="11"/>
        <v>2416.6666666666665</v>
      </c>
      <c r="AO30" s="155">
        <f t="shared" si="53"/>
        <v>50000000</v>
      </c>
      <c r="AP30" s="156">
        <v>2.9700000000000001E-2</v>
      </c>
      <c r="AQ30" s="122">
        <f t="shared" si="12"/>
        <v>4125</v>
      </c>
      <c r="AR30" s="155">
        <f t="shared" si="54"/>
        <v>50000000</v>
      </c>
      <c r="AS30" s="156">
        <v>2.9499999999999998E-2</v>
      </c>
      <c r="AT30" s="122">
        <f t="shared" si="13"/>
        <v>4097.2222222222226</v>
      </c>
      <c r="AW30" s="122">
        <f t="shared" si="14"/>
        <v>0</v>
      </c>
      <c r="AZ30" s="122">
        <f t="shared" si="15"/>
        <v>0</v>
      </c>
      <c r="BC30" s="122">
        <f t="shared" si="16"/>
        <v>0</v>
      </c>
      <c r="BF30" s="122">
        <f t="shared" si="17"/>
        <v>0</v>
      </c>
      <c r="BI30" s="122">
        <f t="shared" si="18"/>
        <v>0</v>
      </c>
      <c r="BL30" s="122">
        <f t="shared" si="19"/>
        <v>0</v>
      </c>
      <c r="BO30" s="122">
        <f t="shared" si="20"/>
        <v>0</v>
      </c>
      <c r="BR30" s="122">
        <f t="shared" si="21"/>
        <v>0</v>
      </c>
      <c r="BU30" s="122">
        <f t="shared" si="22"/>
        <v>0</v>
      </c>
      <c r="BX30" s="122">
        <f t="shared" si="23"/>
        <v>0</v>
      </c>
      <c r="CA30" s="122">
        <f t="shared" si="24"/>
        <v>0</v>
      </c>
      <c r="CD30" s="122">
        <f t="shared" si="25"/>
        <v>0</v>
      </c>
      <c r="CG30" s="122">
        <f t="shared" si="26"/>
        <v>0</v>
      </c>
      <c r="CJ30" s="122">
        <f t="shared" si="27"/>
        <v>0</v>
      </c>
      <c r="CM30" s="122">
        <f t="shared" si="28"/>
        <v>0</v>
      </c>
      <c r="CP30" s="122">
        <f t="shared" si="29"/>
        <v>0</v>
      </c>
      <c r="CS30" s="122">
        <f t="shared" si="30"/>
        <v>0</v>
      </c>
      <c r="CV30" s="122">
        <f t="shared" si="31"/>
        <v>0</v>
      </c>
      <c r="CY30" s="122">
        <f t="shared" si="32"/>
        <v>0</v>
      </c>
      <c r="DB30" s="122">
        <f t="shared" si="33"/>
        <v>0</v>
      </c>
      <c r="DE30" s="122">
        <f t="shared" si="34"/>
        <v>0</v>
      </c>
      <c r="DH30" s="122">
        <f t="shared" si="35"/>
        <v>0</v>
      </c>
      <c r="DK30" s="122">
        <f t="shared" si="36"/>
        <v>0</v>
      </c>
      <c r="DN30" s="122">
        <f t="shared" si="37"/>
        <v>0</v>
      </c>
      <c r="DQ30" s="122">
        <f t="shared" si="38"/>
        <v>0</v>
      </c>
      <c r="DT30" s="122">
        <f t="shared" si="39"/>
        <v>0</v>
      </c>
      <c r="DW30" s="122">
        <f t="shared" si="40"/>
        <v>0</v>
      </c>
      <c r="DZ30" s="122"/>
      <c r="EA30" s="122"/>
      <c r="EB30" s="157">
        <f t="shared" si="41"/>
        <v>163875000</v>
      </c>
      <c r="EC30" s="157">
        <f t="shared" si="42"/>
        <v>0</v>
      </c>
      <c r="ED30" s="122">
        <f t="shared" si="43"/>
        <v>13179.513888888889</v>
      </c>
      <c r="EE30" s="123">
        <f t="shared" si="44"/>
        <v>2.8952707856598016E-2</v>
      </c>
      <c r="EG30" s="157">
        <f t="shared" si="45"/>
        <v>0</v>
      </c>
      <c r="EH30" s="122">
        <f t="shared" si="46"/>
        <v>0</v>
      </c>
      <c r="EI30" s="123">
        <f t="shared" si="47"/>
        <v>0</v>
      </c>
      <c r="EJ30" s="123"/>
      <c r="EK30" s="157">
        <f t="shared" si="48"/>
        <v>163875000</v>
      </c>
      <c r="EL30" s="157">
        <f t="shared" si="49"/>
        <v>0</v>
      </c>
      <c r="EM30" s="157">
        <f t="shared" si="50"/>
        <v>13179.513888888889</v>
      </c>
      <c r="EN30" s="123">
        <f t="shared" si="51"/>
        <v>2.8952707856598016E-2</v>
      </c>
    </row>
    <row r="31" spans="1:144" x14ac:dyDescent="0.25">
      <c r="A31" s="66">
        <f t="shared" si="52"/>
        <v>43485</v>
      </c>
      <c r="D31" s="122">
        <f t="shared" si="1"/>
        <v>0</v>
      </c>
      <c r="G31" s="122">
        <f t="shared" si="2"/>
        <v>0</v>
      </c>
      <c r="J31" s="122">
        <f t="shared" si="3"/>
        <v>0</v>
      </c>
      <c r="M31" s="122">
        <f t="shared" si="4"/>
        <v>0</v>
      </c>
      <c r="P31" s="122">
        <f t="shared" si="5"/>
        <v>0</v>
      </c>
      <c r="S31" s="122">
        <f t="shared" si="6"/>
        <v>0</v>
      </c>
      <c r="V31" s="122">
        <f t="shared" si="7"/>
        <v>0</v>
      </c>
      <c r="Y31" s="122">
        <f t="shared" si="8"/>
        <v>0</v>
      </c>
      <c r="AB31" s="122">
        <f t="shared" si="9"/>
        <v>0</v>
      </c>
      <c r="AE31" s="122">
        <v>0</v>
      </c>
      <c r="AH31" s="122">
        <v>0</v>
      </c>
      <c r="AI31" s="155">
        <f>33875000</f>
        <v>33875000</v>
      </c>
      <c r="AJ31" s="156">
        <v>2.7E-2</v>
      </c>
      <c r="AK31" s="122">
        <f t="shared" si="10"/>
        <v>2540.625</v>
      </c>
      <c r="AL31" s="155">
        <f t="shared" si="55"/>
        <v>30000000</v>
      </c>
      <c r="AM31" s="156">
        <v>2.9000000000000001E-2</v>
      </c>
      <c r="AN31" s="122">
        <f t="shared" si="11"/>
        <v>2416.6666666666665</v>
      </c>
      <c r="AO31" s="155">
        <f t="shared" si="53"/>
        <v>50000000</v>
      </c>
      <c r="AP31" s="156">
        <v>2.9700000000000001E-2</v>
      </c>
      <c r="AQ31" s="122">
        <f t="shared" si="12"/>
        <v>4125</v>
      </c>
      <c r="AR31" s="155">
        <f t="shared" si="54"/>
        <v>50000000</v>
      </c>
      <c r="AS31" s="156">
        <v>2.9499999999999998E-2</v>
      </c>
      <c r="AT31" s="122">
        <f t="shared" si="13"/>
        <v>4097.2222222222226</v>
      </c>
      <c r="AW31" s="122">
        <f t="shared" si="14"/>
        <v>0</v>
      </c>
      <c r="AZ31" s="122">
        <f t="shared" si="15"/>
        <v>0</v>
      </c>
      <c r="BC31" s="122">
        <f t="shared" si="16"/>
        <v>0</v>
      </c>
      <c r="BF31" s="122">
        <f t="shared" si="17"/>
        <v>0</v>
      </c>
      <c r="BI31" s="122">
        <f t="shared" si="18"/>
        <v>0</v>
      </c>
      <c r="BL31" s="122">
        <f t="shared" si="19"/>
        <v>0</v>
      </c>
      <c r="BO31" s="122">
        <f t="shared" si="20"/>
        <v>0</v>
      </c>
      <c r="BR31" s="122">
        <f t="shared" si="21"/>
        <v>0</v>
      </c>
      <c r="BU31" s="122">
        <f t="shared" si="22"/>
        <v>0</v>
      </c>
      <c r="BX31" s="122">
        <f t="shared" si="23"/>
        <v>0</v>
      </c>
      <c r="CA31" s="122">
        <f t="shared" si="24"/>
        <v>0</v>
      </c>
      <c r="CD31" s="122">
        <f t="shared" si="25"/>
        <v>0</v>
      </c>
      <c r="CG31" s="122">
        <f t="shared" si="26"/>
        <v>0</v>
      </c>
      <c r="CJ31" s="122">
        <f t="shared" si="27"/>
        <v>0</v>
      </c>
      <c r="CM31" s="122">
        <f t="shared" si="28"/>
        <v>0</v>
      </c>
      <c r="CP31" s="122">
        <f t="shared" si="29"/>
        <v>0</v>
      </c>
      <c r="CS31" s="122">
        <f t="shared" si="30"/>
        <v>0</v>
      </c>
      <c r="CV31" s="122">
        <f t="shared" si="31"/>
        <v>0</v>
      </c>
      <c r="CY31" s="122">
        <f t="shared" si="32"/>
        <v>0</v>
      </c>
      <c r="DB31" s="122">
        <f t="shared" si="33"/>
        <v>0</v>
      </c>
      <c r="DE31" s="122">
        <f t="shared" si="34"/>
        <v>0</v>
      </c>
      <c r="DH31" s="122">
        <f t="shared" si="35"/>
        <v>0</v>
      </c>
      <c r="DK31" s="122">
        <f t="shared" si="36"/>
        <v>0</v>
      </c>
      <c r="DN31" s="122">
        <f t="shared" si="37"/>
        <v>0</v>
      </c>
      <c r="DQ31" s="122">
        <f t="shared" si="38"/>
        <v>0</v>
      </c>
      <c r="DT31" s="122">
        <f t="shared" si="39"/>
        <v>0</v>
      </c>
      <c r="DW31" s="122">
        <f t="shared" si="40"/>
        <v>0</v>
      </c>
      <c r="DZ31" s="122"/>
      <c r="EA31" s="122"/>
      <c r="EB31" s="157">
        <f t="shared" si="41"/>
        <v>163875000</v>
      </c>
      <c r="EC31" s="157">
        <f t="shared" si="42"/>
        <v>0</v>
      </c>
      <c r="ED31" s="122">
        <f t="shared" si="43"/>
        <v>13179.513888888889</v>
      </c>
      <c r="EE31" s="123">
        <f t="shared" si="44"/>
        <v>2.8952707856598016E-2</v>
      </c>
      <c r="EG31" s="157">
        <f t="shared" si="45"/>
        <v>0</v>
      </c>
      <c r="EH31" s="122">
        <f t="shared" si="46"/>
        <v>0</v>
      </c>
      <c r="EI31" s="123">
        <f t="shared" si="47"/>
        <v>0</v>
      </c>
      <c r="EJ31" s="123"/>
      <c r="EK31" s="157">
        <f t="shared" si="48"/>
        <v>163875000</v>
      </c>
      <c r="EL31" s="157">
        <f t="shared" si="49"/>
        <v>0</v>
      </c>
      <c r="EM31" s="157">
        <f t="shared" si="50"/>
        <v>13179.513888888889</v>
      </c>
      <c r="EN31" s="123">
        <f t="shared" si="51"/>
        <v>2.8952707856598016E-2</v>
      </c>
    </row>
    <row r="32" spans="1:144" x14ac:dyDescent="0.25">
      <c r="A32" s="66">
        <f t="shared" si="52"/>
        <v>43486</v>
      </c>
      <c r="D32" s="122">
        <f t="shared" si="1"/>
        <v>0</v>
      </c>
      <c r="G32" s="122">
        <f t="shared" si="2"/>
        <v>0</v>
      </c>
      <c r="J32" s="122">
        <f t="shared" si="3"/>
        <v>0</v>
      </c>
      <c r="M32" s="122">
        <f t="shared" si="4"/>
        <v>0</v>
      </c>
      <c r="P32" s="122">
        <f t="shared" si="5"/>
        <v>0</v>
      </c>
      <c r="S32" s="122">
        <f t="shared" si="6"/>
        <v>0</v>
      </c>
      <c r="V32" s="122">
        <f t="shared" si="7"/>
        <v>0</v>
      </c>
      <c r="Y32" s="122">
        <f t="shared" si="8"/>
        <v>0</v>
      </c>
      <c r="AB32" s="122">
        <f t="shared" si="9"/>
        <v>0</v>
      </c>
      <c r="AE32" s="122">
        <v>0</v>
      </c>
      <c r="AH32" s="122">
        <v>0</v>
      </c>
      <c r="AI32" s="155">
        <f>33875000</f>
        <v>33875000</v>
      </c>
      <c r="AJ32" s="156">
        <v>2.7E-2</v>
      </c>
      <c r="AK32" s="122">
        <f t="shared" si="10"/>
        <v>2540.625</v>
      </c>
      <c r="AL32" s="155">
        <f t="shared" si="55"/>
        <v>30000000</v>
      </c>
      <c r="AM32" s="156">
        <v>2.9000000000000001E-2</v>
      </c>
      <c r="AN32" s="122">
        <f t="shared" si="11"/>
        <v>2416.6666666666665</v>
      </c>
      <c r="AO32" s="155">
        <f t="shared" si="53"/>
        <v>50000000</v>
      </c>
      <c r="AP32" s="156">
        <v>2.9700000000000001E-2</v>
      </c>
      <c r="AQ32" s="122">
        <f t="shared" si="12"/>
        <v>4125</v>
      </c>
      <c r="AR32" s="155">
        <f t="shared" si="54"/>
        <v>50000000</v>
      </c>
      <c r="AS32" s="156">
        <v>2.9499999999999998E-2</v>
      </c>
      <c r="AT32" s="122">
        <f t="shared" si="13"/>
        <v>4097.2222222222226</v>
      </c>
      <c r="AW32" s="122">
        <f t="shared" si="14"/>
        <v>0</v>
      </c>
      <c r="AZ32" s="122">
        <f t="shared" si="15"/>
        <v>0</v>
      </c>
      <c r="BC32" s="122">
        <f t="shared" si="16"/>
        <v>0</v>
      </c>
      <c r="BF32" s="122">
        <f t="shared" si="17"/>
        <v>0</v>
      </c>
      <c r="BI32" s="122">
        <f t="shared" si="18"/>
        <v>0</v>
      </c>
      <c r="BL32" s="122">
        <f t="shared" si="19"/>
        <v>0</v>
      </c>
      <c r="BO32" s="122">
        <f t="shared" si="20"/>
        <v>0</v>
      </c>
      <c r="BR32" s="122">
        <f t="shared" si="21"/>
        <v>0</v>
      </c>
      <c r="BU32" s="122">
        <f t="shared" si="22"/>
        <v>0</v>
      </c>
      <c r="BX32" s="122">
        <f t="shared" si="23"/>
        <v>0</v>
      </c>
      <c r="CA32" s="122">
        <f t="shared" si="24"/>
        <v>0</v>
      </c>
      <c r="CD32" s="122">
        <f t="shared" si="25"/>
        <v>0</v>
      </c>
      <c r="CG32" s="122">
        <f t="shared" si="26"/>
        <v>0</v>
      </c>
      <c r="CJ32" s="122">
        <f t="shared" si="27"/>
        <v>0</v>
      </c>
      <c r="CM32" s="122">
        <f t="shared" si="28"/>
        <v>0</v>
      </c>
      <c r="CP32" s="122">
        <f t="shared" si="29"/>
        <v>0</v>
      </c>
      <c r="CS32" s="122">
        <f t="shared" si="30"/>
        <v>0</v>
      </c>
      <c r="CV32" s="122">
        <f t="shared" si="31"/>
        <v>0</v>
      </c>
      <c r="CY32" s="122">
        <f t="shared" si="32"/>
        <v>0</v>
      </c>
      <c r="DB32" s="122">
        <f t="shared" si="33"/>
        <v>0</v>
      </c>
      <c r="DE32" s="122">
        <f t="shared" si="34"/>
        <v>0</v>
      </c>
      <c r="DH32" s="122">
        <f t="shared" si="35"/>
        <v>0</v>
      </c>
      <c r="DK32" s="122">
        <f t="shared" si="36"/>
        <v>0</v>
      </c>
      <c r="DN32" s="122">
        <f t="shared" si="37"/>
        <v>0</v>
      </c>
      <c r="DQ32" s="122">
        <f t="shared" si="38"/>
        <v>0</v>
      </c>
      <c r="DT32" s="122">
        <f t="shared" si="39"/>
        <v>0</v>
      </c>
      <c r="DW32" s="122">
        <f t="shared" si="40"/>
        <v>0</v>
      </c>
      <c r="DZ32" s="122"/>
      <c r="EA32" s="122"/>
      <c r="EB32" s="157">
        <f t="shared" si="41"/>
        <v>163875000</v>
      </c>
      <c r="EC32" s="157">
        <f t="shared" si="42"/>
        <v>0</v>
      </c>
      <c r="ED32" s="122">
        <f t="shared" si="43"/>
        <v>13179.513888888889</v>
      </c>
      <c r="EE32" s="123">
        <f t="shared" si="44"/>
        <v>2.8952707856598016E-2</v>
      </c>
      <c r="EG32" s="157">
        <f t="shared" si="45"/>
        <v>0</v>
      </c>
      <c r="EH32" s="122">
        <f t="shared" si="46"/>
        <v>0</v>
      </c>
      <c r="EI32" s="123">
        <f t="shared" si="47"/>
        <v>0</v>
      </c>
      <c r="EJ32" s="123"/>
      <c r="EK32" s="157">
        <f t="shared" si="48"/>
        <v>163875000</v>
      </c>
      <c r="EL32" s="157">
        <f t="shared" si="49"/>
        <v>0</v>
      </c>
      <c r="EM32" s="157">
        <f t="shared" si="50"/>
        <v>13179.513888888889</v>
      </c>
      <c r="EN32" s="123">
        <f t="shared" si="51"/>
        <v>2.8952707856598016E-2</v>
      </c>
    </row>
    <row r="33" spans="1:144" x14ac:dyDescent="0.25">
      <c r="A33" s="66">
        <f t="shared" si="52"/>
        <v>43487</v>
      </c>
      <c r="D33" s="122">
        <f t="shared" si="1"/>
        <v>0</v>
      </c>
      <c r="G33" s="122">
        <f t="shared" si="2"/>
        <v>0</v>
      </c>
      <c r="J33" s="122">
        <f t="shared" si="3"/>
        <v>0</v>
      </c>
      <c r="M33" s="122">
        <f t="shared" si="4"/>
        <v>0</v>
      </c>
      <c r="P33" s="122">
        <f t="shared" si="5"/>
        <v>0</v>
      </c>
      <c r="S33" s="122">
        <f t="shared" si="6"/>
        <v>0</v>
      </c>
      <c r="V33" s="122">
        <f t="shared" si="7"/>
        <v>0</v>
      </c>
      <c r="Y33" s="122">
        <f t="shared" si="8"/>
        <v>0</v>
      </c>
      <c r="AB33" s="122">
        <f t="shared" si="9"/>
        <v>0</v>
      </c>
      <c r="AE33" s="122">
        <v>0</v>
      </c>
      <c r="AH33" s="122">
        <v>0</v>
      </c>
      <c r="AI33" s="155">
        <f>65900000</f>
        <v>65900000</v>
      </c>
      <c r="AJ33" s="156">
        <v>2.7E-2</v>
      </c>
      <c r="AK33" s="122">
        <f t="shared" si="10"/>
        <v>4942.5</v>
      </c>
      <c r="AL33" s="155">
        <f t="shared" si="55"/>
        <v>30000000</v>
      </c>
      <c r="AM33" s="156">
        <v>2.9000000000000001E-2</v>
      </c>
      <c r="AN33" s="122">
        <f t="shared" si="11"/>
        <v>2416.6666666666665</v>
      </c>
      <c r="AO33" s="155">
        <f t="shared" si="53"/>
        <v>50000000</v>
      </c>
      <c r="AP33" s="156">
        <v>2.9700000000000001E-2</v>
      </c>
      <c r="AQ33" s="122">
        <f t="shared" si="12"/>
        <v>4125</v>
      </c>
      <c r="AR33" s="155">
        <f t="shared" si="54"/>
        <v>50000000</v>
      </c>
      <c r="AS33" s="156">
        <v>2.9499999999999998E-2</v>
      </c>
      <c r="AT33" s="122">
        <f t="shared" si="13"/>
        <v>4097.2222222222226</v>
      </c>
      <c r="AW33" s="122">
        <f t="shared" si="14"/>
        <v>0</v>
      </c>
      <c r="AZ33" s="122">
        <f t="shared" si="15"/>
        <v>0</v>
      </c>
      <c r="BC33" s="122">
        <f t="shared" si="16"/>
        <v>0</v>
      </c>
      <c r="BF33" s="122">
        <f t="shared" si="17"/>
        <v>0</v>
      </c>
      <c r="BI33" s="122">
        <f t="shared" si="18"/>
        <v>0</v>
      </c>
      <c r="BL33" s="122">
        <f t="shared" si="19"/>
        <v>0</v>
      </c>
      <c r="BO33" s="122">
        <f t="shared" si="20"/>
        <v>0</v>
      </c>
      <c r="BR33" s="122">
        <f t="shared" si="21"/>
        <v>0</v>
      </c>
      <c r="BU33" s="122">
        <f t="shared" si="22"/>
        <v>0</v>
      </c>
      <c r="BX33" s="122">
        <f t="shared" si="23"/>
        <v>0</v>
      </c>
      <c r="CA33" s="122">
        <f t="shared" si="24"/>
        <v>0</v>
      </c>
      <c r="CD33" s="122">
        <f t="shared" si="25"/>
        <v>0</v>
      </c>
      <c r="CG33" s="122">
        <f t="shared" si="26"/>
        <v>0</v>
      </c>
      <c r="CJ33" s="122">
        <f t="shared" si="27"/>
        <v>0</v>
      </c>
      <c r="CM33" s="122">
        <f t="shared" si="28"/>
        <v>0</v>
      </c>
      <c r="CP33" s="122">
        <f t="shared" si="29"/>
        <v>0</v>
      </c>
      <c r="CS33" s="122">
        <f t="shared" si="30"/>
        <v>0</v>
      </c>
      <c r="CV33" s="122">
        <f t="shared" si="31"/>
        <v>0</v>
      </c>
      <c r="CY33" s="122">
        <f t="shared" si="32"/>
        <v>0</v>
      </c>
      <c r="DB33" s="122">
        <f t="shared" si="33"/>
        <v>0</v>
      </c>
      <c r="DE33" s="122">
        <f t="shared" si="34"/>
        <v>0</v>
      </c>
      <c r="DH33" s="122">
        <f t="shared" si="35"/>
        <v>0</v>
      </c>
      <c r="DK33" s="122">
        <f t="shared" si="36"/>
        <v>0</v>
      </c>
      <c r="DN33" s="122">
        <f t="shared" si="37"/>
        <v>0</v>
      </c>
      <c r="DQ33" s="122">
        <f t="shared" si="38"/>
        <v>0</v>
      </c>
      <c r="DT33" s="122">
        <f t="shared" si="39"/>
        <v>0</v>
      </c>
      <c r="DW33" s="122">
        <f t="shared" si="40"/>
        <v>0</v>
      </c>
      <c r="DZ33" s="122"/>
      <c r="EA33" s="122"/>
      <c r="EB33" s="157">
        <f t="shared" si="41"/>
        <v>195900000</v>
      </c>
      <c r="EC33" s="157">
        <f t="shared" si="42"/>
        <v>0</v>
      </c>
      <c r="ED33" s="122">
        <f t="shared" si="43"/>
        <v>15581.388888888889</v>
      </c>
      <c r="EE33" s="123">
        <f t="shared" si="44"/>
        <v>2.8633486472690147E-2</v>
      </c>
      <c r="EG33" s="157">
        <f t="shared" si="45"/>
        <v>0</v>
      </c>
      <c r="EH33" s="122">
        <f t="shared" si="46"/>
        <v>0</v>
      </c>
      <c r="EI33" s="123">
        <f t="shared" si="47"/>
        <v>0</v>
      </c>
      <c r="EJ33" s="123"/>
      <c r="EK33" s="157">
        <f t="shared" si="48"/>
        <v>195900000</v>
      </c>
      <c r="EL33" s="157">
        <f t="shared" si="49"/>
        <v>0</v>
      </c>
      <c r="EM33" s="157">
        <f t="shared" si="50"/>
        <v>15581.388888888889</v>
      </c>
      <c r="EN33" s="123">
        <f t="shared" si="51"/>
        <v>2.8633486472690147E-2</v>
      </c>
    </row>
    <row r="34" spans="1:144" x14ac:dyDescent="0.25">
      <c r="A34" s="66">
        <f t="shared" si="52"/>
        <v>43488</v>
      </c>
      <c r="D34" s="122">
        <f t="shared" si="1"/>
        <v>0</v>
      </c>
      <c r="G34" s="122">
        <f t="shared" si="2"/>
        <v>0</v>
      </c>
      <c r="J34" s="122">
        <f t="shared" si="3"/>
        <v>0</v>
      </c>
      <c r="M34" s="122">
        <f t="shared" si="4"/>
        <v>0</v>
      </c>
      <c r="P34" s="122">
        <f t="shared" si="5"/>
        <v>0</v>
      </c>
      <c r="S34" s="122">
        <f t="shared" si="6"/>
        <v>0</v>
      </c>
      <c r="V34" s="122">
        <f t="shared" si="7"/>
        <v>0</v>
      </c>
      <c r="Y34" s="122">
        <f t="shared" si="8"/>
        <v>0</v>
      </c>
      <c r="AB34" s="122">
        <f t="shared" si="9"/>
        <v>0</v>
      </c>
      <c r="AE34" s="122">
        <v>0</v>
      </c>
      <c r="AH34" s="122">
        <v>0</v>
      </c>
      <c r="AI34" s="155">
        <f>52625000</f>
        <v>52625000</v>
      </c>
      <c r="AJ34" s="156">
        <v>2.7E-2</v>
      </c>
      <c r="AK34" s="122">
        <f t="shared" si="10"/>
        <v>3946.875</v>
      </c>
      <c r="AL34" s="155">
        <f t="shared" si="55"/>
        <v>30000000</v>
      </c>
      <c r="AM34" s="156">
        <v>2.9000000000000001E-2</v>
      </c>
      <c r="AN34" s="122">
        <f t="shared" si="11"/>
        <v>2416.6666666666665</v>
      </c>
      <c r="AO34" s="155">
        <f t="shared" si="53"/>
        <v>50000000</v>
      </c>
      <c r="AP34" s="156">
        <v>2.9700000000000001E-2</v>
      </c>
      <c r="AQ34" s="122">
        <f t="shared" si="12"/>
        <v>4125</v>
      </c>
      <c r="AR34" s="155">
        <f t="shared" si="54"/>
        <v>50000000</v>
      </c>
      <c r="AS34" s="156">
        <v>2.9499999999999998E-2</v>
      </c>
      <c r="AT34" s="122">
        <f t="shared" si="13"/>
        <v>4097.2222222222226</v>
      </c>
      <c r="AW34" s="122">
        <f t="shared" si="14"/>
        <v>0</v>
      </c>
      <c r="AZ34" s="122">
        <f t="shared" si="15"/>
        <v>0</v>
      </c>
      <c r="BC34" s="122">
        <f t="shared" si="16"/>
        <v>0</v>
      </c>
      <c r="BF34" s="122">
        <f t="shared" si="17"/>
        <v>0</v>
      </c>
      <c r="BI34" s="122">
        <f t="shared" si="18"/>
        <v>0</v>
      </c>
      <c r="BL34" s="122">
        <f t="shared" si="19"/>
        <v>0</v>
      </c>
      <c r="BO34" s="122">
        <f t="shared" si="20"/>
        <v>0</v>
      </c>
      <c r="BR34" s="122">
        <f t="shared" si="21"/>
        <v>0</v>
      </c>
      <c r="BU34" s="122">
        <f t="shared" si="22"/>
        <v>0</v>
      </c>
      <c r="BX34" s="122">
        <f t="shared" si="23"/>
        <v>0</v>
      </c>
      <c r="CA34" s="122">
        <f t="shared" si="24"/>
        <v>0</v>
      </c>
      <c r="CD34" s="122">
        <f t="shared" si="25"/>
        <v>0</v>
      </c>
      <c r="CG34" s="122">
        <f t="shared" si="26"/>
        <v>0</v>
      </c>
      <c r="CJ34" s="122">
        <f t="shared" si="27"/>
        <v>0</v>
      </c>
      <c r="CM34" s="122">
        <f t="shared" si="28"/>
        <v>0</v>
      </c>
      <c r="CP34" s="122">
        <f t="shared" si="29"/>
        <v>0</v>
      </c>
      <c r="CS34" s="122">
        <f t="shared" si="30"/>
        <v>0</v>
      </c>
      <c r="CV34" s="122">
        <f t="shared" si="31"/>
        <v>0</v>
      </c>
      <c r="CY34" s="122">
        <f t="shared" si="32"/>
        <v>0</v>
      </c>
      <c r="DB34" s="122">
        <f t="shared" si="33"/>
        <v>0</v>
      </c>
      <c r="DE34" s="122">
        <f t="shared" si="34"/>
        <v>0</v>
      </c>
      <c r="DH34" s="122">
        <f t="shared" si="35"/>
        <v>0</v>
      </c>
      <c r="DK34" s="122">
        <f t="shared" si="36"/>
        <v>0</v>
      </c>
      <c r="DN34" s="122">
        <f t="shared" si="37"/>
        <v>0</v>
      </c>
      <c r="DQ34" s="122">
        <f t="shared" si="38"/>
        <v>0</v>
      </c>
      <c r="DT34" s="122">
        <f t="shared" si="39"/>
        <v>0</v>
      </c>
      <c r="DW34" s="122">
        <f t="shared" si="40"/>
        <v>0</v>
      </c>
      <c r="DZ34" s="122"/>
      <c r="EA34" s="122"/>
      <c r="EB34" s="157">
        <f t="shared" si="41"/>
        <v>182625000</v>
      </c>
      <c r="EC34" s="157">
        <f t="shared" si="42"/>
        <v>0</v>
      </c>
      <c r="ED34" s="122">
        <f t="shared" si="43"/>
        <v>14585.763888888889</v>
      </c>
      <c r="EE34" s="123">
        <f t="shared" si="44"/>
        <v>2.8752224503764544E-2</v>
      </c>
      <c r="EG34" s="157">
        <f t="shared" si="45"/>
        <v>0</v>
      </c>
      <c r="EH34" s="122">
        <f t="shared" si="46"/>
        <v>0</v>
      </c>
      <c r="EI34" s="123">
        <f t="shared" si="47"/>
        <v>0</v>
      </c>
      <c r="EJ34" s="123"/>
      <c r="EK34" s="157">
        <f t="shared" si="48"/>
        <v>182625000</v>
      </c>
      <c r="EL34" s="157">
        <f t="shared" si="49"/>
        <v>0</v>
      </c>
      <c r="EM34" s="157">
        <f t="shared" si="50"/>
        <v>14585.763888888889</v>
      </c>
      <c r="EN34" s="123">
        <f t="shared" si="51"/>
        <v>2.8752224503764544E-2</v>
      </c>
    </row>
    <row r="35" spans="1:144" x14ac:dyDescent="0.25">
      <c r="A35" s="66">
        <f t="shared" si="52"/>
        <v>43489</v>
      </c>
      <c r="D35" s="122">
        <f t="shared" si="1"/>
        <v>0</v>
      </c>
      <c r="G35" s="122">
        <f t="shared" si="2"/>
        <v>0</v>
      </c>
      <c r="J35" s="122">
        <f t="shared" si="3"/>
        <v>0</v>
      </c>
      <c r="M35" s="122">
        <f t="shared" si="4"/>
        <v>0</v>
      </c>
      <c r="P35" s="122">
        <f t="shared" si="5"/>
        <v>0</v>
      </c>
      <c r="S35" s="122">
        <f t="shared" si="6"/>
        <v>0</v>
      </c>
      <c r="V35" s="122">
        <f t="shared" si="7"/>
        <v>0</v>
      </c>
      <c r="Y35" s="122">
        <f t="shared" si="8"/>
        <v>0</v>
      </c>
      <c r="AB35" s="122">
        <f t="shared" si="9"/>
        <v>0</v>
      </c>
      <c r="AE35" s="122">
        <v>0</v>
      </c>
      <c r="AH35" s="122">
        <v>0</v>
      </c>
      <c r="AI35" s="155">
        <f>34300000</f>
        <v>34300000</v>
      </c>
      <c r="AJ35" s="156">
        <v>2.7E-2</v>
      </c>
      <c r="AK35" s="122">
        <f t="shared" si="10"/>
        <v>2572.5</v>
      </c>
      <c r="AL35" s="155">
        <f t="shared" si="55"/>
        <v>30000000</v>
      </c>
      <c r="AM35" s="156">
        <v>2.9000000000000001E-2</v>
      </c>
      <c r="AN35" s="122">
        <f t="shared" si="11"/>
        <v>2416.6666666666665</v>
      </c>
      <c r="AO35" s="155">
        <f t="shared" si="53"/>
        <v>50000000</v>
      </c>
      <c r="AP35" s="156">
        <v>2.9700000000000001E-2</v>
      </c>
      <c r="AQ35" s="122">
        <f t="shared" si="12"/>
        <v>4125</v>
      </c>
      <c r="AR35" s="155">
        <f t="shared" si="54"/>
        <v>50000000</v>
      </c>
      <c r="AS35" s="156">
        <v>2.9499999999999998E-2</v>
      </c>
      <c r="AT35" s="122">
        <f t="shared" si="13"/>
        <v>4097.2222222222226</v>
      </c>
      <c r="AW35" s="122">
        <f t="shared" si="14"/>
        <v>0</v>
      </c>
      <c r="AZ35" s="122">
        <f t="shared" si="15"/>
        <v>0</v>
      </c>
      <c r="BC35" s="122">
        <f t="shared" si="16"/>
        <v>0</v>
      </c>
      <c r="BF35" s="122">
        <f t="shared" si="17"/>
        <v>0</v>
      </c>
      <c r="BI35" s="122">
        <f t="shared" si="18"/>
        <v>0</v>
      </c>
      <c r="BL35" s="122">
        <f t="shared" si="19"/>
        <v>0</v>
      </c>
      <c r="BO35" s="122">
        <f t="shared" si="20"/>
        <v>0</v>
      </c>
      <c r="BR35" s="122">
        <f t="shared" si="21"/>
        <v>0</v>
      </c>
      <c r="BU35" s="122">
        <f t="shared" si="22"/>
        <v>0</v>
      </c>
      <c r="BX35" s="122">
        <f t="shared" si="23"/>
        <v>0</v>
      </c>
      <c r="CA35" s="122">
        <f t="shared" si="24"/>
        <v>0</v>
      </c>
      <c r="CD35" s="122">
        <f t="shared" si="25"/>
        <v>0</v>
      </c>
      <c r="CG35" s="122">
        <f t="shared" si="26"/>
        <v>0</v>
      </c>
      <c r="CJ35" s="122">
        <f t="shared" si="27"/>
        <v>0</v>
      </c>
      <c r="CM35" s="122">
        <f t="shared" si="28"/>
        <v>0</v>
      </c>
      <c r="CP35" s="122">
        <f t="shared" si="29"/>
        <v>0</v>
      </c>
      <c r="CS35" s="122">
        <f t="shared" si="30"/>
        <v>0</v>
      </c>
      <c r="CV35" s="122">
        <f t="shared" si="31"/>
        <v>0</v>
      </c>
      <c r="CY35" s="122">
        <f t="shared" si="32"/>
        <v>0</v>
      </c>
      <c r="DB35" s="122">
        <f t="shared" si="33"/>
        <v>0</v>
      </c>
      <c r="DE35" s="122">
        <f t="shared" si="34"/>
        <v>0</v>
      </c>
      <c r="DH35" s="122">
        <f t="shared" si="35"/>
        <v>0</v>
      </c>
      <c r="DK35" s="122">
        <f t="shared" si="36"/>
        <v>0</v>
      </c>
      <c r="DN35" s="122">
        <f t="shared" si="37"/>
        <v>0</v>
      </c>
      <c r="DQ35" s="122">
        <f t="shared" si="38"/>
        <v>0</v>
      </c>
      <c r="DT35" s="122">
        <f t="shared" si="39"/>
        <v>0</v>
      </c>
      <c r="DW35" s="122">
        <f t="shared" si="40"/>
        <v>0</v>
      </c>
      <c r="DZ35" s="122"/>
      <c r="EA35" s="122"/>
      <c r="EB35" s="157">
        <f t="shared" si="41"/>
        <v>164300000</v>
      </c>
      <c r="EC35" s="157">
        <f t="shared" si="42"/>
        <v>0</v>
      </c>
      <c r="ED35" s="122">
        <f t="shared" si="43"/>
        <v>13211.388888888889</v>
      </c>
      <c r="EE35" s="123">
        <f t="shared" si="44"/>
        <v>2.8947656725502133E-2</v>
      </c>
      <c r="EG35" s="157">
        <f t="shared" si="45"/>
        <v>0</v>
      </c>
      <c r="EH35" s="122">
        <f t="shared" si="46"/>
        <v>0</v>
      </c>
      <c r="EI35" s="123">
        <f t="shared" si="47"/>
        <v>0</v>
      </c>
      <c r="EJ35" s="123"/>
      <c r="EK35" s="157">
        <f t="shared" si="48"/>
        <v>164300000</v>
      </c>
      <c r="EL35" s="157">
        <f t="shared" si="49"/>
        <v>0</v>
      </c>
      <c r="EM35" s="157">
        <f t="shared" si="50"/>
        <v>13211.388888888889</v>
      </c>
      <c r="EN35" s="123">
        <f t="shared" si="51"/>
        <v>2.8947656725502133E-2</v>
      </c>
    </row>
    <row r="36" spans="1:144" x14ac:dyDescent="0.25">
      <c r="A36" s="66">
        <f t="shared" si="52"/>
        <v>43490</v>
      </c>
      <c r="D36" s="122">
        <f t="shared" si="1"/>
        <v>0</v>
      </c>
      <c r="G36" s="122">
        <f t="shared" si="2"/>
        <v>0</v>
      </c>
      <c r="J36" s="122">
        <f t="shared" si="3"/>
        <v>0</v>
      </c>
      <c r="M36" s="122">
        <f t="shared" si="4"/>
        <v>0</v>
      </c>
      <c r="P36" s="122">
        <f t="shared" si="5"/>
        <v>0</v>
      </c>
      <c r="S36" s="122">
        <f t="shared" si="6"/>
        <v>0</v>
      </c>
      <c r="V36" s="122">
        <f t="shared" si="7"/>
        <v>0</v>
      </c>
      <c r="Y36" s="122">
        <f t="shared" si="8"/>
        <v>0</v>
      </c>
      <c r="AB36" s="122">
        <f t="shared" si="9"/>
        <v>0</v>
      </c>
      <c r="AE36" s="122">
        <v>0</v>
      </c>
      <c r="AH36" s="122">
        <v>0</v>
      </c>
      <c r="AI36" s="155">
        <f>42425000+175000</f>
        <v>42600000</v>
      </c>
      <c r="AJ36" s="156">
        <v>2.7E-2</v>
      </c>
      <c r="AK36" s="122">
        <f t="shared" si="10"/>
        <v>3195</v>
      </c>
      <c r="AL36" s="155">
        <f t="shared" si="55"/>
        <v>30000000</v>
      </c>
      <c r="AM36" s="156">
        <v>2.9000000000000001E-2</v>
      </c>
      <c r="AN36" s="122">
        <f t="shared" si="11"/>
        <v>2416.6666666666665</v>
      </c>
      <c r="AO36" s="155">
        <f t="shared" si="53"/>
        <v>50000000</v>
      </c>
      <c r="AP36" s="156">
        <v>2.9700000000000001E-2</v>
      </c>
      <c r="AQ36" s="122">
        <f t="shared" si="12"/>
        <v>4125</v>
      </c>
      <c r="AR36" s="155">
        <f t="shared" si="54"/>
        <v>50000000</v>
      </c>
      <c r="AS36" s="156">
        <v>2.9499999999999998E-2</v>
      </c>
      <c r="AT36" s="122">
        <f t="shared" si="13"/>
        <v>4097.2222222222226</v>
      </c>
      <c r="AW36" s="122">
        <f t="shared" si="14"/>
        <v>0</v>
      </c>
      <c r="AZ36" s="122">
        <f t="shared" si="15"/>
        <v>0</v>
      </c>
      <c r="BC36" s="122">
        <f t="shared" si="16"/>
        <v>0</v>
      </c>
      <c r="BF36" s="122">
        <f t="shared" si="17"/>
        <v>0</v>
      </c>
      <c r="BI36" s="122">
        <f t="shared" si="18"/>
        <v>0</v>
      </c>
      <c r="BL36" s="122">
        <f t="shared" si="19"/>
        <v>0</v>
      </c>
      <c r="BO36" s="122">
        <f t="shared" si="20"/>
        <v>0</v>
      </c>
      <c r="BR36" s="122">
        <f t="shared" si="21"/>
        <v>0</v>
      </c>
      <c r="BU36" s="122">
        <f t="shared" si="22"/>
        <v>0</v>
      </c>
      <c r="BX36" s="122">
        <f t="shared" si="23"/>
        <v>0</v>
      </c>
      <c r="CA36" s="122">
        <f t="shared" si="24"/>
        <v>0</v>
      </c>
      <c r="CD36" s="122">
        <f t="shared" si="25"/>
        <v>0</v>
      </c>
      <c r="CG36" s="122">
        <f t="shared" si="26"/>
        <v>0</v>
      </c>
      <c r="CJ36" s="122">
        <f t="shared" si="27"/>
        <v>0</v>
      </c>
      <c r="CM36" s="122">
        <f t="shared" si="28"/>
        <v>0</v>
      </c>
      <c r="CP36" s="122">
        <f t="shared" si="29"/>
        <v>0</v>
      </c>
      <c r="CS36" s="122">
        <f t="shared" si="30"/>
        <v>0</v>
      </c>
      <c r="CV36" s="122">
        <f t="shared" si="31"/>
        <v>0</v>
      </c>
      <c r="CY36" s="122">
        <f t="shared" si="32"/>
        <v>0</v>
      </c>
      <c r="DB36" s="122">
        <f t="shared" si="33"/>
        <v>0</v>
      </c>
      <c r="DE36" s="122">
        <f t="shared" si="34"/>
        <v>0</v>
      </c>
      <c r="DH36" s="122">
        <f t="shared" si="35"/>
        <v>0</v>
      </c>
      <c r="DK36" s="122">
        <f t="shared" si="36"/>
        <v>0</v>
      </c>
      <c r="DN36" s="122">
        <f t="shared" si="37"/>
        <v>0</v>
      </c>
      <c r="DQ36" s="122">
        <f t="shared" si="38"/>
        <v>0</v>
      </c>
      <c r="DT36" s="122">
        <f t="shared" si="39"/>
        <v>0</v>
      </c>
      <c r="DW36" s="122">
        <f t="shared" si="40"/>
        <v>0</v>
      </c>
      <c r="DZ36" s="122"/>
      <c r="EA36" s="122"/>
      <c r="EB36" s="157">
        <f t="shared" si="41"/>
        <v>172600000</v>
      </c>
      <c r="EC36" s="157">
        <f t="shared" si="42"/>
        <v>0</v>
      </c>
      <c r="ED36" s="122">
        <f t="shared" si="43"/>
        <v>13833.888888888889</v>
      </c>
      <c r="EE36" s="123">
        <f t="shared" si="44"/>
        <v>2.8853997682502897E-2</v>
      </c>
      <c r="EG36" s="157">
        <f t="shared" si="45"/>
        <v>0</v>
      </c>
      <c r="EH36" s="122">
        <f t="shared" si="46"/>
        <v>0</v>
      </c>
      <c r="EI36" s="123">
        <f t="shared" si="47"/>
        <v>0</v>
      </c>
      <c r="EJ36" s="123"/>
      <c r="EK36" s="157">
        <f t="shared" si="48"/>
        <v>172600000</v>
      </c>
      <c r="EL36" s="157">
        <f t="shared" si="49"/>
        <v>0</v>
      </c>
      <c r="EM36" s="157">
        <f t="shared" si="50"/>
        <v>13833.888888888889</v>
      </c>
      <c r="EN36" s="123">
        <f t="shared" si="51"/>
        <v>2.8853997682502897E-2</v>
      </c>
    </row>
    <row r="37" spans="1:144" x14ac:dyDescent="0.25">
      <c r="A37" s="66">
        <f t="shared" si="52"/>
        <v>43491</v>
      </c>
      <c r="D37" s="122">
        <f t="shared" si="1"/>
        <v>0</v>
      </c>
      <c r="G37" s="122">
        <f t="shared" si="2"/>
        <v>0</v>
      </c>
      <c r="J37" s="122">
        <f t="shared" si="3"/>
        <v>0</v>
      </c>
      <c r="M37" s="122">
        <f t="shared" si="4"/>
        <v>0</v>
      </c>
      <c r="P37" s="122">
        <f t="shared" si="5"/>
        <v>0</v>
      </c>
      <c r="S37" s="122">
        <f t="shared" si="6"/>
        <v>0</v>
      </c>
      <c r="V37" s="122">
        <f t="shared" si="7"/>
        <v>0</v>
      </c>
      <c r="Y37" s="122">
        <f t="shared" si="8"/>
        <v>0</v>
      </c>
      <c r="AB37" s="122">
        <f t="shared" si="9"/>
        <v>0</v>
      </c>
      <c r="AE37" s="122">
        <v>0</v>
      </c>
      <c r="AH37" s="122">
        <v>0</v>
      </c>
      <c r="AI37" s="155">
        <f>42425000+175000</f>
        <v>42600000</v>
      </c>
      <c r="AJ37" s="156">
        <v>2.7E-2</v>
      </c>
      <c r="AK37" s="122">
        <f t="shared" si="10"/>
        <v>3195</v>
      </c>
      <c r="AL37" s="155">
        <f t="shared" si="55"/>
        <v>30000000</v>
      </c>
      <c r="AM37" s="156">
        <v>2.9000000000000001E-2</v>
      </c>
      <c r="AN37" s="122">
        <f t="shared" si="11"/>
        <v>2416.6666666666665</v>
      </c>
      <c r="AO37" s="155">
        <f t="shared" si="53"/>
        <v>50000000</v>
      </c>
      <c r="AP37" s="156">
        <v>2.9700000000000001E-2</v>
      </c>
      <c r="AQ37" s="122">
        <f t="shared" si="12"/>
        <v>4125</v>
      </c>
      <c r="AR37" s="155">
        <f t="shared" si="54"/>
        <v>50000000</v>
      </c>
      <c r="AS37" s="156">
        <v>2.9499999999999998E-2</v>
      </c>
      <c r="AT37" s="122">
        <f t="shared" si="13"/>
        <v>4097.2222222222226</v>
      </c>
      <c r="AW37" s="122">
        <f t="shared" si="14"/>
        <v>0</v>
      </c>
      <c r="AZ37" s="122">
        <f t="shared" si="15"/>
        <v>0</v>
      </c>
      <c r="BC37" s="122">
        <f t="shared" si="16"/>
        <v>0</v>
      </c>
      <c r="BF37" s="122">
        <f t="shared" si="17"/>
        <v>0</v>
      </c>
      <c r="BI37" s="122">
        <f t="shared" si="18"/>
        <v>0</v>
      </c>
      <c r="BL37" s="122">
        <f t="shared" si="19"/>
        <v>0</v>
      </c>
      <c r="BO37" s="122">
        <f t="shared" si="20"/>
        <v>0</v>
      </c>
      <c r="BR37" s="122">
        <f t="shared" si="21"/>
        <v>0</v>
      </c>
      <c r="BU37" s="122">
        <f t="shared" si="22"/>
        <v>0</v>
      </c>
      <c r="BX37" s="122">
        <f t="shared" si="23"/>
        <v>0</v>
      </c>
      <c r="CA37" s="122">
        <f t="shared" si="24"/>
        <v>0</v>
      </c>
      <c r="CD37" s="122">
        <f t="shared" si="25"/>
        <v>0</v>
      </c>
      <c r="CG37" s="122">
        <f t="shared" si="26"/>
        <v>0</v>
      </c>
      <c r="CJ37" s="122">
        <f t="shared" si="27"/>
        <v>0</v>
      </c>
      <c r="CM37" s="122">
        <f t="shared" si="28"/>
        <v>0</v>
      </c>
      <c r="CP37" s="122">
        <f t="shared" si="29"/>
        <v>0</v>
      </c>
      <c r="CS37" s="122">
        <f t="shared" si="30"/>
        <v>0</v>
      </c>
      <c r="CV37" s="122">
        <f t="shared" si="31"/>
        <v>0</v>
      </c>
      <c r="CY37" s="122">
        <f t="shared" si="32"/>
        <v>0</v>
      </c>
      <c r="DB37" s="122">
        <f t="shared" si="33"/>
        <v>0</v>
      </c>
      <c r="DE37" s="122">
        <f t="shared" si="34"/>
        <v>0</v>
      </c>
      <c r="DH37" s="122">
        <f t="shared" si="35"/>
        <v>0</v>
      </c>
      <c r="DK37" s="122">
        <f t="shared" si="36"/>
        <v>0</v>
      </c>
      <c r="DN37" s="122">
        <f t="shared" si="37"/>
        <v>0</v>
      </c>
      <c r="DQ37" s="122">
        <f t="shared" si="38"/>
        <v>0</v>
      </c>
      <c r="DT37" s="122">
        <f t="shared" si="39"/>
        <v>0</v>
      </c>
      <c r="DW37" s="122">
        <f t="shared" si="40"/>
        <v>0</v>
      </c>
      <c r="DZ37" s="122"/>
      <c r="EA37" s="122"/>
      <c r="EB37" s="157">
        <f t="shared" si="41"/>
        <v>172600000</v>
      </c>
      <c r="EC37" s="157">
        <f t="shared" si="42"/>
        <v>0</v>
      </c>
      <c r="ED37" s="122">
        <f t="shared" si="43"/>
        <v>13833.888888888889</v>
      </c>
      <c r="EE37" s="123">
        <f t="shared" si="44"/>
        <v>2.8853997682502897E-2</v>
      </c>
      <c r="EG37" s="157">
        <f t="shared" si="45"/>
        <v>0</v>
      </c>
      <c r="EH37" s="122">
        <f t="shared" si="46"/>
        <v>0</v>
      </c>
      <c r="EI37" s="123">
        <f t="shared" si="47"/>
        <v>0</v>
      </c>
      <c r="EJ37" s="123"/>
      <c r="EK37" s="157">
        <f t="shared" si="48"/>
        <v>172600000</v>
      </c>
      <c r="EL37" s="157">
        <f t="shared" si="49"/>
        <v>0</v>
      </c>
      <c r="EM37" s="157">
        <f t="shared" si="50"/>
        <v>13833.888888888889</v>
      </c>
      <c r="EN37" s="123">
        <f t="shared" si="51"/>
        <v>2.8853997682502897E-2</v>
      </c>
    </row>
    <row r="38" spans="1:144" x14ac:dyDescent="0.25">
      <c r="A38" s="66">
        <f t="shared" si="52"/>
        <v>43492</v>
      </c>
      <c r="D38" s="122">
        <f t="shared" si="1"/>
        <v>0</v>
      </c>
      <c r="G38" s="122">
        <f t="shared" si="2"/>
        <v>0</v>
      </c>
      <c r="J38" s="122">
        <f t="shared" si="3"/>
        <v>0</v>
      </c>
      <c r="M38" s="122">
        <f t="shared" si="4"/>
        <v>0</v>
      </c>
      <c r="P38" s="122">
        <f t="shared" si="5"/>
        <v>0</v>
      </c>
      <c r="S38" s="122">
        <f t="shared" si="6"/>
        <v>0</v>
      </c>
      <c r="V38" s="122">
        <f t="shared" si="7"/>
        <v>0</v>
      </c>
      <c r="Y38" s="122">
        <f t="shared" si="8"/>
        <v>0</v>
      </c>
      <c r="AB38" s="122">
        <f t="shared" si="9"/>
        <v>0</v>
      </c>
      <c r="AE38" s="122">
        <v>0</v>
      </c>
      <c r="AH38" s="122">
        <v>0</v>
      </c>
      <c r="AI38" s="155">
        <f>42425000+175000</f>
        <v>42600000</v>
      </c>
      <c r="AJ38" s="156">
        <v>2.7E-2</v>
      </c>
      <c r="AK38" s="122">
        <f t="shared" si="10"/>
        <v>3195</v>
      </c>
      <c r="AL38" s="155">
        <f t="shared" si="55"/>
        <v>30000000</v>
      </c>
      <c r="AM38" s="156">
        <v>2.9000000000000001E-2</v>
      </c>
      <c r="AN38" s="122">
        <f t="shared" si="11"/>
        <v>2416.6666666666665</v>
      </c>
      <c r="AO38" s="155">
        <f t="shared" si="53"/>
        <v>50000000</v>
      </c>
      <c r="AP38" s="156">
        <v>2.9700000000000001E-2</v>
      </c>
      <c r="AQ38" s="122">
        <f t="shared" si="12"/>
        <v>4125</v>
      </c>
      <c r="AR38" s="155">
        <f t="shared" si="54"/>
        <v>50000000</v>
      </c>
      <c r="AS38" s="156">
        <v>2.9499999999999998E-2</v>
      </c>
      <c r="AT38" s="122">
        <f t="shared" si="13"/>
        <v>4097.2222222222226</v>
      </c>
      <c r="AW38" s="122">
        <f t="shared" si="14"/>
        <v>0</v>
      </c>
      <c r="AZ38" s="122">
        <f t="shared" si="15"/>
        <v>0</v>
      </c>
      <c r="BC38" s="122">
        <f t="shared" si="16"/>
        <v>0</v>
      </c>
      <c r="BF38" s="122">
        <f t="shared" si="17"/>
        <v>0</v>
      </c>
      <c r="BI38" s="122">
        <f t="shared" si="18"/>
        <v>0</v>
      </c>
      <c r="BL38" s="122">
        <f t="shared" si="19"/>
        <v>0</v>
      </c>
      <c r="BO38" s="122">
        <f t="shared" si="20"/>
        <v>0</v>
      </c>
      <c r="BR38" s="122">
        <f t="shared" si="21"/>
        <v>0</v>
      </c>
      <c r="BU38" s="122">
        <f t="shared" si="22"/>
        <v>0</v>
      </c>
      <c r="BX38" s="122">
        <f t="shared" si="23"/>
        <v>0</v>
      </c>
      <c r="CA38" s="122">
        <f t="shared" si="24"/>
        <v>0</v>
      </c>
      <c r="CD38" s="122">
        <f t="shared" si="25"/>
        <v>0</v>
      </c>
      <c r="CG38" s="122">
        <f t="shared" si="26"/>
        <v>0</v>
      </c>
      <c r="CJ38" s="122">
        <f t="shared" si="27"/>
        <v>0</v>
      </c>
      <c r="CM38" s="122">
        <f t="shared" si="28"/>
        <v>0</v>
      </c>
      <c r="CP38" s="122">
        <f t="shared" si="29"/>
        <v>0</v>
      </c>
      <c r="CS38" s="122">
        <f t="shared" si="30"/>
        <v>0</v>
      </c>
      <c r="CV38" s="122">
        <f t="shared" si="31"/>
        <v>0</v>
      </c>
      <c r="CY38" s="122">
        <f t="shared" si="32"/>
        <v>0</v>
      </c>
      <c r="DB38" s="122">
        <f t="shared" si="33"/>
        <v>0</v>
      </c>
      <c r="DE38" s="122">
        <f t="shared" si="34"/>
        <v>0</v>
      </c>
      <c r="DH38" s="122">
        <f t="shared" si="35"/>
        <v>0</v>
      </c>
      <c r="DK38" s="122">
        <f t="shared" si="36"/>
        <v>0</v>
      </c>
      <c r="DN38" s="122">
        <f t="shared" si="37"/>
        <v>0</v>
      </c>
      <c r="DQ38" s="122">
        <f t="shared" si="38"/>
        <v>0</v>
      </c>
      <c r="DT38" s="122">
        <f t="shared" si="39"/>
        <v>0</v>
      </c>
      <c r="DW38" s="122">
        <f t="shared" si="40"/>
        <v>0</v>
      </c>
      <c r="DZ38" s="122"/>
      <c r="EA38" s="122"/>
      <c r="EB38" s="157">
        <f t="shared" si="41"/>
        <v>172600000</v>
      </c>
      <c r="EC38" s="157">
        <f t="shared" si="42"/>
        <v>0</v>
      </c>
      <c r="ED38" s="122">
        <f t="shared" si="43"/>
        <v>13833.888888888889</v>
      </c>
      <c r="EE38" s="123">
        <f t="shared" si="44"/>
        <v>2.8853997682502897E-2</v>
      </c>
      <c r="EG38" s="157">
        <f t="shared" si="45"/>
        <v>0</v>
      </c>
      <c r="EH38" s="122">
        <f t="shared" si="46"/>
        <v>0</v>
      </c>
      <c r="EI38" s="123">
        <f t="shared" si="47"/>
        <v>0</v>
      </c>
      <c r="EJ38" s="123"/>
      <c r="EK38" s="157">
        <f t="shared" si="48"/>
        <v>172600000</v>
      </c>
      <c r="EL38" s="157">
        <f t="shared" si="49"/>
        <v>0</v>
      </c>
      <c r="EM38" s="157">
        <f t="shared" si="50"/>
        <v>13833.888888888889</v>
      </c>
      <c r="EN38" s="123">
        <f t="shared" si="51"/>
        <v>2.8853997682502897E-2</v>
      </c>
    </row>
    <row r="39" spans="1:144" x14ac:dyDescent="0.25">
      <c r="A39" s="66">
        <f t="shared" si="52"/>
        <v>43493</v>
      </c>
      <c r="D39" s="122">
        <f t="shared" si="1"/>
        <v>0</v>
      </c>
      <c r="G39" s="122">
        <f t="shared" si="2"/>
        <v>0</v>
      </c>
      <c r="J39" s="122">
        <f t="shared" si="3"/>
        <v>0</v>
      </c>
      <c r="M39" s="122">
        <f t="shared" si="4"/>
        <v>0</v>
      </c>
      <c r="P39" s="122">
        <f t="shared" si="5"/>
        <v>0</v>
      </c>
      <c r="S39" s="122">
        <f t="shared" si="6"/>
        <v>0</v>
      </c>
      <c r="V39" s="122">
        <f t="shared" si="7"/>
        <v>0</v>
      </c>
      <c r="Y39" s="122">
        <f t="shared" si="8"/>
        <v>0</v>
      </c>
      <c r="AB39" s="122">
        <f t="shared" si="9"/>
        <v>0</v>
      </c>
      <c r="AE39" s="122">
        <v>0</v>
      </c>
      <c r="AH39" s="122">
        <v>0</v>
      </c>
      <c r="AI39" s="155">
        <f>62400000</f>
        <v>62400000</v>
      </c>
      <c r="AJ39" s="156">
        <v>2.7E-2</v>
      </c>
      <c r="AK39" s="122">
        <f t="shared" si="10"/>
        <v>4680</v>
      </c>
      <c r="AL39" s="155">
        <f t="shared" si="55"/>
        <v>30000000</v>
      </c>
      <c r="AM39" s="156">
        <v>2.9000000000000001E-2</v>
      </c>
      <c r="AN39" s="122">
        <f t="shared" si="11"/>
        <v>2416.6666666666665</v>
      </c>
      <c r="AO39" s="155">
        <f t="shared" si="53"/>
        <v>50000000</v>
      </c>
      <c r="AP39" s="156">
        <v>2.9700000000000001E-2</v>
      </c>
      <c r="AQ39" s="122">
        <f t="shared" si="12"/>
        <v>4125</v>
      </c>
      <c r="AR39" s="155">
        <f t="shared" si="54"/>
        <v>50000000</v>
      </c>
      <c r="AS39" s="156">
        <v>2.9499999999999998E-2</v>
      </c>
      <c r="AT39" s="122">
        <f t="shared" si="13"/>
        <v>4097.2222222222226</v>
      </c>
      <c r="AW39" s="122">
        <f t="shared" si="14"/>
        <v>0</v>
      </c>
      <c r="AZ39" s="122">
        <f t="shared" si="15"/>
        <v>0</v>
      </c>
      <c r="BC39" s="122">
        <f t="shared" si="16"/>
        <v>0</v>
      </c>
      <c r="BF39" s="122">
        <f t="shared" si="17"/>
        <v>0</v>
      </c>
      <c r="BI39" s="122">
        <f t="shared" si="18"/>
        <v>0</v>
      </c>
      <c r="BL39" s="122">
        <f t="shared" si="19"/>
        <v>0</v>
      </c>
      <c r="BO39" s="122">
        <f t="shared" si="20"/>
        <v>0</v>
      </c>
      <c r="BR39" s="122">
        <f t="shared" si="21"/>
        <v>0</v>
      </c>
      <c r="BU39" s="122">
        <f t="shared" si="22"/>
        <v>0</v>
      </c>
      <c r="BX39" s="122">
        <f t="shared" si="23"/>
        <v>0</v>
      </c>
      <c r="CA39" s="122">
        <f t="shared" si="24"/>
        <v>0</v>
      </c>
      <c r="CD39" s="122">
        <f t="shared" si="25"/>
        <v>0</v>
      </c>
      <c r="CG39" s="122">
        <f t="shared" si="26"/>
        <v>0</v>
      </c>
      <c r="CJ39" s="122">
        <f t="shared" si="27"/>
        <v>0</v>
      </c>
      <c r="CM39" s="122">
        <f t="shared" si="28"/>
        <v>0</v>
      </c>
      <c r="CP39" s="122">
        <f t="shared" si="29"/>
        <v>0</v>
      </c>
      <c r="CS39" s="122">
        <f t="shared" si="30"/>
        <v>0</v>
      </c>
      <c r="CV39" s="122">
        <f t="shared" si="31"/>
        <v>0</v>
      </c>
      <c r="CY39" s="122">
        <f t="shared" si="32"/>
        <v>0</v>
      </c>
      <c r="DB39" s="122">
        <f t="shared" si="33"/>
        <v>0</v>
      </c>
      <c r="DE39" s="122">
        <f t="shared" si="34"/>
        <v>0</v>
      </c>
      <c r="DH39" s="122">
        <f t="shared" si="35"/>
        <v>0</v>
      </c>
      <c r="DK39" s="122">
        <f t="shared" si="36"/>
        <v>0</v>
      </c>
      <c r="DN39" s="122">
        <f t="shared" si="37"/>
        <v>0</v>
      </c>
      <c r="DQ39" s="122">
        <f t="shared" si="38"/>
        <v>0</v>
      </c>
      <c r="DT39" s="122">
        <f t="shared" si="39"/>
        <v>0</v>
      </c>
      <c r="DW39" s="122">
        <f t="shared" si="40"/>
        <v>0</v>
      </c>
      <c r="DZ39" s="122"/>
      <c r="EA39" s="122"/>
      <c r="EB39" s="157">
        <f t="shared" si="41"/>
        <v>192400000</v>
      </c>
      <c r="EC39" s="157">
        <f t="shared" si="42"/>
        <v>0</v>
      </c>
      <c r="ED39" s="122">
        <f t="shared" si="43"/>
        <v>15318.888888888889</v>
      </c>
      <c r="EE39" s="123">
        <f t="shared" si="44"/>
        <v>2.8663201663201663E-2</v>
      </c>
      <c r="EG39" s="157">
        <f t="shared" si="45"/>
        <v>0</v>
      </c>
      <c r="EH39" s="122">
        <f t="shared" si="46"/>
        <v>0</v>
      </c>
      <c r="EI39" s="123">
        <f t="shared" si="47"/>
        <v>0</v>
      </c>
      <c r="EJ39" s="123"/>
      <c r="EK39" s="157">
        <f t="shared" si="48"/>
        <v>192400000</v>
      </c>
      <c r="EL39" s="157">
        <f t="shared" si="49"/>
        <v>0</v>
      </c>
      <c r="EM39" s="157">
        <f t="shared" si="50"/>
        <v>15318.888888888889</v>
      </c>
      <c r="EN39" s="123">
        <f t="shared" si="51"/>
        <v>2.8663201663201663E-2</v>
      </c>
    </row>
    <row r="40" spans="1:144" x14ac:dyDescent="0.25">
      <c r="A40" s="66">
        <f t="shared" si="52"/>
        <v>43494</v>
      </c>
      <c r="D40" s="122">
        <f t="shared" si="1"/>
        <v>0</v>
      </c>
      <c r="G40" s="122">
        <f t="shared" si="2"/>
        <v>0</v>
      </c>
      <c r="J40" s="122">
        <f t="shared" si="3"/>
        <v>0</v>
      </c>
      <c r="M40" s="122">
        <f t="shared" si="4"/>
        <v>0</v>
      </c>
      <c r="P40" s="122">
        <f t="shared" si="5"/>
        <v>0</v>
      </c>
      <c r="S40" s="122">
        <f t="shared" si="6"/>
        <v>0</v>
      </c>
      <c r="V40" s="122">
        <f t="shared" si="7"/>
        <v>0</v>
      </c>
      <c r="Y40" s="122">
        <f t="shared" si="8"/>
        <v>0</v>
      </c>
      <c r="AB40" s="122">
        <f t="shared" si="9"/>
        <v>0</v>
      </c>
      <c r="AE40" s="122">
        <v>0</v>
      </c>
      <c r="AH40" s="122">
        <v>0</v>
      </c>
      <c r="AI40" s="155">
        <f>51050000</f>
        <v>51050000</v>
      </c>
      <c r="AJ40" s="156">
        <v>2.7E-2</v>
      </c>
      <c r="AK40" s="122">
        <f t="shared" si="10"/>
        <v>3828.75</v>
      </c>
      <c r="AL40" s="155">
        <f t="shared" si="55"/>
        <v>30000000</v>
      </c>
      <c r="AM40" s="156">
        <v>2.9000000000000001E-2</v>
      </c>
      <c r="AN40" s="122">
        <f t="shared" si="11"/>
        <v>2416.6666666666665</v>
      </c>
      <c r="AO40" s="155">
        <f t="shared" si="53"/>
        <v>50000000</v>
      </c>
      <c r="AP40" s="156">
        <v>2.9700000000000001E-2</v>
      </c>
      <c r="AQ40" s="122">
        <f t="shared" si="12"/>
        <v>4125</v>
      </c>
      <c r="AR40" s="155">
        <f t="shared" si="54"/>
        <v>50000000</v>
      </c>
      <c r="AS40" s="156">
        <v>2.9499999999999998E-2</v>
      </c>
      <c r="AT40" s="122">
        <f t="shared" si="13"/>
        <v>4097.2222222222226</v>
      </c>
      <c r="AW40" s="122">
        <f t="shared" si="14"/>
        <v>0</v>
      </c>
      <c r="AZ40" s="122">
        <f t="shared" si="15"/>
        <v>0</v>
      </c>
      <c r="BC40" s="122">
        <f t="shared" si="16"/>
        <v>0</v>
      </c>
      <c r="BF40" s="122">
        <f t="shared" si="17"/>
        <v>0</v>
      </c>
      <c r="BI40" s="122">
        <f t="shared" si="18"/>
        <v>0</v>
      </c>
      <c r="BL40" s="122">
        <f t="shared" si="19"/>
        <v>0</v>
      </c>
      <c r="BO40" s="122">
        <f t="shared" si="20"/>
        <v>0</v>
      </c>
      <c r="BR40" s="122">
        <f t="shared" si="21"/>
        <v>0</v>
      </c>
      <c r="BU40" s="122">
        <f t="shared" si="22"/>
        <v>0</v>
      </c>
      <c r="BX40" s="122">
        <f t="shared" si="23"/>
        <v>0</v>
      </c>
      <c r="CA40" s="122">
        <f t="shared" si="24"/>
        <v>0</v>
      </c>
      <c r="CD40" s="122">
        <f t="shared" si="25"/>
        <v>0</v>
      </c>
      <c r="CG40" s="122">
        <f t="shared" si="26"/>
        <v>0</v>
      </c>
      <c r="CJ40" s="122">
        <f t="shared" si="27"/>
        <v>0</v>
      </c>
      <c r="CM40" s="122">
        <f t="shared" si="28"/>
        <v>0</v>
      </c>
      <c r="CP40" s="122">
        <f t="shared" si="29"/>
        <v>0</v>
      </c>
      <c r="CS40" s="122">
        <f t="shared" si="30"/>
        <v>0</v>
      </c>
      <c r="CV40" s="122">
        <f t="shared" si="31"/>
        <v>0</v>
      </c>
      <c r="CY40" s="122">
        <f t="shared" si="32"/>
        <v>0</v>
      </c>
      <c r="DB40" s="122">
        <f t="shared" si="33"/>
        <v>0</v>
      </c>
      <c r="DE40" s="122">
        <f t="shared" si="34"/>
        <v>0</v>
      </c>
      <c r="DH40" s="122">
        <f t="shared" si="35"/>
        <v>0</v>
      </c>
      <c r="DK40" s="122">
        <f t="shared" si="36"/>
        <v>0</v>
      </c>
      <c r="DN40" s="122">
        <f t="shared" si="37"/>
        <v>0</v>
      </c>
      <c r="DQ40" s="122">
        <f t="shared" si="38"/>
        <v>0</v>
      </c>
      <c r="DT40" s="122">
        <f t="shared" si="39"/>
        <v>0</v>
      </c>
      <c r="DW40" s="122">
        <f t="shared" si="40"/>
        <v>0</v>
      </c>
      <c r="DZ40" s="122"/>
      <c r="EA40" s="122"/>
      <c r="EB40" s="157">
        <f t="shared" si="41"/>
        <v>181050000</v>
      </c>
      <c r="EC40" s="157">
        <f t="shared" si="42"/>
        <v>0</v>
      </c>
      <c r="ED40" s="122">
        <f t="shared" si="43"/>
        <v>14467.638888888889</v>
      </c>
      <c r="EE40" s="123">
        <f t="shared" si="44"/>
        <v>2.8767467550400438E-2</v>
      </c>
      <c r="EG40" s="157">
        <f t="shared" si="45"/>
        <v>0</v>
      </c>
      <c r="EH40" s="122">
        <f t="shared" si="46"/>
        <v>0</v>
      </c>
      <c r="EI40" s="123">
        <f t="shared" si="47"/>
        <v>0</v>
      </c>
      <c r="EJ40" s="123"/>
      <c r="EK40" s="157">
        <f t="shared" si="48"/>
        <v>181050000</v>
      </c>
      <c r="EL40" s="157">
        <f t="shared" si="49"/>
        <v>0</v>
      </c>
      <c r="EM40" s="157">
        <f t="shared" si="50"/>
        <v>14467.638888888889</v>
      </c>
      <c r="EN40" s="123">
        <f t="shared" si="51"/>
        <v>2.8767467550400438E-2</v>
      </c>
    </row>
    <row r="41" spans="1:144" x14ac:dyDescent="0.25">
      <c r="A41" s="66">
        <f t="shared" si="52"/>
        <v>43495</v>
      </c>
      <c r="D41" s="122">
        <f t="shared" si="1"/>
        <v>0</v>
      </c>
      <c r="G41" s="122">
        <f t="shared" si="2"/>
        <v>0</v>
      </c>
      <c r="J41" s="122">
        <f t="shared" si="3"/>
        <v>0</v>
      </c>
      <c r="M41" s="122">
        <f t="shared" si="4"/>
        <v>0</v>
      </c>
      <c r="P41" s="122">
        <f t="shared" si="5"/>
        <v>0</v>
      </c>
      <c r="S41" s="122">
        <f t="shared" si="6"/>
        <v>0</v>
      </c>
      <c r="V41" s="122">
        <f t="shared" si="7"/>
        <v>0</v>
      </c>
      <c r="Y41" s="122">
        <f t="shared" si="8"/>
        <v>0</v>
      </c>
      <c r="AB41" s="122">
        <f t="shared" si="9"/>
        <v>0</v>
      </c>
      <c r="AE41" s="122">
        <v>0</v>
      </c>
      <c r="AH41" s="122">
        <v>0</v>
      </c>
      <c r="AI41" s="155">
        <f>68900000</f>
        <v>68900000</v>
      </c>
      <c r="AJ41" s="156">
        <v>2.7E-2</v>
      </c>
      <c r="AK41" s="122">
        <f t="shared" si="10"/>
        <v>5167.5</v>
      </c>
      <c r="AL41" s="155">
        <f t="shared" si="55"/>
        <v>30000000</v>
      </c>
      <c r="AM41" s="156">
        <v>2.9000000000000001E-2</v>
      </c>
      <c r="AN41" s="122">
        <f t="shared" si="11"/>
        <v>2416.6666666666665</v>
      </c>
      <c r="AO41" s="155">
        <f t="shared" si="53"/>
        <v>50000000</v>
      </c>
      <c r="AP41" s="156">
        <v>2.9700000000000001E-2</v>
      </c>
      <c r="AQ41" s="122">
        <f t="shared" si="12"/>
        <v>4125</v>
      </c>
      <c r="AR41" s="155">
        <f t="shared" si="54"/>
        <v>50000000</v>
      </c>
      <c r="AS41" s="156">
        <v>2.9499999999999998E-2</v>
      </c>
      <c r="AT41" s="122">
        <f t="shared" si="13"/>
        <v>4097.2222222222226</v>
      </c>
      <c r="AW41" s="122">
        <f t="shared" si="14"/>
        <v>0</v>
      </c>
      <c r="AZ41" s="122">
        <f t="shared" si="15"/>
        <v>0</v>
      </c>
      <c r="BC41" s="122">
        <f t="shared" si="16"/>
        <v>0</v>
      </c>
      <c r="BF41" s="122">
        <f t="shared" si="17"/>
        <v>0</v>
      </c>
      <c r="BI41" s="122">
        <f t="shared" si="18"/>
        <v>0</v>
      </c>
      <c r="BL41" s="122">
        <f t="shared" si="19"/>
        <v>0</v>
      </c>
      <c r="BO41" s="122">
        <f t="shared" si="20"/>
        <v>0</v>
      </c>
      <c r="BR41" s="122">
        <f t="shared" si="21"/>
        <v>0</v>
      </c>
      <c r="BU41" s="122">
        <f t="shared" si="22"/>
        <v>0</v>
      </c>
      <c r="BX41" s="122">
        <f t="shared" si="23"/>
        <v>0</v>
      </c>
      <c r="CA41" s="122">
        <f t="shared" si="24"/>
        <v>0</v>
      </c>
      <c r="CD41" s="122">
        <f t="shared" si="25"/>
        <v>0</v>
      </c>
      <c r="CG41" s="122">
        <f t="shared" si="26"/>
        <v>0</v>
      </c>
      <c r="CJ41" s="122">
        <f t="shared" si="27"/>
        <v>0</v>
      </c>
      <c r="CM41" s="122">
        <f t="shared" si="28"/>
        <v>0</v>
      </c>
      <c r="CP41" s="122">
        <f t="shared" si="29"/>
        <v>0</v>
      </c>
      <c r="CS41" s="122">
        <f t="shared" si="30"/>
        <v>0</v>
      </c>
      <c r="CV41" s="122">
        <f t="shared" si="31"/>
        <v>0</v>
      </c>
      <c r="CY41" s="122">
        <f t="shared" si="32"/>
        <v>0</v>
      </c>
      <c r="DB41" s="122">
        <f t="shared" si="33"/>
        <v>0</v>
      </c>
      <c r="DE41" s="122">
        <f t="shared" si="34"/>
        <v>0</v>
      </c>
      <c r="DH41" s="122">
        <f t="shared" si="35"/>
        <v>0</v>
      </c>
      <c r="DK41" s="122">
        <f t="shared" si="36"/>
        <v>0</v>
      </c>
      <c r="DN41" s="122">
        <f t="shared" si="37"/>
        <v>0</v>
      </c>
      <c r="DQ41" s="122">
        <f t="shared" si="38"/>
        <v>0</v>
      </c>
      <c r="DT41" s="122">
        <f t="shared" si="39"/>
        <v>0</v>
      </c>
      <c r="DW41" s="122">
        <f t="shared" si="40"/>
        <v>0</v>
      </c>
      <c r="DZ41" s="120"/>
      <c r="EA41" s="122"/>
      <c r="EB41" s="157">
        <f t="shared" si="41"/>
        <v>198900000</v>
      </c>
      <c r="EC41" s="157">
        <f t="shared" si="42"/>
        <v>0</v>
      </c>
      <c r="ED41" s="122">
        <f t="shared" si="43"/>
        <v>15806.388888888889</v>
      </c>
      <c r="EE41" s="123">
        <f t="shared" si="44"/>
        <v>2.8608848667672198E-2</v>
      </c>
      <c r="EG41" s="157">
        <f t="shared" si="45"/>
        <v>0</v>
      </c>
      <c r="EH41" s="122">
        <f t="shared" si="46"/>
        <v>0</v>
      </c>
      <c r="EI41" s="123">
        <f t="shared" si="47"/>
        <v>0</v>
      </c>
      <c r="EJ41" s="123"/>
      <c r="EK41" s="157">
        <f t="shared" si="48"/>
        <v>198900000</v>
      </c>
      <c r="EL41" s="157">
        <f t="shared" si="49"/>
        <v>0</v>
      </c>
      <c r="EM41" s="157">
        <f t="shared" si="50"/>
        <v>15806.388888888889</v>
      </c>
      <c r="EN41" s="123">
        <f t="shared" si="51"/>
        <v>2.8608848667672198E-2</v>
      </c>
    </row>
    <row r="42" spans="1:144" x14ac:dyDescent="0.25">
      <c r="A42" s="66">
        <f t="shared" si="52"/>
        <v>43496</v>
      </c>
      <c r="D42" s="122">
        <f t="shared" si="1"/>
        <v>0</v>
      </c>
      <c r="G42" s="122">
        <f t="shared" si="2"/>
        <v>0</v>
      </c>
      <c r="J42" s="122">
        <f t="shared" si="3"/>
        <v>0</v>
      </c>
      <c r="M42" s="122">
        <f t="shared" si="4"/>
        <v>0</v>
      </c>
      <c r="P42" s="122">
        <f t="shared" si="5"/>
        <v>0</v>
      </c>
      <c r="S42" s="122">
        <f t="shared" si="6"/>
        <v>0</v>
      </c>
      <c r="V42" s="122">
        <f t="shared" si="7"/>
        <v>0</v>
      </c>
      <c r="Y42" s="122">
        <f t="shared" si="8"/>
        <v>0</v>
      </c>
      <c r="AB42" s="122">
        <f t="shared" si="9"/>
        <v>0</v>
      </c>
      <c r="AE42" s="122">
        <v>0</v>
      </c>
      <c r="AH42" s="122">
        <v>0</v>
      </c>
      <c r="AI42" s="155">
        <f>67225000</f>
        <v>67225000</v>
      </c>
      <c r="AJ42" s="156">
        <v>2.7E-2</v>
      </c>
      <c r="AK42" s="122">
        <f t="shared" si="10"/>
        <v>5041.875</v>
      </c>
      <c r="AL42" s="155">
        <f t="shared" si="55"/>
        <v>30000000</v>
      </c>
      <c r="AM42" s="156">
        <v>2.9000000000000001E-2</v>
      </c>
      <c r="AN42" s="122">
        <f t="shared" si="11"/>
        <v>2416.6666666666665</v>
      </c>
      <c r="AO42" s="155">
        <f t="shared" si="53"/>
        <v>50000000</v>
      </c>
      <c r="AP42" s="156">
        <v>2.9700000000000001E-2</v>
      </c>
      <c r="AQ42" s="122">
        <f t="shared" si="12"/>
        <v>4125</v>
      </c>
      <c r="AR42" s="155">
        <f t="shared" si="54"/>
        <v>50000000</v>
      </c>
      <c r="AS42" s="156">
        <v>2.9499999999999998E-2</v>
      </c>
      <c r="AT42" s="122">
        <f t="shared" si="13"/>
        <v>4097.2222222222226</v>
      </c>
      <c r="AW42" s="122">
        <f t="shared" si="14"/>
        <v>0</v>
      </c>
      <c r="AZ42" s="122">
        <f t="shared" si="15"/>
        <v>0</v>
      </c>
      <c r="BC42" s="122">
        <f t="shared" si="16"/>
        <v>0</v>
      </c>
      <c r="BF42" s="122">
        <f t="shared" si="17"/>
        <v>0</v>
      </c>
      <c r="BI42" s="122">
        <f t="shared" si="18"/>
        <v>0</v>
      </c>
      <c r="BL42" s="122">
        <f t="shared" si="19"/>
        <v>0</v>
      </c>
      <c r="BO42" s="122">
        <f t="shared" si="20"/>
        <v>0</v>
      </c>
      <c r="BR42" s="122">
        <f t="shared" si="21"/>
        <v>0</v>
      </c>
      <c r="BU42" s="122">
        <f t="shared" si="22"/>
        <v>0</v>
      </c>
      <c r="BX42" s="122">
        <f t="shared" si="23"/>
        <v>0</v>
      </c>
      <c r="CA42" s="122">
        <f t="shared" si="24"/>
        <v>0</v>
      </c>
      <c r="CD42" s="122">
        <f t="shared" si="25"/>
        <v>0</v>
      </c>
      <c r="CG42" s="122">
        <f t="shared" si="26"/>
        <v>0</v>
      </c>
      <c r="CJ42" s="122">
        <f t="shared" si="27"/>
        <v>0</v>
      </c>
      <c r="CM42" s="122">
        <f t="shared" si="28"/>
        <v>0</v>
      </c>
      <c r="CP42" s="122">
        <f t="shared" si="29"/>
        <v>0</v>
      </c>
      <c r="CS42" s="122">
        <f t="shared" si="30"/>
        <v>0</v>
      </c>
      <c r="CV42" s="122">
        <f t="shared" si="31"/>
        <v>0</v>
      </c>
      <c r="CY42" s="122">
        <f t="shared" si="32"/>
        <v>0</v>
      </c>
      <c r="DB42" s="122">
        <f t="shared" si="33"/>
        <v>0</v>
      </c>
      <c r="DE42" s="122">
        <f t="shared" si="34"/>
        <v>0</v>
      </c>
      <c r="DH42" s="122">
        <f t="shared" si="35"/>
        <v>0</v>
      </c>
      <c r="DK42" s="122">
        <f t="shared" si="36"/>
        <v>0</v>
      </c>
      <c r="DN42" s="122">
        <f t="shared" si="37"/>
        <v>0</v>
      </c>
      <c r="DQ42" s="122">
        <f t="shared" si="38"/>
        <v>0</v>
      </c>
      <c r="DT42" s="122">
        <f t="shared" si="39"/>
        <v>0</v>
      </c>
      <c r="DW42" s="122">
        <f t="shared" si="40"/>
        <v>0</v>
      </c>
      <c r="DZ42" s="120"/>
      <c r="EA42" s="122"/>
      <c r="EB42" s="157">
        <f t="shared" si="41"/>
        <v>197225000</v>
      </c>
      <c r="EC42" s="157">
        <f t="shared" si="42"/>
        <v>0</v>
      </c>
      <c r="ED42" s="122">
        <f t="shared" si="43"/>
        <v>15680.763888888889</v>
      </c>
      <c r="EE42" s="123">
        <f t="shared" si="44"/>
        <v>2.8622512358980858E-2</v>
      </c>
      <c r="EG42" s="157">
        <f t="shared" si="45"/>
        <v>0</v>
      </c>
      <c r="EH42" s="122">
        <f t="shared" si="46"/>
        <v>0</v>
      </c>
      <c r="EI42" s="123">
        <f t="shared" si="47"/>
        <v>0</v>
      </c>
      <c r="EJ42" s="123"/>
      <c r="EK42" s="157">
        <f t="shared" si="48"/>
        <v>197225000</v>
      </c>
      <c r="EL42" s="157">
        <f t="shared" si="49"/>
        <v>0</v>
      </c>
      <c r="EM42" s="157">
        <f t="shared" si="50"/>
        <v>15680.763888888889</v>
      </c>
      <c r="EN42" s="123">
        <f t="shared" si="51"/>
        <v>2.8622512358980858E-2</v>
      </c>
    </row>
    <row r="43" spans="1:144" x14ac:dyDescent="0.25">
      <c r="A43" s="158" t="s">
        <v>238</v>
      </c>
      <c r="D43" s="159">
        <f>SUM(D12:D42)</f>
        <v>0</v>
      </c>
      <c r="G43" s="159">
        <f>SUM(G12:G42)</f>
        <v>0</v>
      </c>
      <c r="J43" s="159">
        <f>SUM(J12:J42)</f>
        <v>0</v>
      </c>
      <c r="M43" s="159">
        <f>SUM(M12:M42)</f>
        <v>0</v>
      </c>
      <c r="P43" s="159">
        <f>SUM(P12:P42)</f>
        <v>0</v>
      </c>
      <c r="S43" s="159">
        <f>SUM(S12:S42)</f>
        <v>0</v>
      </c>
      <c r="V43" s="159">
        <f>SUM(V12:V42)</f>
        <v>0</v>
      </c>
      <c r="Y43" s="159">
        <f>SUM(Y12:Y42)</f>
        <v>0</v>
      </c>
      <c r="AB43" s="159">
        <f>SUM(AB12:AB42)</f>
        <v>0</v>
      </c>
      <c r="AE43" s="159">
        <f>SUM(AE12:AE42)</f>
        <v>0</v>
      </c>
      <c r="AH43" s="159">
        <f>SUM(AH12:AH42)</f>
        <v>0</v>
      </c>
      <c r="AK43" s="159">
        <f>SUM(AK12:AK42)</f>
        <v>103753.04166666666</v>
      </c>
      <c r="AN43" s="159">
        <f>SUM(AN12:AN42)</f>
        <v>39277.777777777774</v>
      </c>
      <c r="AQ43" s="159">
        <f>SUM(AQ12:AQ42)</f>
        <v>115500</v>
      </c>
      <c r="AT43" s="159">
        <f>SUM(AT12:AT42)</f>
        <v>73749.999999999971</v>
      </c>
      <c r="AW43" s="159">
        <f>SUM(AW12:AW42)</f>
        <v>0</v>
      </c>
      <c r="AZ43" s="159">
        <f>SUM(AZ12:AZ42)</f>
        <v>0</v>
      </c>
      <c r="BC43" s="159">
        <f>SUM(BC12:BC42)</f>
        <v>0</v>
      </c>
      <c r="BF43" s="159">
        <f>SUM(BF12:BF42)</f>
        <v>0</v>
      </c>
      <c r="BI43" s="159">
        <f>SUM(BI12:BI42)</f>
        <v>0</v>
      </c>
      <c r="BL43" s="159">
        <f>SUM(BL12:BL42)</f>
        <v>0</v>
      </c>
      <c r="BO43" s="159">
        <f>SUM(BO12:BO42)</f>
        <v>0</v>
      </c>
      <c r="BR43" s="159">
        <f>SUM(BR12:BR42)</f>
        <v>0</v>
      </c>
      <c r="BU43" s="159">
        <f>SUM(BU12:BU42)</f>
        <v>0</v>
      </c>
      <c r="BX43" s="159">
        <f>SUM(BX12:BX42)</f>
        <v>0</v>
      </c>
      <c r="CA43" s="159">
        <f>SUM(CA12:CA42)</f>
        <v>0</v>
      </c>
      <c r="CD43" s="159">
        <f>SUM(CD12:CD42)</f>
        <v>0</v>
      </c>
      <c r="CG43" s="159">
        <f>SUM(CG12:CG42)</f>
        <v>0</v>
      </c>
      <c r="CJ43" s="159">
        <f>SUM(CJ12:CJ42)</f>
        <v>0</v>
      </c>
      <c r="CM43" s="159">
        <f>SUM(CM12:CM42)</f>
        <v>0</v>
      </c>
      <c r="CP43" s="159">
        <f>SUM(CP12:CP42)</f>
        <v>0</v>
      </c>
      <c r="CS43" s="159">
        <f>SUM(CS12:CS42)</f>
        <v>0</v>
      </c>
      <c r="CV43" s="159">
        <f>SUM(CV12:CV42)</f>
        <v>0</v>
      </c>
      <c r="CY43" s="159">
        <f>SUM(CY12:CY42)</f>
        <v>0</v>
      </c>
      <c r="DB43" s="159">
        <f>SUM(DB12:DB42)</f>
        <v>0</v>
      </c>
      <c r="DE43" s="159">
        <f>SUM(DE12:DE42)</f>
        <v>0</v>
      </c>
      <c r="DH43" s="159">
        <f>SUM(DH12:DH42)</f>
        <v>0</v>
      </c>
      <c r="DK43" s="159">
        <f>SUM(DK12:DK42)</f>
        <v>0</v>
      </c>
      <c r="DN43" s="159">
        <f>SUM(DN12:DN42)</f>
        <v>0</v>
      </c>
      <c r="DQ43" s="159">
        <f>SUM(DQ12:DQ42)</f>
        <v>0</v>
      </c>
      <c r="DT43" s="159">
        <f>SUM(DT12:DT42)</f>
        <v>0</v>
      </c>
      <c r="DW43" s="159">
        <f>SUM(DW12:DW42)</f>
        <v>0</v>
      </c>
      <c r="DZ43" s="120"/>
      <c r="EA43" s="120"/>
      <c r="EB43" s="122"/>
      <c r="EC43" s="122"/>
      <c r="ED43" s="159">
        <f>SUM(ED12:ED42)</f>
        <v>332280.81944444426</v>
      </c>
      <c r="EE43" s="123"/>
      <c r="EG43" s="122"/>
      <c r="EH43" s="159">
        <f>SUM(EH12:EH42)</f>
        <v>0</v>
      </c>
      <c r="EI43" s="123"/>
      <c r="EJ43" s="123"/>
      <c r="EK43" s="122"/>
      <c r="EL43" s="122"/>
      <c r="EM43" s="159">
        <f>SUM(EM12:EM42)</f>
        <v>332280.81944444426</v>
      </c>
      <c r="EN43" s="123"/>
    </row>
    <row r="45" spans="1:144" x14ac:dyDescent="0.25">
      <c r="EM45" s="160"/>
    </row>
    <row r="46" spans="1:144" x14ac:dyDescent="0.25">
      <c r="EM46" s="160"/>
    </row>
    <row r="47" spans="1:144" x14ac:dyDescent="0.25">
      <c r="EM47" s="122"/>
    </row>
    <row r="48" spans="1:144" x14ac:dyDescent="0.25">
      <c r="EM48" s="122"/>
    </row>
    <row r="51" spans="143:143" x14ac:dyDescent="0.25">
      <c r="EM51" s="160"/>
    </row>
    <row r="52" spans="143:143" x14ac:dyDescent="0.25">
      <c r="EM52" s="12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4"/>
  <sheetViews>
    <sheetView workbookViewId="0">
      <selection activeCell="B5" sqref="B5"/>
    </sheetView>
  </sheetViews>
  <sheetFormatPr defaultRowHeight="15" x14ac:dyDescent="0.25"/>
  <cols>
    <col min="1" max="1" width="14.5703125" bestFit="1" customWidth="1"/>
    <col min="2" max="2" width="15.5703125" style="122" bestFit="1" customWidth="1"/>
    <col min="3" max="3" width="15.42578125" style="123" bestFit="1" customWidth="1"/>
    <col min="4" max="4" width="15.42578125" bestFit="1" customWidth="1"/>
    <col min="5" max="5" width="15.5703125" style="122" bestFit="1" customWidth="1"/>
    <col min="6" max="6" width="12.28515625" style="123" bestFit="1" customWidth="1"/>
    <col min="7" max="7" width="15.42578125" bestFit="1" customWidth="1"/>
    <col min="8" max="8" width="15.42578125" style="122" hidden="1" customWidth="1"/>
    <col min="9" max="9" width="10.28515625" style="123" hidden="1" customWidth="1"/>
    <col min="10" max="10" width="13.42578125" hidden="1" customWidth="1"/>
    <col min="11" max="11" width="14.42578125" style="122" hidden="1" customWidth="1"/>
    <col min="12" max="12" width="10.28515625" style="123" hidden="1" customWidth="1"/>
    <col min="13" max="13" width="11.7109375" hidden="1" customWidth="1"/>
    <col min="14" max="14" width="14.42578125" style="122" hidden="1" customWidth="1"/>
    <col min="15" max="15" width="10.28515625" style="123" hidden="1" customWidth="1"/>
    <col min="16" max="16" width="11.7109375" hidden="1" customWidth="1"/>
    <col min="17" max="17" width="15.42578125" style="122" hidden="1" customWidth="1"/>
    <col min="18" max="18" width="10.28515625" style="123" hidden="1" customWidth="1"/>
    <col min="19" max="19" width="11.7109375" hidden="1" customWidth="1"/>
    <col min="20" max="20" width="15.42578125" style="122" hidden="1" customWidth="1"/>
    <col min="21" max="21" width="10.28515625" style="123" hidden="1" customWidth="1"/>
    <col min="22" max="22" width="11.7109375" hidden="1" customWidth="1"/>
    <col min="23" max="23" width="15.42578125" style="122" hidden="1" customWidth="1"/>
    <col min="24" max="24" width="10.28515625" style="123" hidden="1" customWidth="1"/>
    <col min="25" max="25" width="11.7109375" hidden="1" customWidth="1"/>
    <col min="26" max="26" width="15.42578125" style="122" hidden="1" customWidth="1"/>
    <col min="27" max="27" width="10.28515625" style="123" hidden="1" customWidth="1"/>
    <col min="28" max="28" width="11.7109375" hidden="1" customWidth="1"/>
    <col min="29" max="29" width="15.42578125" style="122" hidden="1" customWidth="1"/>
    <col min="30" max="30" width="10.28515625" style="123" hidden="1" customWidth="1"/>
    <col min="31" max="31" width="11.7109375" hidden="1" customWidth="1"/>
    <col min="32" max="32" width="14.42578125" style="122" hidden="1" customWidth="1"/>
    <col min="33" max="33" width="10.28515625" style="123" hidden="1" customWidth="1"/>
    <col min="34" max="34" width="10.7109375" hidden="1" customWidth="1"/>
    <col min="35" max="35" width="14.42578125" style="122" customWidth="1"/>
    <col min="36" max="36" width="10.28515625" style="123" customWidth="1"/>
    <col min="37" max="37" width="11.7109375" bestFit="1" customWidth="1"/>
    <col min="38" max="38" width="14.42578125" style="122" customWidth="1"/>
    <col min="39" max="39" width="10.28515625" style="123" customWidth="1"/>
    <col min="40" max="40" width="10.7109375" customWidth="1"/>
    <col min="41" max="41" width="15.42578125" style="122" bestFit="1" customWidth="1"/>
    <col min="42" max="42" width="12.28515625" style="123" bestFit="1" customWidth="1"/>
    <col min="43" max="43" width="11.7109375" bestFit="1" customWidth="1"/>
    <col min="44" max="44" width="15.42578125" style="122" bestFit="1" customWidth="1"/>
    <col min="45" max="45" width="10.28515625" style="123" bestFit="1" customWidth="1"/>
    <col min="46" max="46" width="11.7109375" bestFit="1" customWidth="1"/>
    <col min="47" max="47" width="14.42578125" style="122" customWidth="1"/>
    <col min="48" max="48" width="10.28515625" style="123" customWidth="1"/>
    <col min="49" max="49" width="11.7109375" bestFit="1" customWidth="1"/>
    <col min="50" max="50" width="14.42578125" style="122" customWidth="1"/>
    <col min="51" max="51" width="10.28515625" style="123" customWidth="1"/>
    <col min="52" max="52" width="10.7109375" customWidth="1"/>
    <col min="53" max="53" width="14.42578125" style="122" customWidth="1"/>
    <col min="54" max="54" width="10.28515625" style="123" customWidth="1"/>
    <col min="55" max="55" width="10.7109375" customWidth="1"/>
    <col min="56" max="56" width="14.42578125" style="122" customWidth="1"/>
    <col min="57" max="57" width="10.28515625" style="123" customWidth="1"/>
    <col min="58" max="58" width="10.7109375" customWidth="1"/>
    <col min="59" max="59" width="14.42578125" style="122" customWidth="1"/>
    <col min="60" max="60" width="10.28515625" style="123" customWidth="1"/>
    <col min="61" max="61" width="10.7109375" customWidth="1"/>
    <col min="62" max="62" width="14.42578125" style="122" customWidth="1"/>
    <col min="63" max="63" width="10.28515625" style="123" customWidth="1"/>
    <col min="64" max="64" width="10.7109375" customWidth="1"/>
    <col min="65" max="65" width="14.42578125" style="122" hidden="1" customWidth="1"/>
    <col min="66" max="66" width="10.28515625" style="123" hidden="1" customWidth="1"/>
    <col min="67" max="67" width="10.7109375" hidden="1" customWidth="1"/>
    <col min="68" max="68" width="14.42578125" style="122" hidden="1" customWidth="1"/>
    <col min="69" max="69" width="10.28515625" style="123" hidden="1" customWidth="1"/>
    <col min="70" max="70" width="10.7109375" hidden="1" customWidth="1"/>
    <col min="71" max="71" width="14.42578125" style="122" hidden="1" customWidth="1"/>
    <col min="72" max="72" width="10.28515625" style="123" hidden="1" customWidth="1"/>
    <col min="73" max="73" width="10.7109375" hidden="1" customWidth="1"/>
    <col min="74" max="74" width="14.42578125" style="122" hidden="1" customWidth="1"/>
    <col min="75" max="75" width="10.28515625" style="123" hidden="1" customWidth="1"/>
    <col min="76" max="76" width="10.7109375" hidden="1" customWidth="1"/>
    <col min="77" max="77" width="14.42578125" style="122" hidden="1" customWidth="1"/>
    <col min="78" max="78" width="10.28515625" style="123" hidden="1" customWidth="1"/>
    <col min="79" max="79" width="10.7109375" hidden="1" customWidth="1"/>
    <col min="80" max="80" width="14.42578125" style="122" hidden="1" customWidth="1"/>
    <col min="81" max="81" width="10.28515625" style="123" hidden="1" customWidth="1"/>
    <col min="82" max="82" width="10.7109375" hidden="1" customWidth="1"/>
    <col min="83" max="83" width="14.42578125" style="122" hidden="1" customWidth="1"/>
    <col min="84" max="84" width="10.28515625" style="123" hidden="1" customWidth="1"/>
    <col min="85" max="85" width="10.7109375" hidden="1" customWidth="1"/>
    <col min="86" max="86" width="14.42578125" style="122" hidden="1" customWidth="1"/>
    <col min="87" max="87" width="10.28515625" style="123" hidden="1" customWidth="1"/>
    <col min="88" max="88" width="10.7109375" hidden="1" customWidth="1"/>
    <col min="89" max="89" width="14.42578125" style="122" hidden="1" customWidth="1"/>
    <col min="90" max="90" width="10.28515625" style="123" hidden="1" customWidth="1"/>
    <col min="91" max="91" width="10.7109375" hidden="1" customWidth="1"/>
    <col min="92" max="92" width="14.42578125" style="122" hidden="1" customWidth="1"/>
    <col min="93" max="93" width="10.28515625" style="123" hidden="1" customWidth="1"/>
    <col min="94" max="94" width="10.7109375" hidden="1" customWidth="1"/>
    <col min="95" max="95" width="14.42578125" style="122" hidden="1" customWidth="1"/>
    <col min="96" max="96" width="10.28515625" style="123" hidden="1" customWidth="1"/>
    <col min="97" max="97" width="10.7109375" hidden="1" customWidth="1"/>
    <col min="98" max="98" width="14.42578125" style="122" hidden="1" customWidth="1"/>
    <col min="99" max="99" width="10.28515625" style="123" hidden="1" customWidth="1"/>
    <col min="100" max="100" width="10.7109375" hidden="1" customWidth="1"/>
    <col min="101" max="101" width="14.42578125" style="122" hidden="1" customWidth="1"/>
    <col min="102" max="102" width="10.28515625" style="123" hidden="1" customWidth="1"/>
    <col min="103" max="103" width="10.7109375" hidden="1" customWidth="1"/>
    <col min="104" max="104" width="14.42578125" style="122" hidden="1" customWidth="1"/>
    <col min="105" max="105" width="10.28515625" style="123" hidden="1" customWidth="1"/>
    <col min="106" max="106" width="10.7109375" hidden="1" customWidth="1"/>
    <col min="107" max="107" width="14.42578125" style="122" hidden="1" customWidth="1"/>
    <col min="108" max="108" width="10.28515625" style="123" hidden="1" customWidth="1"/>
    <col min="109" max="109" width="10.7109375" hidden="1" customWidth="1"/>
    <col min="110" max="110" width="14.42578125" style="122" hidden="1" customWidth="1"/>
    <col min="111" max="111" width="10.28515625" style="123" hidden="1" customWidth="1"/>
    <col min="112" max="112" width="10.7109375" hidden="1" customWidth="1"/>
    <col min="113" max="113" width="14.42578125" style="122" hidden="1" customWidth="1"/>
    <col min="114" max="114" width="10.28515625" style="123" hidden="1" customWidth="1"/>
    <col min="115" max="115" width="10.7109375" hidden="1" customWidth="1"/>
    <col min="116" max="116" width="14.42578125" style="122" hidden="1" customWidth="1"/>
    <col min="117" max="117" width="10.28515625" style="123" hidden="1" customWidth="1"/>
    <col min="118" max="118" width="10.7109375" hidden="1" customWidth="1"/>
    <col min="119" max="119" width="14.42578125" style="122" hidden="1" customWidth="1"/>
    <col min="120" max="120" width="10.28515625" style="123" hidden="1" customWidth="1"/>
    <col min="121" max="121" width="10.7109375" hidden="1" customWidth="1"/>
    <col min="122" max="122" width="14.42578125" style="122" hidden="1" customWidth="1"/>
    <col min="123" max="123" width="10.28515625" style="123" hidden="1" customWidth="1"/>
    <col min="124" max="124" width="10.7109375" hidden="1" customWidth="1"/>
    <col min="125" max="125" width="14.42578125" style="122" hidden="1" customWidth="1"/>
    <col min="126" max="126" width="10.28515625" style="123" hidden="1" customWidth="1"/>
    <col min="127" max="127" width="10.7109375" hidden="1" customWidth="1"/>
    <col min="128" max="128" width="14.42578125" style="122" hidden="1" customWidth="1"/>
    <col min="129" max="129" width="10.28515625" style="123" hidden="1" customWidth="1"/>
    <col min="130" max="130" width="10.7109375" hidden="1" customWidth="1"/>
    <col min="131" max="131" width="2.7109375" customWidth="1"/>
    <col min="132" max="132" width="15.42578125" bestFit="1" customWidth="1"/>
    <col min="133" max="133" width="15.42578125" hidden="1" customWidth="1"/>
    <col min="134" max="134" width="14.42578125" bestFit="1" customWidth="1"/>
    <col min="135" max="135" width="17.7109375" bestFit="1" customWidth="1"/>
    <col min="136" max="136" width="2.7109375" customWidth="1"/>
    <col min="137" max="137" width="15.42578125" hidden="1" customWidth="1"/>
    <col min="138" max="138" width="14.42578125" hidden="1" customWidth="1"/>
    <col min="139" max="139" width="12.42578125" hidden="1" customWidth="1"/>
    <col min="140" max="140" width="2.7109375" hidden="1" customWidth="1"/>
    <col min="141" max="141" width="15.42578125" bestFit="1" customWidth="1"/>
    <col min="142" max="142" width="15.42578125" hidden="1" customWidth="1"/>
    <col min="143" max="143" width="14.42578125" bestFit="1" customWidth="1"/>
    <col min="144" max="144" width="15.42578125" bestFit="1" customWidth="1"/>
    <col min="145" max="145" width="42.85546875" bestFit="1" customWidth="1"/>
    <col min="146" max="146" width="15.5703125" bestFit="1" customWidth="1"/>
    <col min="147" max="147" width="23.140625" bestFit="1" customWidth="1"/>
  </cols>
  <sheetData>
    <row r="1" spans="1:147" s="115" customFormat="1" ht="15.75" x14ac:dyDescent="0.25">
      <c r="A1" s="112" t="s">
        <v>0</v>
      </c>
      <c r="B1" s="113"/>
      <c r="C1" s="114"/>
      <c r="E1" s="113"/>
      <c r="F1" s="114"/>
      <c r="H1" s="113"/>
      <c r="I1" s="114"/>
      <c r="K1" s="113"/>
      <c r="L1" s="114"/>
      <c r="N1" s="113"/>
      <c r="O1" s="114"/>
      <c r="Q1" s="113"/>
      <c r="R1" s="114"/>
      <c r="T1" s="113"/>
      <c r="U1" s="114"/>
      <c r="W1" s="113"/>
      <c r="X1" s="114"/>
      <c r="Z1" s="113"/>
      <c r="AA1" s="114"/>
      <c r="AC1" s="113"/>
      <c r="AD1" s="114"/>
      <c r="AF1" s="113"/>
      <c r="AG1" s="114"/>
      <c r="AI1" s="113"/>
      <c r="AJ1" s="114"/>
      <c r="AL1" s="113"/>
      <c r="AM1" s="114"/>
      <c r="AO1" s="113"/>
      <c r="AP1" s="114"/>
      <c r="AR1" s="113"/>
      <c r="AS1" s="114"/>
      <c r="AU1" s="113"/>
      <c r="AV1" s="114"/>
      <c r="AX1" s="113"/>
      <c r="AY1" s="114"/>
      <c r="BA1" s="113"/>
      <c r="BB1" s="114"/>
      <c r="BD1" s="113"/>
      <c r="BE1" s="114"/>
      <c r="BG1" s="113"/>
      <c r="BH1" s="114"/>
      <c r="BJ1" s="113"/>
      <c r="BK1" s="114"/>
      <c r="BM1" s="113"/>
      <c r="BN1" s="114"/>
      <c r="BP1" s="113"/>
      <c r="BQ1" s="114"/>
      <c r="BS1" s="113"/>
      <c r="BT1" s="114"/>
      <c r="BV1" s="113"/>
      <c r="BW1" s="114"/>
      <c r="BY1" s="113"/>
      <c r="BZ1" s="114"/>
      <c r="CB1" s="113"/>
      <c r="CC1" s="114"/>
      <c r="CE1" s="113"/>
      <c r="CF1" s="114"/>
      <c r="CH1" s="113"/>
      <c r="CI1" s="114"/>
      <c r="CK1" s="113"/>
      <c r="CL1" s="114"/>
      <c r="CN1" s="113"/>
      <c r="CO1" s="114"/>
      <c r="CQ1" s="113"/>
      <c r="CR1" s="114"/>
      <c r="CT1" s="113"/>
      <c r="CU1" s="114"/>
      <c r="CW1" s="113"/>
      <c r="CX1" s="114"/>
      <c r="CZ1" s="113"/>
      <c r="DA1" s="114"/>
      <c r="DC1" s="113"/>
      <c r="DD1" s="114"/>
      <c r="DF1" s="113"/>
      <c r="DG1" s="114"/>
      <c r="DI1" s="113"/>
      <c r="DJ1" s="114"/>
      <c r="DL1" s="113"/>
      <c r="DM1" s="114"/>
      <c r="DO1" s="113"/>
      <c r="DP1" s="114"/>
      <c r="DR1" s="113"/>
      <c r="DS1" s="114"/>
      <c r="DU1" s="113"/>
      <c r="DV1" s="114"/>
      <c r="DX1" s="113"/>
      <c r="DY1" s="114"/>
      <c r="DZ1" s="116"/>
      <c r="ED1" s="117"/>
      <c r="EE1" s="118" t="s">
        <v>257</v>
      </c>
      <c r="EI1" s="117" t="s">
        <v>258</v>
      </c>
      <c r="EM1" s="117"/>
      <c r="EN1" s="117" t="s">
        <v>259</v>
      </c>
      <c r="EO1" s="112" t="s">
        <v>260</v>
      </c>
      <c r="EP1" s="112" t="s">
        <v>261</v>
      </c>
      <c r="EQ1" s="112" t="s">
        <v>262</v>
      </c>
    </row>
    <row r="2" spans="1:147" s="115" customFormat="1" ht="16.5" thickBot="1" x14ac:dyDescent="0.3">
      <c r="A2" s="112" t="s">
        <v>263</v>
      </c>
      <c r="B2" s="113"/>
      <c r="C2" s="114"/>
      <c r="E2" s="119"/>
      <c r="F2" s="114"/>
      <c r="G2" s="117"/>
      <c r="H2" s="113"/>
      <c r="I2" s="114"/>
      <c r="K2" s="113"/>
      <c r="L2" s="114"/>
      <c r="N2" s="113"/>
      <c r="O2" s="114"/>
      <c r="Q2" s="113"/>
      <c r="R2" s="114"/>
      <c r="T2" s="113"/>
      <c r="U2" s="114"/>
      <c r="W2" s="113"/>
      <c r="X2" s="114"/>
      <c r="Z2" s="113"/>
      <c r="AA2" s="114"/>
      <c r="AC2" s="113"/>
      <c r="AD2" s="114"/>
      <c r="AF2" s="113"/>
      <c r="AG2" s="114"/>
      <c r="AI2" s="113"/>
      <c r="AJ2" s="114"/>
      <c r="AL2" s="113"/>
      <c r="AM2" s="114"/>
      <c r="AO2" s="113"/>
      <c r="AP2" s="114"/>
      <c r="AR2" s="113"/>
      <c r="AS2" s="114"/>
      <c r="AU2" s="113"/>
      <c r="AV2" s="114"/>
      <c r="AX2" s="113"/>
      <c r="AY2" s="114"/>
      <c r="BA2" s="113"/>
      <c r="BB2" s="114"/>
      <c r="BD2" s="113"/>
      <c r="BE2" s="114"/>
      <c r="BG2" s="113"/>
      <c r="BH2" s="114"/>
      <c r="BJ2" s="113"/>
      <c r="BK2" s="114"/>
      <c r="BM2" s="113"/>
      <c r="BN2" s="114"/>
      <c r="BP2" s="113"/>
      <c r="BQ2" s="114"/>
      <c r="BS2" s="113"/>
      <c r="BT2" s="114"/>
      <c r="BV2" s="113"/>
      <c r="BW2" s="114"/>
      <c r="BY2" s="113"/>
      <c r="BZ2" s="114"/>
      <c r="CB2" s="113"/>
      <c r="CC2" s="114"/>
      <c r="CE2" s="113"/>
      <c r="CF2" s="114"/>
      <c r="CH2" s="113"/>
      <c r="CI2" s="114"/>
      <c r="CK2" s="113"/>
      <c r="CL2" s="114"/>
      <c r="CN2" s="113"/>
      <c r="CO2" s="114"/>
      <c r="CQ2" s="113"/>
      <c r="CR2" s="114"/>
      <c r="CT2" s="113"/>
      <c r="CU2" s="114"/>
      <c r="CW2" s="113"/>
      <c r="CX2" s="114"/>
      <c r="CZ2" s="113"/>
      <c r="DA2" s="114"/>
      <c r="DC2" s="113"/>
      <c r="DD2" s="114"/>
      <c r="DF2" s="113"/>
      <c r="DG2" s="114"/>
      <c r="DI2" s="113"/>
      <c r="DJ2" s="114"/>
      <c r="DL2" s="113"/>
      <c r="DM2" s="114"/>
      <c r="DO2" s="113"/>
      <c r="DP2" s="114"/>
      <c r="DR2" s="113"/>
      <c r="DS2" s="114"/>
      <c r="DU2" s="113"/>
      <c r="DV2" s="114"/>
      <c r="DX2" s="113"/>
      <c r="DY2" s="114"/>
      <c r="EB2" s="54" t="s">
        <v>264</v>
      </c>
      <c r="EC2" s="54"/>
      <c r="ED2" s="120"/>
      <c r="EE2" s="120">
        <f>EB38</f>
        <v>495025000</v>
      </c>
      <c r="EI2" s="120">
        <f>EG40</f>
        <v>0</v>
      </c>
      <c r="EM2" s="120"/>
      <c r="EN2" s="120">
        <f>EK38</f>
        <v>495025000</v>
      </c>
      <c r="EO2" s="113">
        <v>0</v>
      </c>
      <c r="EP2" s="113">
        <v>-173840.28</v>
      </c>
      <c r="EQ2" s="113">
        <f>EE2+EO2</f>
        <v>495025000</v>
      </c>
    </row>
    <row r="3" spans="1:147" ht="16.5" thickTop="1" x14ac:dyDescent="0.25">
      <c r="A3" s="121" t="s">
        <v>334</v>
      </c>
      <c r="E3" s="124" t="s">
        <v>266</v>
      </c>
      <c r="F3" s="125"/>
      <c r="G3" s="126"/>
      <c r="EB3" s="54" t="s">
        <v>267</v>
      </c>
      <c r="EC3" s="54"/>
      <c r="ED3" s="120"/>
      <c r="EE3" s="120">
        <f>AVERAGE(EB11:EB38)</f>
        <v>510842857.14285713</v>
      </c>
      <c r="EI3" s="120">
        <f>AVERAGE(EG11:EG40)</f>
        <v>0</v>
      </c>
      <c r="EM3" s="120"/>
      <c r="EN3" s="120">
        <f>AVERAGE(EK11:EK38)</f>
        <v>510842857.14285713</v>
      </c>
    </row>
    <row r="4" spans="1:147" x14ac:dyDescent="0.25">
      <c r="D4" s="54"/>
      <c r="E4" s="130" t="s">
        <v>264</v>
      </c>
      <c r="F4" s="120"/>
      <c r="G4" s="131">
        <f>EQ2</f>
        <v>495025000</v>
      </c>
      <c r="AI4" s="132" t="s">
        <v>268</v>
      </c>
      <c r="EB4" s="54" t="s">
        <v>269</v>
      </c>
      <c r="EC4" s="54"/>
      <c r="ED4" s="128"/>
      <c r="EE4" s="128">
        <f>IF(EE3=0,0,360*(AVERAGE(ED11:ED38)/EE3))</f>
        <v>2.8403912301798138E-2</v>
      </c>
      <c r="EI4" s="128">
        <f>IF(EI3=0,0,360*(AVERAGE(EH11:EH40)/EI3))</f>
        <v>0</v>
      </c>
      <c r="EM4" s="128"/>
      <c r="EN4" s="128">
        <f>IF(EN3=0,0,360*(AVERAGE(EM11:EM38)/EN3))</f>
        <v>2.8403912301798138E-2</v>
      </c>
      <c r="EO4" s="133" t="s">
        <v>270</v>
      </c>
      <c r="EQ4" s="134" t="s">
        <v>268</v>
      </c>
    </row>
    <row r="5" spans="1:147" ht="15.75" x14ac:dyDescent="0.25">
      <c r="D5" s="54"/>
      <c r="E5" s="130" t="s">
        <v>267</v>
      </c>
      <c r="F5" s="120"/>
      <c r="G5" s="131">
        <f>EE3</f>
        <v>510842857.14285713</v>
      </c>
      <c r="AI5" s="135" t="s">
        <v>259</v>
      </c>
      <c r="EB5" s="136" t="s">
        <v>271</v>
      </c>
      <c r="EC5" s="136"/>
      <c r="ED5" s="120"/>
      <c r="EE5" s="120">
        <f>MAX(EB11:EB38)</f>
        <v>549375000</v>
      </c>
      <c r="EI5" s="120">
        <f>MAX(EG11:EG40)</f>
        <v>0</v>
      </c>
      <c r="EM5" s="120"/>
      <c r="EN5" s="120">
        <f>MAX(EK11:EK38)</f>
        <v>549375000</v>
      </c>
    </row>
    <row r="6" spans="1:147" x14ac:dyDescent="0.25">
      <c r="D6" s="54"/>
      <c r="E6" s="130" t="s">
        <v>269</v>
      </c>
      <c r="F6" s="120"/>
      <c r="G6" s="137">
        <f>EE4</f>
        <v>2.8403912301798138E-2</v>
      </c>
    </row>
    <row r="7" spans="1:147" ht="16.5" thickBot="1" x14ac:dyDescent="0.3">
      <c r="D7" s="54"/>
      <c r="E7" s="138" t="s">
        <v>271</v>
      </c>
      <c r="F7" s="139"/>
      <c r="G7" s="140">
        <f>EE5</f>
        <v>549375000</v>
      </c>
      <c r="AI7" s="135" t="s">
        <v>259</v>
      </c>
      <c r="EB7" s="141" t="s">
        <v>272</v>
      </c>
      <c r="EC7" s="141"/>
      <c r="ED7" s="142"/>
      <c r="EE7" s="142"/>
      <c r="EG7" s="141" t="s">
        <v>273</v>
      </c>
      <c r="EH7" s="142"/>
      <c r="EI7" s="142"/>
      <c r="EJ7" s="143"/>
      <c r="EK7" s="141" t="s">
        <v>274</v>
      </c>
      <c r="EL7" s="141"/>
      <c r="EM7" s="142"/>
      <c r="EN7" s="142"/>
    </row>
    <row r="8" spans="1:147" ht="15.75" thickTop="1" x14ac:dyDescent="0.25">
      <c r="AI8" s="144" t="s">
        <v>275</v>
      </c>
      <c r="AL8" s="144" t="s">
        <v>275</v>
      </c>
      <c r="AO8" s="144" t="s">
        <v>275</v>
      </c>
      <c r="AR8" s="144" t="s">
        <v>275</v>
      </c>
      <c r="AU8" s="144" t="s">
        <v>275</v>
      </c>
      <c r="AX8" s="144" t="s">
        <v>275</v>
      </c>
      <c r="BA8" s="144" t="s">
        <v>275</v>
      </c>
      <c r="BD8" s="144" t="s">
        <v>275</v>
      </c>
      <c r="BG8" s="144" t="s">
        <v>275</v>
      </c>
      <c r="BJ8" s="144" t="s">
        <v>275</v>
      </c>
      <c r="BM8" s="144" t="s">
        <v>275</v>
      </c>
      <c r="BP8" s="144" t="s">
        <v>275</v>
      </c>
      <c r="BS8" s="144" t="s">
        <v>275</v>
      </c>
      <c r="BV8" s="144" t="s">
        <v>275</v>
      </c>
      <c r="BY8" s="144" t="s">
        <v>275</v>
      </c>
      <c r="CB8" s="144" t="s">
        <v>275</v>
      </c>
      <c r="CE8" s="144" t="s">
        <v>275</v>
      </c>
      <c r="CH8" s="144" t="s">
        <v>275</v>
      </c>
      <c r="CK8" s="144" t="s">
        <v>275</v>
      </c>
      <c r="CN8" s="144" t="s">
        <v>275</v>
      </c>
      <c r="CQ8" s="144" t="s">
        <v>275</v>
      </c>
      <c r="CT8" s="144" t="s">
        <v>275</v>
      </c>
      <c r="CW8" s="144" t="s">
        <v>275</v>
      </c>
      <c r="CZ8" s="144" t="s">
        <v>275</v>
      </c>
      <c r="DC8" s="144" t="s">
        <v>275</v>
      </c>
      <c r="DF8" s="144" t="s">
        <v>275</v>
      </c>
      <c r="DI8" s="144" t="s">
        <v>275</v>
      </c>
      <c r="DL8" s="144" t="s">
        <v>275</v>
      </c>
      <c r="DO8" s="144" t="s">
        <v>275</v>
      </c>
      <c r="DR8" s="144" t="s">
        <v>275</v>
      </c>
      <c r="EB8" s="145"/>
      <c r="EC8" s="145"/>
      <c r="ED8" s="145"/>
      <c r="EE8" s="145" t="s">
        <v>276</v>
      </c>
      <c r="EG8" s="145"/>
      <c r="EH8" s="146" t="s">
        <v>258</v>
      </c>
      <c r="EI8" s="145" t="s">
        <v>276</v>
      </c>
      <c r="EJ8" s="145"/>
      <c r="EK8" s="134" t="s">
        <v>277</v>
      </c>
      <c r="EL8" s="134" t="s">
        <v>278</v>
      </c>
      <c r="EM8" s="146" t="s">
        <v>279</v>
      </c>
      <c r="EN8" s="145" t="s">
        <v>276</v>
      </c>
    </row>
    <row r="9" spans="1:147" x14ac:dyDescent="0.25">
      <c r="B9" s="147" t="s">
        <v>280</v>
      </c>
      <c r="C9" s="148"/>
      <c r="D9" s="142"/>
      <c r="E9" s="147" t="s">
        <v>281</v>
      </c>
      <c r="F9" s="148"/>
      <c r="G9" s="142"/>
      <c r="H9" s="147" t="s">
        <v>282</v>
      </c>
      <c r="I9" s="148"/>
      <c r="J9" s="142"/>
      <c r="K9" s="147" t="s">
        <v>283</v>
      </c>
      <c r="L9" s="148"/>
      <c r="M9" s="142"/>
      <c r="N9" s="147" t="s">
        <v>284</v>
      </c>
      <c r="O9" s="148"/>
      <c r="P9" s="142"/>
      <c r="Q9" s="147" t="s">
        <v>285</v>
      </c>
      <c r="R9" s="148"/>
      <c r="S9" s="142"/>
      <c r="T9" s="147" t="s">
        <v>286</v>
      </c>
      <c r="U9" s="148"/>
      <c r="V9" s="142"/>
      <c r="W9" s="147" t="s">
        <v>287</v>
      </c>
      <c r="X9" s="148"/>
      <c r="Y9" s="142"/>
      <c r="Z9" s="147" t="s">
        <v>288</v>
      </c>
      <c r="AA9" s="148"/>
      <c r="AB9" s="142"/>
      <c r="AC9" s="149" t="s">
        <v>289</v>
      </c>
      <c r="AD9" s="148"/>
      <c r="AE9" s="142"/>
      <c r="AF9" s="149" t="s">
        <v>290</v>
      </c>
      <c r="AG9" s="148"/>
      <c r="AH9" s="142"/>
      <c r="AI9" s="147" t="s">
        <v>291</v>
      </c>
      <c r="AJ9" s="148"/>
      <c r="AK9" s="142"/>
      <c r="AL9" s="147" t="s">
        <v>292</v>
      </c>
      <c r="AM9" s="148"/>
      <c r="AN9" s="142"/>
      <c r="AO9" s="147" t="s">
        <v>293</v>
      </c>
      <c r="AP9" s="148"/>
      <c r="AQ9" s="142"/>
      <c r="AR9" s="147" t="s">
        <v>294</v>
      </c>
      <c r="AS9" s="148"/>
      <c r="AT9" s="142"/>
      <c r="AU9" s="147" t="s">
        <v>295</v>
      </c>
      <c r="AV9" s="148"/>
      <c r="AW9" s="142"/>
      <c r="AX9" s="147" t="s">
        <v>296</v>
      </c>
      <c r="AY9" s="148"/>
      <c r="AZ9" s="142"/>
      <c r="BA9" s="147" t="s">
        <v>297</v>
      </c>
      <c r="BB9" s="148"/>
      <c r="BC9" s="142"/>
      <c r="BD9" s="147" t="s">
        <v>298</v>
      </c>
      <c r="BE9" s="148"/>
      <c r="BF9" s="142"/>
      <c r="BG9" s="147" t="s">
        <v>299</v>
      </c>
      <c r="BH9" s="148"/>
      <c r="BI9" s="142"/>
      <c r="BJ9" s="147" t="s">
        <v>300</v>
      </c>
      <c r="BK9" s="148"/>
      <c r="BL9" s="142"/>
      <c r="BM9" s="147" t="s">
        <v>301</v>
      </c>
      <c r="BN9" s="148"/>
      <c r="BO9" s="142"/>
      <c r="BP9" s="147" t="s">
        <v>302</v>
      </c>
      <c r="BQ9" s="148"/>
      <c r="BR9" s="142"/>
      <c r="BS9" s="147" t="s">
        <v>303</v>
      </c>
      <c r="BT9" s="148"/>
      <c r="BU9" s="142"/>
      <c r="BV9" s="147" t="s">
        <v>304</v>
      </c>
      <c r="BW9" s="148"/>
      <c r="BX9" s="142"/>
      <c r="BY9" s="147" t="s">
        <v>305</v>
      </c>
      <c r="BZ9" s="148"/>
      <c r="CA9" s="142"/>
      <c r="CB9" s="147" t="s">
        <v>306</v>
      </c>
      <c r="CC9" s="148"/>
      <c r="CD9" s="142"/>
      <c r="CE9" s="147" t="s">
        <v>307</v>
      </c>
      <c r="CF9" s="148"/>
      <c r="CG9" s="142"/>
      <c r="CH9" s="147" t="s">
        <v>308</v>
      </c>
      <c r="CI9" s="148"/>
      <c r="CJ9" s="142"/>
      <c r="CK9" s="147" t="s">
        <v>309</v>
      </c>
      <c r="CL9" s="148"/>
      <c r="CM9" s="142"/>
      <c r="CN9" s="147" t="s">
        <v>310</v>
      </c>
      <c r="CO9" s="148"/>
      <c r="CP9" s="142"/>
      <c r="CQ9" s="147" t="s">
        <v>311</v>
      </c>
      <c r="CR9" s="148"/>
      <c r="CS9" s="142"/>
      <c r="CT9" s="147" t="s">
        <v>312</v>
      </c>
      <c r="CU9" s="148"/>
      <c r="CV9" s="142"/>
      <c r="CW9" s="147" t="s">
        <v>313</v>
      </c>
      <c r="CX9" s="148"/>
      <c r="CY9" s="142"/>
      <c r="CZ9" s="147" t="s">
        <v>314</v>
      </c>
      <c r="DA9" s="148"/>
      <c r="DB9" s="142"/>
      <c r="DC9" s="147" t="s">
        <v>315</v>
      </c>
      <c r="DD9" s="148"/>
      <c r="DE9" s="142"/>
      <c r="DF9" s="147" t="s">
        <v>316</v>
      </c>
      <c r="DG9" s="148"/>
      <c r="DH9" s="142"/>
      <c r="DI9" s="147" t="s">
        <v>317</v>
      </c>
      <c r="DJ9" s="148"/>
      <c r="DK9" s="142"/>
      <c r="DL9" s="147" t="s">
        <v>318</v>
      </c>
      <c r="DM9" s="148"/>
      <c r="DN9" s="142"/>
      <c r="DO9" s="147" t="s">
        <v>319</v>
      </c>
      <c r="DP9" s="148"/>
      <c r="DQ9" s="142"/>
      <c r="DR9" s="147" t="s">
        <v>320</v>
      </c>
      <c r="DS9" s="148"/>
      <c r="DT9" s="142"/>
      <c r="DU9" s="147" t="s">
        <v>321</v>
      </c>
      <c r="DV9" s="148"/>
      <c r="DW9" s="142"/>
      <c r="DX9" s="150" t="s">
        <v>322</v>
      </c>
      <c r="DY9" s="148"/>
      <c r="DZ9" s="142"/>
      <c r="EA9" s="143"/>
      <c r="EB9" s="134" t="s">
        <v>323</v>
      </c>
      <c r="EC9" s="134" t="s">
        <v>324</v>
      </c>
      <c r="ED9" s="145" t="s">
        <v>325</v>
      </c>
      <c r="EE9" s="145" t="s">
        <v>326</v>
      </c>
      <c r="EG9" s="146" t="s">
        <v>327</v>
      </c>
      <c r="EH9" s="145" t="s">
        <v>325</v>
      </c>
      <c r="EI9" s="145" t="s">
        <v>326</v>
      </c>
      <c r="EJ9" s="145"/>
      <c r="EK9" s="146" t="s">
        <v>279</v>
      </c>
      <c r="EL9" s="146" t="s">
        <v>279</v>
      </c>
      <c r="EM9" s="145" t="s">
        <v>325</v>
      </c>
      <c r="EN9" s="145" t="s">
        <v>326</v>
      </c>
    </row>
    <row r="10" spans="1:147" x14ac:dyDescent="0.25">
      <c r="A10" s="145" t="s">
        <v>328</v>
      </c>
      <c r="B10" s="151" t="s">
        <v>329</v>
      </c>
      <c r="C10" s="152" t="s">
        <v>330</v>
      </c>
      <c r="D10" s="153" t="s">
        <v>25</v>
      </c>
      <c r="E10" s="151" t="s">
        <v>329</v>
      </c>
      <c r="F10" s="152" t="s">
        <v>330</v>
      </c>
      <c r="G10" s="153" t="s">
        <v>25</v>
      </c>
      <c r="H10" s="151" t="s">
        <v>329</v>
      </c>
      <c r="I10" s="152" t="s">
        <v>330</v>
      </c>
      <c r="J10" s="153" t="s">
        <v>25</v>
      </c>
      <c r="K10" s="151" t="s">
        <v>329</v>
      </c>
      <c r="L10" s="152" t="s">
        <v>330</v>
      </c>
      <c r="M10" s="153" t="s">
        <v>25</v>
      </c>
      <c r="N10" s="151" t="s">
        <v>329</v>
      </c>
      <c r="O10" s="152" t="s">
        <v>330</v>
      </c>
      <c r="P10" s="153" t="s">
        <v>25</v>
      </c>
      <c r="Q10" s="151" t="s">
        <v>329</v>
      </c>
      <c r="R10" s="152" t="s">
        <v>330</v>
      </c>
      <c r="S10" s="153" t="s">
        <v>25</v>
      </c>
      <c r="T10" s="151" t="s">
        <v>329</v>
      </c>
      <c r="U10" s="152" t="s">
        <v>330</v>
      </c>
      <c r="V10" s="153" t="s">
        <v>25</v>
      </c>
      <c r="W10" s="151" t="s">
        <v>329</v>
      </c>
      <c r="X10" s="152" t="s">
        <v>330</v>
      </c>
      <c r="Y10" s="153" t="s">
        <v>25</v>
      </c>
      <c r="Z10" s="151" t="s">
        <v>329</v>
      </c>
      <c r="AA10" s="152" t="s">
        <v>330</v>
      </c>
      <c r="AB10" s="153" t="s">
        <v>25</v>
      </c>
      <c r="AC10" s="151" t="s">
        <v>329</v>
      </c>
      <c r="AD10" s="152" t="s">
        <v>330</v>
      </c>
      <c r="AE10" s="153" t="s">
        <v>25</v>
      </c>
      <c r="AF10" s="151" t="s">
        <v>329</v>
      </c>
      <c r="AG10" s="152" t="s">
        <v>330</v>
      </c>
      <c r="AH10" s="153" t="s">
        <v>25</v>
      </c>
      <c r="AI10" s="151" t="s">
        <v>329</v>
      </c>
      <c r="AJ10" s="152" t="s">
        <v>330</v>
      </c>
      <c r="AK10" s="153" t="s">
        <v>25</v>
      </c>
      <c r="AL10" s="151" t="s">
        <v>329</v>
      </c>
      <c r="AM10" s="152" t="s">
        <v>330</v>
      </c>
      <c r="AN10" s="153" t="s">
        <v>25</v>
      </c>
      <c r="AO10" s="151" t="s">
        <v>329</v>
      </c>
      <c r="AP10" s="152" t="s">
        <v>330</v>
      </c>
      <c r="AQ10" s="153" t="s">
        <v>25</v>
      </c>
      <c r="AR10" s="151" t="s">
        <v>329</v>
      </c>
      <c r="AS10" s="152" t="s">
        <v>330</v>
      </c>
      <c r="AT10" s="153" t="s">
        <v>25</v>
      </c>
      <c r="AU10" s="151" t="s">
        <v>329</v>
      </c>
      <c r="AV10" s="152" t="s">
        <v>330</v>
      </c>
      <c r="AW10" s="153" t="s">
        <v>25</v>
      </c>
      <c r="AX10" s="151" t="s">
        <v>329</v>
      </c>
      <c r="AY10" s="152" t="s">
        <v>330</v>
      </c>
      <c r="AZ10" s="153" t="s">
        <v>25</v>
      </c>
      <c r="BA10" s="151" t="s">
        <v>329</v>
      </c>
      <c r="BB10" s="152" t="s">
        <v>330</v>
      </c>
      <c r="BC10" s="153" t="s">
        <v>25</v>
      </c>
      <c r="BD10" s="151" t="s">
        <v>329</v>
      </c>
      <c r="BE10" s="152" t="s">
        <v>330</v>
      </c>
      <c r="BF10" s="153" t="s">
        <v>25</v>
      </c>
      <c r="BG10" s="151" t="s">
        <v>329</v>
      </c>
      <c r="BH10" s="152" t="s">
        <v>330</v>
      </c>
      <c r="BI10" s="153" t="s">
        <v>25</v>
      </c>
      <c r="BJ10" s="151" t="s">
        <v>329</v>
      </c>
      <c r="BK10" s="152" t="s">
        <v>330</v>
      </c>
      <c r="BL10" s="153" t="s">
        <v>25</v>
      </c>
      <c r="BM10" s="151" t="s">
        <v>329</v>
      </c>
      <c r="BN10" s="152" t="s">
        <v>330</v>
      </c>
      <c r="BO10" s="153" t="s">
        <v>25</v>
      </c>
      <c r="BP10" s="151" t="s">
        <v>329</v>
      </c>
      <c r="BQ10" s="152" t="s">
        <v>330</v>
      </c>
      <c r="BR10" s="153" t="s">
        <v>25</v>
      </c>
      <c r="BS10" s="151" t="s">
        <v>329</v>
      </c>
      <c r="BT10" s="152" t="s">
        <v>330</v>
      </c>
      <c r="BU10" s="153" t="s">
        <v>25</v>
      </c>
      <c r="BV10" s="151" t="s">
        <v>329</v>
      </c>
      <c r="BW10" s="152" t="s">
        <v>330</v>
      </c>
      <c r="BX10" s="153" t="s">
        <v>25</v>
      </c>
      <c r="BY10" s="151" t="s">
        <v>329</v>
      </c>
      <c r="BZ10" s="152" t="s">
        <v>330</v>
      </c>
      <c r="CA10" s="153" t="s">
        <v>25</v>
      </c>
      <c r="CB10" s="151" t="s">
        <v>329</v>
      </c>
      <c r="CC10" s="152" t="s">
        <v>330</v>
      </c>
      <c r="CD10" s="153" t="s">
        <v>25</v>
      </c>
      <c r="CE10" s="151" t="s">
        <v>329</v>
      </c>
      <c r="CF10" s="152" t="s">
        <v>330</v>
      </c>
      <c r="CG10" s="153" t="s">
        <v>25</v>
      </c>
      <c r="CH10" s="151" t="s">
        <v>329</v>
      </c>
      <c r="CI10" s="152" t="s">
        <v>330</v>
      </c>
      <c r="CJ10" s="153" t="s">
        <v>25</v>
      </c>
      <c r="CK10" s="151" t="s">
        <v>329</v>
      </c>
      <c r="CL10" s="152" t="s">
        <v>330</v>
      </c>
      <c r="CM10" s="153" t="s">
        <v>25</v>
      </c>
      <c r="CN10" s="151" t="s">
        <v>329</v>
      </c>
      <c r="CO10" s="152" t="s">
        <v>330</v>
      </c>
      <c r="CP10" s="153" t="s">
        <v>25</v>
      </c>
      <c r="CQ10" s="151" t="s">
        <v>329</v>
      </c>
      <c r="CR10" s="152" t="s">
        <v>330</v>
      </c>
      <c r="CS10" s="153" t="s">
        <v>25</v>
      </c>
      <c r="CT10" s="151" t="s">
        <v>329</v>
      </c>
      <c r="CU10" s="152" t="s">
        <v>330</v>
      </c>
      <c r="CV10" s="153" t="s">
        <v>25</v>
      </c>
      <c r="CW10" s="151" t="s">
        <v>329</v>
      </c>
      <c r="CX10" s="152" t="s">
        <v>330</v>
      </c>
      <c r="CY10" s="153" t="s">
        <v>25</v>
      </c>
      <c r="CZ10" s="151" t="s">
        <v>329</v>
      </c>
      <c r="DA10" s="152" t="s">
        <v>330</v>
      </c>
      <c r="DB10" s="153" t="s">
        <v>25</v>
      </c>
      <c r="DC10" s="151" t="s">
        <v>329</v>
      </c>
      <c r="DD10" s="152" t="s">
        <v>330</v>
      </c>
      <c r="DE10" s="153" t="s">
        <v>25</v>
      </c>
      <c r="DF10" s="151" t="s">
        <v>329</v>
      </c>
      <c r="DG10" s="152" t="s">
        <v>330</v>
      </c>
      <c r="DH10" s="153" t="s">
        <v>25</v>
      </c>
      <c r="DI10" s="151" t="s">
        <v>329</v>
      </c>
      <c r="DJ10" s="152" t="s">
        <v>330</v>
      </c>
      <c r="DK10" s="153" t="s">
        <v>25</v>
      </c>
      <c r="DL10" s="151" t="s">
        <v>329</v>
      </c>
      <c r="DM10" s="152" t="s">
        <v>330</v>
      </c>
      <c r="DN10" s="153" t="s">
        <v>25</v>
      </c>
      <c r="DO10" s="151" t="s">
        <v>329</v>
      </c>
      <c r="DP10" s="152" t="s">
        <v>330</v>
      </c>
      <c r="DQ10" s="153" t="s">
        <v>25</v>
      </c>
      <c r="DR10" s="151" t="s">
        <v>329</v>
      </c>
      <c r="DS10" s="152" t="s">
        <v>330</v>
      </c>
      <c r="DT10" s="153" t="s">
        <v>25</v>
      </c>
      <c r="DU10" s="151" t="s">
        <v>329</v>
      </c>
      <c r="DV10" s="152" t="s">
        <v>330</v>
      </c>
      <c r="DW10" s="153" t="s">
        <v>25</v>
      </c>
      <c r="DX10" s="151" t="s">
        <v>329</v>
      </c>
      <c r="DY10" s="152"/>
      <c r="DZ10" s="153"/>
      <c r="EA10" s="153"/>
      <c r="EB10" s="153" t="s">
        <v>331</v>
      </c>
      <c r="EC10" s="153" t="s">
        <v>331</v>
      </c>
      <c r="ED10" s="153" t="s">
        <v>25</v>
      </c>
      <c r="EE10" s="154" t="s">
        <v>330</v>
      </c>
      <c r="EG10" s="153" t="s">
        <v>331</v>
      </c>
      <c r="EH10" s="153" t="s">
        <v>25</v>
      </c>
      <c r="EI10" s="154" t="s">
        <v>330</v>
      </c>
      <c r="EJ10" s="154"/>
      <c r="EK10" s="153" t="s">
        <v>331</v>
      </c>
      <c r="EL10" s="153" t="s">
        <v>331</v>
      </c>
      <c r="EM10" s="153" t="s">
        <v>25</v>
      </c>
      <c r="EN10" s="154" t="s">
        <v>330</v>
      </c>
    </row>
    <row r="11" spans="1:147" x14ac:dyDescent="0.25">
      <c r="A11" s="66">
        <v>43497</v>
      </c>
      <c r="D11" s="122">
        <f>(B11*C11)/360</f>
        <v>0</v>
      </c>
      <c r="G11" s="122">
        <f>(E11*F11)/360</f>
        <v>0</v>
      </c>
      <c r="J11" s="122">
        <f>(H11*I11)/360</f>
        <v>0</v>
      </c>
      <c r="M11" s="122">
        <f>(K11*L11)/360</f>
        <v>0</v>
      </c>
      <c r="P11" s="122">
        <f>(N11*O11)/360</f>
        <v>0</v>
      </c>
      <c r="S11" s="122">
        <f>(Q11*R11)/360</f>
        <v>0</v>
      </c>
      <c r="V11" s="122">
        <f>(T11*U11)/360</f>
        <v>0</v>
      </c>
      <c r="Y11" s="122">
        <f>(W11*X11)/360</f>
        <v>0</v>
      </c>
      <c r="AB11" s="122">
        <f>(Z11*AA11)/360</f>
        <v>0</v>
      </c>
      <c r="AE11" s="122">
        <v>0</v>
      </c>
      <c r="AH11" s="122">
        <v>0</v>
      </c>
      <c r="AI11" s="155">
        <f>44275000+100000</f>
        <v>44375000</v>
      </c>
      <c r="AJ11" s="156">
        <v>2.7E-2</v>
      </c>
      <c r="AK11" s="122">
        <f>(AI11*AJ11)/360</f>
        <v>3328.125</v>
      </c>
      <c r="AL11" s="155">
        <f t="shared" ref="AL11:AL24" si="0">30000000</f>
        <v>30000000</v>
      </c>
      <c r="AM11" s="156">
        <v>2.9000000000000001E-2</v>
      </c>
      <c r="AN11" s="122">
        <f>(AL11*AM11)/360</f>
        <v>2416.6666666666665</v>
      </c>
      <c r="AO11" s="155">
        <f t="shared" ref="AO11:AO23" si="1">50000000</f>
        <v>50000000</v>
      </c>
      <c r="AP11" s="156">
        <v>2.9499999999999998E-2</v>
      </c>
      <c r="AQ11" s="122">
        <f>(AO11*AP11)/360</f>
        <v>4097.2222222222226</v>
      </c>
      <c r="AR11" s="155">
        <f>50000000</f>
        <v>50000000</v>
      </c>
      <c r="AS11" s="156">
        <v>2.9700000000000001E-2</v>
      </c>
      <c r="AT11" s="122">
        <f>(AR11*AS11)/360</f>
        <v>4125</v>
      </c>
      <c r="AU11" s="155">
        <f t="shared" ref="AU11:AU38" si="2">130000000+125000000+120000000</f>
        <v>375000000</v>
      </c>
      <c r="AV11" s="156">
        <v>2.8500000000000001E-2</v>
      </c>
      <c r="AW11" s="122">
        <f>(AU11*AV11)/360</f>
        <v>29687.5</v>
      </c>
      <c r="AX11" s="155"/>
      <c r="AY11" s="156"/>
      <c r="AZ11" s="122">
        <f>(AX11*AY11)/360</f>
        <v>0</v>
      </c>
      <c r="BC11" s="122">
        <f>(BA11*BB11)/360</f>
        <v>0</v>
      </c>
      <c r="BF11" s="122">
        <f>(BD11*BE11)/360</f>
        <v>0</v>
      </c>
      <c r="BI11" s="122">
        <f>(BG11*BH11)/360</f>
        <v>0</v>
      </c>
      <c r="BL11" s="122">
        <f>(BJ11*BK11)/360</f>
        <v>0</v>
      </c>
      <c r="BO11" s="122">
        <f>(BM11*BN11)/360</f>
        <v>0</v>
      </c>
      <c r="BR11" s="122">
        <f>(BP11*BQ11)/360</f>
        <v>0</v>
      </c>
      <c r="BU11" s="122">
        <f>(BS11*BT11)/360</f>
        <v>0</v>
      </c>
      <c r="BX11" s="122">
        <f>(BV11*BW11)/360</f>
        <v>0</v>
      </c>
      <c r="CA11" s="122">
        <f>(BY11*BZ11)/360</f>
        <v>0</v>
      </c>
      <c r="CD11" s="122">
        <f>(CB11*CC11)/360</f>
        <v>0</v>
      </c>
      <c r="CG11" s="122">
        <f>(CE11*CF11)/360</f>
        <v>0</v>
      </c>
      <c r="CJ11" s="122">
        <f>(CH11*CI11)/360</f>
        <v>0</v>
      </c>
      <c r="CM11" s="122">
        <f>(CK11*CL11)/360</f>
        <v>0</v>
      </c>
      <c r="CP11" s="122">
        <f>(CN11*CO11)/360</f>
        <v>0</v>
      </c>
      <c r="CS11" s="122">
        <f>(CQ11*CR11)/360</f>
        <v>0</v>
      </c>
      <c r="CV11" s="122">
        <f>(CT11*CU11)/360</f>
        <v>0</v>
      </c>
      <c r="CY11" s="122">
        <f>(CW11*CX11)/360</f>
        <v>0</v>
      </c>
      <c r="DB11" s="122">
        <f>(CZ11*DA11)/360</f>
        <v>0</v>
      </c>
      <c r="DE11" s="122">
        <f>(DC11*DD11)/360</f>
        <v>0</v>
      </c>
      <c r="DH11" s="122">
        <f>(DF11*DG11)/360</f>
        <v>0</v>
      </c>
      <c r="DK11" s="122">
        <f>(DI11*DJ11)/360</f>
        <v>0</v>
      </c>
      <c r="DN11" s="122">
        <f>(DL11*DM11)/360</f>
        <v>0</v>
      </c>
      <c r="DQ11" s="122">
        <f>(DO11*DP11)/360</f>
        <v>0</v>
      </c>
      <c r="DT11" s="122">
        <f>(DR11*DS11)/360</f>
        <v>0</v>
      </c>
      <c r="DW11" s="122">
        <f>(DU11*DV11)/360</f>
        <v>0</v>
      </c>
      <c r="DZ11" s="122"/>
      <c r="EA11" s="122"/>
      <c r="EB11" s="157">
        <f>B11+E11+H11+K11+N11+Q11+T11+W11+Z11+AC11+AF11+AL11+AO11+AR11+AU11+AX11+BA11+BD11+BG11+DU11+AI11+DR11+DO11+DL11+DI11+DF11+DC11+CZ11+CW11+CT11+CQ11+CN11+CK11+CH11+CE11+CB11+BY11+BV11+BS11+BP11+BM11+BJ11</f>
        <v>549375000</v>
      </c>
      <c r="EC11" s="157">
        <f>EB11-EK11+EL11</f>
        <v>0</v>
      </c>
      <c r="ED11" s="122">
        <f>D11+G11+J11+M11+P11+S11+V11+Y11+AB11+AE11+AH11+AK11+AN11+AQ11+AT11+AW11+AZ11+BC11+BF11+BI11+DW11+DT11+DQ11+DN11+DK11+DH11+DE11+DB11+CY11+CV11+CS11+CP11+CM11+CJ11+CG11+CD11+CA11+BX11+BU11+BR11+BO11+BL11</f>
        <v>43654.513888888891</v>
      </c>
      <c r="EE11" s="123">
        <f>IF(EB11&lt;&gt;0,((ED11/EB11)*360),0)</f>
        <v>2.8606370875995449E-2</v>
      </c>
      <c r="EG11" s="157">
        <f>Q11+T11+W11+Z11+AC11+AF11</f>
        <v>0</v>
      </c>
      <c r="EH11" s="122">
        <f>S11+V11+Y11+AB11+AE11+AH11</f>
        <v>0</v>
      </c>
      <c r="EI11" s="123">
        <f>IF(EG11&lt;&gt;0,((EH11/EG11)*360),0)</f>
        <v>0</v>
      </c>
      <c r="EJ11" s="123"/>
      <c r="EK11" s="157">
        <f>DR11+DL11+DI11+DF11+DC11+CZ11+CW11+CT11+CQ11+CN11+CK11+CH11+CE11+CB11+BY11+BV11+BS11+BP11+BM11+BJ11+BG11+BD11+BA11+AX11+AU11+AR11+AO11+AL11+AI11+DO11</f>
        <v>549375000</v>
      </c>
      <c r="EL11" s="157">
        <f>DX11</f>
        <v>0</v>
      </c>
      <c r="EM11" s="157">
        <f>DT11+DQ11+DN11+DK11+DH11+DE11+DB11+CY11+CV11+CS11+CP11+CM11+CJ11+CG11+CD11+CA11+BX11+BU11+BR11+BO11+BL11+BI11+BF11+BC11+AZ11+AW11+AT11+AQ11+AN11+AK11</f>
        <v>43654.513888888883</v>
      </c>
      <c r="EN11" s="123">
        <f>IF(EK11&lt;&gt;0,((EM11/EK11)*360),0)</f>
        <v>2.8606370875995445E-2</v>
      </c>
      <c r="EP11" s="122"/>
    </row>
    <row r="12" spans="1:147" x14ac:dyDescent="0.25">
      <c r="A12" s="66">
        <f>1+A11</f>
        <v>43498</v>
      </c>
      <c r="D12" s="122">
        <f t="shared" ref="D12:D38" si="3">(B12*C12)/360</f>
        <v>0</v>
      </c>
      <c r="G12" s="122">
        <f t="shared" ref="G12:G38" si="4">(E12*F12)/360</f>
        <v>0</v>
      </c>
      <c r="J12" s="122">
        <f t="shared" ref="J12:J38" si="5">(H12*I12)/360</f>
        <v>0</v>
      </c>
      <c r="M12" s="122">
        <f t="shared" ref="M12:M38" si="6">(K12*L12)/360</f>
        <v>0</v>
      </c>
      <c r="P12" s="122">
        <f t="shared" ref="P12:P38" si="7">(N12*O12)/360</f>
        <v>0</v>
      </c>
      <c r="S12" s="122">
        <f t="shared" ref="S12:S38" si="8">(Q12*R12)/360</f>
        <v>0</v>
      </c>
      <c r="V12" s="122">
        <f t="shared" ref="V12:V38" si="9">(T12*U12)/360</f>
        <v>0</v>
      </c>
      <c r="Y12" s="122">
        <f t="shared" ref="Y12:Y38" si="10">(W12*X12)/360</f>
        <v>0</v>
      </c>
      <c r="AB12" s="122">
        <f t="shared" ref="AB12:AB38" si="11">(Z12*AA12)/360</f>
        <v>0</v>
      </c>
      <c r="AE12" s="122">
        <v>0</v>
      </c>
      <c r="AH12" s="122">
        <v>0</v>
      </c>
      <c r="AI12" s="155">
        <f>44275000+100000</f>
        <v>44375000</v>
      </c>
      <c r="AJ12" s="156">
        <v>2.7E-2</v>
      </c>
      <c r="AK12" s="122">
        <f t="shared" ref="AK12:AK38" si="12">(AI12*AJ12)/360</f>
        <v>3328.125</v>
      </c>
      <c r="AL12" s="155">
        <f t="shared" si="0"/>
        <v>30000000</v>
      </c>
      <c r="AM12" s="156">
        <v>2.9000000000000001E-2</v>
      </c>
      <c r="AN12" s="122">
        <f t="shared" ref="AN12:AN38" si="13">(AL12*AM12)/360</f>
        <v>2416.6666666666665</v>
      </c>
      <c r="AO12" s="155">
        <f t="shared" si="1"/>
        <v>50000000</v>
      </c>
      <c r="AP12" s="156">
        <v>2.9499999999999998E-2</v>
      </c>
      <c r="AQ12" s="122">
        <f t="shared" ref="AQ12:AQ38" si="14">(AO12*AP12)/360</f>
        <v>4097.2222222222226</v>
      </c>
      <c r="AR12" s="155">
        <f>50000000</f>
        <v>50000000</v>
      </c>
      <c r="AS12" s="156">
        <v>2.9700000000000001E-2</v>
      </c>
      <c r="AT12" s="122">
        <f t="shared" ref="AT12:AT38" si="15">(AR12*AS12)/360</f>
        <v>4125</v>
      </c>
      <c r="AU12" s="155">
        <f t="shared" si="2"/>
        <v>375000000</v>
      </c>
      <c r="AV12" s="156">
        <v>2.8500000000000001E-2</v>
      </c>
      <c r="AW12" s="122">
        <f t="shared" ref="AW12:AW38" si="16">(AU12*AV12)/360</f>
        <v>29687.5</v>
      </c>
      <c r="AX12" s="155"/>
      <c r="AY12" s="156"/>
      <c r="AZ12" s="122">
        <f t="shared" ref="AZ12:AZ38" si="17">(AX12*AY12)/360</f>
        <v>0</v>
      </c>
      <c r="BC12" s="122">
        <f t="shared" ref="BC12:BC38" si="18">(BA12*BB12)/360</f>
        <v>0</v>
      </c>
      <c r="BF12" s="122">
        <f t="shared" ref="BF12:BF38" si="19">(BD12*BE12)/360</f>
        <v>0</v>
      </c>
      <c r="BI12" s="122">
        <f t="shared" ref="BI12:BI38" si="20">(BG12*BH12)/360</f>
        <v>0</v>
      </c>
      <c r="BL12" s="122">
        <f t="shared" ref="BL12:BL38" si="21">(BJ12*BK12)/360</f>
        <v>0</v>
      </c>
      <c r="BO12" s="122">
        <f t="shared" ref="BO12:BO38" si="22">(BM12*BN12)/360</f>
        <v>0</v>
      </c>
      <c r="BR12" s="122">
        <f t="shared" ref="BR12:BR38" si="23">(BP12*BQ12)/360</f>
        <v>0</v>
      </c>
      <c r="BU12" s="122">
        <f t="shared" ref="BU12:BU38" si="24">(BS12*BT12)/360</f>
        <v>0</v>
      </c>
      <c r="BX12" s="122">
        <f t="shared" ref="BX12:BX38" si="25">(BV12*BW12)/360</f>
        <v>0</v>
      </c>
      <c r="CA12" s="122">
        <f t="shared" ref="CA12:CA38" si="26">(BY12*BZ12)/360</f>
        <v>0</v>
      </c>
      <c r="CD12" s="122">
        <f t="shared" ref="CD12:CD38" si="27">(CB12*CC12)/360</f>
        <v>0</v>
      </c>
      <c r="CG12" s="122">
        <f t="shared" ref="CG12:CG38" si="28">(CE12*CF12)/360</f>
        <v>0</v>
      </c>
      <c r="CJ12" s="122">
        <f t="shared" ref="CJ12:CJ38" si="29">(CH12*CI12)/360</f>
        <v>0</v>
      </c>
      <c r="CM12" s="122">
        <f t="shared" ref="CM12:CM38" si="30">(CK12*CL12)/360</f>
        <v>0</v>
      </c>
      <c r="CP12" s="122">
        <f t="shared" ref="CP12:CP38" si="31">(CN12*CO12)/360</f>
        <v>0</v>
      </c>
      <c r="CS12" s="122">
        <f t="shared" ref="CS12:CS38" si="32">(CQ12*CR12)/360</f>
        <v>0</v>
      </c>
      <c r="CV12" s="122">
        <f t="shared" ref="CV12:CV38" si="33">(CT12*CU12)/360</f>
        <v>0</v>
      </c>
      <c r="CY12" s="122">
        <f t="shared" ref="CY12:CY38" si="34">(CW12*CX12)/360</f>
        <v>0</v>
      </c>
      <c r="DB12" s="122">
        <f t="shared" ref="DB12:DB38" si="35">(CZ12*DA12)/360</f>
        <v>0</v>
      </c>
      <c r="DE12" s="122">
        <f t="shared" ref="DE12:DE38" si="36">(DC12*DD12)/360</f>
        <v>0</v>
      </c>
      <c r="DH12" s="122">
        <f t="shared" ref="DH12:DH38" si="37">(DF12*DG12)/360</f>
        <v>0</v>
      </c>
      <c r="DK12" s="122">
        <f t="shared" ref="DK12:DK38" si="38">(DI12*DJ12)/360</f>
        <v>0</v>
      </c>
      <c r="DN12" s="122">
        <f t="shared" ref="DN12:DN38" si="39">(DL12*DM12)/360</f>
        <v>0</v>
      </c>
      <c r="DQ12" s="122">
        <f t="shared" ref="DQ12:DQ38" si="40">(DO12*DP12)/360</f>
        <v>0</v>
      </c>
      <c r="DT12" s="122">
        <f t="shared" ref="DT12:DT38" si="41">(DR12*DS12)/360</f>
        <v>0</v>
      </c>
      <c r="DW12" s="122">
        <f t="shared" ref="DW12:DW38" si="42">(DU12*DV12)/360</f>
        <v>0</v>
      </c>
      <c r="DZ12" s="122"/>
      <c r="EA12" s="122"/>
      <c r="EB12" s="157">
        <f t="shared" ref="EB12:EB38" si="43">B12+E12+H12+K12+N12+Q12+T12+W12+Z12+AC12+AF12+AL12+AO12+AR12+AU12+AX12+BA12+BD12+BG12+DU12+AI12+DR12+DO12+DL12+DI12+DF12+DC12+CZ12+CW12+CT12+CQ12+CN12+CK12+CH12+CE12+CB12+BY12+BV12+BS12+BP12+BM12+BJ12</f>
        <v>549375000</v>
      </c>
      <c r="EC12" s="157">
        <f t="shared" ref="EC12:EC38" si="44">EB12-EK12+EL12</f>
        <v>0</v>
      </c>
      <c r="ED12" s="122">
        <f t="shared" ref="ED12:ED38" si="45">D12+G12+J12+M12+P12+S12+V12+Y12+AB12+AE12+AH12+AK12+AN12+AQ12+AT12+AW12+AZ12+BC12+BF12+BI12+DW12+DT12+DQ12+DN12+DK12+DH12+DE12+DB12+CY12+CV12+CS12+CP12+CM12+CJ12+CG12+CD12+CA12+BX12+BU12+BR12+BO12+BL12</f>
        <v>43654.513888888891</v>
      </c>
      <c r="EE12" s="123">
        <f t="shared" ref="EE12:EE38" si="46">IF(EB12&lt;&gt;0,((ED12/EB12)*360),0)</f>
        <v>2.8606370875995449E-2</v>
      </c>
      <c r="EG12" s="157">
        <f t="shared" ref="EG12:EG38" si="47">Q12+T12+W12+Z12+AC12+AF12</f>
        <v>0</v>
      </c>
      <c r="EH12" s="122">
        <f t="shared" ref="EH12:EH38" si="48">S12+V12+Y12+AB12+AE12+AH12</f>
        <v>0</v>
      </c>
      <c r="EI12" s="123">
        <f t="shared" ref="EI12:EI38" si="49">IF(EG12&lt;&gt;0,((EH12/EG12)*360),0)</f>
        <v>0</v>
      </c>
      <c r="EJ12" s="123"/>
      <c r="EK12" s="157">
        <f t="shared" ref="EK12:EK38" si="50">DR12+DL12+DI12+DF12+DC12+CZ12+CW12+CT12+CQ12+CN12+CK12+CH12+CE12+CB12+BY12+BV12+BS12+BP12+BM12+BJ12+BG12+BD12+BA12+AX12+AU12+AR12+AO12+AL12+AI12+DO12</f>
        <v>549375000</v>
      </c>
      <c r="EL12" s="157">
        <f t="shared" ref="EL12:EL38" si="51">DX12</f>
        <v>0</v>
      </c>
      <c r="EM12" s="157">
        <f t="shared" ref="EM12:EM38" si="52">DT12+DQ12+DN12+DK12+DH12+DE12+DB12+CY12+CV12+CS12+CP12+CM12+CJ12+CG12+CD12+CA12+BX12+BU12+BR12+BO12+BL12+BI12+BF12+BC12+AZ12+AW12+AT12+AQ12+AN12+AK12</f>
        <v>43654.513888888883</v>
      </c>
      <c r="EN12" s="123">
        <f t="shared" ref="EN12:EN38" si="53">IF(EK12&lt;&gt;0,((EM12/EK12)*360),0)</f>
        <v>2.8606370875995445E-2</v>
      </c>
      <c r="EP12" s="122"/>
    </row>
    <row r="13" spans="1:147" x14ac:dyDescent="0.25">
      <c r="A13" s="66">
        <f t="shared" ref="A13:A38" si="54">1+A12</f>
        <v>43499</v>
      </c>
      <c r="D13" s="122">
        <f t="shared" si="3"/>
        <v>0</v>
      </c>
      <c r="G13" s="122">
        <f t="shared" si="4"/>
        <v>0</v>
      </c>
      <c r="J13" s="122">
        <f t="shared" si="5"/>
        <v>0</v>
      </c>
      <c r="M13" s="122">
        <f t="shared" si="6"/>
        <v>0</v>
      </c>
      <c r="P13" s="122">
        <f t="shared" si="7"/>
        <v>0</v>
      </c>
      <c r="S13" s="122">
        <f t="shared" si="8"/>
        <v>0</v>
      </c>
      <c r="V13" s="122">
        <f t="shared" si="9"/>
        <v>0</v>
      </c>
      <c r="Y13" s="122">
        <f t="shared" si="10"/>
        <v>0</v>
      </c>
      <c r="AB13" s="122">
        <f t="shared" si="11"/>
        <v>0</v>
      </c>
      <c r="AE13" s="122">
        <v>0</v>
      </c>
      <c r="AH13" s="122">
        <v>0</v>
      </c>
      <c r="AI13" s="155">
        <f>44275000+100000</f>
        <v>44375000</v>
      </c>
      <c r="AJ13" s="156">
        <v>2.7E-2</v>
      </c>
      <c r="AK13" s="122">
        <f t="shared" si="12"/>
        <v>3328.125</v>
      </c>
      <c r="AL13" s="155">
        <f t="shared" si="0"/>
        <v>30000000</v>
      </c>
      <c r="AM13" s="156">
        <v>2.9000000000000001E-2</v>
      </c>
      <c r="AN13" s="122">
        <f t="shared" si="13"/>
        <v>2416.6666666666665</v>
      </c>
      <c r="AO13" s="155">
        <f t="shared" si="1"/>
        <v>50000000</v>
      </c>
      <c r="AP13" s="156">
        <v>2.9499999999999998E-2</v>
      </c>
      <c r="AQ13" s="122">
        <f t="shared" si="14"/>
        <v>4097.2222222222226</v>
      </c>
      <c r="AR13" s="155">
        <f>50000000</f>
        <v>50000000</v>
      </c>
      <c r="AS13" s="156">
        <v>2.9700000000000001E-2</v>
      </c>
      <c r="AT13" s="122">
        <f t="shared" si="15"/>
        <v>4125</v>
      </c>
      <c r="AU13" s="155">
        <f t="shared" si="2"/>
        <v>375000000</v>
      </c>
      <c r="AV13" s="156">
        <v>2.8500000000000001E-2</v>
      </c>
      <c r="AW13" s="122">
        <f t="shared" si="16"/>
        <v>29687.5</v>
      </c>
      <c r="AX13" s="155"/>
      <c r="AY13" s="156"/>
      <c r="AZ13" s="122">
        <f t="shared" si="17"/>
        <v>0</v>
      </c>
      <c r="BC13" s="122">
        <f t="shared" si="18"/>
        <v>0</v>
      </c>
      <c r="BF13" s="122">
        <f t="shared" si="19"/>
        <v>0</v>
      </c>
      <c r="BI13" s="122">
        <f t="shared" si="20"/>
        <v>0</v>
      </c>
      <c r="BL13" s="122">
        <f t="shared" si="21"/>
        <v>0</v>
      </c>
      <c r="BO13" s="122">
        <f t="shared" si="22"/>
        <v>0</v>
      </c>
      <c r="BR13" s="122">
        <f t="shared" si="23"/>
        <v>0</v>
      </c>
      <c r="BU13" s="122">
        <f t="shared" si="24"/>
        <v>0</v>
      </c>
      <c r="BX13" s="122">
        <f t="shared" si="25"/>
        <v>0</v>
      </c>
      <c r="CA13" s="122">
        <f t="shared" si="26"/>
        <v>0</v>
      </c>
      <c r="CD13" s="122">
        <f t="shared" si="27"/>
        <v>0</v>
      </c>
      <c r="CG13" s="122">
        <f t="shared" si="28"/>
        <v>0</v>
      </c>
      <c r="CJ13" s="122">
        <f t="shared" si="29"/>
        <v>0</v>
      </c>
      <c r="CM13" s="122">
        <f t="shared" si="30"/>
        <v>0</v>
      </c>
      <c r="CP13" s="122">
        <f t="shared" si="31"/>
        <v>0</v>
      </c>
      <c r="CS13" s="122">
        <f t="shared" si="32"/>
        <v>0</v>
      </c>
      <c r="CV13" s="122">
        <f t="shared" si="33"/>
        <v>0</v>
      </c>
      <c r="CY13" s="122">
        <f t="shared" si="34"/>
        <v>0</v>
      </c>
      <c r="DB13" s="122">
        <f t="shared" si="35"/>
        <v>0</v>
      </c>
      <c r="DE13" s="122">
        <f t="shared" si="36"/>
        <v>0</v>
      </c>
      <c r="DH13" s="122">
        <f t="shared" si="37"/>
        <v>0</v>
      </c>
      <c r="DK13" s="122">
        <f t="shared" si="38"/>
        <v>0</v>
      </c>
      <c r="DN13" s="122">
        <f t="shared" si="39"/>
        <v>0</v>
      </c>
      <c r="DQ13" s="122">
        <f t="shared" si="40"/>
        <v>0</v>
      </c>
      <c r="DT13" s="122">
        <f t="shared" si="41"/>
        <v>0</v>
      </c>
      <c r="DW13" s="122">
        <f t="shared" si="42"/>
        <v>0</v>
      </c>
      <c r="DZ13" s="122"/>
      <c r="EA13" s="122"/>
      <c r="EB13" s="157">
        <f t="shared" si="43"/>
        <v>549375000</v>
      </c>
      <c r="EC13" s="157">
        <f t="shared" si="44"/>
        <v>0</v>
      </c>
      <c r="ED13" s="122">
        <f t="shared" si="45"/>
        <v>43654.513888888891</v>
      </c>
      <c r="EE13" s="123">
        <f t="shared" si="46"/>
        <v>2.8606370875995449E-2</v>
      </c>
      <c r="EG13" s="157">
        <f t="shared" si="47"/>
        <v>0</v>
      </c>
      <c r="EH13" s="122">
        <f t="shared" si="48"/>
        <v>0</v>
      </c>
      <c r="EI13" s="123">
        <f t="shared" si="49"/>
        <v>0</v>
      </c>
      <c r="EJ13" s="123"/>
      <c r="EK13" s="157">
        <f t="shared" si="50"/>
        <v>549375000</v>
      </c>
      <c r="EL13" s="157">
        <f t="shared" si="51"/>
        <v>0</v>
      </c>
      <c r="EM13" s="157">
        <f t="shared" si="52"/>
        <v>43654.513888888883</v>
      </c>
      <c r="EN13" s="123">
        <f t="shared" si="53"/>
        <v>2.8606370875995445E-2</v>
      </c>
      <c r="EP13" s="122"/>
    </row>
    <row r="14" spans="1:147" x14ac:dyDescent="0.25">
      <c r="A14" s="66">
        <f t="shared" si="54"/>
        <v>43500</v>
      </c>
      <c r="D14" s="122">
        <f t="shared" si="3"/>
        <v>0</v>
      </c>
      <c r="G14" s="122">
        <f t="shared" si="4"/>
        <v>0</v>
      </c>
      <c r="J14" s="122">
        <f t="shared" si="5"/>
        <v>0</v>
      </c>
      <c r="M14" s="122">
        <f t="shared" si="6"/>
        <v>0</v>
      </c>
      <c r="P14" s="122">
        <f t="shared" si="7"/>
        <v>0</v>
      </c>
      <c r="S14" s="122">
        <f t="shared" si="8"/>
        <v>0</v>
      </c>
      <c r="V14" s="122">
        <f t="shared" si="9"/>
        <v>0</v>
      </c>
      <c r="Y14" s="122">
        <f t="shared" si="10"/>
        <v>0</v>
      </c>
      <c r="AB14" s="122">
        <f t="shared" si="11"/>
        <v>0</v>
      </c>
      <c r="AE14" s="122">
        <v>0</v>
      </c>
      <c r="AH14" s="122">
        <v>0</v>
      </c>
      <c r="AI14" s="155">
        <f>93800000</f>
        <v>93800000</v>
      </c>
      <c r="AJ14" s="156">
        <v>2.7E-2</v>
      </c>
      <c r="AK14" s="122">
        <f t="shared" si="12"/>
        <v>7035</v>
      </c>
      <c r="AL14" s="155">
        <f t="shared" si="0"/>
        <v>30000000</v>
      </c>
      <c r="AM14" s="156">
        <v>2.9000000000000001E-2</v>
      </c>
      <c r="AN14" s="122">
        <f t="shared" si="13"/>
        <v>2416.6666666666665</v>
      </c>
      <c r="AO14" s="155">
        <f t="shared" si="1"/>
        <v>50000000</v>
      </c>
      <c r="AP14" s="156">
        <v>2.9499999999999998E-2</v>
      </c>
      <c r="AQ14" s="122">
        <f t="shared" si="14"/>
        <v>4097.2222222222226</v>
      </c>
      <c r="AR14" s="155"/>
      <c r="AS14" s="156"/>
      <c r="AT14" s="122">
        <f t="shared" si="15"/>
        <v>0</v>
      </c>
      <c r="AU14" s="155">
        <f t="shared" si="2"/>
        <v>375000000</v>
      </c>
      <c r="AV14" s="156">
        <v>2.8500000000000001E-2</v>
      </c>
      <c r="AW14" s="122">
        <f t="shared" si="16"/>
        <v>29687.5</v>
      </c>
      <c r="AX14" s="155"/>
      <c r="AY14" s="156"/>
      <c r="AZ14" s="122">
        <f t="shared" si="17"/>
        <v>0</v>
      </c>
      <c r="BC14" s="122">
        <f t="shared" si="18"/>
        <v>0</v>
      </c>
      <c r="BF14" s="122">
        <f t="shared" si="19"/>
        <v>0</v>
      </c>
      <c r="BI14" s="122">
        <f t="shared" si="20"/>
        <v>0</v>
      </c>
      <c r="BL14" s="122">
        <f t="shared" si="21"/>
        <v>0</v>
      </c>
      <c r="BO14" s="122">
        <f t="shared" si="22"/>
        <v>0</v>
      </c>
      <c r="BR14" s="122">
        <f t="shared" si="23"/>
        <v>0</v>
      </c>
      <c r="BU14" s="122">
        <f t="shared" si="24"/>
        <v>0</v>
      </c>
      <c r="BX14" s="122">
        <f t="shared" si="25"/>
        <v>0</v>
      </c>
      <c r="CA14" s="122">
        <f t="shared" si="26"/>
        <v>0</v>
      </c>
      <c r="CD14" s="122">
        <f t="shared" si="27"/>
        <v>0</v>
      </c>
      <c r="CG14" s="122">
        <f t="shared" si="28"/>
        <v>0</v>
      </c>
      <c r="CJ14" s="122">
        <f t="shared" si="29"/>
        <v>0</v>
      </c>
      <c r="CM14" s="122">
        <f t="shared" si="30"/>
        <v>0</v>
      </c>
      <c r="CP14" s="122">
        <f t="shared" si="31"/>
        <v>0</v>
      </c>
      <c r="CS14" s="122">
        <f t="shared" si="32"/>
        <v>0</v>
      </c>
      <c r="CV14" s="122">
        <f t="shared" si="33"/>
        <v>0</v>
      </c>
      <c r="CY14" s="122">
        <f t="shared" si="34"/>
        <v>0</v>
      </c>
      <c r="DB14" s="122">
        <f t="shared" si="35"/>
        <v>0</v>
      </c>
      <c r="DE14" s="122">
        <f t="shared" si="36"/>
        <v>0</v>
      </c>
      <c r="DH14" s="122">
        <f t="shared" si="37"/>
        <v>0</v>
      </c>
      <c r="DK14" s="122">
        <f t="shared" si="38"/>
        <v>0</v>
      </c>
      <c r="DN14" s="122">
        <f t="shared" si="39"/>
        <v>0</v>
      </c>
      <c r="DQ14" s="122">
        <f t="shared" si="40"/>
        <v>0</v>
      </c>
      <c r="DT14" s="122">
        <f t="shared" si="41"/>
        <v>0</v>
      </c>
      <c r="DW14" s="122">
        <f t="shared" si="42"/>
        <v>0</v>
      </c>
      <c r="DZ14" s="122"/>
      <c r="EA14" s="122"/>
      <c r="EB14" s="157">
        <f t="shared" si="43"/>
        <v>548800000</v>
      </c>
      <c r="EC14" s="157">
        <f t="shared" si="44"/>
        <v>0</v>
      </c>
      <c r="ED14" s="122">
        <f t="shared" si="45"/>
        <v>43236.388888888891</v>
      </c>
      <c r="EE14" s="123">
        <f t="shared" si="46"/>
        <v>2.8362062682215743E-2</v>
      </c>
      <c r="EG14" s="157">
        <f t="shared" si="47"/>
        <v>0</v>
      </c>
      <c r="EH14" s="122">
        <f t="shared" si="48"/>
        <v>0</v>
      </c>
      <c r="EI14" s="123">
        <f t="shared" si="49"/>
        <v>0</v>
      </c>
      <c r="EJ14" s="123"/>
      <c r="EK14" s="157">
        <f t="shared" si="50"/>
        <v>548800000</v>
      </c>
      <c r="EL14" s="157">
        <f t="shared" si="51"/>
        <v>0</v>
      </c>
      <c r="EM14" s="157">
        <f t="shared" si="52"/>
        <v>43236.388888888883</v>
      </c>
      <c r="EN14" s="123">
        <f t="shared" si="53"/>
        <v>2.8362062682215739E-2</v>
      </c>
      <c r="EP14" s="122"/>
    </row>
    <row r="15" spans="1:147" x14ac:dyDescent="0.25">
      <c r="A15" s="66">
        <f t="shared" si="54"/>
        <v>43501</v>
      </c>
      <c r="D15" s="122">
        <f t="shared" si="3"/>
        <v>0</v>
      </c>
      <c r="G15" s="122">
        <f t="shared" si="4"/>
        <v>0</v>
      </c>
      <c r="J15" s="122">
        <f t="shared" si="5"/>
        <v>0</v>
      </c>
      <c r="M15" s="122">
        <f t="shared" si="6"/>
        <v>0</v>
      </c>
      <c r="P15" s="122">
        <f t="shared" si="7"/>
        <v>0</v>
      </c>
      <c r="S15" s="122">
        <f t="shared" si="8"/>
        <v>0</v>
      </c>
      <c r="V15" s="122">
        <f t="shared" si="9"/>
        <v>0</v>
      </c>
      <c r="Y15" s="122">
        <f t="shared" si="10"/>
        <v>0</v>
      </c>
      <c r="AB15" s="122">
        <f t="shared" si="11"/>
        <v>0</v>
      </c>
      <c r="AE15" s="122">
        <v>0</v>
      </c>
      <c r="AH15" s="122">
        <v>0</v>
      </c>
      <c r="AI15" s="155">
        <f>53700000</f>
        <v>53700000</v>
      </c>
      <c r="AJ15" s="156">
        <v>2.7E-2</v>
      </c>
      <c r="AK15" s="122">
        <f t="shared" si="12"/>
        <v>4027.5</v>
      </c>
      <c r="AL15" s="155">
        <f t="shared" si="0"/>
        <v>30000000</v>
      </c>
      <c r="AM15" s="156">
        <v>2.9000000000000001E-2</v>
      </c>
      <c r="AN15" s="122">
        <f t="shared" si="13"/>
        <v>2416.6666666666665</v>
      </c>
      <c r="AO15" s="155">
        <f t="shared" si="1"/>
        <v>50000000</v>
      </c>
      <c r="AP15" s="156">
        <v>2.9499999999999998E-2</v>
      </c>
      <c r="AQ15" s="122">
        <f t="shared" si="14"/>
        <v>4097.2222222222226</v>
      </c>
      <c r="AR15" s="155">
        <f t="shared" ref="AR15:AR38" si="55">30000000</f>
        <v>30000000</v>
      </c>
      <c r="AS15" s="156">
        <v>2.8299999999999999E-2</v>
      </c>
      <c r="AT15" s="122">
        <f t="shared" si="15"/>
        <v>2358.3333333333335</v>
      </c>
      <c r="AU15" s="155">
        <f t="shared" si="2"/>
        <v>375000000</v>
      </c>
      <c r="AV15" s="156">
        <v>2.8500000000000001E-2</v>
      </c>
      <c r="AW15" s="122">
        <f t="shared" si="16"/>
        <v>29687.5</v>
      </c>
      <c r="AX15" s="155"/>
      <c r="AY15" s="156"/>
      <c r="AZ15" s="122">
        <f t="shared" si="17"/>
        <v>0</v>
      </c>
      <c r="BC15" s="122">
        <f t="shared" si="18"/>
        <v>0</v>
      </c>
      <c r="BF15" s="122">
        <f t="shared" si="19"/>
        <v>0</v>
      </c>
      <c r="BI15" s="122">
        <f t="shared" si="20"/>
        <v>0</v>
      </c>
      <c r="BL15" s="122">
        <f t="shared" si="21"/>
        <v>0</v>
      </c>
      <c r="BO15" s="122">
        <f t="shared" si="22"/>
        <v>0</v>
      </c>
      <c r="BR15" s="122">
        <f t="shared" si="23"/>
        <v>0</v>
      </c>
      <c r="BU15" s="122">
        <f t="shared" si="24"/>
        <v>0</v>
      </c>
      <c r="BX15" s="122">
        <f t="shared" si="25"/>
        <v>0</v>
      </c>
      <c r="CA15" s="122">
        <f t="shared" si="26"/>
        <v>0</v>
      </c>
      <c r="CD15" s="122">
        <f t="shared" si="27"/>
        <v>0</v>
      </c>
      <c r="CG15" s="122">
        <f t="shared" si="28"/>
        <v>0</v>
      </c>
      <c r="CJ15" s="122">
        <f t="shared" si="29"/>
        <v>0</v>
      </c>
      <c r="CM15" s="122">
        <f t="shared" si="30"/>
        <v>0</v>
      </c>
      <c r="CP15" s="122">
        <f t="shared" si="31"/>
        <v>0</v>
      </c>
      <c r="CS15" s="122">
        <f t="shared" si="32"/>
        <v>0</v>
      </c>
      <c r="CV15" s="122">
        <f t="shared" si="33"/>
        <v>0</v>
      </c>
      <c r="CY15" s="122">
        <f t="shared" si="34"/>
        <v>0</v>
      </c>
      <c r="DB15" s="122">
        <f t="shared" si="35"/>
        <v>0</v>
      </c>
      <c r="DE15" s="122">
        <f t="shared" si="36"/>
        <v>0</v>
      </c>
      <c r="DH15" s="122">
        <f t="shared" si="37"/>
        <v>0</v>
      </c>
      <c r="DK15" s="122">
        <f t="shared" si="38"/>
        <v>0</v>
      </c>
      <c r="DN15" s="122">
        <f t="shared" si="39"/>
        <v>0</v>
      </c>
      <c r="DQ15" s="122">
        <f t="shared" si="40"/>
        <v>0</v>
      </c>
      <c r="DT15" s="122">
        <f t="shared" si="41"/>
        <v>0</v>
      </c>
      <c r="DW15" s="122">
        <f t="shared" si="42"/>
        <v>0</v>
      </c>
      <c r="DZ15" s="122"/>
      <c r="EA15" s="122"/>
      <c r="EB15" s="157">
        <f t="shared" si="43"/>
        <v>538700000</v>
      </c>
      <c r="EC15" s="157">
        <f t="shared" si="44"/>
        <v>0</v>
      </c>
      <c r="ED15" s="122">
        <f t="shared" si="45"/>
        <v>42587.222222222219</v>
      </c>
      <c r="EE15" s="123">
        <f t="shared" si="46"/>
        <v>2.8459996287358454E-2</v>
      </c>
      <c r="EG15" s="157">
        <f t="shared" si="47"/>
        <v>0</v>
      </c>
      <c r="EH15" s="122">
        <f t="shared" si="48"/>
        <v>0</v>
      </c>
      <c r="EI15" s="123">
        <f t="shared" si="49"/>
        <v>0</v>
      </c>
      <c r="EJ15" s="123"/>
      <c r="EK15" s="157">
        <f t="shared" si="50"/>
        <v>538700000</v>
      </c>
      <c r="EL15" s="157">
        <f t="shared" si="51"/>
        <v>0</v>
      </c>
      <c r="EM15" s="157">
        <f t="shared" si="52"/>
        <v>42587.222222222219</v>
      </c>
      <c r="EN15" s="123">
        <f t="shared" si="53"/>
        <v>2.8459996287358454E-2</v>
      </c>
      <c r="EP15" s="122"/>
    </row>
    <row r="16" spans="1:147" x14ac:dyDescent="0.25">
      <c r="A16" s="66">
        <f t="shared" si="54"/>
        <v>43502</v>
      </c>
      <c r="D16" s="122">
        <f t="shared" si="3"/>
        <v>0</v>
      </c>
      <c r="G16" s="122">
        <f t="shared" si="4"/>
        <v>0</v>
      </c>
      <c r="J16" s="122">
        <f t="shared" si="5"/>
        <v>0</v>
      </c>
      <c r="M16" s="122">
        <f t="shared" si="6"/>
        <v>0</v>
      </c>
      <c r="P16" s="122">
        <f t="shared" si="7"/>
        <v>0</v>
      </c>
      <c r="S16" s="122">
        <f t="shared" si="8"/>
        <v>0</v>
      </c>
      <c r="V16" s="122">
        <f t="shared" si="9"/>
        <v>0</v>
      </c>
      <c r="Y16" s="122">
        <f t="shared" si="10"/>
        <v>0</v>
      </c>
      <c r="AB16" s="122">
        <f t="shared" si="11"/>
        <v>0</v>
      </c>
      <c r="AE16" s="122">
        <v>0</v>
      </c>
      <c r="AH16" s="122">
        <v>0</v>
      </c>
      <c r="AI16" s="155">
        <f>41750000</f>
        <v>41750000</v>
      </c>
      <c r="AJ16" s="156">
        <v>2.7E-2</v>
      </c>
      <c r="AK16" s="122">
        <f t="shared" si="12"/>
        <v>3131.25</v>
      </c>
      <c r="AL16" s="155">
        <f t="shared" si="0"/>
        <v>30000000</v>
      </c>
      <c r="AM16" s="156">
        <v>2.9000000000000001E-2</v>
      </c>
      <c r="AN16" s="122">
        <f t="shared" si="13"/>
        <v>2416.6666666666665</v>
      </c>
      <c r="AO16" s="155">
        <f t="shared" si="1"/>
        <v>50000000</v>
      </c>
      <c r="AP16" s="156">
        <v>2.9499999999999998E-2</v>
      </c>
      <c r="AQ16" s="122">
        <f t="shared" si="14"/>
        <v>4097.2222222222226</v>
      </c>
      <c r="AR16" s="155">
        <f t="shared" si="55"/>
        <v>30000000</v>
      </c>
      <c r="AS16" s="156">
        <v>2.8299999999999999E-2</v>
      </c>
      <c r="AT16" s="122">
        <f t="shared" si="15"/>
        <v>2358.3333333333335</v>
      </c>
      <c r="AU16" s="155">
        <f t="shared" si="2"/>
        <v>375000000</v>
      </c>
      <c r="AV16" s="156">
        <v>2.8500000000000001E-2</v>
      </c>
      <c r="AW16" s="122">
        <f t="shared" si="16"/>
        <v>29687.5</v>
      </c>
      <c r="AX16" s="155"/>
      <c r="AY16" s="156"/>
      <c r="AZ16" s="122">
        <f t="shared" si="17"/>
        <v>0</v>
      </c>
      <c r="BC16" s="122">
        <f t="shared" si="18"/>
        <v>0</v>
      </c>
      <c r="BF16" s="122">
        <f t="shared" si="19"/>
        <v>0</v>
      </c>
      <c r="BI16" s="122">
        <f t="shared" si="20"/>
        <v>0</v>
      </c>
      <c r="BL16" s="122">
        <f t="shared" si="21"/>
        <v>0</v>
      </c>
      <c r="BO16" s="122">
        <f t="shared" si="22"/>
        <v>0</v>
      </c>
      <c r="BR16" s="122">
        <f t="shared" si="23"/>
        <v>0</v>
      </c>
      <c r="BU16" s="122">
        <f t="shared" si="24"/>
        <v>0</v>
      </c>
      <c r="BX16" s="122">
        <f t="shared" si="25"/>
        <v>0</v>
      </c>
      <c r="CA16" s="122">
        <f t="shared" si="26"/>
        <v>0</v>
      </c>
      <c r="CD16" s="122">
        <f t="shared" si="27"/>
        <v>0</v>
      </c>
      <c r="CG16" s="122">
        <f t="shared" si="28"/>
        <v>0</v>
      </c>
      <c r="CJ16" s="122">
        <f t="shared" si="29"/>
        <v>0</v>
      </c>
      <c r="CM16" s="122">
        <f t="shared" si="30"/>
        <v>0</v>
      </c>
      <c r="CP16" s="122">
        <f t="shared" si="31"/>
        <v>0</v>
      </c>
      <c r="CS16" s="122">
        <f t="shared" si="32"/>
        <v>0</v>
      </c>
      <c r="CV16" s="122">
        <f t="shared" si="33"/>
        <v>0</v>
      </c>
      <c r="CY16" s="122">
        <f t="shared" si="34"/>
        <v>0</v>
      </c>
      <c r="DB16" s="122">
        <f t="shared" si="35"/>
        <v>0</v>
      </c>
      <c r="DE16" s="122">
        <f t="shared" si="36"/>
        <v>0</v>
      </c>
      <c r="DH16" s="122">
        <f t="shared" si="37"/>
        <v>0</v>
      </c>
      <c r="DK16" s="122">
        <f t="shared" si="38"/>
        <v>0</v>
      </c>
      <c r="DN16" s="122">
        <f t="shared" si="39"/>
        <v>0</v>
      </c>
      <c r="DQ16" s="122">
        <f t="shared" si="40"/>
        <v>0</v>
      </c>
      <c r="DT16" s="122">
        <f t="shared" si="41"/>
        <v>0</v>
      </c>
      <c r="DW16" s="122">
        <f t="shared" si="42"/>
        <v>0</v>
      </c>
      <c r="DZ16" s="122"/>
      <c r="EA16" s="122"/>
      <c r="EB16" s="157">
        <f t="shared" si="43"/>
        <v>526750000</v>
      </c>
      <c r="EC16" s="157">
        <f t="shared" si="44"/>
        <v>0</v>
      </c>
      <c r="ED16" s="122">
        <f t="shared" si="45"/>
        <v>41690.972222222219</v>
      </c>
      <c r="EE16" s="123">
        <f t="shared" si="46"/>
        <v>2.8493118177503555E-2</v>
      </c>
      <c r="EG16" s="157">
        <f t="shared" si="47"/>
        <v>0</v>
      </c>
      <c r="EH16" s="122">
        <f t="shared" si="48"/>
        <v>0</v>
      </c>
      <c r="EI16" s="123">
        <f t="shared" si="49"/>
        <v>0</v>
      </c>
      <c r="EJ16" s="123"/>
      <c r="EK16" s="157">
        <f t="shared" si="50"/>
        <v>526750000</v>
      </c>
      <c r="EL16" s="157">
        <f t="shared" si="51"/>
        <v>0</v>
      </c>
      <c r="EM16" s="157">
        <f t="shared" si="52"/>
        <v>41690.972222222219</v>
      </c>
      <c r="EN16" s="123">
        <f t="shared" si="53"/>
        <v>2.8493118177503555E-2</v>
      </c>
      <c r="EP16" s="122"/>
    </row>
    <row r="17" spans="1:146" x14ac:dyDescent="0.25">
      <c r="A17" s="66">
        <f t="shared" si="54"/>
        <v>43503</v>
      </c>
      <c r="D17" s="122">
        <f t="shared" si="3"/>
        <v>0</v>
      </c>
      <c r="G17" s="122">
        <f t="shared" si="4"/>
        <v>0</v>
      </c>
      <c r="J17" s="122">
        <f t="shared" si="5"/>
        <v>0</v>
      </c>
      <c r="M17" s="122">
        <f t="shared" si="6"/>
        <v>0</v>
      </c>
      <c r="P17" s="122">
        <f t="shared" si="7"/>
        <v>0</v>
      </c>
      <c r="S17" s="122">
        <f t="shared" si="8"/>
        <v>0</v>
      </c>
      <c r="V17" s="122">
        <f t="shared" si="9"/>
        <v>0</v>
      </c>
      <c r="Y17" s="122">
        <f t="shared" si="10"/>
        <v>0</v>
      </c>
      <c r="AB17" s="122">
        <f t="shared" si="11"/>
        <v>0</v>
      </c>
      <c r="AE17" s="122">
        <v>0</v>
      </c>
      <c r="AH17" s="122">
        <v>0</v>
      </c>
      <c r="AI17" s="155">
        <v>25775000</v>
      </c>
      <c r="AJ17" s="156">
        <v>2.7E-2</v>
      </c>
      <c r="AK17" s="122">
        <f t="shared" si="12"/>
        <v>1933.125</v>
      </c>
      <c r="AL17" s="155">
        <f t="shared" si="0"/>
        <v>30000000</v>
      </c>
      <c r="AM17" s="156">
        <v>2.9000000000000001E-2</v>
      </c>
      <c r="AN17" s="122">
        <f t="shared" si="13"/>
        <v>2416.6666666666665</v>
      </c>
      <c r="AO17" s="155">
        <f t="shared" si="1"/>
        <v>50000000</v>
      </c>
      <c r="AP17" s="156">
        <v>2.9499999999999998E-2</v>
      </c>
      <c r="AQ17" s="122">
        <f t="shared" si="14"/>
        <v>4097.2222222222226</v>
      </c>
      <c r="AR17" s="155">
        <f t="shared" si="55"/>
        <v>30000000</v>
      </c>
      <c r="AS17" s="156">
        <v>2.8299999999999999E-2</v>
      </c>
      <c r="AT17" s="122">
        <f t="shared" si="15"/>
        <v>2358.3333333333335</v>
      </c>
      <c r="AU17" s="155">
        <f t="shared" si="2"/>
        <v>375000000</v>
      </c>
      <c r="AV17" s="156">
        <v>2.8500000000000001E-2</v>
      </c>
      <c r="AW17" s="122">
        <f t="shared" si="16"/>
        <v>29687.5</v>
      </c>
      <c r="AX17" s="155"/>
      <c r="AY17" s="156"/>
      <c r="AZ17" s="122">
        <f t="shared" si="17"/>
        <v>0</v>
      </c>
      <c r="BC17" s="122">
        <f t="shared" si="18"/>
        <v>0</v>
      </c>
      <c r="BF17" s="122">
        <f t="shared" si="19"/>
        <v>0</v>
      </c>
      <c r="BI17" s="122">
        <f t="shared" si="20"/>
        <v>0</v>
      </c>
      <c r="BL17" s="122">
        <f t="shared" si="21"/>
        <v>0</v>
      </c>
      <c r="BO17" s="122">
        <f t="shared" si="22"/>
        <v>0</v>
      </c>
      <c r="BR17" s="122">
        <f t="shared" si="23"/>
        <v>0</v>
      </c>
      <c r="BU17" s="122">
        <f t="shared" si="24"/>
        <v>0</v>
      </c>
      <c r="BX17" s="122">
        <f t="shared" si="25"/>
        <v>0</v>
      </c>
      <c r="CA17" s="122">
        <f t="shared" si="26"/>
        <v>0</v>
      </c>
      <c r="CD17" s="122">
        <f t="shared" si="27"/>
        <v>0</v>
      </c>
      <c r="CG17" s="122">
        <f t="shared" si="28"/>
        <v>0</v>
      </c>
      <c r="CJ17" s="122">
        <f t="shared" si="29"/>
        <v>0</v>
      </c>
      <c r="CM17" s="122">
        <f t="shared" si="30"/>
        <v>0</v>
      </c>
      <c r="CP17" s="122">
        <f t="shared" si="31"/>
        <v>0</v>
      </c>
      <c r="CS17" s="122">
        <f t="shared" si="32"/>
        <v>0</v>
      </c>
      <c r="CV17" s="122">
        <f t="shared" si="33"/>
        <v>0</v>
      </c>
      <c r="CY17" s="122">
        <f t="shared" si="34"/>
        <v>0</v>
      </c>
      <c r="DB17" s="122">
        <f t="shared" si="35"/>
        <v>0</v>
      </c>
      <c r="DE17" s="122">
        <f t="shared" si="36"/>
        <v>0</v>
      </c>
      <c r="DH17" s="122">
        <f t="shared" si="37"/>
        <v>0</v>
      </c>
      <c r="DK17" s="122">
        <f t="shared" si="38"/>
        <v>0</v>
      </c>
      <c r="DN17" s="122">
        <f t="shared" si="39"/>
        <v>0</v>
      </c>
      <c r="DQ17" s="122">
        <f t="shared" si="40"/>
        <v>0</v>
      </c>
      <c r="DT17" s="122">
        <f t="shared" si="41"/>
        <v>0</v>
      </c>
      <c r="DW17" s="122">
        <f t="shared" si="42"/>
        <v>0</v>
      </c>
      <c r="DZ17" s="122"/>
      <c r="EA17" s="122"/>
      <c r="EB17" s="157">
        <f t="shared" si="43"/>
        <v>510775000</v>
      </c>
      <c r="EC17" s="157">
        <f t="shared" si="44"/>
        <v>0</v>
      </c>
      <c r="ED17" s="122">
        <f t="shared" si="45"/>
        <v>40492.847222222219</v>
      </c>
      <c r="EE17" s="123">
        <f t="shared" si="46"/>
        <v>2.853981694483872E-2</v>
      </c>
      <c r="EG17" s="157">
        <f t="shared" si="47"/>
        <v>0</v>
      </c>
      <c r="EH17" s="122">
        <f t="shared" si="48"/>
        <v>0</v>
      </c>
      <c r="EI17" s="123">
        <f t="shared" si="49"/>
        <v>0</v>
      </c>
      <c r="EJ17" s="123"/>
      <c r="EK17" s="157">
        <f t="shared" si="50"/>
        <v>510775000</v>
      </c>
      <c r="EL17" s="157">
        <f t="shared" si="51"/>
        <v>0</v>
      </c>
      <c r="EM17" s="157">
        <f t="shared" si="52"/>
        <v>40492.847222222219</v>
      </c>
      <c r="EN17" s="123">
        <f t="shared" si="53"/>
        <v>2.853981694483872E-2</v>
      </c>
      <c r="EP17" s="122"/>
    </row>
    <row r="18" spans="1:146" x14ac:dyDescent="0.25">
      <c r="A18" s="66">
        <f t="shared" si="54"/>
        <v>43504</v>
      </c>
      <c r="D18" s="122">
        <f t="shared" si="3"/>
        <v>0</v>
      </c>
      <c r="G18" s="122">
        <f t="shared" si="4"/>
        <v>0</v>
      </c>
      <c r="J18" s="122">
        <f t="shared" si="5"/>
        <v>0</v>
      </c>
      <c r="M18" s="122">
        <f t="shared" si="6"/>
        <v>0</v>
      </c>
      <c r="P18" s="122">
        <f t="shared" si="7"/>
        <v>0</v>
      </c>
      <c r="S18" s="122">
        <f t="shared" si="8"/>
        <v>0</v>
      </c>
      <c r="V18" s="122">
        <f t="shared" si="9"/>
        <v>0</v>
      </c>
      <c r="Y18" s="122">
        <f t="shared" si="10"/>
        <v>0</v>
      </c>
      <c r="AB18" s="122">
        <f t="shared" si="11"/>
        <v>0</v>
      </c>
      <c r="AE18" s="122">
        <v>0</v>
      </c>
      <c r="AH18" s="122">
        <v>0</v>
      </c>
      <c r="AI18" s="155">
        <f>26225000</f>
        <v>26225000</v>
      </c>
      <c r="AJ18" s="156">
        <v>2.7E-2</v>
      </c>
      <c r="AK18" s="122">
        <f t="shared" si="12"/>
        <v>1966.875</v>
      </c>
      <c r="AL18" s="155">
        <f t="shared" si="0"/>
        <v>30000000</v>
      </c>
      <c r="AM18" s="156">
        <v>2.9000000000000001E-2</v>
      </c>
      <c r="AN18" s="122">
        <f t="shared" si="13"/>
        <v>2416.6666666666665</v>
      </c>
      <c r="AO18" s="155">
        <f t="shared" si="1"/>
        <v>50000000</v>
      </c>
      <c r="AP18" s="156">
        <v>2.9499999999999998E-2</v>
      </c>
      <c r="AQ18" s="122">
        <f t="shared" si="14"/>
        <v>4097.2222222222226</v>
      </c>
      <c r="AR18" s="155">
        <f t="shared" si="55"/>
        <v>30000000</v>
      </c>
      <c r="AS18" s="156">
        <v>2.8299999999999999E-2</v>
      </c>
      <c r="AT18" s="122">
        <f t="shared" si="15"/>
        <v>2358.3333333333335</v>
      </c>
      <c r="AU18" s="155">
        <f t="shared" si="2"/>
        <v>375000000</v>
      </c>
      <c r="AV18" s="156">
        <v>2.8500000000000001E-2</v>
      </c>
      <c r="AW18" s="122">
        <f t="shared" si="16"/>
        <v>29687.5</v>
      </c>
      <c r="AX18" s="155"/>
      <c r="AY18" s="156"/>
      <c r="AZ18" s="122">
        <f t="shared" si="17"/>
        <v>0</v>
      </c>
      <c r="BC18" s="122">
        <f t="shared" si="18"/>
        <v>0</v>
      </c>
      <c r="BF18" s="122">
        <f t="shared" si="19"/>
        <v>0</v>
      </c>
      <c r="BI18" s="122">
        <f t="shared" si="20"/>
        <v>0</v>
      </c>
      <c r="BL18" s="122">
        <f t="shared" si="21"/>
        <v>0</v>
      </c>
      <c r="BO18" s="122">
        <f t="shared" si="22"/>
        <v>0</v>
      </c>
      <c r="BR18" s="122">
        <f t="shared" si="23"/>
        <v>0</v>
      </c>
      <c r="BU18" s="122">
        <f t="shared" si="24"/>
        <v>0</v>
      </c>
      <c r="BX18" s="122">
        <f t="shared" si="25"/>
        <v>0</v>
      </c>
      <c r="CA18" s="122">
        <f t="shared" si="26"/>
        <v>0</v>
      </c>
      <c r="CD18" s="122">
        <f t="shared" si="27"/>
        <v>0</v>
      </c>
      <c r="CG18" s="122">
        <f t="shared" si="28"/>
        <v>0</v>
      </c>
      <c r="CJ18" s="122">
        <f t="shared" si="29"/>
        <v>0</v>
      </c>
      <c r="CM18" s="122">
        <f t="shared" si="30"/>
        <v>0</v>
      </c>
      <c r="CP18" s="122">
        <f t="shared" si="31"/>
        <v>0</v>
      </c>
      <c r="CS18" s="122">
        <f t="shared" si="32"/>
        <v>0</v>
      </c>
      <c r="CV18" s="122">
        <f t="shared" si="33"/>
        <v>0</v>
      </c>
      <c r="CY18" s="122">
        <f t="shared" si="34"/>
        <v>0</v>
      </c>
      <c r="DB18" s="122">
        <f t="shared" si="35"/>
        <v>0</v>
      </c>
      <c r="DE18" s="122">
        <f t="shared" si="36"/>
        <v>0</v>
      </c>
      <c r="DH18" s="122">
        <f t="shared" si="37"/>
        <v>0</v>
      </c>
      <c r="DK18" s="122">
        <f t="shared" si="38"/>
        <v>0</v>
      </c>
      <c r="DN18" s="122">
        <f t="shared" si="39"/>
        <v>0</v>
      </c>
      <c r="DQ18" s="122">
        <f t="shared" si="40"/>
        <v>0</v>
      </c>
      <c r="DT18" s="122">
        <f t="shared" si="41"/>
        <v>0</v>
      </c>
      <c r="DW18" s="122">
        <f t="shared" si="42"/>
        <v>0</v>
      </c>
      <c r="DZ18" s="122"/>
      <c r="EA18" s="122"/>
      <c r="EB18" s="157">
        <f t="shared" si="43"/>
        <v>511225000</v>
      </c>
      <c r="EC18" s="157">
        <f t="shared" si="44"/>
        <v>0</v>
      </c>
      <c r="ED18" s="122">
        <f t="shared" si="45"/>
        <v>40526.597222222219</v>
      </c>
      <c r="EE18" s="123">
        <f t="shared" si="46"/>
        <v>2.8538461538461537E-2</v>
      </c>
      <c r="EG18" s="157">
        <f t="shared" si="47"/>
        <v>0</v>
      </c>
      <c r="EH18" s="122">
        <f t="shared" si="48"/>
        <v>0</v>
      </c>
      <c r="EI18" s="123">
        <f t="shared" si="49"/>
        <v>0</v>
      </c>
      <c r="EJ18" s="123"/>
      <c r="EK18" s="157">
        <f t="shared" si="50"/>
        <v>511225000</v>
      </c>
      <c r="EL18" s="157">
        <f t="shared" si="51"/>
        <v>0</v>
      </c>
      <c r="EM18" s="157">
        <f t="shared" si="52"/>
        <v>40526.597222222219</v>
      </c>
      <c r="EN18" s="123">
        <f t="shared" si="53"/>
        <v>2.8538461538461537E-2</v>
      </c>
      <c r="EP18" s="122"/>
    </row>
    <row r="19" spans="1:146" x14ac:dyDescent="0.25">
      <c r="A19" s="66">
        <f t="shared" si="54"/>
        <v>43505</v>
      </c>
      <c r="D19" s="122">
        <f t="shared" si="3"/>
        <v>0</v>
      </c>
      <c r="G19" s="122">
        <f t="shared" si="4"/>
        <v>0</v>
      </c>
      <c r="J19" s="122">
        <f t="shared" si="5"/>
        <v>0</v>
      </c>
      <c r="M19" s="122">
        <f t="shared" si="6"/>
        <v>0</v>
      </c>
      <c r="P19" s="122">
        <f t="shared" si="7"/>
        <v>0</v>
      </c>
      <c r="S19" s="122">
        <f t="shared" si="8"/>
        <v>0</v>
      </c>
      <c r="V19" s="122">
        <f t="shared" si="9"/>
        <v>0</v>
      </c>
      <c r="Y19" s="122">
        <f t="shared" si="10"/>
        <v>0</v>
      </c>
      <c r="AB19" s="122">
        <f t="shared" si="11"/>
        <v>0</v>
      </c>
      <c r="AE19" s="122">
        <v>0</v>
      </c>
      <c r="AH19" s="122">
        <v>0</v>
      </c>
      <c r="AI19" s="155">
        <f>26225000</f>
        <v>26225000</v>
      </c>
      <c r="AJ19" s="156">
        <v>2.7E-2</v>
      </c>
      <c r="AK19" s="122">
        <f t="shared" si="12"/>
        <v>1966.875</v>
      </c>
      <c r="AL19" s="155">
        <f t="shared" si="0"/>
        <v>30000000</v>
      </c>
      <c r="AM19" s="156">
        <v>2.9000000000000001E-2</v>
      </c>
      <c r="AN19" s="122">
        <f t="shared" si="13"/>
        <v>2416.6666666666665</v>
      </c>
      <c r="AO19" s="155">
        <f t="shared" si="1"/>
        <v>50000000</v>
      </c>
      <c r="AP19" s="156">
        <v>2.9499999999999998E-2</v>
      </c>
      <c r="AQ19" s="122">
        <f t="shared" si="14"/>
        <v>4097.2222222222226</v>
      </c>
      <c r="AR19" s="155">
        <f t="shared" si="55"/>
        <v>30000000</v>
      </c>
      <c r="AS19" s="156">
        <v>2.8299999999999999E-2</v>
      </c>
      <c r="AT19" s="122">
        <f t="shared" si="15"/>
        <v>2358.3333333333335</v>
      </c>
      <c r="AU19" s="155">
        <f t="shared" si="2"/>
        <v>375000000</v>
      </c>
      <c r="AV19" s="156">
        <v>2.8500000000000001E-2</v>
      </c>
      <c r="AW19" s="122">
        <f t="shared" si="16"/>
        <v>29687.5</v>
      </c>
      <c r="AX19" s="155"/>
      <c r="AY19" s="156"/>
      <c r="AZ19" s="122">
        <f t="shared" si="17"/>
        <v>0</v>
      </c>
      <c r="BC19" s="122">
        <f t="shared" si="18"/>
        <v>0</v>
      </c>
      <c r="BF19" s="122">
        <f t="shared" si="19"/>
        <v>0</v>
      </c>
      <c r="BI19" s="122">
        <f t="shared" si="20"/>
        <v>0</v>
      </c>
      <c r="BL19" s="122">
        <f t="shared" si="21"/>
        <v>0</v>
      </c>
      <c r="BO19" s="122">
        <f t="shared" si="22"/>
        <v>0</v>
      </c>
      <c r="BR19" s="122">
        <f t="shared" si="23"/>
        <v>0</v>
      </c>
      <c r="BU19" s="122">
        <f t="shared" si="24"/>
        <v>0</v>
      </c>
      <c r="BX19" s="122">
        <f t="shared" si="25"/>
        <v>0</v>
      </c>
      <c r="CA19" s="122">
        <f t="shared" si="26"/>
        <v>0</v>
      </c>
      <c r="CD19" s="122">
        <f t="shared" si="27"/>
        <v>0</v>
      </c>
      <c r="CG19" s="122">
        <f t="shared" si="28"/>
        <v>0</v>
      </c>
      <c r="CJ19" s="122">
        <f t="shared" si="29"/>
        <v>0</v>
      </c>
      <c r="CM19" s="122">
        <f t="shared" si="30"/>
        <v>0</v>
      </c>
      <c r="CP19" s="122">
        <f t="shared" si="31"/>
        <v>0</v>
      </c>
      <c r="CS19" s="122">
        <f t="shared" si="32"/>
        <v>0</v>
      </c>
      <c r="CV19" s="122">
        <f t="shared" si="33"/>
        <v>0</v>
      </c>
      <c r="CY19" s="122">
        <f t="shared" si="34"/>
        <v>0</v>
      </c>
      <c r="DB19" s="122">
        <f t="shared" si="35"/>
        <v>0</v>
      </c>
      <c r="DE19" s="122">
        <f t="shared" si="36"/>
        <v>0</v>
      </c>
      <c r="DH19" s="122">
        <f t="shared" si="37"/>
        <v>0</v>
      </c>
      <c r="DK19" s="122">
        <f t="shared" si="38"/>
        <v>0</v>
      </c>
      <c r="DN19" s="122">
        <f t="shared" si="39"/>
        <v>0</v>
      </c>
      <c r="DQ19" s="122">
        <f t="shared" si="40"/>
        <v>0</v>
      </c>
      <c r="DT19" s="122">
        <f t="shared" si="41"/>
        <v>0</v>
      </c>
      <c r="DW19" s="122">
        <f t="shared" si="42"/>
        <v>0</v>
      </c>
      <c r="DZ19" s="122"/>
      <c r="EA19" s="122"/>
      <c r="EB19" s="157">
        <f t="shared" si="43"/>
        <v>511225000</v>
      </c>
      <c r="EC19" s="157">
        <f t="shared" si="44"/>
        <v>0</v>
      </c>
      <c r="ED19" s="122">
        <f t="shared" si="45"/>
        <v>40526.597222222219</v>
      </c>
      <c r="EE19" s="123">
        <f t="shared" si="46"/>
        <v>2.8538461538461537E-2</v>
      </c>
      <c r="EG19" s="157">
        <f t="shared" si="47"/>
        <v>0</v>
      </c>
      <c r="EH19" s="122">
        <f t="shared" si="48"/>
        <v>0</v>
      </c>
      <c r="EI19" s="123">
        <f t="shared" si="49"/>
        <v>0</v>
      </c>
      <c r="EJ19" s="123"/>
      <c r="EK19" s="157">
        <f t="shared" si="50"/>
        <v>511225000</v>
      </c>
      <c r="EL19" s="157">
        <f t="shared" si="51"/>
        <v>0</v>
      </c>
      <c r="EM19" s="157">
        <f t="shared" si="52"/>
        <v>40526.597222222219</v>
      </c>
      <c r="EN19" s="123">
        <f t="shared" si="53"/>
        <v>2.8538461538461537E-2</v>
      </c>
      <c r="EP19" s="122"/>
    </row>
    <row r="20" spans="1:146" x14ac:dyDescent="0.25">
      <c r="A20" s="66">
        <f t="shared" si="54"/>
        <v>43506</v>
      </c>
      <c r="D20" s="122">
        <f t="shared" si="3"/>
        <v>0</v>
      </c>
      <c r="G20" s="122">
        <f t="shared" si="4"/>
        <v>0</v>
      </c>
      <c r="J20" s="122">
        <f t="shared" si="5"/>
        <v>0</v>
      </c>
      <c r="M20" s="122">
        <f t="shared" si="6"/>
        <v>0</v>
      </c>
      <c r="P20" s="122">
        <f t="shared" si="7"/>
        <v>0</v>
      </c>
      <c r="S20" s="122">
        <f t="shared" si="8"/>
        <v>0</v>
      </c>
      <c r="V20" s="122">
        <f t="shared" si="9"/>
        <v>0</v>
      </c>
      <c r="Y20" s="122">
        <f t="shared" si="10"/>
        <v>0</v>
      </c>
      <c r="AB20" s="122">
        <f t="shared" si="11"/>
        <v>0</v>
      </c>
      <c r="AE20" s="122">
        <v>0</v>
      </c>
      <c r="AH20" s="122">
        <v>0</v>
      </c>
      <c r="AI20" s="155">
        <f>26225000</f>
        <v>26225000</v>
      </c>
      <c r="AJ20" s="156">
        <v>2.7E-2</v>
      </c>
      <c r="AK20" s="122">
        <f t="shared" si="12"/>
        <v>1966.875</v>
      </c>
      <c r="AL20" s="155">
        <f t="shared" si="0"/>
        <v>30000000</v>
      </c>
      <c r="AM20" s="156">
        <v>2.9000000000000001E-2</v>
      </c>
      <c r="AN20" s="122">
        <f t="shared" si="13"/>
        <v>2416.6666666666665</v>
      </c>
      <c r="AO20" s="155">
        <f t="shared" si="1"/>
        <v>50000000</v>
      </c>
      <c r="AP20" s="156">
        <v>2.9499999999999998E-2</v>
      </c>
      <c r="AQ20" s="122">
        <f t="shared" si="14"/>
        <v>4097.2222222222226</v>
      </c>
      <c r="AR20" s="155">
        <f t="shared" si="55"/>
        <v>30000000</v>
      </c>
      <c r="AS20" s="156">
        <v>2.8299999999999999E-2</v>
      </c>
      <c r="AT20" s="122">
        <f t="shared" si="15"/>
        <v>2358.3333333333335</v>
      </c>
      <c r="AU20" s="155">
        <f t="shared" si="2"/>
        <v>375000000</v>
      </c>
      <c r="AV20" s="156">
        <v>2.8500000000000001E-2</v>
      </c>
      <c r="AW20" s="122">
        <f t="shared" si="16"/>
        <v>29687.5</v>
      </c>
      <c r="AX20" s="155"/>
      <c r="AY20" s="156"/>
      <c r="AZ20" s="122">
        <f t="shared" si="17"/>
        <v>0</v>
      </c>
      <c r="BC20" s="122">
        <f t="shared" si="18"/>
        <v>0</v>
      </c>
      <c r="BF20" s="122">
        <f t="shared" si="19"/>
        <v>0</v>
      </c>
      <c r="BI20" s="122">
        <f t="shared" si="20"/>
        <v>0</v>
      </c>
      <c r="BL20" s="122">
        <f t="shared" si="21"/>
        <v>0</v>
      </c>
      <c r="BO20" s="122">
        <f t="shared" si="22"/>
        <v>0</v>
      </c>
      <c r="BR20" s="122">
        <f t="shared" si="23"/>
        <v>0</v>
      </c>
      <c r="BU20" s="122">
        <f t="shared" si="24"/>
        <v>0</v>
      </c>
      <c r="BX20" s="122">
        <f t="shared" si="25"/>
        <v>0</v>
      </c>
      <c r="CA20" s="122">
        <f t="shared" si="26"/>
        <v>0</v>
      </c>
      <c r="CD20" s="122">
        <f t="shared" si="27"/>
        <v>0</v>
      </c>
      <c r="CG20" s="122">
        <f t="shared" si="28"/>
        <v>0</v>
      </c>
      <c r="CJ20" s="122">
        <f t="shared" si="29"/>
        <v>0</v>
      </c>
      <c r="CM20" s="122">
        <f t="shared" si="30"/>
        <v>0</v>
      </c>
      <c r="CP20" s="122">
        <f t="shared" si="31"/>
        <v>0</v>
      </c>
      <c r="CS20" s="122">
        <f t="shared" si="32"/>
        <v>0</v>
      </c>
      <c r="CV20" s="122">
        <f t="shared" si="33"/>
        <v>0</v>
      </c>
      <c r="CY20" s="122">
        <f t="shared" si="34"/>
        <v>0</v>
      </c>
      <c r="DB20" s="122">
        <f t="shared" si="35"/>
        <v>0</v>
      </c>
      <c r="DE20" s="122">
        <f t="shared" si="36"/>
        <v>0</v>
      </c>
      <c r="DH20" s="122">
        <f t="shared" si="37"/>
        <v>0</v>
      </c>
      <c r="DK20" s="122">
        <f t="shared" si="38"/>
        <v>0</v>
      </c>
      <c r="DN20" s="122">
        <f t="shared" si="39"/>
        <v>0</v>
      </c>
      <c r="DQ20" s="122">
        <f t="shared" si="40"/>
        <v>0</v>
      </c>
      <c r="DT20" s="122">
        <f t="shared" si="41"/>
        <v>0</v>
      </c>
      <c r="DW20" s="122">
        <f t="shared" si="42"/>
        <v>0</v>
      </c>
      <c r="DZ20" s="122"/>
      <c r="EA20" s="122"/>
      <c r="EB20" s="157">
        <f t="shared" si="43"/>
        <v>511225000</v>
      </c>
      <c r="EC20" s="157">
        <f t="shared" si="44"/>
        <v>0</v>
      </c>
      <c r="ED20" s="122">
        <f t="shared" si="45"/>
        <v>40526.597222222219</v>
      </c>
      <c r="EE20" s="123">
        <f t="shared" si="46"/>
        <v>2.8538461538461537E-2</v>
      </c>
      <c r="EG20" s="157">
        <f t="shared" si="47"/>
        <v>0</v>
      </c>
      <c r="EH20" s="122">
        <f t="shared" si="48"/>
        <v>0</v>
      </c>
      <c r="EI20" s="123">
        <f t="shared" si="49"/>
        <v>0</v>
      </c>
      <c r="EJ20" s="123"/>
      <c r="EK20" s="157">
        <f t="shared" si="50"/>
        <v>511225000</v>
      </c>
      <c r="EL20" s="157">
        <f t="shared" si="51"/>
        <v>0</v>
      </c>
      <c r="EM20" s="157">
        <f t="shared" si="52"/>
        <v>40526.597222222219</v>
      </c>
      <c r="EN20" s="123">
        <f t="shared" si="53"/>
        <v>2.8538461538461537E-2</v>
      </c>
      <c r="EP20" s="122"/>
    </row>
    <row r="21" spans="1:146" x14ac:dyDescent="0.25">
      <c r="A21" s="66">
        <f t="shared" si="54"/>
        <v>43507</v>
      </c>
      <c r="D21" s="122">
        <f t="shared" si="3"/>
        <v>0</v>
      </c>
      <c r="G21" s="122">
        <f t="shared" si="4"/>
        <v>0</v>
      </c>
      <c r="J21" s="122">
        <f t="shared" si="5"/>
        <v>0</v>
      </c>
      <c r="M21" s="122">
        <f t="shared" si="6"/>
        <v>0</v>
      </c>
      <c r="P21" s="122">
        <f t="shared" si="7"/>
        <v>0</v>
      </c>
      <c r="S21" s="122">
        <f t="shared" si="8"/>
        <v>0</v>
      </c>
      <c r="V21" s="122">
        <f t="shared" si="9"/>
        <v>0</v>
      </c>
      <c r="Y21" s="122">
        <f t="shared" si="10"/>
        <v>0</v>
      </c>
      <c r="AB21" s="122">
        <f t="shared" si="11"/>
        <v>0</v>
      </c>
      <c r="AE21" s="122">
        <v>0</v>
      </c>
      <c r="AH21" s="122">
        <v>0</v>
      </c>
      <c r="AI21" s="155">
        <f>19650000</f>
        <v>19650000</v>
      </c>
      <c r="AJ21" s="156">
        <v>2.7E-2</v>
      </c>
      <c r="AK21" s="122">
        <f t="shared" si="12"/>
        <v>1473.75</v>
      </c>
      <c r="AL21" s="155">
        <f t="shared" si="0"/>
        <v>30000000</v>
      </c>
      <c r="AM21" s="156">
        <v>2.9000000000000001E-2</v>
      </c>
      <c r="AN21" s="122">
        <f t="shared" si="13"/>
        <v>2416.6666666666665</v>
      </c>
      <c r="AO21" s="155">
        <f t="shared" si="1"/>
        <v>50000000</v>
      </c>
      <c r="AP21" s="156">
        <v>2.9499999999999998E-2</v>
      </c>
      <c r="AQ21" s="122">
        <f t="shared" si="14"/>
        <v>4097.2222222222226</v>
      </c>
      <c r="AR21" s="155">
        <f t="shared" si="55"/>
        <v>30000000</v>
      </c>
      <c r="AS21" s="156">
        <v>2.8299999999999999E-2</v>
      </c>
      <c r="AT21" s="122">
        <f t="shared" si="15"/>
        <v>2358.3333333333335</v>
      </c>
      <c r="AU21" s="155">
        <f t="shared" si="2"/>
        <v>375000000</v>
      </c>
      <c r="AV21" s="156">
        <v>2.8500000000000001E-2</v>
      </c>
      <c r="AW21" s="122">
        <f t="shared" si="16"/>
        <v>29687.5</v>
      </c>
      <c r="AX21" s="155"/>
      <c r="AY21" s="156"/>
      <c r="AZ21" s="122">
        <f t="shared" si="17"/>
        <v>0</v>
      </c>
      <c r="BC21" s="122">
        <f t="shared" si="18"/>
        <v>0</v>
      </c>
      <c r="BF21" s="122">
        <f t="shared" si="19"/>
        <v>0</v>
      </c>
      <c r="BI21" s="122">
        <f t="shared" si="20"/>
        <v>0</v>
      </c>
      <c r="BL21" s="122">
        <f t="shared" si="21"/>
        <v>0</v>
      </c>
      <c r="BO21" s="122">
        <f t="shared" si="22"/>
        <v>0</v>
      </c>
      <c r="BR21" s="122">
        <f t="shared" si="23"/>
        <v>0</v>
      </c>
      <c r="BU21" s="122">
        <f t="shared" si="24"/>
        <v>0</v>
      </c>
      <c r="BX21" s="122">
        <f t="shared" si="25"/>
        <v>0</v>
      </c>
      <c r="CA21" s="122">
        <f t="shared" si="26"/>
        <v>0</v>
      </c>
      <c r="CD21" s="122">
        <f t="shared" si="27"/>
        <v>0</v>
      </c>
      <c r="CG21" s="122">
        <f t="shared" si="28"/>
        <v>0</v>
      </c>
      <c r="CJ21" s="122">
        <f t="shared" si="29"/>
        <v>0</v>
      </c>
      <c r="CM21" s="122">
        <f t="shared" si="30"/>
        <v>0</v>
      </c>
      <c r="CP21" s="122">
        <f t="shared" si="31"/>
        <v>0</v>
      </c>
      <c r="CS21" s="122">
        <f t="shared" si="32"/>
        <v>0</v>
      </c>
      <c r="CV21" s="122">
        <f t="shared" si="33"/>
        <v>0</v>
      </c>
      <c r="CY21" s="122">
        <f t="shared" si="34"/>
        <v>0</v>
      </c>
      <c r="DB21" s="122">
        <f t="shared" si="35"/>
        <v>0</v>
      </c>
      <c r="DE21" s="122">
        <f t="shared" si="36"/>
        <v>0</v>
      </c>
      <c r="DH21" s="122">
        <f t="shared" si="37"/>
        <v>0</v>
      </c>
      <c r="DK21" s="122">
        <f t="shared" si="38"/>
        <v>0</v>
      </c>
      <c r="DN21" s="122">
        <f t="shared" si="39"/>
        <v>0</v>
      </c>
      <c r="DQ21" s="122">
        <f t="shared" si="40"/>
        <v>0</v>
      </c>
      <c r="DT21" s="122">
        <f t="shared" si="41"/>
        <v>0</v>
      </c>
      <c r="DW21" s="122">
        <f t="shared" si="42"/>
        <v>0</v>
      </c>
      <c r="DZ21" s="122"/>
      <c r="EA21" s="122"/>
      <c r="EB21" s="157">
        <f t="shared" si="43"/>
        <v>504650000</v>
      </c>
      <c r="EC21" s="157">
        <f t="shared" si="44"/>
        <v>0</v>
      </c>
      <c r="ED21" s="122">
        <f t="shared" si="45"/>
        <v>40033.472222222219</v>
      </c>
      <c r="EE21" s="123">
        <f t="shared" si="46"/>
        <v>2.8558505895174873E-2</v>
      </c>
      <c r="EG21" s="157">
        <f t="shared" si="47"/>
        <v>0</v>
      </c>
      <c r="EH21" s="122">
        <f t="shared" si="48"/>
        <v>0</v>
      </c>
      <c r="EI21" s="123">
        <f t="shared" si="49"/>
        <v>0</v>
      </c>
      <c r="EJ21" s="123"/>
      <c r="EK21" s="157">
        <f t="shared" si="50"/>
        <v>504650000</v>
      </c>
      <c r="EL21" s="157">
        <f t="shared" si="51"/>
        <v>0</v>
      </c>
      <c r="EM21" s="157">
        <f t="shared" si="52"/>
        <v>40033.472222222219</v>
      </c>
      <c r="EN21" s="123">
        <f t="shared" si="53"/>
        <v>2.8558505895174873E-2</v>
      </c>
      <c r="EP21" s="122"/>
    </row>
    <row r="22" spans="1:146" x14ac:dyDescent="0.25">
      <c r="A22" s="66">
        <f t="shared" si="54"/>
        <v>43508</v>
      </c>
      <c r="D22" s="122">
        <f t="shared" si="3"/>
        <v>0</v>
      </c>
      <c r="G22" s="122">
        <f t="shared" si="4"/>
        <v>0</v>
      </c>
      <c r="J22" s="122">
        <f t="shared" si="5"/>
        <v>0</v>
      </c>
      <c r="M22" s="122">
        <f t="shared" si="6"/>
        <v>0</v>
      </c>
      <c r="P22" s="122">
        <f t="shared" si="7"/>
        <v>0</v>
      </c>
      <c r="S22" s="122">
        <f t="shared" si="8"/>
        <v>0</v>
      </c>
      <c r="V22" s="122">
        <f t="shared" si="9"/>
        <v>0</v>
      </c>
      <c r="Y22" s="122">
        <f t="shared" si="10"/>
        <v>0</v>
      </c>
      <c r="AB22" s="122">
        <f t="shared" si="11"/>
        <v>0</v>
      </c>
      <c r="AE22" s="122">
        <v>0</v>
      </c>
      <c r="AH22" s="122">
        <v>0</v>
      </c>
      <c r="AI22" s="155">
        <f>13350000</f>
        <v>13350000</v>
      </c>
      <c r="AJ22" s="156">
        <v>2.7E-2</v>
      </c>
      <c r="AK22" s="122">
        <f t="shared" si="12"/>
        <v>1001.25</v>
      </c>
      <c r="AL22" s="155">
        <f t="shared" si="0"/>
        <v>30000000</v>
      </c>
      <c r="AM22" s="156">
        <v>2.9000000000000001E-2</v>
      </c>
      <c r="AN22" s="122">
        <f t="shared" si="13"/>
        <v>2416.6666666666665</v>
      </c>
      <c r="AO22" s="155">
        <f t="shared" si="1"/>
        <v>50000000</v>
      </c>
      <c r="AP22" s="156">
        <v>2.9499999999999998E-2</v>
      </c>
      <c r="AQ22" s="122">
        <f t="shared" si="14"/>
        <v>4097.2222222222226</v>
      </c>
      <c r="AR22" s="155">
        <f t="shared" si="55"/>
        <v>30000000</v>
      </c>
      <c r="AS22" s="156">
        <v>2.8299999999999999E-2</v>
      </c>
      <c r="AT22" s="122">
        <f t="shared" si="15"/>
        <v>2358.3333333333335</v>
      </c>
      <c r="AU22" s="155">
        <f t="shared" si="2"/>
        <v>375000000</v>
      </c>
      <c r="AV22" s="156">
        <v>2.8500000000000001E-2</v>
      </c>
      <c r="AW22" s="122">
        <f t="shared" si="16"/>
        <v>29687.5</v>
      </c>
      <c r="AX22" s="155"/>
      <c r="AY22" s="156"/>
      <c r="AZ22" s="122">
        <f t="shared" si="17"/>
        <v>0</v>
      </c>
      <c r="BC22" s="122">
        <f t="shared" si="18"/>
        <v>0</v>
      </c>
      <c r="BF22" s="122">
        <f t="shared" si="19"/>
        <v>0</v>
      </c>
      <c r="BI22" s="122">
        <f t="shared" si="20"/>
        <v>0</v>
      </c>
      <c r="BL22" s="122">
        <f t="shared" si="21"/>
        <v>0</v>
      </c>
      <c r="BO22" s="122">
        <f t="shared" si="22"/>
        <v>0</v>
      </c>
      <c r="BR22" s="122">
        <f t="shared" si="23"/>
        <v>0</v>
      </c>
      <c r="BU22" s="122">
        <f t="shared" si="24"/>
        <v>0</v>
      </c>
      <c r="BX22" s="122">
        <f t="shared" si="25"/>
        <v>0</v>
      </c>
      <c r="CA22" s="122">
        <f t="shared" si="26"/>
        <v>0</v>
      </c>
      <c r="CD22" s="122">
        <f t="shared" si="27"/>
        <v>0</v>
      </c>
      <c r="CG22" s="122">
        <f t="shared" si="28"/>
        <v>0</v>
      </c>
      <c r="CJ22" s="122">
        <f t="shared" si="29"/>
        <v>0</v>
      </c>
      <c r="CM22" s="122">
        <f t="shared" si="30"/>
        <v>0</v>
      </c>
      <c r="CP22" s="122">
        <f t="shared" si="31"/>
        <v>0</v>
      </c>
      <c r="CS22" s="122">
        <f t="shared" si="32"/>
        <v>0</v>
      </c>
      <c r="CV22" s="122">
        <f t="shared" si="33"/>
        <v>0</v>
      </c>
      <c r="CY22" s="122">
        <f t="shared" si="34"/>
        <v>0</v>
      </c>
      <c r="DB22" s="122">
        <f t="shared" si="35"/>
        <v>0</v>
      </c>
      <c r="DE22" s="122">
        <f t="shared" si="36"/>
        <v>0</v>
      </c>
      <c r="DH22" s="122">
        <f t="shared" si="37"/>
        <v>0</v>
      </c>
      <c r="DK22" s="122">
        <f t="shared" si="38"/>
        <v>0</v>
      </c>
      <c r="DN22" s="122">
        <f t="shared" si="39"/>
        <v>0</v>
      </c>
      <c r="DQ22" s="122">
        <f t="shared" si="40"/>
        <v>0</v>
      </c>
      <c r="DT22" s="122">
        <f t="shared" si="41"/>
        <v>0</v>
      </c>
      <c r="DW22" s="122">
        <f t="shared" si="42"/>
        <v>0</v>
      </c>
      <c r="DZ22" s="122"/>
      <c r="EA22" s="122"/>
      <c r="EB22" s="157">
        <f t="shared" si="43"/>
        <v>498350000</v>
      </c>
      <c r="EC22" s="157">
        <f t="shared" si="44"/>
        <v>0</v>
      </c>
      <c r="ED22" s="122">
        <f t="shared" si="45"/>
        <v>39560.972222222219</v>
      </c>
      <c r="EE22" s="123">
        <f t="shared" si="46"/>
        <v>2.8578208086686058E-2</v>
      </c>
      <c r="EG22" s="157">
        <f t="shared" si="47"/>
        <v>0</v>
      </c>
      <c r="EH22" s="122">
        <f t="shared" si="48"/>
        <v>0</v>
      </c>
      <c r="EI22" s="123">
        <f t="shared" si="49"/>
        <v>0</v>
      </c>
      <c r="EJ22" s="123"/>
      <c r="EK22" s="157">
        <f t="shared" si="50"/>
        <v>498350000</v>
      </c>
      <c r="EL22" s="157">
        <f t="shared" si="51"/>
        <v>0</v>
      </c>
      <c r="EM22" s="157">
        <f t="shared" si="52"/>
        <v>39560.972222222219</v>
      </c>
      <c r="EN22" s="123">
        <f t="shared" si="53"/>
        <v>2.8578208086686058E-2</v>
      </c>
      <c r="EP22" s="122"/>
    </row>
    <row r="23" spans="1:146" x14ac:dyDescent="0.25">
      <c r="A23" s="66">
        <f t="shared" si="54"/>
        <v>43509</v>
      </c>
      <c r="D23" s="122">
        <f t="shared" si="3"/>
        <v>0</v>
      </c>
      <c r="G23" s="122">
        <f t="shared" si="4"/>
        <v>0</v>
      </c>
      <c r="J23" s="122">
        <f t="shared" si="5"/>
        <v>0</v>
      </c>
      <c r="M23" s="122">
        <f t="shared" si="6"/>
        <v>0</v>
      </c>
      <c r="P23" s="122">
        <f t="shared" si="7"/>
        <v>0</v>
      </c>
      <c r="S23" s="122">
        <f t="shared" si="8"/>
        <v>0</v>
      </c>
      <c r="V23" s="122">
        <f t="shared" si="9"/>
        <v>0</v>
      </c>
      <c r="Y23" s="122">
        <f t="shared" si="10"/>
        <v>0</v>
      </c>
      <c r="AB23" s="122">
        <f t="shared" si="11"/>
        <v>0</v>
      </c>
      <c r="AE23" s="122">
        <v>0</v>
      </c>
      <c r="AH23" s="122">
        <v>0</v>
      </c>
      <c r="AI23" s="155">
        <f>13675000</f>
        <v>13675000</v>
      </c>
      <c r="AJ23" s="156">
        <v>2.7E-2</v>
      </c>
      <c r="AK23" s="122">
        <f t="shared" si="12"/>
        <v>1025.625</v>
      </c>
      <c r="AL23" s="155">
        <f t="shared" si="0"/>
        <v>30000000</v>
      </c>
      <c r="AM23" s="156">
        <v>2.9000000000000001E-2</v>
      </c>
      <c r="AN23" s="122">
        <f t="shared" si="13"/>
        <v>2416.6666666666665</v>
      </c>
      <c r="AO23" s="155">
        <f t="shared" si="1"/>
        <v>50000000</v>
      </c>
      <c r="AP23" s="156">
        <v>2.9499999999999998E-2</v>
      </c>
      <c r="AQ23" s="122">
        <f t="shared" si="14"/>
        <v>4097.2222222222226</v>
      </c>
      <c r="AR23" s="155">
        <f t="shared" si="55"/>
        <v>30000000</v>
      </c>
      <c r="AS23" s="156">
        <v>2.8299999999999999E-2</v>
      </c>
      <c r="AT23" s="122">
        <f t="shared" si="15"/>
        <v>2358.3333333333335</v>
      </c>
      <c r="AU23" s="155">
        <f t="shared" si="2"/>
        <v>375000000</v>
      </c>
      <c r="AV23" s="156">
        <v>2.8500000000000001E-2</v>
      </c>
      <c r="AW23" s="122">
        <f t="shared" si="16"/>
        <v>29687.5</v>
      </c>
      <c r="AX23" s="155"/>
      <c r="AY23" s="156"/>
      <c r="AZ23" s="122">
        <f t="shared" si="17"/>
        <v>0</v>
      </c>
      <c r="BC23" s="122">
        <f t="shared" si="18"/>
        <v>0</v>
      </c>
      <c r="BF23" s="122">
        <f t="shared" si="19"/>
        <v>0</v>
      </c>
      <c r="BI23" s="122">
        <f t="shared" si="20"/>
        <v>0</v>
      </c>
      <c r="BL23" s="122">
        <f t="shared" si="21"/>
        <v>0</v>
      </c>
      <c r="BO23" s="122">
        <f t="shared" si="22"/>
        <v>0</v>
      </c>
      <c r="BR23" s="122">
        <f t="shared" si="23"/>
        <v>0</v>
      </c>
      <c r="BU23" s="122">
        <f t="shared" si="24"/>
        <v>0</v>
      </c>
      <c r="BX23" s="122">
        <f t="shared" si="25"/>
        <v>0</v>
      </c>
      <c r="CA23" s="122">
        <f t="shared" si="26"/>
        <v>0</v>
      </c>
      <c r="CD23" s="122">
        <f t="shared" si="27"/>
        <v>0</v>
      </c>
      <c r="CG23" s="122">
        <f t="shared" si="28"/>
        <v>0</v>
      </c>
      <c r="CJ23" s="122">
        <f t="shared" si="29"/>
        <v>0</v>
      </c>
      <c r="CM23" s="122">
        <f t="shared" si="30"/>
        <v>0</v>
      </c>
      <c r="CP23" s="122">
        <f t="shared" si="31"/>
        <v>0</v>
      </c>
      <c r="CS23" s="122">
        <f t="shared" si="32"/>
        <v>0</v>
      </c>
      <c r="CV23" s="122">
        <f t="shared" si="33"/>
        <v>0</v>
      </c>
      <c r="CY23" s="122">
        <f t="shared" si="34"/>
        <v>0</v>
      </c>
      <c r="DB23" s="122">
        <f t="shared" si="35"/>
        <v>0</v>
      </c>
      <c r="DE23" s="122">
        <f t="shared" si="36"/>
        <v>0</v>
      </c>
      <c r="DH23" s="122">
        <f t="shared" si="37"/>
        <v>0</v>
      </c>
      <c r="DK23" s="122">
        <f t="shared" si="38"/>
        <v>0</v>
      </c>
      <c r="DN23" s="122">
        <f t="shared" si="39"/>
        <v>0</v>
      </c>
      <c r="DQ23" s="122">
        <f t="shared" si="40"/>
        <v>0</v>
      </c>
      <c r="DT23" s="122">
        <f t="shared" si="41"/>
        <v>0</v>
      </c>
      <c r="DW23" s="122">
        <f t="shared" si="42"/>
        <v>0</v>
      </c>
      <c r="DZ23" s="122"/>
      <c r="EA23" s="122"/>
      <c r="EB23" s="157">
        <f t="shared" si="43"/>
        <v>498675000</v>
      </c>
      <c r="EC23" s="157">
        <f t="shared" si="44"/>
        <v>0</v>
      </c>
      <c r="ED23" s="122">
        <f t="shared" si="45"/>
        <v>39585.347222222219</v>
      </c>
      <c r="EE23" s="123">
        <f t="shared" si="46"/>
        <v>2.8577179525743217E-2</v>
      </c>
      <c r="EG23" s="157">
        <f t="shared" si="47"/>
        <v>0</v>
      </c>
      <c r="EH23" s="122">
        <f t="shared" si="48"/>
        <v>0</v>
      </c>
      <c r="EI23" s="123">
        <f t="shared" si="49"/>
        <v>0</v>
      </c>
      <c r="EJ23" s="123"/>
      <c r="EK23" s="157">
        <f t="shared" si="50"/>
        <v>498675000</v>
      </c>
      <c r="EL23" s="157">
        <f t="shared" si="51"/>
        <v>0</v>
      </c>
      <c r="EM23" s="157">
        <f t="shared" si="52"/>
        <v>39585.347222222219</v>
      </c>
      <c r="EN23" s="123">
        <f t="shared" si="53"/>
        <v>2.8577179525743217E-2</v>
      </c>
      <c r="EP23" s="122"/>
    </row>
    <row r="24" spans="1:146" x14ac:dyDescent="0.25">
      <c r="A24" s="66">
        <f t="shared" si="54"/>
        <v>43510</v>
      </c>
      <c r="D24" s="122">
        <f t="shared" si="3"/>
        <v>0</v>
      </c>
      <c r="G24" s="122">
        <f t="shared" si="4"/>
        <v>0</v>
      </c>
      <c r="J24" s="122">
        <f t="shared" si="5"/>
        <v>0</v>
      </c>
      <c r="M24" s="122">
        <f t="shared" si="6"/>
        <v>0</v>
      </c>
      <c r="P24" s="122">
        <f t="shared" si="7"/>
        <v>0</v>
      </c>
      <c r="S24" s="122">
        <f t="shared" si="8"/>
        <v>0</v>
      </c>
      <c r="V24" s="122">
        <f t="shared" si="9"/>
        <v>0</v>
      </c>
      <c r="Y24" s="122">
        <f t="shared" si="10"/>
        <v>0</v>
      </c>
      <c r="AB24" s="122">
        <f t="shared" si="11"/>
        <v>0</v>
      </c>
      <c r="AE24" s="122">
        <v>0</v>
      </c>
      <c r="AH24" s="122">
        <v>0</v>
      </c>
      <c r="AI24" s="155">
        <f>30300000</f>
        <v>30300000</v>
      </c>
      <c r="AJ24" s="156">
        <v>2.7E-2</v>
      </c>
      <c r="AK24" s="122">
        <f t="shared" si="12"/>
        <v>2272.5</v>
      </c>
      <c r="AL24" s="155">
        <f t="shared" si="0"/>
        <v>30000000</v>
      </c>
      <c r="AM24" s="156">
        <v>2.9000000000000001E-2</v>
      </c>
      <c r="AN24" s="122">
        <f t="shared" si="13"/>
        <v>2416.6666666666665</v>
      </c>
      <c r="AO24" s="155"/>
      <c r="AP24" s="156"/>
      <c r="AQ24" s="122">
        <f t="shared" si="14"/>
        <v>0</v>
      </c>
      <c r="AR24" s="155">
        <f t="shared" si="55"/>
        <v>30000000</v>
      </c>
      <c r="AS24" s="156">
        <v>2.8299999999999999E-2</v>
      </c>
      <c r="AT24" s="122">
        <f t="shared" si="15"/>
        <v>2358.3333333333335</v>
      </c>
      <c r="AU24" s="155">
        <f t="shared" si="2"/>
        <v>375000000</v>
      </c>
      <c r="AV24" s="156">
        <v>2.8500000000000001E-2</v>
      </c>
      <c r="AW24" s="122">
        <f t="shared" si="16"/>
        <v>29687.5</v>
      </c>
      <c r="AX24" s="155">
        <f t="shared" ref="AX24:AX38" si="56">35000000</f>
        <v>35000000</v>
      </c>
      <c r="AY24" s="156">
        <v>2.8000000000000001E-2</v>
      </c>
      <c r="AZ24" s="122">
        <f t="shared" si="17"/>
        <v>2722.2222222222222</v>
      </c>
      <c r="BC24" s="122">
        <f t="shared" si="18"/>
        <v>0</v>
      </c>
      <c r="BF24" s="122">
        <f t="shared" si="19"/>
        <v>0</v>
      </c>
      <c r="BI24" s="122">
        <f t="shared" si="20"/>
        <v>0</v>
      </c>
      <c r="BL24" s="122">
        <f t="shared" si="21"/>
        <v>0</v>
      </c>
      <c r="BO24" s="122">
        <f t="shared" si="22"/>
        <v>0</v>
      </c>
      <c r="BR24" s="122">
        <f t="shared" si="23"/>
        <v>0</v>
      </c>
      <c r="BU24" s="122">
        <f t="shared" si="24"/>
        <v>0</v>
      </c>
      <c r="BX24" s="122">
        <f t="shared" si="25"/>
        <v>0</v>
      </c>
      <c r="CA24" s="122">
        <f t="shared" si="26"/>
        <v>0</v>
      </c>
      <c r="CD24" s="122">
        <f t="shared" si="27"/>
        <v>0</v>
      </c>
      <c r="CG24" s="122">
        <f t="shared" si="28"/>
        <v>0</v>
      </c>
      <c r="CJ24" s="122">
        <f t="shared" si="29"/>
        <v>0</v>
      </c>
      <c r="CM24" s="122">
        <f t="shared" si="30"/>
        <v>0</v>
      </c>
      <c r="CP24" s="122">
        <f t="shared" si="31"/>
        <v>0</v>
      </c>
      <c r="CS24" s="122">
        <f t="shared" si="32"/>
        <v>0</v>
      </c>
      <c r="CV24" s="122">
        <f t="shared" si="33"/>
        <v>0</v>
      </c>
      <c r="CY24" s="122">
        <f t="shared" si="34"/>
        <v>0</v>
      </c>
      <c r="DB24" s="122">
        <f t="shared" si="35"/>
        <v>0</v>
      </c>
      <c r="DE24" s="122">
        <f t="shared" si="36"/>
        <v>0</v>
      </c>
      <c r="DH24" s="122">
        <f t="shared" si="37"/>
        <v>0</v>
      </c>
      <c r="DK24" s="122">
        <f t="shared" si="38"/>
        <v>0</v>
      </c>
      <c r="DN24" s="122">
        <f t="shared" si="39"/>
        <v>0</v>
      </c>
      <c r="DQ24" s="122">
        <f t="shared" si="40"/>
        <v>0</v>
      </c>
      <c r="DT24" s="122">
        <f t="shared" si="41"/>
        <v>0</v>
      </c>
      <c r="DW24" s="122">
        <f t="shared" si="42"/>
        <v>0</v>
      </c>
      <c r="DZ24" s="122"/>
      <c r="EA24" s="122"/>
      <c r="EB24" s="157">
        <f t="shared" si="43"/>
        <v>500300000</v>
      </c>
      <c r="EC24" s="157">
        <f t="shared" si="44"/>
        <v>0</v>
      </c>
      <c r="ED24" s="122">
        <f t="shared" si="45"/>
        <v>39457.222222222219</v>
      </c>
      <c r="EE24" s="123">
        <f t="shared" si="46"/>
        <v>2.8392164701179293E-2</v>
      </c>
      <c r="EG24" s="157">
        <f t="shared" si="47"/>
        <v>0</v>
      </c>
      <c r="EH24" s="122">
        <f t="shared" si="48"/>
        <v>0</v>
      </c>
      <c r="EI24" s="123">
        <f t="shared" si="49"/>
        <v>0</v>
      </c>
      <c r="EJ24" s="123"/>
      <c r="EK24" s="157">
        <f t="shared" si="50"/>
        <v>500300000</v>
      </c>
      <c r="EL24" s="157">
        <f t="shared" si="51"/>
        <v>0</v>
      </c>
      <c r="EM24" s="157">
        <f t="shared" si="52"/>
        <v>39457.222222222219</v>
      </c>
      <c r="EN24" s="123">
        <f t="shared" si="53"/>
        <v>2.8392164701179293E-2</v>
      </c>
      <c r="EP24" s="122"/>
    </row>
    <row r="25" spans="1:146" x14ac:dyDescent="0.25">
      <c r="A25" s="66">
        <f t="shared" si="54"/>
        <v>43511</v>
      </c>
      <c r="D25" s="122">
        <f t="shared" si="3"/>
        <v>0</v>
      </c>
      <c r="G25" s="122">
        <f t="shared" si="4"/>
        <v>0</v>
      </c>
      <c r="J25" s="122">
        <f t="shared" si="5"/>
        <v>0</v>
      </c>
      <c r="M25" s="122">
        <f t="shared" si="6"/>
        <v>0</v>
      </c>
      <c r="P25" s="122">
        <f t="shared" si="7"/>
        <v>0</v>
      </c>
      <c r="S25" s="122">
        <f t="shared" si="8"/>
        <v>0</v>
      </c>
      <c r="V25" s="122">
        <f t="shared" si="9"/>
        <v>0</v>
      </c>
      <c r="Y25" s="122">
        <f t="shared" si="10"/>
        <v>0</v>
      </c>
      <c r="AB25" s="122">
        <f t="shared" si="11"/>
        <v>0</v>
      </c>
      <c r="AE25" s="122">
        <v>0</v>
      </c>
      <c r="AH25" s="122">
        <v>0</v>
      </c>
      <c r="AI25" s="155">
        <f>75300000</f>
        <v>75300000</v>
      </c>
      <c r="AJ25" s="156">
        <v>2.7E-2</v>
      </c>
      <c r="AK25" s="122">
        <f t="shared" si="12"/>
        <v>5647.5</v>
      </c>
      <c r="AL25" s="155"/>
      <c r="AM25" s="156"/>
      <c r="AN25" s="122">
        <f t="shared" si="13"/>
        <v>0</v>
      </c>
      <c r="AO25" s="155"/>
      <c r="AP25" s="156"/>
      <c r="AQ25" s="122">
        <f t="shared" si="14"/>
        <v>0</v>
      </c>
      <c r="AR25" s="155">
        <f t="shared" si="55"/>
        <v>30000000</v>
      </c>
      <c r="AS25" s="156">
        <v>2.8299999999999999E-2</v>
      </c>
      <c r="AT25" s="122">
        <f t="shared" si="15"/>
        <v>2358.3333333333335</v>
      </c>
      <c r="AU25" s="155">
        <f t="shared" si="2"/>
        <v>375000000</v>
      </c>
      <c r="AV25" s="156">
        <v>2.8500000000000001E-2</v>
      </c>
      <c r="AW25" s="122">
        <f t="shared" si="16"/>
        <v>29687.5</v>
      </c>
      <c r="AX25" s="155">
        <f t="shared" si="56"/>
        <v>35000000</v>
      </c>
      <c r="AY25" s="156">
        <v>2.8000000000000001E-2</v>
      </c>
      <c r="AZ25" s="122">
        <f t="shared" si="17"/>
        <v>2722.2222222222222</v>
      </c>
      <c r="BC25" s="122">
        <f t="shared" si="18"/>
        <v>0</v>
      </c>
      <c r="BF25" s="122">
        <f t="shared" si="19"/>
        <v>0</v>
      </c>
      <c r="BI25" s="122">
        <f t="shared" si="20"/>
        <v>0</v>
      </c>
      <c r="BL25" s="122">
        <f t="shared" si="21"/>
        <v>0</v>
      </c>
      <c r="BO25" s="122">
        <f t="shared" si="22"/>
        <v>0</v>
      </c>
      <c r="BR25" s="122">
        <f t="shared" si="23"/>
        <v>0</v>
      </c>
      <c r="BU25" s="122">
        <f t="shared" si="24"/>
        <v>0</v>
      </c>
      <c r="BX25" s="122">
        <f t="shared" si="25"/>
        <v>0</v>
      </c>
      <c r="CA25" s="122">
        <f t="shared" si="26"/>
        <v>0</v>
      </c>
      <c r="CD25" s="122">
        <f t="shared" si="27"/>
        <v>0</v>
      </c>
      <c r="CG25" s="122">
        <f t="shared" si="28"/>
        <v>0</v>
      </c>
      <c r="CJ25" s="122">
        <f t="shared" si="29"/>
        <v>0</v>
      </c>
      <c r="CM25" s="122">
        <f t="shared" si="30"/>
        <v>0</v>
      </c>
      <c r="CP25" s="122">
        <f t="shared" si="31"/>
        <v>0</v>
      </c>
      <c r="CS25" s="122">
        <f t="shared" si="32"/>
        <v>0</v>
      </c>
      <c r="CV25" s="122">
        <f t="shared" si="33"/>
        <v>0</v>
      </c>
      <c r="CY25" s="122">
        <f t="shared" si="34"/>
        <v>0</v>
      </c>
      <c r="DB25" s="122">
        <f t="shared" si="35"/>
        <v>0</v>
      </c>
      <c r="DE25" s="122">
        <f t="shared" si="36"/>
        <v>0</v>
      </c>
      <c r="DH25" s="122">
        <f t="shared" si="37"/>
        <v>0</v>
      </c>
      <c r="DK25" s="122">
        <f t="shared" si="38"/>
        <v>0</v>
      </c>
      <c r="DN25" s="122">
        <f t="shared" si="39"/>
        <v>0</v>
      </c>
      <c r="DQ25" s="122">
        <f t="shared" si="40"/>
        <v>0</v>
      </c>
      <c r="DT25" s="122">
        <f t="shared" si="41"/>
        <v>0</v>
      </c>
      <c r="DW25" s="122">
        <f t="shared" si="42"/>
        <v>0</v>
      </c>
      <c r="DZ25" s="122"/>
      <c r="EA25" s="122"/>
      <c r="EB25" s="157">
        <f t="shared" si="43"/>
        <v>515300000</v>
      </c>
      <c r="EC25" s="157">
        <f t="shared" si="44"/>
        <v>0</v>
      </c>
      <c r="ED25" s="122">
        <f t="shared" si="45"/>
        <v>40415.555555555555</v>
      </c>
      <c r="EE25" s="123">
        <f t="shared" si="46"/>
        <v>2.8235202794488649E-2</v>
      </c>
      <c r="EG25" s="157">
        <f t="shared" si="47"/>
        <v>0</v>
      </c>
      <c r="EH25" s="122">
        <f t="shared" si="48"/>
        <v>0</v>
      </c>
      <c r="EI25" s="123">
        <f t="shared" si="49"/>
        <v>0</v>
      </c>
      <c r="EJ25" s="123"/>
      <c r="EK25" s="157">
        <f t="shared" si="50"/>
        <v>515300000</v>
      </c>
      <c r="EL25" s="157">
        <f t="shared" si="51"/>
        <v>0</v>
      </c>
      <c r="EM25" s="157">
        <f t="shared" si="52"/>
        <v>40415.555555555555</v>
      </c>
      <c r="EN25" s="123">
        <f t="shared" si="53"/>
        <v>2.8235202794488649E-2</v>
      </c>
      <c r="EP25" s="122"/>
    </row>
    <row r="26" spans="1:146" x14ac:dyDescent="0.25">
      <c r="A26" s="66">
        <f t="shared" si="54"/>
        <v>43512</v>
      </c>
      <c r="D26" s="122">
        <f t="shared" si="3"/>
        <v>0</v>
      </c>
      <c r="G26" s="122">
        <f t="shared" si="4"/>
        <v>0</v>
      </c>
      <c r="J26" s="122">
        <f t="shared" si="5"/>
        <v>0</v>
      </c>
      <c r="M26" s="122">
        <f t="shared" si="6"/>
        <v>0</v>
      </c>
      <c r="P26" s="122">
        <f t="shared" si="7"/>
        <v>0</v>
      </c>
      <c r="S26" s="122">
        <f t="shared" si="8"/>
        <v>0</v>
      </c>
      <c r="V26" s="122">
        <f t="shared" si="9"/>
        <v>0</v>
      </c>
      <c r="Y26" s="122">
        <f t="shared" si="10"/>
        <v>0</v>
      </c>
      <c r="AB26" s="122">
        <f t="shared" si="11"/>
        <v>0</v>
      </c>
      <c r="AE26" s="122">
        <v>0</v>
      </c>
      <c r="AH26" s="122">
        <v>0</v>
      </c>
      <c r="AI26" s="155">
        <f>75300000</f>
        <v>75300000</v>
      </c>
      <c r="AJ26" s="156">
        <v>2.7E-2</v>
      </c>
      <c r="AK26" s="122">
        <f t="shared" si="12"/>
        <v>5647.5</v>
      </c>
      <c r="AL26" s="155"/>
      <c r="AM26" s="156"/>
      <c r="AN26" s="122">
        <f t="shared" si="13"/>
        <v>0</v>
      </c>
      <c r="AO26" s="155"/>
      <c r="AP26" s="156"/>
      <c r="AQ26" s="122">
        <f t="shared" si="14"/>
        <v>0</v>
      </c>
      <c r="AR26" s="155">
        <f t="shared" si="55"/>
        <v>30000000</v>
      </c>
      <c r="AS26" s="156">
        <v>2.8299999999999999E-2</v>
      </c>
      <c r="AT26" s="122">
        <f t="shared" si="15"/>
        <v>2358.3333333333335</v>
      </c>
      <c r="AU26" s="155">
        <f t="shared" si="2"/>
        <v>375000000</v>
      </c>
      <c r="AV26" s="156">
        <v>2.8500000000000001E-2</v>
      </c>
      <c r="AW26" s="122">
        <f t="shared" si="16"/>
        <v>29687.5</v>
      </c>
      <c r="AX26" s="155">
        <f t="shared" si="56"/>
        <v>35000000</v>
      </c>
      <c r="AY26" s="156">
        <v>2.8000000000000001E-2</v>
      </c>
      <c r="AZ26" s="122">
        <f t="shared" si="17"/>
        <v>2722.2222222222222</v>
      </c>
      <c r="BC26" s="122">
        <f t="shared" si="18"/>
        <v>0</v>
      </c>
      <c r="BF26" s="122">
        <f t="shared" si="19"/>
        <v>0</v>
      </c>
      <c r="BI26" s="122">
        <f t="shared" si="20"/>
        <v>0</v>
      </c>
      <c r="BL26" s="122">
        <f t="shared" si="21"/>
        <v>0</v>
      </c>
      <c r="BO26" s="122">
        <f t="shared" si="22"/>
        <v>0</v>
      </c>
      <c r="BR26" s="122">
        <f t="shared" si="23"/>
        <v>0</v>
      </c>
      <c r="BU26" s="122">
        <f t="shared" si="24"/>
        <v>0</v>
      </c>
      <c r="BX26" s="122">
        <f t="shared" si="25"/>
        <v>0</v>
      </c>
      <c r="CA26" s="122">
        <f t="shared" si="26"/>
        <v>0</v>
      </c>
      <c r="CD26" s="122">
        <f t="shared" si="27"/>
        <v>0</v>
      </c>
      <c r="CG26" s="122">
        <f t="shared" si="28"/>
        <v>0</v>
      </c>
      <c r="CJ26" s="122">
        <f t="shared" si="29"/>
        <v>0</v>
      </c>
      <c r="CM26" s="122">
        <f t="shared" si="30"/>
        <v>0</v>
      </c>
      <c r="CP26" s="122">
        <f t="shared" si="31"/>
        <v>0</v>
      </c>
      <c r="CS26" s="122">
        <f t="shared" si="32"/>
        <v>0</v>
      </c>
      <c r="CV26" s="122">
        <f t="shared" si="33"/>
        <v>0</v>
      </c>
      <c r="CY26" s="122">
        <f t="shared" si="34"/>
        <v>0</v>
      </c>
      <c r="DB26" s="122">
        <f t="shared" si="35"/>
        <v>0</v>
      </c>
      <c r="DE26" s="122">
        <f t="shared" si="36"/>
        <v>0</v>
      </c>
      <c r="DH26" s="122">
        <f t="shared" si="37"/>
        <v>0</v>
      </c>
      <c r="DK26" s="122">
        <f t="shared" si="38"/>
        <v>0</v>
      </c>
      <c r="DN26" s="122">
        <f t="shared" si="39"/>
        <v>0</v>
      </c>
      <c r="DQ26" s="122">
        <f t="shared" si="40"/>
        <v>0</v>
      </c>
      <c r="DT26" s="122">
        <f t="shared" si="41"/>
        <v>0</v>
      </c>
      <c r="DW26" s="122">
        <f t="shared" si="42"/>
        <v>0</v>
      </c>
      <c r="DZ26" s="122"/>
      <c r="EA26" s="122"/>
      <c r="EB26" s="157">
        <f t="shared" si="43"/>
        <v>515300000</v>
      </c>
      <c r="EC26" s="157">
        <f t="shared" si="44"/>
        <v>0</v>
      </c>
      <c r="ED26" s="122">
        <f t="shared" si="45"/>
        <v>40415.555555555555</v>
      </c>
      <c r="EE26" s="123">
        <f t="shared" si="46"/>
        <v>2.8235202794488649E-2</v>
      </c>
      <c r="EG26" s="157">
        <f t="shared" si="47"/>
        <v>0</v>
      </c>
      <c r="EH26" s="122">
        <f t="shared" si="48"/>
        <v>0</v>
      </c>
      <c r="EI26" s="123">
        <f t="shared" si="49"/>
        <v>0</v>
      </c>
      <c r="EJ26" s="123"/>
      <c r="EK26" s="157">
        <f t="shared" si="50"/>
        <v>515300000</v>
      </c>
      <c r="EL26" s="157">
        <f t="shared" si="51"/>
        <v>0</v>
      </c>
      <c r="EM26" s="157">
        <f t="shared" si="52"/>
        <v>40415.555555555555</v>
      </c>
      <c r="EN26" s="123">
        <f t="shared" si="53"/>
        <v>2.8235202794488649E-2</v>
      </c>
      <c r="EP26" s="122"/>
    </row>
    <row r="27" spans="1:146" x14ac:dyDescent="0.25">
      <c r="A27" s="66">
        <f t="shared" si="54"/>
        <v>43513</v>
      </c>
      <c r="D27" s="122">
        <f t="shared" si="3"/>
        <v>0</v>
      </c>
      <c r="G27" s="122">
        <f t="shared" si="4"/>
        <v>0</v>
      </c>
      <c r="J27" s="122">
        <f t="shared" si="5"/>
        <v>0</v>
      </c>
      <c r="M27" s="122">
        <f t="shared" si="6"/>
        <v>0</v>
      </c>
      <c r="P27" s="122">
        <f t="shared" si="7"/>
        <v>0</v>
      </c>
      <c r="S27" s="122">
        <f t="shared" si="8"/>
        <v>0</v>
      </c>
      <c r="V27" s="122">
        <f t="shared" si="9"/>
        <v>0</v>
      </c>
      <c r="Y27" s="122">
        <f t="shared" si="10"/>
        <v>0</v>
      </c>
      <c r="AB27" s="122">
        <f t="shared" si="11"/>
        <v>0</v>
      </c>
      <c r="AE27" s="122">
        <v>0</v>
      </c>
      <c r="AH27" s="122">
        <v>0</v>
      </c>
      <c r="AI27" s="155">
        <f>75300000</f>
        <v>75300000</v>
      </c>
      <c r="AJ27" s="156">
        <v>2.7E-2</v>
      </c>
      <c r="AK27" s="122">
        <f t="shared" si="12"/>
        <v>5647.5</v>
      </c>
      <c r="AL27" s="155"/>
      <c r="AM27" s="156"/>
      <c r="AN27" s="122">
        <f t="shared" si="13"/>
        <v>0</v>
      </c>
      <c r="AO27" s="155"/>
      <c r="AP27" s="156"/>
      <c r="AQ27" s="122">
        <f t="shared" si="14"/>
        <v>0</v>
      </c>
      <c r="AR27" s="155">
        <f t="shared" si="55"/>
        <v>30000000</v>
      </c>
      <c r="AS27" s="156">
        <v>2.8299999999999999E-2</v>
      </c>
      <c r="AT27" s="122">
        <f t="shared" si="15"/>
        <v>2358.3333333333335</v>
      </c>
      <c r="AU27" s="155">
        <f t="shared" si="2"/>
        <v>375000000</v>
      </c>
      <c r="AV27" s="156">
        <v>2.8500000000000001E-2</v>
      </c>
      <c r="AW27" s="122">
        <f t="shared" si="16"/>
        <v>29687.5</v>
      </c>
      <c r="AX27" s="155">
        <f t="shared" si="56"/>
        <v>35000000</v>
      </c>
      <c r="AY27" s="156">
        <v>2.8000000000000001E-2</v>
      </c>
      <c r="AZ27" s="122">
        <f t="shared" si="17"/>
        <v>2722.2222222222222</v>
      </c>
      <c r="BC27" s="122">
        <f t="shared" si="18"/>
        <v>0</v>
      </c>
      <c r="BF27" s="122">
        <f t="shared" si="19"/>
        <v>0</v>
      </c>
      <c r="BI27" s="122">
        <f t="shared" si="20"/>
        <v>0</v>
      </c>
      <c r="BL27" s="122">
        <f t="shared" si="21"/>
        <v>0</v>
      </c>
      <c r="BO27" s="122">
        <f t="shared" si="22"/>
        <v>0</v>
      </c>
      <c r="BR27" s="122">
        <f t="shared" si="23"/>
        <v>0</v>
      </c>
      <c r="BU27" s="122">
        <f t="shared" si="24"/>
        <v>0</v>
      </c>
      <c r="BX27" s="122">
        <f t="shared" si="25"/>
        <v>0</v>
      </c>
      <c r="CA27" s="122">
        <f t="shared" si="26"/>
        <v>0</v>
      </c>
      <c r="CD27" s="122">
        <f t="shared" si="27"/>
        <v>0</v>
      </c>
      <c r="CG27" s="122">
        <f t="shared" si="28"/>
        <v>0</v>
      </c>
      <c r="CJ27" s="122">
        <f t="shared" si="29"/>
        <v>0</v>
      </c>
      <c r="CM27" s="122">
        <f t="shared" si="30"/>
        <v>0</v>
      </c>
      <c r="CP27" s="122">
        <f t="shared" si="31"/>
        <v>0</v>
      </c>
      <c r="CS27" s="122">
        <f t="shared" si="32"/>
        <v>0</v>
      </c>
      <c r="CV27" s="122">
        <f t="shared" si="33"/>
        <v>0</v>
      </c>
      <c r="CY27" s="122">
        <f t="shared" si="34"/>
        <v>0</v>
      </c>
      <c r="DB27" s="122">
        <f t="shared" si="35"/>
        <v>0</v>
      </c>
      <c r="DE27" s="122">
        <f t="shared" si="36"/>
        <v>0</v>
      </c>
      <c r="DH27" s="122">
        <f t="shared" si="37"/>
        <v>0</v>
      </c>
      <c r="DK27" s="122">
        <f t="shared" si="38"/>
        <v>0</v>
      </c>
      <c r="DN27" s="122">
        <f t="shared" si="39"/>
        <v>0</v>
      </c>
      <c r="DQ27" s="122">
        <f t="shared" si="40"/>
        <v>0</v>
      </c>
      <c r="DT27" s="122">
        <f t="shared" si="41"/>
        <v>0</v>
      </c>
      <c r="DW27" s="122">
        <f t="shared" si="42"/>
        <v>0</v>
      </c>
      <c r="DZ27" s="122"/>
      <c r="EA27" s="122"/>
      <c r="EB27" s="157">
        <f t="shared" si="43"/>
        <v>515300000</v>
      </c>
      <c r="EC27" s="157">
        <f t="shared" si="44"/>
        <v>0</v>
      </c>
      <c r="ED27" s="122">
        <f t="shared" si="45"/>
        <v>40415.555555555555</v>
      </c>
      <c r="EE27" s="123">
        <f t="shared" si="46"/>
        <v>2.8235202794488649E-2</v>
      </c>
      <c r="EG27" s="157">
        <f t="shared" si="47"/>
        <v>0</v>
      </c>
      <c r="EH27" s="122">
        <f t="shared" si="48"/>
        <v>0</v>
      </c>
      <c r="EI27" s="123">
        <f t="shared" si="49"/>
        <v>0</v>
      </c>
      <c r="EJ27" s="123"/>
      <c r="EK27" s="157">
        <f t="shared" si="50"/>
        <v>515300000</v>
      </c>
      <c r="EL27" s="157">
        <f t="shared" si="51"/>
        <v>0</v>
      </c>
      <c r="EM27" s="157">
        <f t="shared" si="52"/>
        <v>40415.555555555555</v>
      </c>
      <c r="EN27" s="123">
        <f t="shared" si="53"/>
        <v>2.8235202794488649E-2</v>
      </c>
      <c r="EP27" s="122"/>
    </row>
    <row r="28" spans="1:146" x14ac:dyDescent="0.25">
      <c r="A28" s="66">
        <f t="shared" si="54"/>
        <v>43514</v>
      </c>
      <c r="D28" s="122">
        <f t="shared" si="3"/>
        <v>0</v>
      </c>
      <c r="G28" s="122">
        <f t="shared" si="4"/>
        <v>0</v>
      </c>
      <c r="J28" s="122">
        <f t="shared" si="5"/>
        <v>0</v>
      </c>
      <c r="M28" s="122">
        <f t="shared" si="6"/>
        <v>0</v>
      </c>
      <c r="P28" s="122">
        <f t="shared" si="7"/>
        <v>0</v>
      </c>
      <c r="S28" s="122">
        <f t="shared" si="8"/>
        <v>0</v>
      </c>
      <c r="V28" s="122">
        <f t="shared" si="9"/>
        <v>0</v>
      </c>
      <c r="Y28" s="122">
        <f t="shared" si="10"/>
        <v>0</v>
      </c>
      <c r="AB28" s="122">
        <f t="shared" si="11"/>
        <v>0</v>
      </c>
      <c r="AE28" s="122">
        <v>0</v>
      </c>
      <c r="AH28" s="122">
        <v>0</v>
      </c>
      <c r="AI28" s="155">
        <f>75300000</f>
        <v>75300000</v>
      </c>
      <c r="AJ28" s="156">
        <v>2.7E-2</v>
      </c>
      <c r="AK28" s="122">
        <f t="shared" si="12"/>
        <v>5647.5</v>
      </c>
      <c r="AL28" s="155"/>
      <c r="AM28" s="156"/>
      <c r="AN28" s="122">
        <f t="shared" si="13"/>
        <v>0</v>
      </c>
      <c r="AO28" s="155"/>
      <c r="AP28" s="156"/>
      <c r="AQ28" s="122">
        <f t="shared" si="14"/>
        <v>0</v>
      </c>
      <c r="AR28" s="155">
        <f t="shared" si="55"/>
        <v>30000000</v>
      </c>
      <c r="AS28" s="156">
        <v>2.8299999999999999E-2</v>
      </c>
      <c r="AT28" s="122">
        <f t="shared" si="15"/>
        <v>2358.3333333333335</v>
      </c>
      <c r="AU28" s="155">
        <f t="shared" si="2"/>
        <v>375000000</v>
      </c>
      <c r="AV28" s="156">
        <v>2.8500000000000001E-2</v>
      </c>
      <c r="AW28" s="122">
        <f t="shared" si="16"/>
        <v>29687.5</v>
      </c>
      <c r="AX28" s="155">
        <f t="shared" si="56"/>
        <v>35000000</v>
      </c>
      <c r="AY28" s="156">
        <v>2.8000000000000001E-2</v>
      </c>
      <c r="AZ28" s="122">
        <f t="shared" si="17"/>
        <v>2722.2222222222222</v>
      </c>
      <c r="BC28" s="122">
        <f t="shared" si="18"/>
        <v>0</v>
      </c>
      <c r="BF28" s="122">
        <f t="shared" si="19"/>
        <v>0</v>
      </c>
      <c r="BI28" s="122">
        <f t="shared" si="20"/>
        <v>0</v>
      </c>
      <c r="BL28" s="122">
        <f t="shared" si="21"/>
        <v>0</v>
      </c>
      <c r="BO28" s="122">
        <f t="shared" si="22"/>
        <v>0</v>
      </c>
      <c r="BR28" s="122">
        <f t="shared" si="23"/>
        <v>0</v>
      </c>
      <c r="BU28" s="122">
        <f t="shared" si="24"/>
        <v>0</v>
      </c>
      <c r="BX28" s="122">
        <f t="shared" si="25"/>
        <v>0</v>
      </c>
      <c r="CA28" s="122">
        <f t="shared" si="26"/>
        <v>0</v>
      </c>
      <c r="CD28" s="122">
        <f t="shared" si="27"/>
        <v>0</v>
      </c>
      <c r="CG28" s="122">
        <f t="shared" si="28"/>
        <v>0</v>
      </c>
      <c r="CJ28" s="122">
        <f t="shared" si="29"/>
        <v>0</v>
      </c>
      <c r="CM28" s="122">
        <f t="shared" si="30"/>
        <v>0</v>
      </c>
      <c r="CP28" s="122">
        <f t="shared" si="31"/>
        <v>0</v>
      </c>
      <c r="CS28" s="122">
        <f t="shared" si="32"/>
        <v>0</v>
      </c>
      <c r="CV28" s="122">
        <f t="shared" si="33"/>
        <v>0</v>
      </c>
      <c r="CY28" s="122">
        <f t="shared" si="34"/>
        <v>0</v>
      </c>
      <c r="DB28" s="122">
        <f t="shared" si="35"/>
        <v>0</v>
      </c>
      <c r="DE28" s="122">
        <f t="shared" si="36"/>
        <v>0</v>
      </c>
      <c r="DH28" s="122">
        <f t="shared" si="37"/>
        <v>0</v>
      </c>
      <c r="DK28" s="122">
        <f t="shared" si="38"/>
        <v>0</v>
      </c>
      <c r="DN28" s="122">
        <f t="shared" si="39"/>
        <v>0</v>
      </c>
      <c r="DQ28" s="122">
        <f t="shared" si="40"/>
        <v>0</v>
      </c>
      <c r="DT28" s="122">
        <f t="shared" si="41"/>
        <v>0</v>
      </c>
      <c r="DW28" s="122">
        <f t="shared" si="42"/>
        <v>0</v>
      </c>
      <c r="DZ28" s="122"/>
      <c r="EA28" s="122"/>
      <c r="EB28" s="157">
        <f t="shared" si="43"/>
        <v>515300000</v>
      </c>
      <c r="EC28" s="157">
        <f t="shared" si="44"/>
        <v>0</v>
      </c>
      <c r="ED28" s="122">
        <f t="shared" si="45"/>
        <v>40415.555555555555</v>
      </c>
      <c r="EE28" s="123">
        <f t="shared" si="46"/>
        <v>2.8235202794488649E-2</v>
      </c>
      <c r="EG28" s="157">
        <f t="shared" si="47"/>
        <v>0</v>
      </c>
      <c r="EH28" s="122">
        <f t="shared" si="48"/>
        <v>0</v>
      </c>
      <c r="EI28" s="123">
        <f t="shared" si="49"/>
        <v>0</v>
      </c>
      <c r="EJ28" s="123"/>
      <c r="EK28" s="157">
        <f t="shared" si="50"/>
        <v>515300000</v>
      </c>
      <c r="EL28" s="157">
        <f t="shared" si="51"/>
        <v>0</v>
      </c>
      <c r="EM28" s="157">
        <f t="shared" si="52"/>
        <v>40415.555555555555</v>
      </c>
      <c r="EN28" s="123">
        <f t="shared" si="53"/>
        <v>2.8235202794488649E-2</v>
      </c>
      <c r="EP28" s="122"/>
    </row>
    <row r="29" spans="1:146" x14ac:dyDescent="0.25">
      <c r="A29" s="66">
        <f t="shared" si="54"/>
        <v>43515</v>
      </c>
      <c r="D29" s="122">
        <f t="shared" si="3"/>
        <v>0</v>
      </c>
      <c r="G29" s="122">
        <f t="shared" si="4"/>
        <v>0</v>
      </c>
      <c r="J29" s="122">
        <f t="shared" si="5"/>
        <v>0</v>
      </c>
      <c r="M29" s="122">
        <f t="shared" si="6"/>
        <v>0</v>
      </c>
      <c r="P29" s="122">
        <f t="shared" si="7"/>
        <v>0</v>
      </c>
      <c r="S29" s="122">
        <f t="shared" si="8"/>
        <v>0</v>
      </c>
      <c r="V29" s="122">
        <f t="shared" si="9"/>
        <v>0</v>
      </c>
      <c r="Y29" s="122">
        <f t="shared" si="10"/>
        <v>0</v>
      </c>
      <c r="AB29" s="122">
        <f t="shared" si="11"/>
        <v>0</v>
      </c>
      <c r="AE29" s="122">
        <v>0</v>
      </c>
      <c r="AH29" s="122">
        <v>0</v>
      </c>
      <c r="AI29" s="155">
        <f>62200000</f>
        <v>62200000</v>
      </c>
      <c r="AJ29" s="156">
        <v>2.7E-2</v>
      </c>
      <c r="AK29" s="122">
        <f t="shared" si="12"/>
        <v>4665</v>
      </c>
      <c r="AL29" s="155"/>
      <c r="AM29" s="156"/>
      <c r="AN29" s="122">
        <f t="shared" si="13"/>
        <v>0</v>
      </c>
      <c r="AO29" s="155"/>
      <c r="AP29" s="156"/>
      <c r="AQ29" s="122">
        <f t="shared" si="14"/>
        <v>0</v>
      </c>
      <c r="AR29" s="155">
        <f t="shared" si="55"/>
        <v>30000000</v>
      </c>
      <c r="AS29" s="156">
        <v>2.8299999999999999E-2</v>
      </c>
      <c r="AT29" s="122">
        <f t="shared" si="15"/>
        <v>2358.3333333333335</v>
      </c>
      <c r="AU29" s="155">
        <f t="shared" si="2"/>
        <v>375000000</v>
      </c>
      <c r="AV29" s="156">
        <v>2.8500000000000001E-2</v>
      </c>
      <c r="AW29" s="122">
        <f t="shared" si="16"/>
        <v>29687.5</v>
      </c>
      <c r="AX29" s="155">
        <f t="shared" si="56"/>
        <v>35000000</v>
      </c>
      <c r="AY29" s="156">
        <v>2.8000000000000001E-2</v>
      </c>
      <c r="AZ29" s="122">
        <f t="shared" si="17"/>
        <v>2722.2222222222222</v>
      </c>
      <c r="BC29" s="122">
        <f t="shared" si="18"/>
        <v>0</v>
      </c>
      <c r="BF29" s="122">
        <f t="shared" si="19"/>
        <v>0</v>
      </c>
      <c r="BI29" s="122">
        <f t="shared" si="20"/>
        <v>0</v>
      </c>
      <c r="BL29" s="122">
        <f t="shared" si="21"/>
        <v>0</v>
      </c>
      <c r="BO29" s="122">
        <f t="shared" si="22"/>
        <v>0</v>
      </c>
      <c r="BR29" s="122">
        <f t="shared" si="23"/>
        <v>0</v>
      </c>
      <c r="BU29" s="122">
        <f t="shared" si="24"/>
        <v>0</v>
      </c>
      <c r="BX29" s="122">
        <f t="shared" si="25"/>
        <v>0</v>
      </c>
      <c r="CA29" s="122">
        <f t="shared" si="26"/>
        <v>0</v>
      </c>
      <c r="CD29" s="122">
        <f t="shared" si="27"/>
        <v>0</v>
      </c>
      <c r="CG29" s="122">
        <f t="shared" si="28"/>
        <v>0</v>
      </c>
      <c r="CJ29" s="122">
        <f t="shared" si="29"/>
        <v>0</v>
      </c>
      <c r="CM29" s="122">
        <f t="shared" si="30"/>
        <v>0</v>
      </c>
      <c r="CP29" s="122">
        <f t="shared" si="31"/>
        <v>0</v>
      </c>
      <c r="CS29" s="122">
        <f t="shared" si="32"/>
        <v>0</v>
      </c>
      <c r="CV29" s="122">
        <f t="shared" si="33"/>
        <v>0</v>
      </c>
      <c r="CY29" s="122">
        <f t="shared" si="34"/>
        <v>0</v>
      </c>
      <c r="DB29" s="122">
        <f t="shared" si="35"/>
        <v>0</v>
      </c>
      <c r="DE29" s="122">
        <f t="shared" si="36"/>
        <v>0</v>
      </c>
      <c r="DH29" s="122">
        <f t="shared" si="37"/>
        <v>0</v>
      </c>
      <c r="DK29" s="122">
        <f t="shared" si="38"/>
        <v>0</v>
      </c>
      <c r="DN29" s="122">
        <f t="shared" si="39"/>
        <v>0</v>
      </c>
      <c r="DQ29" s="122">
        <f t="shared" si="40"/>
        <v>0</v>
      </c>
      <c r="DT29" s="122">
        <f t="shared" si="41"/>
        <v>0</v>
      </c>
      <c r="DW29" s="122">
        <f t="shared" si="42"/>
        <v>0</v>
      </c>
      <c r="DZ29" s="122"/>
      <c r="EA29" s="122"/>
      <c r="EB29" s="157">
        <f t="shared" si="43"/>
        <v>502200000</v>
      </c>
      <c r="EC29" s="157">
        <f t="shared" si="44"/>
        <v>0</v>
      </c>
      <c r="ED29" s="122">
        <f t="shared" si="45"/>
        <v>39433.055555555555</v>
      </c>
      <c r="EE29" s="123">
        <f t="shared" si="46"/>
        <v>2.8267423337315811E-2</v>
      </c>
      <c r="EG29" s="157">
        <f t="shared" si="47"/>
        <v>0</v>
      </c>
      <c r="EH29" s="122">
        <f t="shared" si="48"/>
        <v>0</v>
      </c>
      <c r="EI29" s="123">
        <f t="shared" si="49"/>
        <v>0</v>
      </c>
      <c r="EJ29" s="123"/>
      <c r="EK29" s="157">
        <f t="shared" si="50"/>
        <v>502200000</v>
      </c>
      <c r="EL29" s="157">
        <f t="shared" si="51"/>
        <v>0</v>
      </c>
      <c r="EM29" s="157">
        <f t="shared" si="52"/>
        <v>39433.055555555555</v>
      </c>
      <c r="EN29" s="123">
        <f t="shared" si="53"/>
        <v>2.8267423337315811E-2</v>
      </c>
      <c r="EP29" s="122"/>
    </row>
    <row r="30" spans="1:146" x14ac:dyDescent="0.25">
      <c r="A30" s="66">
        <f t="shared" si="54"/>
        <v>43516</v>
      </c>
      <c r="D30" s="122">
        <f t="shared" si="3"/>
        <v>0</v>
      </c>
      <c r="G30" s="122">
        <f t="shared" si="4"/>
        <v>0</v>
      </c>
      <c r="J30" s="122">
        <f t="shared" si="5"/>
        <v>0</v>
      </c>
      <c r="M30" s="122">
        <f t="shared" si="6"/>
        <v>0</v>
      </c>
      <c r="P30" s="122">
        <f t="shared" si="7"/>
        <v>0</v>
      </c>
      <c r="S30" s="122">
        <f t="shared" si="8"/>
        <v>0</v>
      </c>
      <c r="V30" s="122">
        <f t="shared" si="9"/>
        <v>0</v>
      </c>
      <c r="Y30" s="122">
        <f t="shared" si="10"/>
        <v>0</v>
      </c>
      <c r="AB30" s="122">
        <f t="shared" si="11"/>
        <v>0</v>
      </c>
      <c r="AE30" s="122">
        <v>0</v>
      </c>
      <c r="AH30" s="122">
        <v>0</v>
      </c>
      <c r="AI30" s="155">
        <f>63075000</f>
        <v>63075000</v>
      </c>
      <c r="AJ30" s="156">
        <v>2.7E-2</v>
      </c>
      <c r="AK30" s="122">
        <f t="shared" si="12"/>
        <v>4730.625</v>
      </c>
      <c r="AL30" s="155"/>
      <c r="AM30" s="156"/>
      <c r="AN30" s="122">
        <f t="shared" si="13"/>
        <v>0</v>
      </c>
      <c r="AO30" s="155"/>
      <c r="AP30" s="156"/>
      <c r="AQ30" s="122">
        <f t="shared" si="14"/>
        <v>0</v>
      </c>
      <c r="AR30" s="155">
        <f t="shared" si="55"/>
        <v>30000000</v>
      </c>
      <c r="AS30" s="156">
        <v>2.8299999999999999E-2</v>
      </c>
      <c r="AT30" s="122">
        <f t="shared" si="15"/>
        <v>2358.3333333333335</v>
      </c>
      <c r="AU30" s="155">
        <f t="shared" si="2"/>
        <v>375000000</v>
      </c>
      <c r="AV30" s="156">
        <v>2.8500000000000001E-2</v>
      </c>
      <c r="AW30" s="122">
        <f t="shared" si="16"/>
        <v>29687.5</v>
      </c>
      <c r="AX30" s="155">
        <f t="shared" si="56"/>
        <v>35000000</v>
      </c>
      <c r="AY30" s="156">
        <v>2.8000000000000001E-2</v>
      </c>
      <c r="AZ30" s="122">
        <f t="shared" si="17"/>
        <v>2722.2222222222222</v>
      </c>
      <c r="BC30" s="122">
        <f t="shared" si="18"/>
        <v>0</v>
      </c>
      <c r="BF30" s="122">
        <f t="shared" si="19"/>
        <v>0</v>
      </c>
      <c r="BI30" s="122">
        <f t="shared" si="20"/>
        <v>0</v>
      </c>
      <c r="BL30" s="122">
        <f t="shared" si="21"/>
        <v>0</v>
      </c>
      <c r="BO30" s="122">
        <f t="shared" si="22"/>
        <v>0</v>
      </c>
      <c r="BR30" s="122">
        <f t="shared" si="23"/>
        <v>0</v>
      </c>
      <c r="BU30" s="122">
        <f t="shared" si="24"/>
        <v>0</v>
      </c>
      <c r="BX30" s="122">
        <f t="shared" si="25"/>
        <v>0</v>
      </c>
      <c r="CA30" s="122">
        <f t="shared" si="26"/>
        <v>0</v>
      </c>
      <c r="CD30" s="122">
        <f t="shared" si="27"/>
        <v>0</v>
      </c>
      <c r="CG30" s="122">
        <f t="shared" si="28"/>
        <v>0</v>
      </c>
      <c r="CJ30" s="122">
        <f t="shared" si="29"/>
        <v>0</v>
      </c>
      <c r="CM30" s="122">
        <f t="shared" si="30"/>
        <v>0</v>
      </c>
      <c r="CP30" s="122">
        <f t="shared" si="31"/>
        <v>0</v>
      </c>
      <c r="CS30" s="122">
        <f t="shared" si="32"/>
        <v>0</v>
      </c>
      <c r="CV30" s="122">
        <f t="shared" si="33"/>
        <v>0</v>
      </c>
      <c r="CY30" s="122">
        <f t="shared" si="34"/>
        <v>0</v>
      </c>
      <c r="DB30" s="122">
        <f t="shared" si="35"/>
        <v>0</v>
      </c>
      <c r="DE30" s="122">
        <f t="shared" si="36"/>
        <v>0</v>
      </c>
      <c r="DH30" s="122">
        <f t="shared" si="37"/>
        <v>0</v>
      </c>
      <c r="DK30" s="122">
        <f t="shared" si="38"/>
        <v>0</v>
      </c>
      <c r="DN30" s="122">
        <f t="shared" si="39"/>
        <v>0</v>
      </c>
      <c r="DQ30" s="122">
        <f t="shared" si="40"/>
        <v>0</v>
      </c>
      <c r="DT30" s="122">
        <f t="shared" si="41"/>
        <v>0</v>
      </c>
      <c r="DW30" s="122">
        <f t="shared" si="42"/>
        <v>0</v>
      </c>
      <c r="DZ30" s="122"/>
      <c r="EA30" s="122"/>
      <c r="EB30" s="157">
        <f t="shared" si="43"/>
        <v>503075000</v>
      </c>
      <c r="EC30" s="157">
        <f t="shared" si="44"/>
        <v>0</v>
      </c>
      <c r="ED30" s="122">
        <f t="shared" si="45"/>
        <v>39498.680555555555</v>
      </c>
      <c r="EE30" s="123">
        <f t="shared" si="46"/>
        <v>2.8265218903741986E-2</v>
      </c>
      <c r="EG30" s="157">
        <f t="shared" si="47"/>
        <v>0</v>
      </c>
      <c r="EH30" s="122">
        <f t="shared" si="48"/>
        <v>0</v>
      </c>
      <c r="EI30" s="123">
        <f t="shared" si="49"/>
        <v>0</v>
      </c>
      <c r="EJ30" s="123"/>
      <c r="EK30" s="157">
        <f t="shared" si="50"/>
        <v>503075000</v>
      </c>
      <c r="EL30" s="157">
        <f t="shared" si="51"/>
        <v>0</v>
      </c>
      <c r="EM30" s="157">
        <f t="shared" si="52"/>
        <v>39498.680555555555</v>
      </c>
      <c r="EN30" s="123">
        <f t="shared" si="53"/>
        <v>2.8265218903741986E-2</v>
      </c>
      <c r="EP30" s="122"/>
    </row>
    <row r="31" spans="1:146" x14ac:dyDescent="0.25">
      <c r="A31" s="66">
        <f t="shared" si="54"/>
        <v>43517</v>
      </c>
      <c r="D31" s="122">
        <f t="shared" si="3"/>
        <v>0</v>
      </c>
      <c r="G31" s="122">
        <f t="shared" si="4"/>
        <v>0</v>
      </c>
      <c r="J31" s="122">
        <f t="shared" si="5"/>
        <v>0</v>
      </c>
      <c r="M31" s="122">
        <f t="shared" si="6"/>
        <v>0</v>
      </c>
      <c r="P31" s="122">
        <f t="shared" si="7"/>
        <v>0</v>
      </c>
      <c r="S31" s="122">
        <f t="shared" si="8"/>
        <v>0</v>
      </c>
      <c r="V31" s="122">
        <f t="shared" si="9"/>
        <v>0</v>
      </c>
      <c r="Y31" s="122">
        <f t="shared" si="10"/>
        <v>0</v>
      </c>
      <c r="AB31" s="122">
        <f t="shared" si="11"/>
        <v>0</v>
      </c>
      <c r="AE31" s="122">
        <v>0</v>
      </c>
      <c r="AH31" s="122">
        <v>0</v>
      </c>
      <c r="AI31" s="155">
        <f>52900000</f>
        <v>52900000</v>
      </c>
      <c r="AJ31" s="156">
        <v>2.7E-2</v>
      </c>
      <c r="AK31" s="122">
        <f t="shared" si="12"/>
        <v>3967.5</v>
      </c>
      <c r="AL31" s="155"/>
      <c r="AM31" s="156"/>
      <c r="AN31" s="122">
        <f t="shared" si="13"/>
        <v>0</v>
      </c>
      <c r="AO31" s="155"/>
      <c r="AP31" s="156"/>
      <c r="AQ31" s="122">
        <f t="shared" si="14"/>
        <v>0</v>
      </c>
      <c r="AR31" s="155">
        <f t="shared" si="55"/>
        <v>30000000</v>
      </c>
      <c r="AS31" s="156">
        <v>2.8299999999999999E-2</v>
      </c>
      <c r="AT31" s="122">
        <f t="shared" si="15"/>
        <v>2358.3333333333335</v>
      </c>
      <c r="AU31" s="155">
        <f t="shared" si="2"/>
        <v>375000000</v>
      </c>
      <c r="AV31" s="156">
        <v>2.8500000000000001E-2</v>
      </c>
      <c r="AW31" s="122">
        <f t="shared" si="16"/>
        <v>29687.5</v>
      </c>
      <c r="AX31" s="155">
        <f t="shared" si="56"/>
        <v>35000000</v>
      </c>
      <c r="AY31" s="156">
        <v>2.8000000000000001E-2</v>
      </c>
      <c r="AZ31" s="122">
        <f t="shared" si="17"/>
        <v>2722.2222222222222</v>
      </c>
      <c r="BC31" s="122">
        <f t="shared" si="18"/>
        <v>0</v>
      </c>
      <c r="BF31" s="122">
        <f t="shared" si="19"/>
        <v>0</v>
      </c>
      <c r="BI31" s="122">
        <f t="shared" si="20"/>
        <v>0</v>
      </c>
      <c r="BL31" s="122">
        <f t="shared" si="21"/>
        <v>0</v>
      </c>
      <c r="BO31" s="122">
        <f t="shared" si="22"/>
        <v>0</v>
      </c>
      <c r="BR31" s="122">
        <f t="shared" si="23"/>
        <v>0</v>
      </c>
      <c r="BU31" s="122">
        <f t="shared" si="24"/>
        <v>0</v>
      </c>
      <c r="BX31" s="122">
        <f t="shared" si="25"/>
        <v>0</v>
      </c>
      <c r="CA31" s="122">
        <f t="shared" si="26"/>
        <v>0</v>
      </c>
      <c r="CD31" s="122">
        <f t="shared" si="27"/>
        <v>0</v>
      </c>
      <c r="CG31" s="122">
        <f t="shared" si="28"/>
        <v>0</v>
      </c>
      <c r="CJ31" s="122">
        <f t="shared" si="29"/>
        <v>0</v>
      </c>
      <c r="CM31" s="122">
        <f t="shared" si="30"/>
        <v>0</v>
      </c>
      <c r="CP31" s="122">
        <f t="shared" si="31"/>
        <v>0</v>
      </c>
      <c r="CS31" s="122">
        <f t="shared" si="32"/>
        <v>0</v>
      </c>
      <c r="CV31" s="122">
        <f t="shared" si="33"/>
        <v>0</v>
      </c>
      <c r="CY31" s="122">
        <f t="shared" si="34"/>
        <v>0</v>
      </c>
      <c r="DB31" s="122">
        <f t="shared" si="35"/>
        <v>0</v>
      </c>
      <c r="DE31" s="122">
        <f t="shared" si="36"/>
        <v>0</v>
      </c>
      <c r="DH31" s="122">
        <f t="shared" si="37"/>
        <v>0</v>
      </c>
      <c r="DK31" s="122">
        <f t="shared" si="38"/>
        <v>0</v>
      </c>
      <c r="DN31" s="122">
        <f t="shared" si="39"/>
        <v>0</v>
      </c>
      <c r="DQ31" s="122">
        <f t="shared" si="40"/>
        <v>0</v>
      </c>
      <c r="DT31" s="122">
        <f t="shared" si="41"/>
        <v>0</v>
      </c>
      <c r="DW31" s="122">
        <f t="shared" si="42"/>
        <v>0</v>
      </c>
      <c r="DZ31" s="122"/>
      <c r="EA31" s="122"/>
      <c r="EB31" s="157">
        <f t="shared" si="43"/>
        <v>492900000</v>
      </c>
      <c r="EC31" s="157">
        <f t="shared" si="44"/>
        <v>0</v>
      </c>
      <c r="ED31" s="122">
        <f t="shared" si="45"/>
        <v>38735.555555555555</v>
      </c>
      <c r="EE31" s="123">
        <f t="shared" si="46"/>
        <v>2.8291336985189694E-2</v>
      </c>
      <c r="EG31" s="157">
        <f t="shared" si="47"/>
        <v>0</v>
      </c>
      <c r="EH31" s="122">
        <f t="shared" si="48"/>
        <v>0</v>
      </c>
      <c r="EI31" s="123">
        <f t="shared" si="49"/>
        <v>0</v>
      </c>
      <c r="EJ31" s="123"/>
      <c r="EK31" s="157">
        <f t="shared" si="50"/>
        <v>492900000</v>
      </c>
      <c r="EL31" s="157">
        <f t="shared" si="51"/>
        <v>0</v>
      </c>
      <c r="EM31" s="157">
        <f t="shared" si="52"/>
        <v>38735.555555555555</v>
      </c>
      <c r="EN31" s="123">
        <f t="shared" si="53"/>
        <v>2.8291336985189694E-2</v>
      </c>
      <c r="EP31" s="122"/>
    </row>
    <row r="32" spans="1:146" x14ac:dyDescent="0.25">
      <c r="A32" s="66">
        <f t="shared" si="54"/>
        <v>43518</v>
      </c>
      <c r="D32" s="122">
        <f t="shared" si="3"/>
        <v>0</v>
      </c>
      <c r="G32" s="122">
        <f t="shared" si="4"/>
        <v>0</v>
      </c>
      <c r="J32" s="122">
        <f t="shared" si="5"/>
        <v>0</v>
      </c>
      <c r="M32" s="122">
        <f t="shared" si="6"/>
        <v>0</v>
      </c>
      <c r="P32" s="122">
        <f t="shared" si="7"/>
        <v>0</v>
      </c>
      <c r="S32" s="122">
        <f t="shared" si="8"/>
        <v>0</v>
      </c>
      <c r="V32" s="122">
        <f t="shared" si="9"/>
        <v>0</v>
      </c>
      <c r="Y32" s="122">
        <f t="shared" si="10"/>
        <v>0</v>
      </c>
      <c r="AB32" s="122">
        <f t="shared" si="11"/>
        <v>0</v>
      </c>
      <c r="AE32" s="122">
        <v>0</v>
      </c>
      <c r="AH32" s="122">
        <v>0</v>
      </c>
      <c r="AI32" s="155">
        <f>49525000</f>
        <v>49525000</v>
      </c>
      <c r="AJ32" s="156">
        <v>2.7E-2</v>
      </c>
      <c r="AK32" s="122">
        <f t="shared" si="12"/>
        <v>3714.375</v>
      </c>
      <c r="AL32" s="155"/>
      <c r="AM32" s="156"/>
      <c r="AN32" s="122">
        <f t="shared" si="13"/>
        <v>0</v>
      </c>
      <c r="AO32" s="155"/>
      <c r="AP32" s="156"/>
      <c r="AQ32" s="122">
        <f t="shared" si="14"/>
        <v>0</v>
      </c>
      <c r="AR32" s="155">
        <f t="shared" si="55"/>
        <v>30000000</v>
      </c>
      <c r="AS32" s="156">
        <v>2.8299999999999999E-2</v>
      </c>
      <c r="AT32" s="122">
        <f t="shared" si="15"/>
        <v>2358.3333333333335</v>
      </c>
      <c r="AU32" s="155">
        <f t="shared" si="2"/>
        <v>375000000</v>
      </c>
      <c r="AV32" s="156">
        <v>2.8500000000000001E-2</v>
      </c>
      <c r="AW32" s="122">
        <f t="shared" si="16"/>
        <v>29687.5</v>
      </c>
      <c r="AX32" s="155">
        <f t="shared" si="56"/>
        <v>35000000</v>
      </c>
      <c r="AY32" s="156">
        <v>2.8000000000000001E-2</v>
      </c>
      <c r="AZ32" s="122">
        <f t="shared" si="17"/>
        <v>2722.2222222222222</v>
      </c>
      <c r="BC32" s="122">
        <f t="shared" si="18"/>
        <v>0</v>
      </c>
      <c r="BF32" s="122">
        <f t="shared" si="19"/>
        <v>0</v>
      </c>
      <c r="BI32" s="122">
        <f t="shared" si="20"/>
        <v>0</v>
      </c>
      <c r="BL32" s="122">
        <f t="shared" si="21"/>
        <v>0</v>
      </c>
      <c r="BO32" s="122">
        <f t="shared" si="22"/>
        <v>0</v>
      </c>
      <c r="BR32" s="122">
        <f t="shared" si="23"/>
        <v>0</v>
      </c>
      <c r="BU32" s="122">
        <f t="shared" si="24"/>
        <v>0</v>
      </c>
      <c r="BX32" s="122">
        <f t="shared" si="25"/>
        <v>0</v>
      </c>
      <c r="CA32" s="122">
        <f t="shared" si="26"/>
        <v>0</v>
      </c>
      <c r="CD32" s="122">
        <f t="shared" si="27"/>
        <v>0</v>
      </c>
      <c r="CG32" s="122">
        <f t="shared" si="28"/>
        <v>0</v>
      </c>
      <c r="CJ32" s="122">
        <f t="shared" si="29"/>
        <v>0</v>
      </c>
      <c r="CM32" s="122">
        <f t="shared" si="30"/>
        <v>0</v>
      </c>
      <c r="CP32" s="122">
        <f t="shared" si="31"/>
        <v>0</v>
      </c>
      <c r="CS32" s="122">
        <f t="shared" si="32"/>
        <v>0</v>
      </c>
      <c r="CV32" s="122">
        <f t="shared" si="33"/>
        <v>0</v>
      </c>
      <c r="CY32" s="122">
        <f t="shared" si="34"/>
        <v>0</v>
      </c>
      <c r="DB32" s="122">
        <f t="shared" si="35"/>
        <v>0</v>
      </c>
      <c r="DE32" s="122">
        <f t="shared" si="36"/>
        <v>0</v>
      </c>
      <c r="DH32" s="122">
        <f t="shared" si="37"/>
        <v>0</v>
      </c>
      <c r="DK32" s="122">
        <f t="shared" si="38"/>
        <v>0</v>
      </c>
      <c r="DN32" s="122">
        <f t="shared" si="39"/>
        <v>0</v>
      </c>
      <c r="DQ32" s="122">
        <f t="shared" si="40"/>
        <v>0</v>
      </c>
      <c r="DT32" s="122">
        <f t="shared" si="41"/>
        <v>0</v>
      </c>
      <c r="DW32" s="122">
        <f t="shared" si="42"/>
        <v>0</v>
      </c>
      <c r="DZ32" s="122"/>
      <c r="EA32" s="122"/>
      <c r="EB32" s="157">
        <f t="shared" si="43"/>
        <v>489525000</v>
      </c>
      <c r="EC32" s="157">
        <f t="shared" si="44"/>
        <v>0</v>
      </c>
      <c r="ED32" s="122">
        <f t="shared" si="45"/>
        <v>38482.430555555555</v>
      </c>
      <c r="EE32" s="123">
        <f t="shared" si="46"/>
        <v>2.8300240028599152E-2</v>
      </c>
      <c r="EG32" s="157">
        <f t="shared" si="47"/>
        <v>0</v>
      </c>
      <c r="EH32" s="122">
        <f t="shared" si="48"/>
        <v>0</v>
      </c>
      <c r="EI32" s="123">
        <f t="shared" si="49"/>
        <v>0</v>
      </c>
      <c r="EJ32" s="123"/>
      <c r="EK32" s="157">
        <f t="shared" si="50"/>
        <v>489525000</v>
      </c>
      <c r="EL32" s="157">
        <f t="shared" si="51"/>
        <v>0</v>
      </c>
      <c r="EM32" s="157">
        <f t="shared" si="52"/>
        <v>38482.430555555555</v>
      </c>
      <c r="EN32" s="123">
        <f t="shared" si="53"/>
        <v>2.8300240028599152E-2</v>
      </c>
      <c r="EP32" s="122"/>
    </row>
    <row r="33" spans="1:146" x14ac:dyDescent="0.25">
      <c r="A33" s="66">
        <f t="shared" si="54"/>
        <v>43519</v>
      </c>
      <c r="D33" s="122">
        <f t="shared" si="3"/>
        <v>0</v>
      </c>
      <c r="G33" s="122">
        <f t="shared" si="4"/>
        <v>0</v>
      </c>
      <c r="J33" s="122">
        <f t="shared" si="5"/>
        <v>0</v>
      </c>
      <c r="M33" s="122">
        <f t="shared" si="6"/>
        <v>0</v>
      </c>
      <c r="P33" s="122">
        <f t="shared" si="7"/>
        <v>0</v>
      </c>
      <c r="S33" s="122">
        <f t="shared" si="8"/>
        <v>0</v>
      </c>
      <c r="V33" s="122">
        <f t="shared" si="9"/>
        <v>0</v>
      </c>
      <c r="Y33" s="122">
        <f t="shared" si="10"/>
        <v>0</v>
      </c>
      <c r="AB33" s="122">
        <f t="shared" si="11"/>
        <v>0</v>
      </c>
      <c r="AE33" s="122">
        <v>0</v>
      </c>
      <c r="AH33" s="122">
        <v>0</v>
      </c>
      <c r="AI33" s="155">
        <f>49525000</f>
        <v>49525000</v>
      </c>
      <c r="AJ33" s="156">
        <v>2.7E-2</v>
      </c>
      <c r="AK33" s="122">
        <f t="shared" si="12"/>
        <v>3714.375</v>
      </c>
      <c r="AL33" s="155"/>
      <c r="AM33" s="156"/>
      <c r="AN33" s="122">
        <f t="shared" si="13"/>
        <v>0</v>
      </c>
      <c r="AO33" s="155"/>
      <c r="AP33" s="156"/>
      <c r="AQ33" s="122">
        <f t="shared" si="14"/>
        <v>0</v>
      </c>
      <c r="AR33" s="155">
        <f t="shared" si="55"/>
        <v>30000000</v>
      </c>
      <c r="AS33" s="156">
        <v>2.8299999999999999E-2</v>
      </c>
      <c r="AT33" s="122">
        <f t="shared" si="15"/>
        <v>2358.3333333333335</v>
      </c>
      <c r="AU33" s="155">
        <f t="shared" si="2"/>
        <v>375000000</v>
      </c>
      <c r="AV33" s="156">
        <v>2.8500000000000001E-2</v>
      </c>
      <c r="AW33" s="122">
        <f t="shared" si="16"/>
        <v>29687.5</v>
      </c>
      <c r="AX33" s="155">
        <f t="shared" si="56"/>
        <v>35000000</v>
      </c>
      <c r="AY33" s="156">
        <v>2.8000000000000001E-2</v>
      </c>
      <c r="AZ33" s="122">
        <f t="shared" si="17"/>
        <v>2722.2222222222222</v>
      </c>
      <c r="BC33" s="122">
        <f t="shared" si="18"/>
        <v>0</v>
      </c>
      <c r="BF33" s="122">
        <f t="shared" si="19"/>
        <v>0</v>
      </c>
      <c r="BI33" s="122">
        <f t="shared" si="20"/>
        <v>0</v>
      </c>
      <c r="BL33" s="122">
        <f t="shared" si="21"/>
        <v>0</v>
      </c>
      <c r="BO33" s="122">
        <f t="shared" si="22"/>
        <v>0</v>
      </c>
      <c r="BR33" s="122">
        <f t="shared" si="23"/>
        <v>0</v>
      </c>
      <c r="BU33" s="122">
        <f t="shared" si="24"/>
        <v>0</v>
      </c>
      <c r="BX33" s="122">
        <f t="shared" si="25"/>
        <v>0</v>
      </c>
      <c r="CA33" s="122">
        <f t="shared" si="26"/>
        <v>0</v>
      </c>
      <c r="CD33" s="122">
        <f t="shared" si="27"/>
        <v>0</v>
      </c>
      <c r="CG33" s="122">
        <f t="shared" si="28"/>
        <v>0</v>
      </c>
      <c r="CJ33" s="122">
        <f t="shared" si="29"/>
        <v>0</v>
      </c>
      <c r="CM33" s="122">
        <f t="shared" si="30"/>
        <v>0</v>
      </c>
      <c r="CP33" s="122">
        <f t="shared" si="31"/>
        <v>0</v>
      </c>
      <c r="CS33" s="122">
        <f t="shared" si="32"/>
        <v>0</v>
      </c>
      <c r="CV33" s="122">
        <f t="shared" si="33"/>
        <v>0</v>
      </c>
      <c r="CY33" s="122">
        <f t="shared" si="34"/>
        <v>0</v>
      </c>
      <c r="DB33" s="122">
        <f t="shared" si="35"/>
        <v>0</v>
      </c>
      <c r="DE33" s="122">
        <f t="shared" si="36"/>
        <v>0</v>
      </c>
      <c r="DH33" s="122">
        <f t="shared" si="37"/>
        <v>0</v>
      </c>
      <c r="DK33" s="122">
        <f t="shared" si="38"/>
        <v>0</v>
      </c>
      <c r="DN33" s="122">
        <f t="shared" si="39"/>
        <v>0</v>
      </c>
      <c r="DQ33" s="122">
        <f t="shared" si="40"/>
        <v>0</v>
      </c>
      <c r="DT33" s="122">
        <f t="shared" si="41"/>
        <v>0</v>
      </c>
      <c r="DW33" s="122">
        <f t="shared" si="42"/>
        <v>0</v>
      </c>
      <c r="DZ33" s="122"/>
      <c r="EA33" s="122"/>
      <c r="EB33" s="157">
        <f t="shared" si="43"/>
        <v>489525000</v>
      </c>
      <c r="EC33" s="157">
        <f t="shared" si="44"/>
        <v>0</v>
      </c>
      <c r="ED33" s="122">
        <f t="shared" si="45"/>
        <v>38482.430555555555</v>
      </c>
      <c r="EE33" s="123">
        <f t="shared" si="46"/>
        <v>2.8300240028599152E-2</v>
      </c>
      <c r="EG33" s="157">
        <f t="shared" si="47"/>
        <v>0</v>
      </c>
      <c r="EH33" s="122">
        <f t="shared" si="48"/>
        <v>0</v>
      </c>
      <c r="EI33" s="123">
        <f t="shared" si="49"/>
        <v>0</v>
      </c>
      <c r="EJ33" s="123"/>
      <c r="EK33" s="157">
        <f t="shared" si="50"/>
        <v>489525000</v>
      </c>
      <c r="EL33" s="157">
        <f t="shared" si="51"/>
        <v>0</v>
      </c>
      <c r="EM33" s="157">
        <f t="shared" si="52"/>
        <v>38482.430555555555</v>
      </c>
      <c r="EN33" s="123">
        <f t="shared" si="53"/>
        <v>2.8300240028599152E-2</v>
      </c>
      <c r="EP33" s="122"/>
    </row>
    <row r="34" spans="1:146" x14ac:dyDescent="0.25">
      <c r="A34" s="66">
        <f t="shared" si="54"/>
        <v>43520</v>
      </c>
      <c r="D34" s="122">
        <f t="shared" si="3"/>
        <v>0</v>
      </c>
      <c r="G34" s="122">
        <f t="shared" si="4"/>
        <v>0</v>
      </c>
      <c r="J34" s="122">
        <f t="shared" si="5"/>
        <v>0</v>
      </c>
      <c r="M34" s="122">
        <f t="shared" si="6"/>
        <v>0</v>
      </c>
      <c r="P34" s="122">
        <f t="shared" si="7"/>
        <v>0</v>
      </c>
      <c r="S34" s="122">
        <f t="shared" si="8"/>
        <v>0</v>
      </c>
      <c r="V34" s="122">
        <f t="shared" si="9"/>
        <v>0</v>
      </c>
      <c r="Y34" s="122">
        <f t="shared" si="10"/>
        <v>0</v>
      </c>
      <c r="AB34" s="122">
        <f t="shared" si="11"/>
        <v>0</v>
      </c>
      <c r="AE34" s="122">
        <v>0</v>
      </c>
      <c r="AH34" s="122">
        <v>0</v>
      </c>
      <c r="AI34" s="155">
        <f>49525000</f>
        <v>49525000</v>
      </c>
      <c r="AJ34" s="156">
        <v>2.7E-2</v>
      </c>
      <c r="AK34" s="122">
        <f t="shared" si="12"/>
        <v>3714.375</v>
      </c>
      <c r="AL34" s="155"/>
      <c r="AM34" s="156"/>
      <c r="AN34" s="122">
        <f t="shared" si="13"/>
        <v>0</v>
      </c>
      <c r="AO34" s="155"/>
      <c r="AP34" s="156"/>
      <c r="AQ34" s="122">
        <f t="shared" si="14"/>
        <v>0</v>
      </c>
      <c r="AR34" s="155">
        <f t="shared" si="55"/>
        <v>30000000</v>
      </c>
      <c r="AS34" s="156">
        <v>2.8299999999999999E-2</v>
      </c>
      <c r="AT34" s="122">
        <f t="shared" si="15"/>
        <v>2358.3333333333335</v>
      </c>
      <c r="AU34" s="155">
        <f t="shared" si="2"/>
        <v>375000000</v>
      </c>
      <c r="AV34" s="156">
        <v>2.8500000000000001E-2</v>
      </c>
      <c r="AW34" s="122">
        <f t="shared" si="16"/>
        <v>29687.5</v>
      </c>
      <c r="AX34" s="155">
        <f t="shared" si="56"/>
        <v>35000000</v>
      </c>
      <c r="AY34" s="156">
        <v>2.8000000000000001E-2</v>
      </c>
      <c r="AZ34" s="122">
        <f t="shared" si="17"/>
        <v>2722.2222222222222</v>
      </c>
      <c r="BC34" s="122">
        <f t="shared" si="18"/>
        <v>0</v>
      </c>
      <c r="BF34" s="122">
        <f t="shared" si="19"/>
        <v>0</v>
      </c>
      <c r="BI34" s="122">
        <f t="shared" si="20"/>
        <v>0</v>
      </c>
      <c r="BL34" s="122">
        <f t="shared" si="21"/>
        <v>0</v>
      </c>
      <c r="BO34" s="122">
        <f t="shared" si="22"/>
        <v>0</v>
      </c>
      <c r="BR34" s="122">
        <f t="shared" si="23"/>
        <v>0</v>
      </c>
      <c r="BU34" s="122">
        <f t="shared" si="24"/>
        <v>0</v>
      </c>
      <c r="BX34" s="122">
        <f t="shared" si="25"/>
        <v>0</v>
      </c>
      <c r="CA34" s="122">
        <f t="shared" si="26"/>
        <v>0</v>
      </c>
      <c r="CD34" s="122">
        <f t="shared" si="27"/>
        <v>0</v>
      </c>
      <c r="CG34" s="122">
        <f t="shared" si="28"/>
        <v>0</v>
      </c>
      <c r="CJ34" s="122">
        <f t="shared" si="29"/>
        <v>0</v>
      </c>
      <c r="CM34" s="122">
        <f t="shared" si="30"/>
        <v>0</v>
      </c>
      <c r="CP34" s="122">
        <f t="shared" si="31"/>
        <v>0</v>
      </c>
      <c r="CS34" s="122">
        <f t="shared" si="32"/>
        <v>0</v>
      </c>
      <c r="CV34" s="122">
        <f t="shared" si="33"/>
        <v>0</v>
      </c>
      <c r="CY34" s="122">
        <f t="shared" si="34"/>
        <v>0</v>
      </c>
      <c r="DB34" s="122">
        <f t="shared" si="35"/>
        <v>0</v>
      </c>
      <c r="DE34" s="122">
        <f t="shared" si="36"/>
        <v>0</v>
      </c>
      <c r="DH34" s="122">
        <f t="shared" si="37"/>
        <v>0</v>
      </c>
      <c r="DK34" s="122">
        <f t="shared" si="38"/>
        <v>0</v>
      </c>
      <c r="DN34" s="122">
        <f t="shared" si="39"/>
        <v>0</v>
      </c>
      <c r="DQ34" s="122">
        <f t="shared" si="40"/>
        <v>0</v>
      </c>
      <c r="DT34" s="122">
        <f t="shared" si="41"/>
        <v>0</v>
      </c>
      <c r="DW34" s="122">
        <f t="shared" si="42"/>
        <v>0</v>
      </c>
      <c r="DZ34" s="122"/>
      <c r="EA34" s="122"/>
      <c r="EB34" s="157">
        <f t="shared" si="43"/>
        <v>489525000</v>
      </c>
      <c r="EC34" s="157">
        <f t="shared" si="44"/>
        <v>0</v>
      </c>
      <c r="ED34" s="122">
        <f t="shared" si="45"/>
        <v>38482.430555555555</v>
      </c>
      <c r="EE34" s="123">
        <f t="shared" si="46"/>
        <v>2.8300240028599152E-2</v>
      </c>
      <c r="EG34" s="157">
        <f t="shared" si="47"/>
        <v>0</v>
      </c>
      <c r="EH34" s="122">
        <f t="shared" si="48"/>
        <v>0</v>
      </c>
      <c r="EI34" s="123">
        <f t="shared" si="49"/>
        <v>0</v>
      </c>
      <c r="EJ34" s="123"/>
      <c r="EK34" s="157">
        <f t="shared" si="50"/>
        <v>489525000</v>
      </c>
      <c r="EL34" s="157">
        <f t="shared" si="51"/>
        <v>0</v>
      </c>
      <c r="EM34" s="157">
        <f t="shared" si="52"/>
        <v>38482.430555555555</v>
      </c>
      <c r="EN34" s="123">
        <f t="shared" si="53"/>
        <v>2.8300240028599152E-2</v>
      </c>
      <c r="EP34" s="122"/>
    </row>
    <row r="35" spans="1:146" x14ac:dyDescent="0.25">
      <c r="A35" s="66">
        <f t="shared" si="54"/>
        <v>43521</v>
      </c>
      <c r="D35" s="122">
        <f t="shared" si="3"/>
        <v>0</v>
      </c>
      <c r="G35" s="122">
        <f t="shared" si="4"/>
        <v>0</v>
      </c>
      <c r="J35" s="122">
        <f t="shared" si="5"/>
        <v>0</v>
      </c>
      <c r="M35" s="122">
        <f t="shared" si="6"/>
        <v>0</v>
      </c>
      <c r="P35" s="122">
        <f t="shared" si="7"/>
        <v>0</v>
      </c>
      <c r="S35" s="122">
        <f t="shared" si="8"/>
        <v>0</v>
      </c>
      <c r="V35" s="122">
        <f t="shared" si="9"/>
        <v>0</v>
      </c>
      <c r="Y35" s="122">
        <f t="shared" si="10"/>
        <v>0</v>
      </c>
      <c r="AB35" s="122">
        <f t="shared" si="11"/>
        <v>0</v>
      </c>
      <c r="AE35" s="122">
        <v>0</v>
      </c>
      <c r="AH35" s="122">
        <v>0</v>
      </c>
      <c r="AI35" s="155">
        <f>57700000</f>
        <v>57700000</v>
      </c>
      <c r="AJ35" s="156">
        <v>2.7E-2</v>
      </c>
      <c r="AK35" s="122">
        <f t="shared" si="12"/>
        <v>4327.5</v>
      </c>
      <c r="AL35" s="155"/>
      <c r="AM35" s="156"/>
      <c r="AN35" s="122">
        <f t="shared" si="13"/>
        <v>0</v>
      </c>
      <c r="AO35" s="155"/>
      <c r="AP35" s="156"/>
      <c r="AQ35" s="122">
        <f t="shared" si="14"/>
        <v>0</v>
      </c>
      <c r="AR35" s="155">
        <f t="shared" si="55"/>
        <v>30000000</v>
      </c>
      <c r="AS35" s="156">
        <v>2.8299999999999999E-2</v>
      </c>
      <c r="AT35" s="122">
        <f t="shared" si="15"/>
        <v>2358.3333333333335</v>
      </c>
      <c r="AU35" s="155">
        <f t="shared" si="2"/>
        <v>375000000</v>
      </c>
      <c r="AV35" s="156">
        <v>2.8500000000000001E-2</v>
      </c>
      <c r="AW35" s="122">
        <f t="shared" si="16"/>
        <v>29687.5</v>
      </c>
      <c r="AX35" s="155">
        <f t="shared" si="56"/>
        <v>35000000</v>
      </c>
      <c r="AY35" s="156">
        <v>2.8000000000000001E-2</v>
      </c>
      <c r="AZ35" s="122">
        <f t="shared" si="17"/>
        <v>2722.2222222222222</v>
      </c>
      <c r="BC35" s="122">
        <f t="shared" si="18"/>
        <v>0</v>
      </c>
      <c r="BF35" s="122">
        <f t="shared" si="19"/>
        <v>0</v>
      </c>
      <c r="BI35" s="122">
        <f t="shared" si="20"/>
        <v>0</v>
      </c>
      <c r="BL35" s="122">
        <f t="shared" si="21"/>
        <v>0</v>
      </c>
      <c r="BO35" s="122">
        <f t="shared" si="22"/>
        <v>0</v>
      </c>
      <c r="BR35" s="122">
        <f t="shared" si="23"/>
        <v>0</v>
      </c>
      <c r="BU35" s="122">
        <f t="shared" si="24"/>
        <v>0</v>
      </c>
      <c r="BX35" s="122">
        <f t="shared" si="25"/>
        <v>0</v>
      </c>
      <c r="CA35" s="122">
        <f t="shared" si="26"/>
        <v>0</v>
      </c>
      <c r="CD35" s="122">
        <f t="shared" si="27"/>
        <v>0</v>
      </c>
      <c r="CG35" s="122">
        <f t="shared" si="28"/>
        <v>0</v>
      </c>
      <c r="CJ35" s="122">
        <f t="shared" si="29"/>
        <v>0</v>
      </c>
      <c r="CM35" s="122">
        <f t="shared" si="30"/>
        <v>0</v>
      </c>
      <c r="CP35" s="122">
        <f t="shared" si="31"/>
        <v>0</v>
      </c>
      <c r="CS35" s="122">
        <f t="shared" si="32"/>
        <v>0</v>
      </c>
      <c r="CV35" s="122">
        <f t="shared" si="33"/>
        <v>0</v>
      </c>
      <c r="CY35" s="122">
        <f t="shared" si="34"/>
        <v>0</v>
      </c>
      <c r="DB35" s="122">
        <f t="shared" si="35"/>
        <v>0</v>
      </c>
      <c r="DE35" s="122">
        <f t="shared" si="36"/>
        <v>0</v>
      </c>
      <c r="DH35" s="122">
        <f t="shared" si="37"/>
        <v>0</v>
      </c>
      <c r="DK35" s="122">
        <f t="shared" si="38"/>
        <v>0</v>
      </c>
      <c r="DN35" s="122">
        <f t="shared" si="39"/>
        <v>0</v>
      </c>
      <c r="DQ35" s="122">
        <f t="shared" si="40"/>
        <v>0</v>
      </c>
      <c r="DT35" s="122">
        <f t="shared" si="41"/>
        <v>0</v>
      </c>
      <c r="DW35" s="122">
        <f t="shared" si="42"/>
        <v>0</v>
      </c>
      <c r="DZ35" s="122"/>
      <c r="EA35" s="122"/>
      <c r="EB35" s="157">
        <f t="shared" si="43"/>
        <v>497700000</v>
      </c>
      <c r="EC35" s="157">
        <f t="shared" si="44"/>
        <v>0</v>
      </c>
      <c r="ED35" s="122">
        <f t="shared" si="45"/>
        <v>39095.555555555555</v>
      </c>
      <c r="EE35" s="123">
        <f t="shared" si="46"/>
        <v>2.8278882861161342E-2</v>
      </c>
      <c r="EG35" s="157">
        <f t="shared" si="47"/>
        <v>0</v>
      </c>
      <c r="EH35" s="122">
        <f t="shared" si="48"/>
        <v>0</v>
      </c>
      <c r="EI35" s="123">
        <f t="shared" si="49"/>
        <v>0</v>
      </c>
      <c r="EJ35" s="123"/>
      <c r="EK35" s="157">
        <f t="shared" si="50"/>
        <v>497700000</v>
      </c>
      <c r="EL35" s="157">
        <f t="shared" si="51"/>
        <v>0</v>
      </c>
      <c r="EM35" s="157">
        <f t="shared" si="52"/>
        <v>39095.555555555555</v>
      </c>
      <c r="EN35" s="123">
        <f t="shared" si="53"/>
        <v>2.8278882861161342E-2</v>
      </c>
      <c r="EP35" s="122"/>
    </row>
    <row r="36" spans="1:146" x14ac:dyDescent="0.25">
      <c r="A36" s="66">
        <f t="shared" si="54"/>
        <v>43522</v>
      </c>
      <c r="D36" s="122">
        <f t="shared" si="3"/>
        <v>0</v>
      </c>
      <c r="G36" s="122">
        <f t="shared" si="4"/>
        <v>0</v>
      </c>
      <c r="J36" s="122">
        <f t="shared" si="5"/>
        <v>0</v>
      </c>
      <c r="M36" s="122">
        <f t="shared" si="6"/>
        <v>0</v>
      </c>
      <c r="P36" s="122">
        <f t="shared" si="7"/>
        <v>0</v>
      </c>
      <c r="S36" s="122">
        <f t="shared" si="8"/>
        <v>0</v>
      </c>
      <c r="V36" s="122">
        <f t="shared" si="9"/>
        <v>0</v>
      </c>
      <c r="Y36" s="122">
        <f t="shared" si="10"/>
        <v>0</v>
      </c>
      <c r="AB36" s="122">
        <f t="shared" si="11"/>
        <v>0</v>
      </c>
      <c r="AE36" s="122">
        <v>0</v>
      </c>
      <c r="AH36" s="122">
        <v>0</v>
      </c>
      <c r="AI36" s="155">
        <f>49125000</f>
        <v>49125000</v>
      </c>
      <c r="AJ36" s="156">
        <v>2.7E-2</v>
      </c>
      <c r="AK36" s="122">
        <f t="shared" si="12"/>
        <v>3684.375</v>
      </c>
      <c r="AL36" s="155"/>
      <c r="AM36" s="156"/>
      <c r="AN36" s="122">
        <f t="shared" si="13"/>
        <v>0</v>
      </c>
      <c r="AO36" s="155"/>
      <c r="AP36" s="156"/>
      <c r="AQ36" s="122">
        <f t="shared" si="14"/>
        <v>0</v>
      </c>
      <c r="AR36" s="155">
        <f t="shared" si="55"/>
        <v>30000000</v>
      </c>
      <c r="AS36" s="156">
        <v>2.8299999999999999E-2</v>
      </c>
      <c r="AT36" s="122">
        <f t="shared" si="15"/>
        <v>2358.3333333333335</v>
      </c>
      <c r="AU36" s="155">
        <f t="shared" si="2"/>
        <v>375000000</v>
      </c>
      <c r="AV36" s="156">
        <v>2.8500000000000001E-2</v>
      </c>
      <c r="AW36" s="122">
        <f t="shared" si="16"/>
        <v>29687.5</v>
      </c>
      <c r="AX36" s="155">
        <f t="shared" si="56"/>
        <v>35000000</v>
      </c>
      <c r="AY36" s="156">
        <v>2.8000000000000001E-2</v>
      </c>
      <c r="AZ36" s="122">
        <f t="shared" si="17"/>
        <v>2722.2222222222222</v>
      </c>
      <c r="BC36" s="122">
        <f t="shared" si="18"/>
        <v>0</v>
      </c>
      <c r="BF36" s="122">
        <f t="shared" si="19"/>
        <v>0</v>
      </c>
      <c r="BI36" s="122">
        <f t="shared" si="20"/>
        <v>0</v>
      </c>
      <c r="BL36" s="122">
        <f t="shared" si="21"/>
        <v>0</v>
      </c>
      <c r="BO36" s="122">
        <f t="shared" si="22"/>
        <v>0</v>
      </c>
      <c r="BR36" s="122">
        <f t="shared" si="23"/>
        <v>0</v>
      </c>
      <c r="BU36" s="122">
        <f t="shared" si="24"/>
        <v>0</v>
      </c>
      <c r="BX36" s="122">
        <f t="shared" si="25"/>
        <v>0</v>
      </c>
      <c r="CA36" s="122">
        <f t="shared" si="26"/>
        <v>0</v>
      </c>
      <c r="CD36" s="122">
        <f t="shared" si="27"/>
        <v>0</v>
      </c>
      <c r="CG36" s="122">
        <f t="shared" si="28"/>
        <v>0</v>
      </c>
      <c r="CJ36" s="122">
        <f t="shared" si="29"/>
        <v>0</v>
      </c>
      <c r="CM36" s="122">
        <f t="shared" si="30"/>
        <v>0</v>
      </c>
      <c r="CP36" s="122">
        <f t="shared" si="31"/>
        <v>0</v>
      </c>
      <c r="CS36" s="122">
        <f t="shared" si="32"/>
        <v>0</v>
      </c>
      <c r="CV36" s="122">
        <f t="shared" si="33"/>
        <v>0</v>
      </c>
      <c r="CY36" s="122">
        <f t="shared" si="34"/>
        <v>0</v>
      </c>
      <c r="DB36" s="122">
        <f t="shared" si="35"/>
        <v>0</v>
      </c>
      <c r="DE36" s="122">
        <f t="shared" si="36"/>
        <v>0</v>
      </c>
      <c r="DH36" s="122">
        <f t="shared" si="37"/>
        <v>0</v>
      </c>
      <c r="DK36" s="122">
        <f t="shared" si="38"/>
        <v>0</v>
      </c>
      <c r="DN36" s="122">
        <f t="shared" si="39"/>
        <v>0</v>
      </c>
      <c r="DQ36" s="122">
        <f t="shared" si="40"/>
        <v>0</v>
      </c>
      <c r="DT36" s="122">
        <f t="shared" si="41"/>
        <v>0</v>
      </c>
      <c r="DW36" s="122">
        <f t="shared" si="42"/>
        <v>0</v>
      </c>
      <c r="DZ36" s="122"/>
      <c r="EA36" s="122"/>
      <c r="EB36" s="157">
        <f t="shared" si="43"/>
        <v>489125000</v>
      </c>
      <c r="EC36" s="157">
        <f t="shared" si="44"/>
        <v>0</v>
      </c>
      <c r="ED36" s="122">
        <f t="shared" si="45"/>
        <v>38452.430555555555</v>
      </c>
      <c r="EE36" s="123">
        <f t="shared" si="46"/>
        <v>2.8301303347814978E-2</v>
      </c>
      <c r="EG36" s="157">
        <f t="shared" si="47"/>
        <v>0</v>
      </c>
      <c r="EH36" s="122">
        <f t="shared" si="48"/>
        <v>0</v>
      </c>
      <c r="EI36" s="123">
        <f t="shared" si="49"/>
        <v>0</v>
      </c>
      <c r="EJ36" s="123"/>
      <c r="EK36" s="157">
        <f t="shared" si="50"/>
        <v>489125000</v>
      </c>
      <c r="EL36" s="157">
        <f t="shared" si="51"/>
        <v>0</v>
      </c>
      <c r="EM36" s="157">
        <f t="shared" si="52"/>
        <v>38452.430555555555</v>
      </c>
      <c r="EN36" s="123">
        <f t="shared" si="53"/>
        <v>2.8301303347814978E-2</v>
      </c>
      <c r="EP36" s="122"/>
    </row>
    <row r="37" spans="1:146" x14ac:dyDescent="0.25">
      <c r="A37" s="66">
        <f t="shared" si="54"/>
        <v>43523</v>
      </c>
      <c r="D37" s="122">
        <f t="shared" si="3"/>
        <v>0</v>
      </c>
      <c r="G37" s="122">
        <f t="shared" si="4"/>
        <v>0</v>
      </c>
      <c r="J37" s="122">
        <f t="shared" si="5"/>
        <v>0</v>
      </c>
      <c r="M37" s="122">
        <f t="shared" si="6"/>
        <v>0</v>
      </c>
      <c r="P37" s="122">
        <f t="shared" si="7"/>
        <v>0</v>
      </c>
      <c r="S37" s="122">
        <f t="shared" si="8"/>
        <v>0</v>
      </c>
      <c r="V37" s="122">
        <f t="shared" si="9"/>
        <v>0</v>
      </c>
      <c r="Y37" s="122">
        <f t="shared" si="10"/>
        <v>0</v>
      </c>
      <c r="AB37" s="122">
        <f t="shared" si="11"/>
        <v>0</v>
      </c>
      <c r="AE37" s="122">
        <v>0</v>
      </c>
      <c r="AH37" s="122">
        <v>0</v>
      </c>
      <c r="AI37" s="155">
        <f>45000000</f>
        <v>45000000</v>
      </c>
      <c r="AJ37" s="156">
        <v>2.7E-2</v>
      </c>
      <c r="AK37" s="122">
        <f t="shared" si="12"/>
        <v>3375</v>
      </c>
      <c r="AL37" s="155"/>
      <c r="AM37" s="156"/>
      <c r="AN37" s="122">
        <f t="shared" si="13"/>
        <v>0</v>
      </c>
      <c r="AO37" s="155"/>
      <c r="AP37" s="156"/>
      <c r="AQ37" s="122">
        <f t="shared" si="14"/>
        <v>0</v>
      </c>
      <c r="AR37" s="155">
        <f t="shared" si="55"/>
        <v>30000000</v>
      </c>
      <c r="AS37" s="156">
        <v>2.8299999999999999E-2</v>
      </c>
      <c r="AT37" s="122">
        <f t="shared" si="15"/>
        <v>2358.3333333333335</v>
      </c>
      <c r="AU37" s="155">
        <f t="shared" si="2"/>
        <v>375000000</v>
      </c>
      <c r="AV37" s="156">
        <v>2.8500000000000001E-2</v>
      </c>
      <c r="AW37" s="122">
        <f t="shared" si="16"/>
        <v>29687.5</v>
      </c>
      <c r="AX37" s="155">
        <f t="shared" si="56"/>
        <v>35000000</v>
      </c>
      <c r="AY37" s="156">
        <v>2.8000000000000001E-2</v>
      </c>
      <c r="AZ37" s="122">
        <f t="shared" si="17"/>
        <v>2722.2222222222222</v>
      </c>
      <c r="BC37" s="122">
        <f t="shared" si="18"/>
        <v>0</v>
      </c>
      <c r="BF37" s="122">
        <f t="shared" si="19"/>
        <v>0</v>
      </c>
      <c r="BI37" s="122">
        <f t="shared" si="20"/>
        <v>0</v>
      </c>
      <c r="BL37" s="122">
        <f t="shared" si="21"/>
        <v>0</v>
      </c>
      <c r="BO37" s="122">
        <f t="shared" si="22"/>
        <v>0</v>
      </c>
      <c r="BR37" s="122">
        <f t="shared" si="23"/>
        <v>0</v>
      </c>
      <c r="BU37" s="122">
        <f t="shared" si="24"/>
        <v>0</v>
      </c>
      <c r="BX37" s="122">
        <f t="shared" si="25"/>
        <v>0</v>
      </c>
      <c r="CA37" s="122">
        <f t="shared" si="26"/>
        <v>0</v>
      </c>
      <c r="CD37" s="122">
        <f t="shared" si="27"/>
        <v>0</v>
      </c>
      <c r="CG37" s="122">
        <f t="shared" si="28"/>
        <v>0</v>
      </c>
      <c r="CJ37" s="122">
        <f t="shared" si="29"/>
        <v>0</v>
      </c>
      <c r="CM37" s="122">
        <f t="shared" si="30"/>
        <v>0</v>
      </c>
      <c r="CP37" s="122">
        <f t="shared" si="31"/>
        <v>0</v>
      </c>
      <c r="CS37" s="122">
        <f t="shared" si="32"/>
        <v>0</v>
      </c>
      <c r="CV37" s="122">
        <f t="shared" si="33"/>
        <v>0</v>
      </c>
      <c r="CY37" s="122">
        <f t="shared" si="34"/>
        <v>0</v>
      </c>
      <c r="DB37" s="122">
        <f t="shared" si="35"/>
        <v>0</v>
      </c>
      <c r="DE37" s="122">
        <f t="shared" si="36"/>
        <v>0</v>
      </c>
      <c r="DH37" s="122">
        <f t="shared" si="37"/>
        <v>0</v>
      </c>
      <c r="DK37" s="122">
        <f t="shared" si="38"/>
        <v>0</v>
      </c>
      <c r="DN37" s="122">
        <f t="shared" si="39"/>
        <v>0</v>
      </c>
      <c r="DQ37" s="122">
        <f t="shared" si="40"/>
        <v>0</v>
      </c>
      <c r="DT37" s="122">
        <f t="shared" si="41"/>
        <v>0</v>
      </c>
      <c r="DW37" s="122">
        <f t="shared" si="42"/>
        <v>0</v>
      </c>
      <c r="DZ37" s="122"/>
      <c r="EA37" s="122"/>
      <c r="EB37" s="157">
        <f t="shared" si="43"/>
        <v>485000000</v>
      </c>
      <c r="EC37" s="157">
        <f t="shared" si="44"/>
        <v>0</v>
      </c>
      <c r="ED37" s="122">
        <f t="shared" si="45"/>
        <v>38143.055555555555</v>
      </c>
      <c r="EE37" s="123">
        <f t="shared" si="46"/>
        <v>2.8312371134020617E-2</v>
      </c>
      <c r="EG37" s="157">
        <f t="shared" si="47"/>
        <v>0</v>
      </c>
      <c r="EH37" s="122">
        <f t="shared" si="48"/>
        <v>0</v>
      </c>
      <c r="EI37" s="123">
        <f t="shared" si="49"/>
        <v>0</v>
      </c>
      <c r="EJ37" s="123"/>
      <c r="EK37" s="157">
        <f t="shared" si="50"/>
        <v>485000000</v>
      </c>
      <c r="EL37" s="157">
        <f t="shared" si="51"/>
        <v>0</v>
      </c>
      <c r="EM37" s="157">
        <f t="shared" si="52"/>
        <v>38143.055555555555</v>
      </c>
      <c r="EN37" s="123">
        <f t="shared" si="53"/>
        <v>2.8312371134020617E-2</v>
      </c>
      <c r="EP37" s="122"/>
    </row>
    <row r="38" spans="1:146" x14ac:dyDescent="0.25">
      <c r="A38" s="66">
        <f t="shared" si="54"/>
        <v>43524</v>
      </c>
      <c r="D38" s="122">
        <f t="shared" si="3"/>
        <v>0</v>
      </c>
      <c r="G38" s="122">
        <f t="shared" si="4"/>
        <v>0</v>
      </c>
      <c r="J38" s="122">
        <f t="shared" si="5"/>
        <v>0</v>
      </c>
      <c r="M38" s="122">
        <f t="shared" si="6"/>
        <v>0</v>
      </c>
      <c r="P38" s="122">
        <f t="shared" si="7"/>
        <v>0</v>
      </c>
      <c r="S38" s="122">
        <f t="shared" si="8"/>
        <v>0</v>
      </c>
      <c r="V38" s="122">
        <f t="shared" si="9"/>
        <v>0</v>
      </c>
      <c r="Y38" s="122">
        <f t="shared" si="10"/>
        <v>0</v>
      </c>
      <c r="AB38" s="122">
        <f t="shared" si="11"/>
        <v>0</v>
      </c>
      <c r="AE38" s="122">
        <v>0</v>
      </c>
      <c r="AH38" s="122">
        <v>0</v>
      </c>
      <c r="AI38" s="155">
        <f>55025000</f>
        <v>55025000</v>
      </c>
      <c r="AJ38" s="156">
        <v>2.7E-2</v>
      </c>
      <c r="AK38" s="122">
        <f t="shared" si="12"/>
        <v>4126.875</v>
      </c>
      <c r="AL38" s="155"/>
      <c r="AM38" s="156"/>
      <c r="AN38" s="122">
        <f t="shared" si="13"/>
        <v>0</v>
      </c>
      <c r="AO38" s="155"/>
      <c r="AP38" s="156"/>
      <c r="AQ38" s="122">
        <f t="shared" si="14"/>
        <v>0</v>
      </c>
      <c r="AR38" s="155">
        <f t="shared" si="55"/>
        <v>30000000</v>
      </c>
      <c r="AS38" s="156">
        <v>2.8299999999999999E-2</v>
      </c>
      <c r="AT38" s="122">
        <f t="shared" si="15"/>
        <v>2358.3333333333335</v>
      </c>
      <c r="AU38" s="155">
        <f t="shared" si="2"/>
        <v>375000000</v>
      </c>
      <c r="AV38" s="156">
        <v>2.8500000000000001E-2</v>
      </c>
      <c r="AW38" s="122">
        <f t="shared" si="16"/>
        <v>29687.5</v>
      </c>
      <c r="AX38" s="155">
        <f t="shared" si="56"/>
        <v>35000000</v>
      </c>
      <c r="AY38" s="156">
        <v>2.8000000000000001E-2</v>
      </c>
      <c r="AZ38" s="122">
        <f t="shared" si="17"/>
        <v>2722.2222222222222</v>
      </c>
      <c r="BC38" s="122">
        <f t="shared" si="18"/>
        <v>0</v>
      </c>
      <c r="BF38" s="122">
        <f t="shared" si="19"/>
        <v>0</v>
      </c>
      <c r="BI38" s="122">
        <f t="shared" si="20"/>
        <v>0</v>
      </c>
      <c r="BL38" s="122">
        <f t="shared" si="21"/>
        <v>0</v>
      </c>
      <c r="BO38" s="122">
        <f t="shared" si="22"/>
        <v>0</v>
      </c>
      <c r="BR38" s="122">
        <f t="shared" si="23"/>
        <v>0</v>
      </c>
      <c r="BU38" s="122">
        <f t="shared" si="24"/>
        <v>0</v>
      </c>
      <c r="BX38" s="122">
        <f t="shared" si="25"/>
        <v>0</v>
      </c>
      <c r="CA38" s="122">
        <f t="shared" si="26"/>
        <v>0</v>
      </c>
      <c r="CD38" s="122">
        <f t="shared" si="27"/>
        <v>0</v>
      </c>
      <c r="CG38" s="122">
        <f t="shared" si="28"/>
        <v>0</v>
      </c>
      <c r="CJ38" s="122">
        <f t="shared" si="29"/>
        <v>0</v>
      </c>
      <c r="CM38" s="122">
        <f t="shared" si="30"/>
        <v>0</v>
      </c>
      <c r="CP38" s="122">
        <f t="shared" si="31"/>
        <v>0</v>
      </c>
      <c r="CS38" s="122">
        <f t="shared" si="32"/>
        <v>0</v>
      </c>
      <c r="CV38" s="122">
        <f t="shared" si="33"/>
        <v>0</v>
      </c>
      <c r="CY38" s="122">
        <f t="shared" si="34"/>
        <v>0</v>
      </c>
      <c r="DB38" s="122">
        <f t="shared" si="35"/>
        <v>0</v>
      </c>
      <c r="DE38" s="122">
        <f t="shared" si="36"/>
        <v>0</v>
      </c>
      <c r="DH38" s="122">
        <f t="shared" si="37"/>
        <v>0</v>
      </c>
      <c r="DK38" s="122">
        <f t="shared" si="38"/>
        <v>0</v>
      </c>
      <c r="DN38" s="122">
        <f t="shared" si="39"/>
        <v>0</v>
      </c>
      <c r="DQ38" s="122">
        <f t="shared" si="40"/>
        <v>0</v>
      </c>
      <c r="DT38" s="122">
        <f t="shared" si="41"/>
        <v>0</v>
      </c>
      <c r="DW38" s="122">
        <f t="shared" si="42"/>
        <v>0</v>
      </c>
      <c r="DZ38" s="122"/>
      <c r="EA38" s="122"/>
      <c r="EB38" s="157">
        <f t="shared" si="43"/>
        <v>495025000</v>
      </c>
      <c r="EC38" s="157">
        <f t="shared" si="44"/>
        <v>0</v>
      </c>
      <c r="ED38" s="122">
        <f t="shared" si="45"/>
        <v>38894.930555555555</v>
      </c>
      <c r="EE38" s="123">
        <f t="shared" si="46"/>
        <v>2.8285793646785514E-2</v>
      </c>
      <c r="EG38" s="157">
        <f t="shared" si="47"/>
        <v>0</v>
      </c>
      <c r="EH38" s="122">
        <f t="shared" si="48"/>
        <v>0</v>
      </c>
      <c r="EI38" s="123">
        <f t="shared" si="49"/>
        <v>0</v>
      </c>
      <c r="EJ38" s="123"/>
      <c r="EK38" s="157">
        <f t="shared" si="50"/>
        <v>495025000</v>
      </c>
      <c r="EL38" s="157">
        <f t="shared" si="51"/>
        <v>0</v>
      </c>
      <c r="EM38" s="157">
        <f t="shared" si="52"/>
        <v>38894.930555555555</v>
      </c>
      <c r="EN38" s="123">
        <f t="shared" si="53"/>
        <v>2.8285793646785514E-2</v>
      </c>
      <c r="EP38" s="122"/>
    </row>
    <row r="39" spans="1:146" x14ac:dyDescent="0.25">
      <c r="A39" s="158" t="s">
        <v>238</v>
      </c>
      <c r="D39" s="159">
        <f>SUM(D11:D38)</f>
        <v>0</v>
      </c>
      <c r="G39" s="159">
        <f>SUM(G11:G38)</f>
        <v>0</v>
      </c>
      <c r="J39" s="159">
        <f>SUM(J11:J38)</f>
        <v>0</v>
      </c>
      <c r="M39" s="159">
        <f>SUM(M11:M38)</f>
        <v>0</v>
      </c>
      <c r="P39" s="159">
        <f>SUM(P11:P38)</f>
        <v>0</v>
      </c>
      <c r="S39" s="159">
        <f>SUM(S11:S38)</f>
        <v>0</v>
      </c>
      <c r="V39" s="159">
        <f>SUM(V11:V38)</f>
        <v>0</v>
      </c>
      <c r="Y39" s="159">
        <f>SUM(Y11:Y38)</f>
        <v>0</v>
      </c>
      <c r="AB39" s="159">
        <f>SUM(AB11:AB38)</f>
        <v>0</v>
      </c>
      <c r="AE39" s="159">
        <f>SUM(AE11:AE38)</f>
        <v>0</v>
      </c>
      <c r="AH39" s="159">
        <f>SUM(AH11:AH38)</f>
        <v>0</v>
      </c>
      <c r="AK39" s="159">
        <f>SUM(AK11:AK38)</f>
        <v>100395</v>
      </c>
      <c r="AN39" s="159">
        <f>SUM(AN11:AN38)</f>
        <v>33833.333333333336</v>
      </c>
      <c r="AQ39" s="159">
        <f>SUM(AQ11:AQ38)</f>
        <v>53263.888888888876</v>
      </c>
      <c r="AT39" s="159">
        <f>SUM(AT11:AT38)</f>
        <v>68975.000000000015</v>
      </c>
      <c r="AW39" s="159">
        <f>SUM(AW11:AW38)</f>
        <v>831250</v>
      </c>
      <c r="AZ39" s="159">
        <f>SUM(AZ11:AZ38)</f>
        <v>40833.333333333328</v>
      </c>
      <c r="BC39" s="159">
        <f>SUM(BC11:BC38)</f>
        <v>0</v>
      </c>
      <c r="BF39" s="159">
        <f>SUM(BF11:BF38)</f>
        <v>0</v>
      </c>
      <c r="BI39" s="159">
        <f>SUM(BI11:BI38)</f>
        <v>0</v>
      </c>
      <c r="BL39" s="159">
        <f>SUM(BL11:BL38)</f>
        <v>0</v>
      </c>
      <c r="BO39" s="159">
        <f>SUM(BO11:BO38)</f>
        <v>0</v>
      </c>
      <c r="BR39" s="159">
        <f>SUM(BR11:BR38)</f>
        <v>0</v>
      </c>
      <c r="BU39" s="159">
        <f>SUM(BU11:BU38)</f>
        <v>0</v>
      </c>
      <c r="BX39" s="159">
        <f>SUM(BX11:BX38)</f>
        <v>0</v>
      </c>
      <c r="CA39" s="159">
        <f>SUM(CA11:CA38)</f>
        <v>0</v>
      </c>
      <c r="CD39" s="159">
        <f>SUM(CD11:CD38)</f>
        <v>0</v>
      </c>
      <c r="CG39" s="159">
        <f>SUM(CG11:CG38)</f>
        <v>0</v>
      </c>
      <c r="CJ39" s="159">
        <f>SUM(CJ11:CJ38)</f>
        <v>0</v>
      </c>
      <c r="CM39" s="159">
        <f>SUM(CM11:CM38)</f>
        <v>0</v>
      </c>
      <c r="CP39" s="159">
        <f>SUM(CP11:CP38)</f>
        <v>0</v>
      </c>
      <c r="CS39" s="159">
        <f>SUM(CS11:CS38)</f>
        <v>0</v>
      </c>
      <c r="CV39" s="159">
        <f>SUM(CV11:CV38)</f>
        <v>0</v>
      </c>
      <c r="CY39" s="159">
        <f>SUM(CY11:CY38)</f>
        <v>0</v>
      </c>
      <c r="DB39" s="159">
        <f>SUM(DB11:DB38)</f>
        <v>0</v>
      </c>
      <c r="DE39" s="159">
        <f>SUM(DE11:DE38)</f>
        <v>0</v>
      </c>
      <c r="DH39" s="159">
        <f>SUM(DH11:DH38)</f>
        <v>0</v>
      </c>
      <c r="DK39" s="159">
        <f>SUM(DK11:DK38)</f>
        <v>0</v>
      </c>
      <c r="DN39" s="159">
        <f>SUM(DN11:DN38)</f>
        <v>0</v>
      </c>
      <c r="DQ39" s="159">
        <f>SUM(DQ11:DQ38)</f>
        <v>0</v>
      </c>
      <c r="DT39" s="159">
        <f>SUM(DT11:DT38)</f>
        <v>0</v>
      </c>
      <c r="DW39" s="159">
        <f>SUM(DW11:DW38)</f>
        <v>0</v>
      </c>
      <c r="DZ39" s="120"/>
      <c r="EA39" s="120"/>
      <c r="EB39" s="122"/>
      <c r="EC39" s="122"/>
      <c r="ED39" s="159">
        <f>SUM(ED11:ED38)</f>
        <v>1128550.555555555</v>
      </c>
      <c r="EE39" s="123"/>
      <c r="EG39" s="122"/>
      <c r="EH39" s="159">
        <f>SUM(EH11:EH38)</f>
        <v>0</v>
      </c>
      <c r="EI39" s="123"/>
      <c r="EJ39" s="123"/>
      <c r="EK39" s="122"/>
      <c r="EL39" s="122"/>
      <c r="EM39" s="159">
        <f>SUM(EM11:EM38)</f>
        <v>1128550.555555555</v>
      </c>
      <c r="EN39" s="123"/>
    </row>
    <row r="42" spans="1:146" x14ac:dyDescent="0.25">
      <c r="EM42" s="160"/>
    </row>
    <row r="44" spans="1:146" x14ac:dyDescent="0.25">
      <c r="EM44" s="1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6"/>
  <sheetViews>
    <sheetView workbookViewId="0">
      <selection activeCell="AM29" sqref="AM29"/>
    </sheetView>
  </sheetViews>
  <sheetFormatPr defaultRowHeight="15" x14ac:dyDescent="0.25"/>
  <cols>
    <col min="1" max="1" width="14.5703125" bestFit="1" customWidth="1"/>
    <col min="2" max="2" width="15.5703125" style="122" bestFit="1" customWidth="1"/>
    <col min="3" max="3" width="15.42578125" style="123" bestFit="1" customWidth="1"/>
    <col min="4" max="4" width="15.42578125" bestFit="1" customWidth="1"/>
    <col min="5" max="5" width="15.5703125" style="122" bestFit="1" customWidth="1"/>
    <col min="6" max="6" width="12.28515625" style="123" bestFit="1" customWidth="1"/>
    <col min="7" max="7" width="15.42578125" bestFit="1" customWidth="1"/>
    <col min="8" max="8" width="15.42578125" style="122" hidden="1" customWidth="1"/>
    <col min="9" max="9" width="10.28515625" style="123" hidden="1" customWidth="1"/>
    <col min="10" max="10" width="13.42578125" hidden="1" customWidth="1"/>
    <col min="11" max="11" width="14.42578125" style="122" hidden="1" customWidth="1"/>
    <col min="12" max="12" width="10.28515625" style="123" hidden="1" customWidth="1"/>
    <col min="13" max="13" width="11.7109375" hidden="1" customWidth="1"/>
    <col min="14" max="14" width="14.42578125" style="122" hidden="1" customWidth="1"/>
    <col min="15" max="15" width="10.28515625" style="123" hidden="1" customWidth="1"/>
    <col min="16" max="16" width="11.7109375" hidden="1" customWidth="1"/>
    <col min="17" max="17" width="15.42578125" style="122" hidden="1" customWidth="1"/>
    <col min="18" max="18" width="10.28515625" style="123" hidden="1" customWidth="1"/>
    <col min="19" max="19" width="11.7109375" hidden="1" customWidth="1"/>
    <col min="20" max="20" width="15.42578125" style="122" hidden="1" customWidth="1"/>
    <col min="21" max="21" width="10.28515625" style="123" hidden="1" customWidth="1"/>
    <col min="22" max="22" width="11.7109375" hidden="1" customWidth="1"/>
    <col min="23" max="23" width="15.42578125" style="122" hidden="1" customWidth="1"/>
    <col min="24" max="24" width="10.28515625" style="123" hidden="1" customWidth="1"/>
    <col min="25" max="25" width="11.7109375" hidden="1" customWidth="1"/>
    <col min="26" max="26" width="15.42578125" style="122" hidden="1" customWidth="1"/>
    <col min="27" max="27" width="10.28515625" style="123" hidden="1" customWidth="1"/>
    <col min="28" max="28" width="11.7109375" hidden="1" customWidth="1"/>
    <col min="29" max="29" width="15.42578125" style="122" hidden="1" customWidth="1"/>
    <col min="30" max="30" width="10.28515625" style="123" hidden="1" customWidth="1"/>
    <col min="31" max="31" width="11.7109375" hidden="1" customWidth="1"/>
    <col min="32" max="32" width="14.42578125" style="122" hidden="1" customWidth="1"/>
    <col min="33" max="33" width="10.28515625" style="123" hidden="1" customWidth="1"/>
    <col min="34" max="34" width="10.7109375" hidden="1" customWidth="1"/>
    <col min="35" max="35" width="14.42578125" style="122" customWidth="1"/>
    <col min="36" max="36" width="10.28515625" style="123" customWidth="1"/>
    <col min="37" max="37" width="11.7109375" bestFit="1" customWidth="1"/>
    <col min="38" max="38" width="14.42578125" style="122" customWidth="1"/>
    <col min="39" max="39" width="10.28515625" style="123" customWidth="1"/>
    <col min="40" max="40" width="10.7109375" customWidth="1"/>
    <col min="41" max="41" width="15.42578125" style="122" bestFit="1" customWidth="1"/>
    <col min="42" max="42" width="12.28515625" style="123" bestFit="1" customWidth="1"/>
    <col min="43" max="43" width="11.7109375" bestFit="1" customWidth="1"/>
    <col min="44" max="44" width="15.42578125" style="122" bestFit="1" customWidth="1"/>
    <col min="45" max="45" width="10.28515625" style="123" bestFit="1" customWidth="1"/>
    <col min="46" max="46" width="11.7109375" bestFit="1" customWidth="1"/>
    <col min="47" max="47" width="14.42578125" style="122" customWidth="1"/>
    <col min="48" max="48" width="10.28515625" style="123" customWidth="1"/>
    <col min="49" max="49" width="10.7109375" customWidth="1"/>
    <col min="50" max="50" width="14.42578125" style="122" customWidth="1"/>
    <col min="51" max="51" width="10.28515625" style="123" customWidth="1"/>
    <col min="52" max="52" width="10.7109375" customWidth="1"/>
    <col min="53" max="53" width="14.42578125" style="122" customWidth="1"/>
    <col min="54" max="54" width="10.28515625" style="123" customWidth="1"/>
    <col min="55" max="55" width="10.7109375" customWidth="1"/>
    <col min="56" max="56" width="14.42578125" style="122" customWidth="1"/>
    <col min="57" max="57" width="10.28515625" style="123" customWidth="1"/>
    <col min="58" max="58" width="10.7109375" customWidth="1"/>
    <col min="59" max="59" width="14.42578125" style="122" customWidth="1"/>
    <col min="60" max="60" width="10.28515625" style="123" customWidth="1"/>
    <col min="61" max="61" width="10.7109375" customWidth="1"/>
    <col min="62" max="62" width="14.42578125" style="122" customWidth="1"/>
    <col min="63" max="63" width="10.28515625" style="123" customWidth="1"/>
    <col min="64" max="64" width="10.7109375" customWidth="1"/>
    <col min="65" max="65" width="14.42578125" style="122" hidden="1" customWidth="1"/>
    <col min="66" max="66" width="10.28515625" style="123" hidden="1" customWidth="1"/>
    <col min="67" max="67" width="10.7109375" hidden="1" customWidth="1"/>
    <col min="68" max="68" width="14.42578125" style="122" hidden="1" customWidth="1"/>
    <col min="69" max="69" width="10.28515625" style="123" hidden="1" customWidth="1"/>
    <col min="70" max="70" width="10.7109375" hidden="1" customWidth="1"/>
    <col min="71" max="71" width="14.42578125" style="122" hidden="1" customWidth="1"/>
    <col min="72" max="72" width="10.28515625" style="123" hidden="1" customWidth="1"/>
    <col min="73" max="73" width="10.7109375" hidden="1" customWidth="1"/>
    <col min="74" max="74" width="14.42578125" style="122" hidden="1" customWidth="1"/>
    <col min="75" max="75" width="10.28515625" style="123" hidden="1" customWidth="1"/>
    <col min="76" max="76" width="10.7109375" hidden="1" customWidth="1"/>
    <col min="77" max="77" width="14.42578125" style="122" hidden="1" customWidth="1"/>
    <col min="78" max="78" width="10.28515625" style="123" hidden="1" customWidth="1"/>
    <col min="79" max="79" width="10.7109375" hidden="1" customWidth="1"/>
    <col min="80" max="80" width="14.42578125" style="122" hidden="1" customWidth="1"/>
    <col min="81" max="81" width="10.28515625" style="123" hidden="1" customWidth="1"/>
    <col min="82" max="82" width="10.7109375" hidden="1" customWidth="1"/>
    <col min="83" max="83" width="14.42578125" style="122" hidden="1" customWidth="1"/>
    <col min="84" max="84" width="10.28515625" style="123" hidden="1" customWidth="1"/>
    <col min="85" max="85" width="10.7109375" hidden="1" customWidth="1"/>
    <col min="86" max="86" width="14.42578125" style="122" hidden="1" customWidth="1"/>
    <col min="87" max="87" width="10.28515625" style="123" hidden="1" customWidth="1"/>
    <col min="88" max="88" width="10.7109375" hidden="1" customWidth="1"/>
    <col min="89" max="89" width="14.42578125" style="122" hidden="1" customWidth="1"/>
    <col min="90" max="90" width="10.28515625" style="123" hidden="1" customWidth="1"/>
    <col min="91" max="91" width="10.7109375" hidden="1" customWidth="1"/>
    <col min="92" max="92" width="14.42578125" style="122" hidden="1" customWidth="1"/>
    <col min="93" max="93" width="10.28515625" style="123" hidden="1" customWidth="1"/>
    <col min="94" max="94" width="10.7109375" hidden="1" customWidth="1"/>
    <col min="95" max="95" width="14.42578125" style="122" hidden="1" customWidth="1"/>
    <col min="96" max="96" width="10.28515625" style="123" hidden="1" customWidth="1"/>
    <col min="97" max="97" width="10.7109375" hidden="1" customWidth="1"/>
    <col min="98" max="98" width="14.42578125" style="122" hidden="1" customWidth="1"/>
    <col min="99" max="99" width="10.28515625" style="123" hidden="1" customWidth="1"/>
    <col min="100" max="100" width="10.7109375" hidden="1" customWidth="1"/>
    <col min="101" max="101" width="14.42578125" style="122" hidden="1" customWidth="1"/>
    <col min="102" max="102" width="10.28515625" style="123" hidden="1" customWidth="1"/>
    <col min="103" max="103" width="10.7109375" hidden="1" customWidth="1"/>
    <col min="104" max="104" width="14.42578125" style="122" hidden="1" customWidth="1"/>
    <col min="105" max="105" width="10.28515625" style="123" hidden="1" customWidth="1"/>
    <col min="106" max="106" width="10.7109375" hidden="1" customWidth="1"/>
    <col min="107" max="107" width="14.42578125" style="122" hidden="1" customWidth="1"/>
    <col min="108" max="108" width="10.28515625" style="123" hidden="1" customWidth="1"/>
    <col min="109" max="109" width="10.7109375" hidden="1" customWidth="1"/>
    <col min="110" max="110" width="14.42578125" style="122" hidden="1" customWidth="1"/>
    <col min="111" max="111" width="10.28515625" style="123" hidden="1" customWidth="1"/>
    <col min="112" max="112" width="10.7109375" hidden="1" customWidth="1"/>
    <col min="113" max="113" width="14.42578125" style="122" hidden="1" customWidth="1"/>
    <col min="114" max="114" width="10.28515625" style="123" hidden="1" customWidth="1"/>
    <col min="115" max="115" width="10.7109375" hidden="1" customWidth="1"/>
    <col min="116" max="116" width="14.42578125" style="122" hidden="1" customWidth="1"/>
    <col min="117" max="117" width="10.28515625" style="123" hidden="1" customWidth="1"/>
    <col min="118" max="118" width="10.7109375" hidden="1" customWidth="1"/>
    <col min="119" max="119" width="14.42578125" style="122" hidden="1" customWidth="1"/>
    <col min="120" max="120" width="10.28515625" style="123" hidden="1" customWidth="1"/>
    <col min="121" max="121" width="10.7109375" hidden="1" customWidth="1"/>
    <col min="122" max="122" width="14.42578125" style="122" hidden="1" customWidth="1"/>
    <col min="123" max="123" width="10.28515625" style="123" hidden="1" customWidth="1"/>
    <col min="124" max="124" width="10.7109375" hidden="1" customWidth="1"/>
    <col min="125" max="125" width="14.42578125" style="122" hidden="1" customWidth="1"/>
    <col min="126" max="126" width="10.28515625" style="123" hidden="1" customWidth="1"/>
    <col min="127" max="127" width="10.7109375" hidden="1" customWidth="1"/>
    <col min="128" max="128" width="14.42578125" style="122" hidden="1" customWidth="1"/>
    <col min="129" max="129" width="10.28515625" style="123" hidden="1" customWidth="1"/>
    <col min="130" max="130" width="10.7109375" hidden="1" customWidth="1"/>
    <col min="131" max="131" width="2.7109375" customWidth="1"/>
    <col min="132" max="132" width="15.42578125" bestFit="1" customWidth="1"/>
    <col min="133" max="133" width="15.42578125" hidden="1" customWidth="1"/>
    <col min="134" max="134" width="14.42578125" bestFit="1" customWidth="1"/>
    <col min="135" max="135" width="17.7109375" bestFit="1" customWidth="1"/>
    <col min="136" max="136" width="2.7109375" customWidth="1"/>
    <col min="137" max="137" width="15.42578125" hidden="1" customWidth="1"/>
    <col min="138" max="138" width="14.42578125" hidden="1" customWidth="1"/>
    <col min="139" max="139" width="12.42578125" hidden="1" customWidth="1"/>
    <col min="140" max="140" width="2.7109375" hidden="1" customWidth="1"/>
    <col min="141" max="141" width="15.42578125" bestFit="1" customWidth="1"/>
    <col min="142" max="142" width="15.42578125" hidden="1" customWidth="1"/>
    <col min="143" max="143" width="14.42578125" bestFit="1" customWidth="1"/>
    <col min="144" max="144" width="15.42578125" bestFit="1" customWidth="1"/>
    <col min="145" max="145" width="42.85546875" bestFit="1" customWidth="1"/>
    <col min="146" max="146" width="15.28515625" bestFit="1" customWidth="1"/>
    <col min="147" max="147" width="23.140625" bestFit="1" customWidth="1"/>
  </cols>
  <sheetData>
    <row r="1" spans="1:147" s="115" customFormat="1" ht="15.75" x14ac:dyDescent="0.25">
      <c r="A1" s="112" t="s">
        <v>0</v>
      </c>
      <c r="B1" s="113"/>
      <c r="C1" s="114"/>
      <c r="E1" s="113"/>
      <c r="F1" s="114"/>
      <c r="H1" s="113"/>
      <c r="I1" s="114"/>
      <c r="K1" s="113"/>
      <c r="L1" s="114"/>
      <c r="N1" s="113"/>
      <c r="O1" s="114"/>
      <c r="Q1" s="113"/>
      <c r="R1" s="114"/>
      <c r="T1" s="113"/>
      <c r="U1" s="114"/>
      <c r="W1" s="113"/>
      <c r="X1" s="114"/>
      <c r="Z1" s="113"/>
      <c r="AA1" s="114"/>
      <c r="AC1" s="113"/>
      <c r="AD1" s="114"/>
      <c r="AF1" s="113"/>
      <c r="AG1" s="114"/>
      <c r="AI1" s="113"/>
      <c r="AJ1" s="114"/>
      <c r="AL1" s="113"/>
      <c r="AM1" s="114"/>
      <c r="AO1" s="113"/>
      <c r="AP1" s="114"/>
      <c r="AR1" s="113"/>
      <c r="AS1" s="114"/>
      <c r="AU1" s="113"/>
      <c r="AV1" s="114"/>
      <c r="AX1" s="113"/>
      <c r="AY1" s="114"/>
      <c r="BA1" s="113"/>
      <c r="BB1" s="114"/>
      <c r="BD1" s="113"/>
      <c r="BE1" s="114"/>
      <c r="BG1" s="113"/>
      <c r="BH1" s="114"/>
      <c r="BJ1" s="113"/>
      <c r="BK1" s="114"/>
      <c r="BM1" s="113"/>
      <c r="BN1" s="114"/>
      <c r="BP1" s="113"/>
      <c r="BQ1" s="114"/>
      <c r="BS1" s="113"/>
      <c r="BT1" s="114"/>
      <c r="BV1" s="113"/>
      <c r="BW1" s="114"/>
      <c r="BY1" s="113"/>
      <c r="BZ1" s="114"/>
      <c r="CB1" s="113"/>
      <c r="CC1" s="114"/>
      <c r="CE1" s="113"/>
      <c r="CF1" s="114"/>
      <c r="CH1" s="113"/>
      <c r="CI1" s="114"/>
      <c r="CK1" s="113"/>
      <c r="CL1" s="114"/>
      <c r="CN1" s="113"/>
      <c r="CO1" s="114"/>
      <c r="CQ1" s="113"/>
      <c r="CR1" s="114"/>
      <c r="CT1" s="113"/>
      <c r="CU1" s="114"/>
      <c r="CW1" s="113"/>
      <c r="CX1" s="114"/>
      <c r="CZ1" s="113"/>
      <c r="DA1" s="114"/>
      <c r="DC1" s="113"/>
      <c r="DD1" s="114"/>
      <c r="DF1" s="113"/>
      <c r="DG1" s="114"/>
      <c r="DI1" s="113"/>
      <c r="DJ1" s="114"/>
      <c r="DL1" s="113"/>
      <c r="DM1" s="114"/>
      <c r="DO1" s="113"/>
      <c r="DP1" s="114"/>
      <c r="DR1" s="113"/>
      <c r="DS1" s="114"/>
      <c r="DU1" s="113"/>
      <c r="DV1" s="114"/>
      <c r="DX1" s="113"/>
      <c r="DY1" s="114"/>
      <c r="DZ1" s="116"/>
      <c r="ED1" s="117"/>
      <c r="EE1" s="118" t="s">
        <v>257</v>
      </c>
      <c r="EI1" s="117" t="s">
        <v>258</v>
      </c>
      <c r="EM1" s="117"/>
      <c r="EN1" s="117" t="s">
        <v>259</v>
      </c>
      <c r="EO1" s="112" t="s">
        <v>260</v>
      </c>
      <c r="EP1" s="112" t="s">
        <v>261</v>
      </c>
      <c r="EQ1" s="112" t="s">
        <v>262</v>
      </c>
    </row>
    <row r="2" spans="1:147" s="115" customFormat="1" ht="16.5" thickBot="1" x14ac:dyDescent="0.3">
      <c r="A2" s="112" t="s">
        <v>263</v>
      </c>
      <c r="B2" s="113"/>
      <c r="C2" s="114"/>
      <c r="E2" s="119"/>
      <c r="F2" s="114"/>
      <c r="G2" s="117"/>
      <c r="H2" s="113"/>
      <c r="I2" s="114"/>
      <c r="K2" s="113"/>
      <c r="L2" s="114"/>
      <c r="N2" s="113"/>
      <c r="O2" s="114"/>
      <c r="Q2" s="113"/>
      <c r="R2" s="114"/>
      <c r="T2" s="113"/>
      <c r="U2" s="114"/>
      <c r="W2" s="113"/>
      <c r="X2" s="114"/>
      <c r="Z2" s="113"/>
      <c r="AA2" s="114"/>
      <c r="AC2" s="113"/>
      <c r="AD2" s="114"/>
      <c r="AF2" s="113"/>
      <c r="AG2" s="114"/>
      <c r="AI2" s="113"/>
      <c r="AJ2" s="114"/>
      <c r="AL2" s="113"/>
      <c r="AM2" s="114"/>
      <c r="AO2" s="113"/>
      <c r="AP2" s="114"/>
      <c r="AR2" s="113"/>
      <c r="AS2" s="114"/>
      <c r="AU2" s="113"/>
      <c r="AV2" s="114"/>
      <c r="AX2" s="113"/>
      <c r="AY2" s="114"/>
      <c r="BA2" s="113"/>
      <c r="BB2" s="114"/>
      <c r="BD2" s="113"/>
      <c r="BE2" s="114"/>
      <c r="BG2" s="113"/>
      <c r="BH2" s="114"/>
      <c r="BJ2" s="113"/>
      <c r="BK2" s="114"/>
      <c r="BM2" s="113"/>
      <c r="BN2" s="114"/>
      <c r="BP2" s="113"/>
      <c r="BQ2" s="114"/>
      <c r="BS2" s="113"/>
      <c r="BT2" s="114"/>
      <c r="BV2" s="113"/>
      <c r="BW2" s="114"/>
      <c r="BY2" s="113"/>
      <c r="BZ2" s="114"/>
      <c r="CB2" s="113"/>
      <c r="CC2" s="114"/>
      <c r="CE2" s="113"/>
      <c r="CF2" s="114"/>
      <c r="CH2" s="113"/>
      <c r="CI2" s="114"/>
      <c r="CK2" s="113"/>
      <c r="CL2" s="114"/>
      <c r="CN2" s="113"/>
      <c r="CO2" s="114"/>
      <c r="CQ2" s="113"/>
      <c r="CR2" s="114"/>
      <c r="CT2" s="113"/>
      <c r="CU2" s="114"/>
      <c r="CW2" s="113"/>
      <c r="CX2" s="114"/>
      <c r="CZ2" s="113"/>
      <c r="DA2" s="114"/>
      <c r="DC2" s="113"/>
      <c r="DD2" s="114"/>
      <c r="DF2" s="113"/>
      <c r="DG2" s="114"/>
      <c r="DI2" s="113"/>
      <c r="DJ2" s="114"/>
      <c r="DL2" s="113"/>
      <c r="DM2" s="114"/>
      <c r="DO2" s="113"/>
      <c r="DP2" s="114"/>
      <c r="DR2" s="113"/>
      <c r="DS2" s="114"/>
      <c r="DU2" s="113"/>
      <c r="DV2" s="114"/>
      <c r="DX2" s="113"/>
      <c r="DY2" s="114"/>
      <c r="EB2" s="54" t="s">
        <v>264</v>
      </c>
      <c r="EC2" s="54"/>
      <c r="ED2" s="120"/>
      <c r="EE2" s="120">
        <f>EB41</f>
        <v>54750000</v>
      </c>
      <c r="EI2" s="120">
        <f>EG40</f>
        <v>0</v>
      </c>
      <c r="EM2" s="120"/>
      <c r="EN2" s="120">
        <f>EK41</f>
        <v>54750000</v>
      </c>
      <c r="EO2" s="113">
        <v>0</v>
      </c>
      <c r="EP2" s="113">
        <v>0</v>
      </c>
      <c r="EQ2" s="113">
        <f>EE2+EO2</f>
        <v>54750000</v>
      </c>
    </row>
    <row r="3" spans="1:147" ht="16.5" thickTop="1" x14ac:dyDescent="0.25">
      <c r="A3" s="121" t="s">
        <v>335</v>
      </c>
      <c r="E3" s="124" t="s">
        <v>266</v>
      </c>
      <c r="F3" s="125"/>
      <c r="G3" s="126"/>
      <c r="EB3" s="54" t="s">
        <v>267</v>
      </c>
      <c r="EC3" s="54"/>
      <c r="ED3" s="120"/>
      <c r="EE3" s="120">
        <f>AVERAGE(EB11:EB41)</f>
        <v>116906451.61290322</v>
      </c>
      <c r="EI3" s="120">
        <f>AVERAGE(EG11:EG40)</f>
        <v>0</v>
      </c>
      <c r="EM3" s="120"/>
      <c r="EN3" s="120">
        <f>AVERAGE(EK11:EK41)</f>
        <v>116906451.61290322</v>
      </c>
    </row>
    <row r="4" spans="1:147" x14ac:dyDescent="0.25">
      <c r="D4" s="54"/>
      <c r="E4" s="130" t="s">
        <v>264</v>
      </c>
      <c r="F4" s="120"/>
      <c r="G4" s="131">
        <f>EQ2</f>
        <v>54750000</v>
      </c>
      <c r="AI4" s="132" t="s">
        <v>268</v>
      </c>
      <c r="EB4" s="54" t="s">
        <v>269</v>
      </c>
      <c r="EC4" s="54"/>
      <c r="ED4" s="128"/>
      <c r="EE4" s="128">
        <f>IF(EE3=0,0,360*(AVERAGE(ED11:ED41)/EE3))</f>
        <v>2.7878149057697078E-2</v>
      </c>
      <c r="EI4" s="128">
        <f>IF(EI3=0,0,360*(AVERAGE(EH11:EH40)/EI3))</f>
        <v>0</v>
      </c>
      <c r="EM4" s="128"/>
      <c r="EN4" s="128">
        <f>IF(EN3=0,0,360*(AVERAGE(EM11:EM41)/EN3))</f>
        <v>2.7878149057697078E-2</v>
      </c>
      <c r="EO4" s="133" t="s">
        <v>270</v>
      </c>
      <c r="EQ4" s="134" t="s">
        <v>268</v>
      </c>
    </row>
    <row r="5" spans="1:147" ht="15.75" x14ac:dyDescent="0.25">
      <c r="D5" s="54"/>
      <c r="E5" s="130" t="s">
        <v>267</v>
      </c>
      <c r="F5" s="120"/>
      <c r="G5" s="131">
        <f>EE3</f>
        <v>116906451.61290322</v>
      </c>
      <c r="AI5" s="135" t="s">
        <v>259</v>
      </c>
      <c r="EB5" s="136" t="s">
        <v>271</v>
      </c>
      <c r="EC5" s="136"/>
      <c r="ED5" s="120"/>
      <c r="EE5" s="120">
        <f>MAX(EB11:EB41)</f>
        <v>506375000</v>
      </c>
      <c r="EI5" s="120">
        <f>MAX(EG11:EG40)</f>
        <v>0</v>
      </c>
      <c r="EM5" s="120"/>
      <c r="EN5" s="120">
        <f>MAX(EK11:EK41)</f>
        <v>506375000</v>
      </c>
    </row>
    <row r="6" spans="1:147" x14ac:dyDescent="0.25">
      <c r="D6" s="54"/>
      <c r="E6" s="130" t="s">
        <v>269</v>
      </c>
      <c r="F6" s="120"/>
      <c r="G6" s="137">
        <f>EE4</f>
        <v>2.7878149057697078E-2</v>
      </c>
    </row>
    <row r="7" spans="1:147" ht="16.5" thickBot="1" x14ac:dyDescent="0.3">
      <c r="D7" s="54"/>
      <c r="E7" s="138" t="s">
        <v>271</v>
      </c>
      <c r="F7" s="139"/>
      <c r="G7" s="140">
        <f>EE5</f>
        <v>506375000</v>
      </c>
      <c r="AI7" s="135" t="s">
        <v>259</v>
      </c>
      <c r="EB7" s="141" t="s">
        <v>272</v>
      </c>
      <c r="EC7" s="141"/>
      <c r="ED7" s="142"/>
      <c r="EE7" s="142"/>
      <c r="EG7" s="141" t="s">
        <v>273</v>
      </c>
      <c r="EH7" s="142"/>
      <c r="EI7" s="142"/>
      <c r="EJ7" s="143"/>
      <c r="EK7" s="141" t="s">
        <v>274</v>
      </c>
      <c r="EL7" s="141"/>
      <c r="EM7" s="142"/>
      <c r="EN7" s="142"/>
    </row>
    <row r="8" spans="1:147" ht="15.75" thickTop="1" x14ac:dyDescent="0.25">
      <c r="AI8" s="144" t="s">
        <v>275</v>
      </c>
      <c r="AL8" s="144" t="s">
        <v>275</v>
      </c>
      <c r="AO8" s="144" t="s">
        <v>275</v>
      </c>
      <c r="AR8" s="144" t="s">
        <v>275</v>
      </c>
      <c r="AU8" s="144" t="s">
        <v>275</v>
      </c>
      <c r="AX8" s="144" t="s">
        <v>275</v>
      </c>
      <c r="BA8" s="144" t="s">
        <v>275</v>
      </c>
      <c r="BD8" s="144" t="s">
        <v>275</v>
      </c>
      <c r="BG8" s="144" t="s">
        <v>275</v>
      </c>
      <c r="BJ8" s="144" t="s">
        <v>275</v>
      </c>
      <c r="BM8" s="144" t="s">
        <v>275</v>
      </c>
      <c r="BP8" s="144" t="s">
        <v>275</v>
      </c>
      <c r="BS8" s="144" t="s">
        <v>275</v>
      </c>
      <c r="BV8" s="144" t="s">
        <v>275</v>
      </c>
      <c r="BY8" s="144" t="s">
        <v>275</v>
      </c>
      <c r="CB8" s="144" t="s">
        <v>275</v>
      </c>
      <c r="CE8" s="144" t="s">
        <v>275</v>
      </c>
      <c r="CH8" s="144" t="s">
        <v>275</v>
      </c>
      <c r="CK8" s="144" t="s">
        <v>275</v>
      </c>
      <c r="CN8" s="144" t="s">
        <v>275</v>
      </c>
      <c r="CQ8" s="144" t="s">
        <v>275</v>
      </c>
      <c r="CT8" s="144" t="s">
        <v>275</v>
      </c>
      <c r="CW8" s="144" t="s">
        <v>275</v>
      </c>
      <c r="CZ8" s="144" t="s">
        <v>275</v>
      </c>
      <c r="DC8" s="144" t="s">
        <v>275</v>
      </c>
      <c r="DF8" s="144" t="s">
        <v>275</v>
      </c>
      <c r="DI8" s="144" t="s">
        <v>275</v>
      </c>
      <c r="DL8" s="144" t="s">
        <v>275</v>
      </c>
      <c r="DO8" s="144" t="s">
        <v>275</v>
      </c>
      <c r="DR8" s="144" t="s">
        <v>275</v>
      </c>
      <c r="EB8" s="145"/>
      <c r="EC8" s="145"/>
      <c r="ED8" s="145"/>
      <c r="EE8" s="145" t="s">
        <v>276</v>
      </c>
      <c r="EG8" s="145"/>
      <c r="EH8" s="146" t="s">
        <v>258</v>
      </c>
      <c r="EI8" s="145" t="s">
        <v>276</v>
      </c>
      <c r="EJ8" s="145"/>
      <c r="EK8" s="134" t="s">
        <v>277</v>
      </c>
      <c r="EL8" s="134" t="s">
        <v>278</v>
      </c>
      <c r="EM8" s="146" t="s">
        <v>279</v>
      </c>
      <c r="EN8" s="145" t="s">
        <v>276</v>
      </c>
    </row>
    <row r="9" spans="1:147" x14ac:dyDescent="0.25">
      <c r="B9" s="147" t="s">
        <v>280</v>
      </c>
      <c r="C9" s="148"/>
      <c r="D9" s="142"/>
      <c r="E9" s="147" t="s">
        <v>281</v>
      </c>
      <c r="F9" s="148"/>
      <c r="G9" s="142"/>
      <c r="H9" s="147" t="s">
        <v>282</v>
      </c>
      <c r="I9" s="148"/>
      <c r="J9" s="142"/>
      <c r="K9" s="147" t="s">
        <v>283</v>
      </c>
      <c r="L9" s="148"/>
      <c r="M9" s="142"/>
      <c r="N9" s="147" t="s">
        <v>284</v>
      </c>
      <c r="O9" s="148"/>
      <c r="P9" s="142"/>
      <c r="Q9" s="147" t="s">
        <v>285</v>
      </c>
      <c r="R9" s="148"/>
      <c r="S9" s="142"/>
      <c r="T9" s="147" t="s">
        <v>286</v>
      </c>
      <c r="U9" s="148"/>
      <c r="V9" s="142"/>
      <c r="W9" s="147" t="s">
        <v>287</v>
      </c>
      <c r="X9" s="148"/>
      <c r="Y9" s="142"/>
      <c r="Z9" s="147" t="s">
        <v>288</v>
      </c>
      <c r="AA9" s="148"/>
      <c r="AB9" s="142"/>
      <c r="AC9" s="149" t="s">
        <v>289</v>
      </c>
      <c r="AD9" s="148"/>
      <c r="AE9" s="142"/>
      <c r="AF9" s="149" t="s">
        <v>290</v>
      </c>
      <c r="AG9" s="148"/>
      <c r="AH9" s="142"/>
      <c r="AI9" s="147" t="s">
        <v>291</v>
      </c>
      <c r="AJ9" s="148"/>
      <c r="AK9" s="142"/>
      <c r="AL9" s="147" t="s">
        <v>292</v>
      </c>
      <c r="AM9" s="148"/>
      <c r="AN9" s="142"/>
      <c r="AO9" s="147" t="s">
        <v>293</v>
      </c>
      <c r="AP9" s="148"/>
      <c r="AQ9" s="142"/>
      <c r="AR9" s="147" t="s">
        <v>294</v>
      </c>
      <c r="AS9" s="148"/>
      <c r="AT9" s="142"/>
      <c r="AU9" s="147" t="s">
        <v>295</v>
      </c>
      <c r="AV9" s="148"/>
      <c r="AW9" s="142"/>
      <c r="AX9" s="147" t="s">
        <v>296</v>
      </c>
      <c r="AY9" s="148"/>
      <c r="AZ9" s="142"/>
      <c r="BA9" s="147" t="s">
        <v>297</v>
      </c>
      <c r="BB9" s="148"/>
      <c r="BC9" s="142"/>
      <c r="BD9" s="147" t="s">
        <v>298</v>
      </c>
      <c r="BE9" s="148"/>
      <c r="BF9" s="142"/>
      <c r="BG9" s="147" t="s">
        <v>299</v>
      </c>
      <c r="BH9" s="148"/>
      <c r="BI9" s="142"/>
      <c r="BJ9" s="147" t="s">
        <v>300</v>
      </c>
      <c r="BK9" s="148"/>
      <c r="BL9" s="142"/>
      <c r="BM9" s="147" t="s">
        <v>301</v>
      </c>
      <c r="BN9" s="148"/>
      <c r="BO9" s="142"/>
      <c r="BP9" s="147" t="s">
        <v>302</v>
      </c>
      <c r="BQ9" s="148"/>
      <c r="BR9" s="142"/>
      <c r="BS9" s="147" t="s">
        <v>303</v>
      </c>
      <c r="BT9" s="148"/>
      <c r="BU9" s="142"/>
      <c r="BV9" s="147" t="s">
        <v>304</v>
      </c>
      <c r="BW9" s="148"/>
      <c r="BX9" s="142"/>
      <c r="BY9" s="147" t="s">
        <v>305</v>
      </c>
      <c r="BZ9" s="148"/>
      <c r="CA9" s="142"/>
      <c r="CB9" s="147" t="s">
        <v>306</v>
      </c>
      <c r="CC9" s="148"/>
      <c r="CD9" s="142"/>
      <c r="CE9" s="147" t="s">
        <v>307</v>
      </c>
      <c r="CF9" s="148"/>
      <c r="CG9" s="142"/>
      <c r="CH9" s="147" t="s">
        <v>308</v>
      </c>
      <c r="CI9" s="148"/>
      <c r="CJ9" s="142"/>
      <c r="CK9" s="147" t="s">
        <v>309</v>
      </c>
      <c r="CL9" s="148"/>
      <c r="CM9" s="142"/>
      <c r="CN9" s="147" t="s">
        <v>310</v>
      </c>
      <c r="CO9" s="148"/>
      <c r="CP9" s="142"/>
      <c r="CQ9" s="147" t="s">
        <v>311</v>
      </c>
      <c r="CR9" s="148"/>
      <c r="CS9" s="142"/>
      <c r="CT9" s="147" t="s">
        <v>312</v>
      </c>
      <c r="CU9" s="148"/>
      <c r="CV9" s="142"/>
      <c r="CW9" s="147" t="s">
        <v>313</v>
      </c>
      <c r="CX9" s="148"/>
      <c r="CY9" s="142"/>
      <c r="CZ9" s="147" t="s">
        <v>314</v>
      </c>
      <c r="DA9" s="148"/>
      <c r="DB9" s="142"/>
      <c r="DC9" s="147" t="s">
        <v>315</v>
      </c>
      <c r="DD9" s="148"/>
      <c r="DE9" s="142"/>
      <c r="DF9" s="147" t="s">
        <v>316</v>
      </c>
      <c r="DG9" s="148"/>
      <c r="DH9" s="142"/>
      <c r="DI9" s="147" t="s">
        <v>317</v>
      </c>
      <c r="DJ9" s="148"/>
      <c r="DK9" s="142"/>
      <c r="DL9" s="147" t="s">
        <v>318</v>
      </c>
      <c r="DM9" s="148"/>
      <c r="DN9" s="142"/>
      <c r="DO9" s="147" t="s">
        <v>319</v>
      </c>
      <c r="DP9" s="148"/>
      <c r="DQ9" s="142"/>
      <c r="DR9" s="147" t="s">
        <v>320</v>
      </c>
      <c r="DS9" s="148"/>
      <c r="DT9" s="142"/>
      <c r="DU9" s="147" t="s">
        <v>321</v>
      </c>
      <c r="DV9" s="148"/>
      <c r="DW9" s="142"/>
      <c r="DX9" s="150" t="s">
        <v>322</v>
      </c>
      <c r="DY9" s="148"/>
      <c r="DZ9" s="142"/>
      <c r="EA9" s="143"/>
      <c r="EB9" s="134" t="s">
        <v>323</v>
      </c>
      <c r="EC9" s="134" t="s">
        <v>324</v>
      </c>
      <c r="ED9" s="145" t="s">
        <v>325</v>
      </c>
      <c r="EE9" s="145" t="s">
        <v>326</v>
      </c>
      <c r="EG9" s="146" t="s">
        <v>327</v>
      </c>
      <c r="EH9" s="145" t="s">
        <v>325</v>
      </c>
      <c r="EI9" s="145" t="s">
        <v>326</v>
      </c>
      <c r="EJ9" s="145"/>
      <c r="EK9" s="146" t="s">
        <v>279</v>
      </c>
      <c r="EL9" s="146" t="s">
        <v>279</v>
      </c>
      <c r="EM9" s="145" t="s">
        <v>325</v>
      </c>
      <c r="EN9" s="145" t="s">
        <v>326</v>
      </c>
    </row>
    <row r="10" spans="1:147" x14ac:dyDescent="0.25">
      <c r="A10" s="145" t="s">
        <v>328</v>
      </c>
      <c r="B10" s="151" t="s">
        <v>329</v>
      </c>
      <c r="C10" s="152" t="s">
        <v>330</v>
      </c>
      <c r="D10" s="153" t="s">
        <v>25</v>
      </c>
      <c r="E10" s="151" t="s">
        <v>329</v>
      </c>
      <c r="F10" s="152" t="s">
        <v>330</v>
      </c>
      <c r="G10" s="153" t="s">
        <v>25</v>
      </c>
      <c r="H10" s="151" t="s">
        <v>329</v>
      </c>
      <c r="I10" s="152" t="s">
        <v>330</v>
      </c>
      <c r="J10" s="153" t="s">
        <v>25</v>
      </c>
      <c r="K10" s="151" t="s">
        <v>329</v>
      </c>
      <c r="L10" s="152" t="s">
        <v>330</v>
      </c>
      <c r="M10" s="153" t="s">
        <v>25</v>
      </c>
      <c r="N10" s="151" t="s">
        <v>329</v>
      </c>
      <c r="O10" s="152" t="s">
        <v>330</v>
      </c>
      <c r="P10" s="153" t="s">
        <v>25</v>
      </c>
      <c r="Q10" s="151" t="s">
        <v>329</v>
      </c>
      <c r="R10" s="152" t="s">
        <v>330</v>
      </c>
      <c r="S10" s="153" t="s">
        <v>25</v>
      </c>
      <c r="T10" s="151" t="s">
        <v>329</v>
      </c>
      <c r="U10" s="152" t="s">
        <v>330</v>
      </c>
      <c r="V10" s="153" t="s">
        <v>25</v>
      </c>
      <c r="W10" s="151" t="s">
        <v>329</v>
      </c>
      <c r="X10" s="152" t="s">
        <v>330</v>
      </c>
      <c r="Y10" s="153" t="s">
        <v>25</v>
      </c>
      <c r="Z10" s="151" t="s">
        <v>329</v>
      </c>
      <c r="AA10" s="152" t="s">
        <v>330</v>
      </c>
      <c r="AB10" s="153" t="s">
        <v>25</v>
      </c>
      <c r="AC10" s="151" t="s">
        <v>329</v>
      </c>
      <c r="AD10" s="152" t="s">
        <v>330</v>
      </c>
      <c r="AE10" s="153" t="s">
        <v>25</v>
      </c>
      <c r="AF10" s="151" t="s">
        <v>329</v>
      </c>
      <c r="AG10" s="152" t="s">
        <v>330</v>
      </c>
      <c r="AH10" s="153" t="s">
        <v>25</v>
      </c>
      <c r="AI10" s="151" t="s">
        <v>329</v>
      </c>
      <c r="AJ10" s="152" t="s">
        <v>330</v>
      </c>
      <c r="AK10" s="153" t="s">
        <v>25</v>
      </c>
      <c r="AL10" s="151" t="s">
        <v>329</v>
      </c>
      <c r="AM10" s="152" t="s">
        <v>330</v>
      </c>
      <c r="AN10" s="153" t="s">
        <v>25</v>
      </c>
      <c r="AO10" s="151" t="s">
        <v>329</v>
      </c>
      <c r="AP10" s="152" t="s">
        <v>330</v>
      </c>
      <c r="AQ10" s="153" t="s">
        <v>25</v>
      </c>
      <c r="AR10" s="151" t="s">
        <v>329</v>
      </c>
      <c r="AS10" s="152" t="s">
        <v>330</v>
      </c>
      <c r="AT10" s="153" t="s">
        <v>25</v>
      </c>
      <c r="AU10" s="151" t="s">
        <v>329</v>
      </c>
      <c r="AV10" s="152" t="s">
        <v>330</v>
      </c>
      <c r="AW10" s="153" t="s">
        <v>25</v>
      </c>
      <c r="AX10" s="151" t="s">
        <v>329</v>
      </c>
      <c r="AY10" s="152" t="s">
        <v>330</v>
      </c>
      <c r="AZ10" s="153" t="s">
        <v>25</v>
      </c>
      <c r="BA10" s="151" t="s">
        <v>329</v>
      </c>
      <c r="BB10" s="152" t="s">
        <v>330</v>
      </c>
      <c r="BC10" s="153" t="s">
        <v>25</v>
      </c>
      <c r="BD10" s="151" t="s">
        <v>329</v>
      </c>
      <c r="BE10" s="152" t="s">
        <v>330</v>
      </c>
      <c r="BF10" s="153" t="s">
        <v>25</v>
      </c>
      <c r="BG10" s="151" t="s">
        <v>329</v>
      </c>
      <c r="BH10" s="152" t="s">
        <v>330</v>
      </c>
      <c r="BI10" s="153" t="s">
        <v>25</v>
      </c>
      <c r="BJ10" s="151" t="s">
        <v>329</v>
      </c>
      <c r="BK10" s="152" t="s">
        <v>330</v>
      </c>
      <c r="BL10" s="153" t="s">
        <v>25</v>
      </c>
      <c r="BM10" s="151" t="s">
        <v>329</v>
      </c>
      <c r="BN10" s="152" t="s">
        <v>330</v>
      </c>
      <c r="BO10" s="153" t="s">
        <v>25</v>
      </c>
      <c r="BP10" s="151" t="s">
        <v>329</v>
      </c>
      <c r="BQ10" s="152" t="s">
        <v>330</v>
      </c>
      <c r="BR10" s="153" t="s">
        <v>25</v>
      </c>
      <c r="BS10" s="151" t="s">
        <v>329</v>
      </c>
      <c r="BT10" s="152" t="s">
        <v>330</v>
      </c>
      <c r="BU10" s="153" t="s">
        <v>25</v>
      </c>
      <c r="BV10" s="151" t="s">
        <v>329</v>
      </c>
      <c r="BW10" s="152" t="s">
        <v>330</v>
      </c>
      <c r="BX10" s="153" t="s">
        <v>25</v>
      </c>
      <c r="BY10" s="151" t="s">
        <v>329</v>
      </c>
      <c r="BZ10" s="152" t="s">
        <v>330</v>
      </c>
      <c r="CA10" s="153" t="s">
        <v>25</v>
      </c>
      <c r="CB10" s="151" t="s">
        <v>329</v>
      </c>
      <c r="CC10" s="152" t="s">
        <v>330</v>
      </c>
      <c r="CD10" s="153" t="s">
        <v>25</v>
      </c>
      <c r="CE10" s="151" t="s">
        <v>329</v>
      </c>
      <c r="CF10" s="152" t="s">
        <v>330</v>
      </c>
      <c r="CG10" s="153" t="s">
        <v>25</v>
      </c>
      <c r="CH10" s="151" t="s">
        <v>329</v>
      </c>
      <c r="CI10" s="152" t="s">
        <v>330</v>
      </c>
      <c r="CJ10" s="153" t="s">
        <v>25</v>
      </c>
      <c r="CK10" s="151" t="s">
        <v>329</v>
      </c>
      <c r="CL10" s="152" t="s">
        <v>330</v>
      </c>
      <c r="CM10" s="153" t="s">
        <v>25</v>
      </c>
      <c r="CN10" s="151" t="s">
        <v>329</v>
      </c>
      <c r="CO10" s="152" t="s">
        <v>330</v>
      </c>
      <c r="CP10" s="153" t="s">
        <v>25</v>
      </c>
      <c r="CQ10" s="151" t="s">
        <v>329</v>
      </c>
      <c r="CR10" s="152" t="s">
        <v>330</v>
      </c>
      <c r="CS10" s="153" t="s">
        <v>25</v>
      </c>
      <c r="CT10" s="151" t="s">
        <v>329</v>
      </c>
      <c r="CU10" s="152" t="s">
        <v>330</v>
      </c>
      <c r="CV10" s="153" t="s">
        <v>25</v>
      </c>
      <c r="CW10" s="151" t="s">
        <v>329</v>
      </c>
      <c r="CX10" s="152" t="s">
        <v>330</v>
      </c>
      <c r="CY10" s="153" t="s">
        <v>25</v>
      </c>
      <c r="CZ10" s="151" t="s">
        <v>329</v>
      </c>
      <c r="DA10" s="152" t="s">
        <v>330</v>
      </c>
      <c r="DB10" s="153" t="s">
        <v>25</v>
      </c>
      <c r="DC10" s="151" t="s">
        <v>329</v>
      </c>
      <c r="DD10" s="152" t="s">
        <v>330</v>
      </c>
      <c r="DE10" s="153" t="s">
        <v>25</v>
      </c>
      <c r="DF10" s="151" t="s">
        <v>329</v>
      </c>
      <c r="DG10" s="152" t="s">
        <v>330</v>
      </c>
      <c r="DH10" s="153" t="s">
        <v>25</v>
      </c>
      <c r="DI10" s="151" t="s">
        <v>329</v>
      </c>
      <c r="DJ10" s="152" t="s">
        <v>330</v>
      </c>
      <c r="DK10" s="153" t="s">
        <v>25</v>
      </c>
      <c r="DL10" s="151" t="s">
        <v>329</v>
      </c>
      <c r="DM10" s="152" t="s">
        <v>330</v>
      </c>
      <c r="DN10" s="153" t="s">
        <v>25</v>
      </c>
      <c r="DO10" s="151" t="s">
        <v>329</v>
      </c>
      <c r="DP10" s="152" t="s">
        <v>330</v>
      </c>
      <c r="DQ10" s="153" t="s">
        <v>25</v>
      </c>
      <c r="DR10" s="151" t="s">
        <v>329</v>
      </c>
      <c r="DS10" s="152" t="s">
        <v>330</v>
      </c>
      <c r="DT10" s="153" t="s">
        <v>25</v>
      </c>
      <c r="DU10" s="151" t="s">
        <v>329</v>
      </c>
      <c r="DV10" s="152" t="s">
        <v>330</v>
      </c>
      <c r="DW10" s="153" t="s">
        <v>25</v>
      </c>
      <c r="DX10" s="151" t="s">
        <v>329</v>
      </c>
      <c r="DY10" s="152"/>
      <c r="DZ10" s="153"/>
      <c r="EA10" s="153"/>
      <c r="EB10" s="153" t="s">
        <v>331</v>
      </c>
      <c r="EC10" s="153" t="s">
        <v>331</v>
      </c>
      <c r="ED10" s="153" t="s">
        <v>25</v>
      </c>
      <c r="EE10" s="154" t="s">
        <v>330</v>
      </c>
      <c r="EG10" s="153" t="s">
        <v>331</v>
      </c>
      <c r="EH10" s="153" t="s">
        <v>25</v>
      </c>
      <c r="EI10" s="154" t="s">
        <v>330</v>
      </c>
      <c r="EJ10" s="154"/>
      <c r="EK10" s="153" t="s">
        <v>331</v>
      </c>
      <c r="EL10" s="153" t="s">
        <v>331</v>
      </c>
      <c r="EM10" s="153" t="s">
        <v>25</v>
      </c>
      <c r="EN10" s="154" t="s">
        <v>330</v>
      </c>
    </row>
    <row r="11" spans="1:147" x14ac:dyDescent="0.25">
      <c r="A11" s="66">
        <v>43525</v>
      </c>
      <c r="D11" s="122">
        <f>(B11*C11)/360</f>
        <v>0</v>
      </c>
      <c r="G11" s="122">
        <f>(E11*F11)/360</f>
        <v>0</v>
      </c>
      <c r="J11" s="122">
        <f>(H11*I11)/360</f>
        <v>0</v>
      </c>
      <c r="M11" s="122">
        <f>(K11*L11)/360</f>
        <v>0</v>
      </c>
      <c r="P11" s="122">
        <f>(N11*O11)/360</f>
        <v>0</v>
      </c>
      <c r="S11" s="122">
        <f>(Q11*R11)/360</f>
        <v>0</v>
      </c>
      <c r="V11" s="122">
        <f>(T11*U11)/360</f>
        <v>0</v>
      </c>
      <c r="Y11" s="122">
        <f>(W11*X11)/360</f>
        <v>0</v>
      </c>
      <c r="AB11" s="122">
        <f>(Z11*AA11)/360</f>
        <v>0</v>
      </c>
      <c r="AE11" s="122">
        <v>0</v>
      </c>
      <c r="AH11" s="122">
        <v>0</v>
      </c>
      <c r="AI11" s="155">
        <f>66375000</f>
        <v>66375000</v>
      </c>
      <c r="AJ11" s="156">
        <v>2.7E-2</v>
      </c>
      <c r="AK11" s="122">
        <f>(AI11*AJ11)/360</f>
        <v>4978.125</v>
      </c>
      <c r="AL11" s="155">
        <f>35000000</f>
        <v>35000000</v>
      </c>
      <c r="AM11" s="156">
        <v>2.8000000000000001E-2</v>
      </c>
      <c r="AN11" s="122">
        <f>(AL11*AM11)/360</f>
        <v>2722.2222222222222</v>
      </c>
      <c r="AO11" s="155">
        <f>30000000</f>
        <v>30000000</v>
      </c>
      <c r="AP11" s="156">
        <v>2.8299999999999999E-2</v>
      </c>
      <c r="AQ11" s="122">
        <f>(AO11*AP11)/360</f>
        <v>2358.3333333333335</v>
      </c>
      <c r="AR11" s="155">
        <f>130000000+120000000+125000000</f>
        <v>375000000</v>
      </c>
      <c r="AS11" s="156">
        <v>2.8500000000000001E-2</v>
      </c>
      <c r="AT11" s="122">
        <f>(AR11*AS11)/360</f>
        <v>29687.5</v>
      </c>
      <c r="AW11" s="122">
        <f>(AU11*AV11)/360</f>
        <v>0</v>
      </c>
      <c r="AZ11" s="122">
        <f>(AX11*AY11)/360</f>
        <v>0</v>
      </c>
      <c r="BC11" s="122">
        <f>(BA11*BB11)/360</f>
        <v>0</v>
      </c>
      <c r="BF11" s="122">
        <f>(BD11*BE11)/360</f>
        <v>0</v>
      </c>
      <c r="BI11" s="122">
        <f>(BG11*BH11)/360</f>
        <v>0</v>
      </c>
      <c r="BL11" s="122">
        <f>(BJ11*BK11)/360</f>
        <v>0</v>
      </c>
      <c r="BO11" s="122">
        <f>(BM11*BN11)/360</f>
        <v>0</v>
      </c>
      <c r="BR11" s="122">
        <f>(BP11*BQ11)/360</f>
        <v>0</v>
      </c>
      <c r="BU11" s="122">
        <f>(BS11*BT11)/360</f>
        <v>0</v>
      </c>
      <c r="BX11" s="122">
        <f>(BV11*BW11)/360</f>
        <v>0</v>
      </c>
      <c r="CA11" s="122">
        <f>(BY11*BZ11)/360</f>
        <v>0</v>
      </c>
      <c r="CD11" s="122">
        <f>(CB11*CC11)/360</f>
        <v>0</v>
      </c>
      <c r="CG11" s="122">
        <f>(CE11*CF11)/360</f>
        <v>0</v>
      </c>
      <c r="CJ11" s="122">
        <f>(CH11*CI11)/360</f>
        <v>0</v>
      </c>
      <c r="CM11" s="122">
        <f>(CK11*CL11)/360</f>
        <v>0</v>
      </c>
      <c r="CP11" s="122">
        <f>(CN11*CO11)/360</f>
        <v>0</v>
      </c>
      <c r="CS11" s="122">
        <f>(CQ11*CR11)/360</f>
        <v>0</v>
      </c>
      <c r="CV11" s="122">
        <f>(CT11*CU11)/360</f>
        <v>0</v>
      </c>
      <c r="CY11" s="122">
        <f>(CW11*CX11)/360</f>
        <v>0</v>
      </c>
      <c r="DB11" s="122">
        <f>(CZ11*DA11)/360</f>
        <v>0</v>
      </c>
      <c r="DE11" s="122">
        <f>(DC11*DD11)/360</f>
        <v>0</v>
      </c>
      <c r="DH11" s="122">
        <f>(DF11*DG11)/360</f>
        <v>0</v>
      </c>
      <c r="DK11" s="122">
        <f>(DI11*DJ11)/360</f>
        <v>0</v>
      </c>
      <c r="DN11" s="122">
        <f>(DL11*DM11)/360</f>
        <v>0</v>
      </c>
      <c r="DQ11" s="122">
        <f>(DO11*DP11)/360</f>
        <v>0</v>
      </c>
      <c r="DT11" s="122">
        <f>(DR11*DS11)/360</f>
        <v>0</v>
      </c>
      <c r="DW11" s="122">
        <f>(DU11*DV11)/360</f>
        <v>0</v>
      </c>
      <c r="DZ11" s="122"/>
      <c r="EA11" s="122"/>
      <c r="EB11" s="157">
        <f>B11+E11+H11+K11+N11+Q11+T11+W11+Z11+AC11+AF11+AL11+AO11+AR11+AU11+AX11+BA11+BD11+BG11+DU11+AI11+DR11+DO11+DL11+DI11+DF11+DC11+CZ11+CW11+CT11+CQ11+CN11+CK11+CH11+CE11+CB11+BY11+BV11+BS11+BP11+BM11+BJ11</f>
        <v>506375000</v>
      </c>
      <c r="EC11" s="157">
        <f>EB11-EK11+EL11</f>
        <v>0</v>
      </c>
      <c r="ED11" s="122">
        <f>D11+G11+J11+M11+P11+S11+V11+Y11+AB11+AE11+AH11+AK11+AN11+AQ11+AT11+AW11+AZ11+BC11+BF11+BI11+DW11+DT11+DQ11+DN11+DK11+DH11+DE11+DB11+CY11+CV11+CS11+CP11+CM11+CJ11+CG11+CD11+CA11+BX11+BU11+BR11+BO11+BL11</f>
        <v>39746.180555555555</v>
      </c>
      <c r="EE11" s="123">
        <f>IF(EB11&lt;&gt;0,((ED11/EB11)*360),0)</f>
        <v>2.8256973586768697E-2</v>
      </c>
      <c r="EG11" s="157">
        <f>Q11+T11+W11+Z11+AC11+AF11</f>
        <v>0</v>
      </c>
      <c r="EH11" s="122">
        <f>S11+V11+Y11+AB11+AE11+AH11</f>
        <v>0</v>
      </c>
      <c r="EI11" s="123">
        <f>IF(EG11&lt;&gt;0,((EH11/EG11)*360),0)</f>
        <v>0</v>
      </c>
      <c r="EJ11" s="123"/>
      <c r="EK11" s="157">
        <f>DR11+DL11+DI11+DF11+DC11+CZ11+CW11+CT11+CQ11+CN11+CK11+CH11+CE11+CB11+BY11+BV11+BS11+BP11+BM11+BJ11+BG11+BD11+BA11+AX11+AU11+AR11+AO11+AL11+AI11+DO11</f>
        <v>506375000</v>
      </c>
      <c r="EL11" s="157">
        <f>DX11</f>
        <v>0</v>
      </c>
      <c r="EM11" s="157">
        <f>DT11+DQ11+DN11+DK11+DH11+DE11+DB11+CY11+CV11+CS11+CP11+CM11+CJ11+CG11+CD11+CA11+BX11+BU11+BR11+BO11+BL11+BI11+BF11+BC11+AZ11+AW11+AT11+AQ11+AN11+AK11</f>
        <v>39746.180555555555</v>
      </c>
      <c r="EN11" s="123">
        <f>IF(EK11&lt;&gt;0,((EM11/EK11)*360),0)</f>
        <v>2.8256973586768697E-2</v>
      </c>
      <c r="EP11" s="122"/>
    </row>
    <row r="12" spans="1:147" x14ac:dyDescent="0.25">
      <c r="A12" s="66">
        <f>1+A11</f>
        <v>43526</v>
      </c>
      <c r="D12" s="122">
        <f t="shared" ref="D12:D41" si="0">(B12*C12)/360</f>
        <v>0</v>
      </c>
      <c r="G12" s="122">
        <f t="shared" ref="G12:G41" si="1">(E12*F12)/360</f>
        <v>0</v>
      </c>
      <c r="J12" s="122">
        <f t="shared" ref="J12:J41" si="2">(H12*I12)/360</f>
        <v>0</v>
      </c>
      <c r="M12" s="122">
        <f t="shared" ref="M12:M41" si="3">(K12*L12)/360</f>
        <v>0</v>
      </c>
      <c r="P12" s="122">
        <f t="shared" ref="P12:P41" si="4">(N12*O12)/360</f>
        <v>0</v>
      </c>
      <c r="S12" s="122">
        <f t="shared" ref="S12:S41" si="5">(Q12*R12)/360</f>
        <v>0</v>
      </c>
      <c r="V12" s="122">
        <f t="shared" ref="V12:V41" si="6">(T12*U12)/360</f>
        <v>0</v>
      </c>
      <c r="Y12" s="122">
        <f t="shared" ref="Y12:Y41" si="7">(W12*X12)/360</f>
        <v>0</v>
      </c>
      <c r="AB12" s="122">
        <f t="shared" ref="AB12:AB41" si="8">(Z12*AA12)/360</f>
        <v>0</v>
      </c>
      <c r="AE12" s="122">
        <v>0</v>
      </c>
      <c r="AH12" s="122">
        <v>0</v>
      </c>
      <c r="AI12" s="155">
        <f>66375000</f>
        <v>66375000</v>
      </c>
      <c r="AJ12" s="156">
        <v>2.7E-2</v>
      </c>
      <c r="AK12" s="122">
        <f t="shared" ref="AK12:AK41" si="9">(AI12*AJ12)/360</f>
        <v>4978.125</v>
      </c>
      <c r="AL12" s="155">
        <f>35000000</f>
        <v>35000000</v>
      </c>
      <c r="AM12" s="156">
        <v>2.8000000000000001E-2</v>
      </c>
      <c r="AN12" s="122">
        <f t="shared" ref="AN12:AN41" si="10">(AL12*AM12)/360</f>
        <v>2722.2222222222222</v>
      </c>
      <c r="AO12" s="155">
        <f>30000000</f>
        <v>30000000</v>
      </c>
      <c r="AP12" s="156">
        <v>2.8299999999999999E-2</v>
      </c>
      <c r="AQ12" s="122">
        <f t="shared" ref="AQ12:AQ41" si="11">(AO12*AP12)/360</f>
        <v>2358.3333333333335</v>
      </c>
      <c r="AR12" s="155">
        <f>130000000+120000000+125000000</f>
        <v>375000000</v>
      </c>
      <c r="AS12" s="156">
        <v>2.8500000000000001E-2</v>
      </c>
      <c r="AT12" s="122">
        <f t="shared" ref="AT12:AT41" si="12">(AR12*AS12)/360</f>
        <v>29687.5</v>
      </c>
      <c r="AW12" s="122">
        <f t="shared" ref="AW12:AW41" si="13">(AU12*AV12)/360</f>
        <v>0</v>
      </c>
      <c r="AZ12" s="122">
        <f t="shared" ref="AZ12:AZ41" si="14">(AX12*AY12)/360</f>
        <v>0</v>
      </c>
      <c r="BC12" s="122">
        <f t="shared" ref="BC12:BC41" si="15">(BA12*BB12)/360</f>
        <v>0</v>
      </c>
      <c r="BF12" s="122">
        <f t="shared" ref="BF12:BF41" si="16">(BD12*BE12)/360</f>
        <v>0</v>
      </c>
      <c r="BI12" s="122">
        <f t="shared" ref="BI12:BI41" si="17">(BG12*BH12)/360</f>
        <v>0</v>
      </c>
      <c r="BL12" s="122">
        <f t="shared" ref="BL12:BL41" si="18">(BJ12*BK12)/360</f>
        <v>0</v>
      </c>
      <c r="BO12" s="122">
        <f t="shared" ref="BO12:BO41" si="19">(BM12*BN12)/360</f>
        <v>0</v>
      </c>
      <c r="BR12" s="122">
        <f t="shared" ref="BR12:BR41" si="20">(BP12*BQ12)/360</f>
        <v>0</v>
      </c>
      <c r="BU12" s="122">
        <f t="shared" ref="BU12:BU41" si="21">(BS12*BT12)/360</f>
        <v>0</v>
      </c>
      <c r="BX12" s="122">
        <f t="shared" ref="BX12:BX41" si="22">(BV12*BW12)/360</f>
        <v>0</v>
      </c>
      <c r="CA12" s="122">
        <f t="shared" ref="CA12:CA41" si="23">(BY12*BZ12)/360</f>
        <v>0</v>
      </c>
      <c r="CD12" s="122">
        <f t="shared" ref="CD12:CD41" si="24">(CB12*CC12)/360</f>
        <v>0</v>
      </c>
      <c r="CG12" s="122">
        <f t="shared" ref="CG12:CG41" si="25">(CE12*CF12)/360</f>
        <v>0</v>
      </c>
      <c r="CJ12" s="122">
        <f t="shared" ref="CJ12:CJ41" si="26">(CH12*CI12)/360</f>
        <v>0</v>
      </c>
      <c r="CM12" s="122">
        <f t="shared" ref="CM12:CM41" si="27">(CK12*CL12)/360</f>
        <v>0</v>
      </c>
      <c r="CP12" s="122">
        <f t="shared" ref="CP12:CP41" si="28">(CN12*CO12)/360</f>
        <v>0</v>
      </c>
      <c r="CS12" s="122">
        <f t="shared" ref="CS12:CS41" si="29">(CQ12*CR12)/360</f>
        <v>0</v>
      </c>
      <c r="CV12" s="122">
        <f t="shared" ref="CV12:CV41" si="30">(CT12*CU12)/360</f>
        <v>0</v>
      </c>
      <c r="CY12" s="122">
        <f t="shared" ref="CY12:CY41" si="31">(CW12*CX12)/360</f>
        <v>0</v>
      </c>
      <c r="DB12" s="122">
        <f t="shared" ref="DB12:DB41" si="32">(CZ12*DA12)/360</f>
        <v>0</v>
      </c>
      <c r="DE12" s="122">
        <f t="shared" ref="DE12:DE41" si="33">(DC12*DD12)/360</f>
        <v>0</v>
      </c>
      <c r="DH12" s="122">
        <f t="shared" ref="DH12:DH41" si="34">(DF12*DG12)/360</f>
        <v>0</v>
      </c>
      <c r="DK12" s="122">
        <f t="shared" ref="DK12:DK41" si="35">(DI12*DJ12)/360</f>
        <v>0</v>
      </c>
      <c r="DN12" s="122">
        <f t="shared" ref="DN12:DN41" si="36">(DL12*DM12)/360</f>
        <v>0</v>
      </c>
      <c r="DQ12" s="122">
        <f t="shared" ref="DQ12:DQ41" si="37">(DO12*DP12)/360</f>
        <v>0</v>
      </c>
      <c r="DT12" s="122">
        <f t="shared" ref="DT12:DT41" si="38">(DR12*DS12)/360</f>
        <v>0</v>
      </c>
      <c r="DW12" s="122">
        <f t="shared" ref="DW12:DW41" si="39">(DU12*DV12)/360</f>
        <v>0</v>
      </c>
      <c r="DZ12" s="122"/>
      <c r="EA12" s="122"/>
      <c r="EB12" s="157">
        <f t="shared" ref="EB12:EB41" si="40">B12+E12+H12+K12+N12+Q12+T12+W12+Z12+AC12+AF12+AL12+AO12+AR12+AU12+AX12+BA12+BD12+BG12+DU12+AI12+DR12+DO12+DL12+DI12+DF12+DC12+CZ12+CW12+CT12+CQ12+CN12+CK12+CH12+CE12+CB12+BY12+BV12+BS12+BP12+BM12+BJ12</f>
        <v>506375000</v>
      </c>
      <c r="EC12" s="157">
        <f t="shared" ref="EC12:EC41" si="41">EB12-EK12+EL12</f>
        <v>0</v>
      </c>
      <c r="ED12" s="122">
        <f t="shared" ref="ED12:ED41" si="42">D12+G12+J12+M12+P12+S12+V12+Y12+AB12+AE12+AH12+AK12+AN12+AQ12+AT12+AW12+AZ12+BC12+BF12+BI12+DW12+DT12+DQ12+DN12+DK12+DH12+DE12+DB12+CY12+CV12+CS12+CP12+CM12+CJ12+CG12+CD12+CA12+BX12+BU12+BR12+BO12+BL12</f>
        <v>39746.180555555555</v>
      </c>
      <c r="EE12" s="123">
        <f t="shared" ref="EE12:EE41" si="43">IF(EB12&lt;&gt;0,((ED12/EB12)*360),0)</f>
        <v>2.8256973586768697E-2</v>
      </c>
      <c r="EG12" s="157">
        <f t="shared" ref="EG12:EG41" si="44">Q12+T12+W12+Z12+AC12+AF12</f>
        <v>0</v>
      </c>
      <c r="EH12" s="122">
        <f t="shared" ref="EH12:EH41" si="45">S12+V12+Y12+AB12+AE12+AH12</f>
        <v>0</v>
      </c>
      <c r="EI12" s="123">
        <f t="shared" ref="EI12:EI41" si="46">IF(EG12&lt;&gt;0,((EH12/EG12)*360),0)</f>
        <v>0</v>
      </c>
      <c r="EJ12" s="123"/>
      <c r="EK12" s="157">
        <f t="shared" ref="EK12:EK41" si="47">DR12+DL12+DI12+DF12+DC12+CZ12+CW12+CT12+CQ12+CN12+CK12+CH12+CE12+CB12+BY12+BV12+BS12+BP12+BM12+BJ12+BG12+BD12+BA12+AX12+AU12+AR12+AO12+AL12+AI12+DO12</f>
        <v>506375000</v>
      </c>
      <c r="EL12" s="157">
        <f t="shared" ref="EL12:EL41" si="48">DX12</f>
        <v>0</v>
      </c>
      <c r="EM12" s="157">
        <f t="shared" ref="EM12:EM41" si="49">DT12+DQ12+DN12+DK12+DH12+DE12+DB12+CY12+CV12+CS12+CP12+CM12+CJ12+CG12+CD12+CA12+BX12+BU12+BR12+BO12+BL12+BI12+BF12+BC12+AZ12+AW12+AT12+AQ12+AN12+AK12</f>
        <v>39746.180555555555</v>
      </c>
      <c r="EN12" s="123">
        <f t="shared" ref="EN12:EN41" si="50">IF(EK12&lt;&gt;0,((EM12/EK12)*360),0)</f>
        <v>2.8256973586768697E-2</v>
      </c>
      <c r="EP12" s="122"/>
    </row>
    <row r="13" spans="1:147" x14ac:dyDescent="0.25">
      <c r="A13" s="66">
        <f t="shared" ref="A13:A41" si="51">1+A12</f>
        <v>43527</v>
      </c>
      <c r="D13" s="122">
        <f t="shared" si="0"/>
        <v>0</v>
      </c>
      <c r="G13" s="122">
        <f t="shared" si="1"/>
        <v>0</v>
      </c>
      <c r="J13" s="122">
        <f t="shared" si="2"/>
        <v>0</v>
      </c>
      <c r="M13" s="122">
        <f t="shared" si="3"/>
        <v>0</v>
      </c>
      <c r="P13" s="122">
        <f t="shared" si="4"/>
        <v>0</v>
      </c>
      <c r="S13" s="122">
        <f t="shared" si="5"/>
        <v>0</v>
      </c>
      <c r="V13" s="122">
        <f t="shared" si="6"/>
        <v>0</v>
      </c>
      <c r="Y13" s="122">
        <f t="shared" si="7"/>
        <v>0</v>
      </c>
      <c r="AB13" s="122">
        <f t="shared" si="8"/>
        <v>0</v>
      </c>
      <c r="AE13" s="122">
        <v>0</v>
      </c>
      <c r="AH13" s="122">
        <v>0</v>
      </c>
      <c r="AI13" s="155">
        <f>66375000</f>
        <v>66375000</v>
      </c>
      <c r="AJ13" s="156">
        <v>2.7E-2</v>
      </c>
      <c r="AK13" s="122">
        <f t="shared" si="9"/>
        <v>4978.125</v>
      </c>
      <c r="AL13" s="155">
        <f>35000000</f>
        <v>35000000</v>
      </c>
      <c r="AM13" s="156">
        <v>2.8000000000000001E-2</v>
      </c>
      <c r="AN13" s="122">
        <f t="shared" si="10"/>
        <v>2722.2222222222222</v>
      </c>
      <c r="AO13" s="155">
        <f>30000000</f>
        <v>30000000</v>
      </c>
      <c r="AP13" s="156">
        <v>2.8299999999999999E-2</v>
      </c>
      <c r="AQ13" s="122">
        <f t="shared" si="11"/>
        <v>2358.3333333333335</v>
      </c>
      <c r="AR13" s="155">
        <f>130000000+120000000+125000000</f>
        <v>375000000</v>
      </c>
      <c r="AS13" s="156">
        <v>2.8500000000000001E-2</v>
      </c>
      <c r="AT13" s="122">
        <f t="shared" si="12"/>
        <v>29687.5</v>
      </c>
      <c r="AW13" s="122">
        <f t="shared" si="13"/>
        <v>0</v>
      </c>
      <c r="AZ13" s="122">
        <f t="shared" si="14"/>
        <v>0</v>
      </c>
      <c r="BC13" s="122">
        <f t="shared" si="15"/>
        <v>0</v>
      </c>
      <c r="BF13" s="122">
        <f t="shared" si="16"/>
        <v>0</v>
      </c>
      <c r="BI13" s="122">
        <f t="shared" si="17"/>
        <v>0</v>
      </c>
      <c r="BL13" s="122">
        <f t="shared" si="18"/>
        <v>0</v>
      </c>
      <c r="BO13" s="122">
        <f t="shared" si="19"/>
        <v>0</v>
      </c>
      <c r="BR13" s="122">
        <f t="shared" si="20"/>
        <v>0</v>
      </c>
      <c r="BU13" s="122">
        <f t="shared" si="21"/>
        <v>0</v>
      </c>
      <c r="BX13" s="122">
        <f t="shared" si="22"/>
        <v>0</v>
      </c>
      <c r="CA13" s="122">
        <f t="shared" si="23"/>
        <v>0</v>
      </c>
      <c r="CD13" s="122">
        <f t="shared" si="24"/>
        <v>0</v>
      </c>
      <c r="CG13" s="122">
        <f t="shared" si="25"/>
        <v>0</v>
      </c>
      <c r="CJ13" s="122">
        <f t="shared" si="26"/>
        <v>0</v>
      </c>
      <c r="CM13" s="122">
        <f t="shared" si="27"/>
        <v>0</v>
      </c>
      <c r="CP13" s="122">
        <f t="shared" si="28"/>
        <v>0</v>
      </c>
      <c r="CS13" s="122">
        <f t="shared" si="29"/>
        <v>0</v>
      </c>
      <c r="CV13" s="122">
        <f t="shared" si="30"/>
        <v>0</v>
      </c>
      <c r="CY13" s="122">
        <f t="shared" si="31"/>
        <v>0</v>
      </c>
      <c r="DB13" s="122">
        <f t="shared" si="32"/>
        <v>0</v>
      </c>
      <c r="DE13" s="122">
        <f t="shared" si="33"/>
        <v>0</v>
      </c>
      <c r="DH13" s="122">
        <f t="shared" si="34"/>
        <v>0</v>
      </c>
      <c r="DK13" s="122">
        <f t="shared" si="35"/>
        <v>0</v>
      </c>
      <c r="DN13" s="122">
        <f t="shared" si="36"/>
        <v>0</v>
      </c>
      <c r="DQ13" s="122">
        <f t="shared" si="37"/>
        <v>0</v>
      </c>
      <c r="DT13" s="122">
        <f t="shared" si="38"/>
        <v>0</v>
      </c>
      <c r="DW13" s="122">
        <f t="shared" si="39"/>
        <v>0</v>
      </c>
      <c r="DZ13" s="122"/>
      <c r="EA13" s="122"/>
      <c r="EB13" s="157">
        <f t="shared" si="40"/>
        <v>506375000</v>
      </c>
      <c r="EC13" s="157">
        <f t="shared" si="41"/>
        <v>0</v>
      </c>
      <c r="ED13" s="122">
        <f t="shared" si="42"/>
        <v>39746.180555555555</v>
      </c>
      <c r="EE13" s="123">
        <f t="shared" si="43"/>
        <v>2.8256973586768697E-2</v>
      </c>
      <c r="EG13" s="157">
        <f t="shared" si="44"/>
        <v>0</v>
      </c>
      <c r="EH13" s="122">
        <f t="shared" si="45"/>
        <v>0</v>
      </c>
      <c r="EI13" s="123">
        <f t="shared" si="46"/>
        <v>0</v>
      </c>
      <c r="EJ13" s="123"/>
      <c r="EK13" s="157">
        <f t="shared" si="47"/>
        <v>506375000</v>
      </c>
      <c r="EL13" s="157">
        <f t="shared" si="48"/>
        <v>0</v>
      </c>
      <c r="EM13" s="157">
        <f t="shared" si="49"/>
        <v>39746.180555555555</v>
      </c>
      <c r="EN13" s="123">
        <f t="shared" si="50"/>
        <v>2.8256973586768697E-2</v>
      </c>
      <c r="EP13" s="122"/>
    </row>
    <row r="14" spans="1:147" x14ac:dyDescent="0.25">
      <c r="A14" s="66">
        <f t="shared" si="51"/>
        <v>43528</v>
      </c>
      <c r="D14" s="122">
        <f t="shared" si="0"/>
        <v>0</v>
      </c>
      <c r="G14" s="122">
        <f t="shared" si="1"/>
        <v>0</v>
      </c>
      <c r="J14" s="122">
        <f t="shared" si="2"/>
        <v>0</v>
      </c>
      <c r="M14" s="122">
        <f t="shared" si="3"/>
        <v>0</v>
      </c>
      <c r="P14" s="122">
        <f t="shared" si="4"/>
        <v>0</v>
      </c>
      <c r="S14" s="122">
        <f t="shared" si="5"/>
        <v>0</v>
      </c>
      <c r="V14" s="122">
        <f t="shared" si="6"/>
        <v>0</v>
      </c>
      <c r="Y14" s="122">
        <f t="shared" si="7"/>
        <v>0</v>
      </c>
      <c r="AB14" s="122">
        <f t="shared" si="8"/>
        <v>0</v>
      </c>
      <c r="AE14" s="122">
        <v>0</v>
      </c>
      <c r="AH14" s="122">
        <v>0</v>
      </c>
      <c r="AI14" s="155">
        <f>66250000</f>
        <v>66250000</v>
      </c>
      <c r="AJ14" s="156">
        <v>2.7E-2</v>
      </c>
      <c r="AK14" s="122">
        <f t="shared" si="9"/>
        <v>4968.75</v>
      </c>
      <c r="AL14" s="155">
        <f>35000000</f>
        <v>35000000</v>
      </c>
      <c r="AM14" s="156">
        <v>2.8000000000000001E-2</v>
      </c>
      <c r="AN14" s="122">
        <f t="shared" si="10"/>
        <v>2722.2222222222222</v>
      </c>
      <c r="AO14" s="155">
        <f>30000000</f>
        <v>30000000</v>
      </c>
      <c r="AP14" s="156">
        <v>2.8299999999999999E-2</v>
      </c>
      <c r="AQ14" s="122">
        <f t="shared" si="11"/>
        <v>2358.3333333333335</v>
      </c>
      <c r="AR14" s="155">
        <f>130000000+120000000+125000000</f>
        <v>375000000</v>
      </c>
      <c r="AS14" s="156">
        <v>2.8500000000000001E-2</v>
      </c>
      <c r="AT14" s="122">
        <f t="shared" si="12"/>
        <v>29687.5</v>
      </c>
      <c r="AW14" s="122">
        <f t="shared" si="13"/>
        <v>0</v>
      </c>
      <c r="AZ14" s="122">
        <f t="shared" si="14"/>
        <v>0</v>
      </c>
      <c r="BC14" s="122">
        <f t="shared" si="15"/>
        <v>0</v>
      </c>
      <c r="BF14" s="122">
        <f t="shared" si="16"/>
        <v>0</v>
      </c>
      <c r="BI14" s="122">
        <f t="shared" si="17"/>
        <v>0</v>
      </c>
      <c r="BL14" s="122">
        <f t="shared" si="18"/>
        <v>0</v>
      </c>
      <c r="BO14" s="122">
        <f t="shared" si="19"/>
        <v>0</v>
      </c>
      <c r="BR14" s="122">
        <f t="shared" si="20"/>
        <v>0</v>
      </c>
      <c r="BU14" s="122">
        <f t="shared" si="21"/>
        <v>0</v>
      </c>
      <c r="BX14" s="122">
        <f t="shared" si="22"/>
        <v>0</v>
      </c>
      <c r="CA14" s="122">
        <f t="shared" si="23"/>
        <v>0</v>
      </c>
      <c r="CD14" s="122">
        <f t="shared" si="24"/>
        <v>0</v>
      </c>
      <c r="CG14" s="122">
        <f t="shared" si="25"/>
        <v>0</v>
      </c>
      <c r="CJ14" s="122">
        <f t="shared" si="26"/>
        <v>0</v>
      </c>
      <c r="CM14" s="122">
        <f t="shared" si="27"/>
        <v>0</v>
      </c>
      <c r="CP14" s="122">
        <f t="shared" si="28"/>
        <v>0</v>
      </c>
      <c r="CS14" s="122">
        <f t="shared" si="29"/>
        <v>0</v>
      </c>
      <c r="CV14" s="122">
        <f t="shared" si="30"/>
        <v>0</v>
      </c>
      <c r="CY14" s="122">
        <f t="shared" si="31"/>
        <v>0</v>
      </c>
      <c r="DB14" s="122">
        <f t="shared" si="32"/>
        <v>0</v>
      </c>
      <c r="DE14" s="122">
        <f t="shared" si="33"/>
        <v>0</v>
      </c>
      <c r="DH14" s="122">
        <f t="shared" si="34"/>
        <v>0</v>
      </c>
      <c r="DK14" s="122">
        <f t="shared" si="35"/>
        <v>0</v>
      </c>
      <c r="DN14" s="122">
        <f t="shared" si="36"/>
        <v>0</v>
      </c>
      <c r="DQ14" s="122">
        <f t="shared" si="37"/>
        <v>0</v>
      </c>
      <c r="DT14" s="122">
        <f t="shared" si="38"/>
        <v>0</v>
      </c>
      <c r="DW14" s="122">
        <f t="shared" si="39"/>
        <v>0</v>
      </c>
      <c r="DZ14" s="122"/>
      <c r="EA14" s="122"/>
      <c r="EB14" s="157">
        <f t="shared" si="40"/>
        <v>506250000</v>
      </c>
      <c r="EC14" s="157">
        <f t="shared" si="41"/>
        <v>0</v>
      </c>
      <c r="ED14" s="122">
        <f t="shared" si="42"/>
        <v>39736.805555555555</v>
      </c>
      <c r="EE14" s="123">
        <f t="shared" si="43"/>
        <v>2.8257283950617284E-2</v>
      </c>
      <c r="EG14" s="157">
        <f t="shared" si="44"/>
        <v>0</v>
      </c>
      <c r="EH14" s="122">
        <f t="shared" si="45"/>
        <v>0</v>
      </c>
      <c r="EI14" s="123">
        <f t="shared" si="46"/>
        <v>0</v>
      </c>
      <c r="EJ14" s="123"/>
      <c r="EK14" s="157">
        <f t="shared" si="47"/>
        <v>506250000</v>
      </c>
      <c r="EL14" s="157">
        <f t="shared" si="48"/>
        <v>0</v>
      </c>
      <c r="EM14" s="157">
        <f t="shared" si="49"/>
        <v>39736.805555555555</v>
      </c>
      <c r="EN14" s="123">
        <f t="shared" si="50"/>
        <v>2.8257283950617284E-2</v>
      </c>
      <c r="EP14" s="122"/>
    </row>
    <row r="15" spans="1:147" x14ac:dyDescent="0.25">
      <c r="A15" s="66">
        <f t="shared" si="51"/>
        <v>43529</v>
      </c>
      <c r="D15" s="122">
        <f t="shared" si="0"/>
        <v>0</v>
      </c>
      <c r="G15" s="122">
        <f t="shared" si="1"/>
        <v>0</v>
      </c>
      <c r="J15" s="122">
        <f t="shared" si="2"/>
        <v>0</v>
      </c>
      <c r="M15" s="122">
        <f t="shared" si="3"/>
        <v>0</v>
      </c>
      <c r="P15" s="122">
        <f t="shared" si="4"/>
        <v>0</v>
      </c>
      <c r="S15" s="122">
        <f t="shared" si="5"/>
        <v>0</v>
      </c>
      <c r="V15" s="122">
        <f t="shared" si="6"/>
        <v>0</v>
      </c>
      <c r="Y15" s="122">
        <f t="shared" si="7"/>
        <v>0</v>
      </c>
      <c r="AB15" s="122">
        <f t="shared" si="8"/>
        <v>0</v>
      </c>
      <c r="AE15" s="122">
        <v>0</v>
      </c>
      <c r="AH15" s="122">
        <v>0</v>
      </c>
      <c r="AI15" s="155">
        <f>56350000</f>
        <v>56350000</v>
      </c>
      <c r="AJ15" s="156">
        <v>2.7E-2</v>
      </c>
      <c r="AK15" s="122">
        <f t="shared" si="9"/>
        <v>4226.25</v>
      </c>
      <c r="AL15" s="155">
        <f>35000000</f>
        <v>35000000</v>
      </c>
      <c r="AM15" s="156">
        <v>2.8000000000000001E-2</v>
      </c>
      <c r="AN15" s="122">
        <f t="shared" si="10"/>
        <v>2722.2222222222222</v>
      </c>
      <c r="AO15" s="155">
        <f>30000000</f>
        <v>30000000</v>
      </c>
      <c r="AP15" s="156">
        <v>2.8299999999999999E-2</v>
      </c>
      <c r="AQ15" s="122">
        <f t="shared" si="11"/>
        <v>2358.3333333333335</v>
      </c>
      <c r="AR15" s="155">
        <f>130000000+120000000+125000000</f>
        <v>375000000</v>
      </c>
      <c r="AS15" s="156">
        <v>2.8500000000000001E-2</v>
      </c>
      <c r="AT15" s="122">
        <f t="shared" si="12"/>
        <v>29687.5</v>
      </c>
      <c r="AW15" s="122">
        <f t="shared" si="13"/>
        <v>0</v>
      </c>
      <c r="AZ15" s="122">
        <f t="shared" si="14"/>
        <v>0</v>
      </c>
      <c r="BC15" s="122">
        <f t="shared" si="15"/>
        <v>0</v>
      </c>
      <c r="BF15" s="122">
        <f t="shared" si="16"/>
        <v>0</v>
      </c>
      <c r="BI15" s="122">
        <f t="shared" si="17"/>
        <v>0</v>
      </c>
      <c r="BL15" s="122">
        <f t="shared" si="18"/>
        <v>0</v>
      </c>
      <c r="BO15" s="122">
        <f t="shared" si="19"/>
        <v>0</v>
      </c>
      <c r="BR15" s="122">
        <f t="shared" si="20"/>
        <v>0</v>
      </c>
      <c r="BU15" s="122">
        <f t="shared" si="21"/>
        <v>0</v>
      </c>
      <c r="BX15" s="122">
        <f t="shared" si="22"/>
        <v>0</v>
      </c>
      <c r="CA15" s="122">
        <f t="shared" si="23"/>
        <v>0</v>
      </c>
      <c r="CD15" s="122">
        <f t="shared" si="24"/>
        <v>0</v>
      </c>
      <c r="CG15" s="122">
        <f t="shared" si="25"/>
        <v>0</v>
      </c>
      <c r="CJ15" s="122">
        <f t="shared" si="26"/>
        <v>0</v>
      </c>
      <c r="CM15" s="122">
        <f t="shared" si="27"/>
        <v>0</v>
      </c>
      <c r="CP15" s="122">
        <f t="shared" si="28"/>
        <v>0</v>
      </c>
      <c r="CS15" s="122">
        <f t="shared" si="29"/>
        <v>0</v>
      </c>
      <c r="CV15" s="122">
        <f t="shared" si="30"/>
        <v>0</v>
      </c>
      <c r="CY15" s="122">
        <f t="shared" si="31"/>
        <v>0</v>
      </c>
      <c r="DB15" s="122">
        <f t="shared" si="32"/>
        <v>0</v>
      </c>
      <c r="DE15" s="122">
        <f t="shared" si="33"/>
        <v>0</v>
      </c>
      <c r="DH15" s="122">
        <f t="shared" si="34"/>
        <v>0</v>
      </c>
      <c r="DK15" s="122">
        <f t="shared" si="35"/>
        <v>0</v>
      </c>
      <c r="DN15" s="122">
        <f t="shared" si="36"/>
        <v>0</v>
      </c>
      <c r="DQ15" s="122">
        <f t="shared" si="37"/>
        <v>0</v>
      </c>
      <c r="DT15" s="122">
        <f t="shared" si="38"/>
        <v>0</v>
      </c>
      <c r="DW15" s="122">
        <f t="shared" si="39"/>
        <v>0</v>
      </c>
      <c r="DZ15" s="122"/>
      <c r="EA15" s="122"/>
      <c r="EB15" s="157">
        <f t="shared" si="40"/>
        <v>496350000</v>
      </c>
      <c r="EC15" s="157">
        <f t="shared" si="41"/>
        <v>0</v>
      </c>
      <c r="ED15" s="122">
        <f t="shared" si="42"/>
        <v>38994.305555555555</v>
      </c>
      <c r="EE15" s="123">
        <f t="shared" si="43"/>
        <v>2.8282361237030321E-2</v>
      </c>
      <c r="EG15" s="157">
        <f t="shared" si="44"/>
        <v>0</v>
      </c>
      <c r="EH15" s="122">
        <f t="shared" si="45"/>
        <v>0</v>
      </c>
      <c r="EI15" s="123">
        <f t="shared" si="46"/>
        <v>0</v>
      </c>
      <c r="EJ15" s="123"/>
      <c r="EK15" s="157">
        <f t="shared" si="47"/>
        <v>496350000</v>
      </c>
      <c r="EL15" s="157">
        <f t="shared" si="48"/>
        <v>0</v>
      </c>
      <c r="EM15" s="157">
        <f t="shared" si="49"/>
        <v>38994.305555555555</v>
      </c>
      <c r="EN15" s="123">
        <f t="shared" si="50"/>
        <v>2.8282361237030321E-2</v>
      </c>
      <c r="EP15" s="122"/>
    </row>
    <row r="16" spans="1:147" x14ac:dyDescent="0.25">
      <c r="A16" s="66">
        <f t="shared" si="51"/>
        <v>43530</v>
      </c>
      <c r="D16" s="122">
        <f t="shared" si="0"/>
        <v>0</v>
      </c>
      <c r="G16" s="122">
        <f t="shared" si="1"/>
        <v>0</v>
      </c>
      <c r="J16" s="122">
        <f t="shared" si="2"/>
        <v>0</v>
      </c>
      <c r="M16" s="122">
        <f t="shared" si="3"/>
        <v>0</v>
      </c>
      <c r="P16" s="122">
        <f t="shared" si="4"/>
        <v>0</v>
      </c>
      <c r="S16" s="122">
        <f t="shared" si="5"/>
        <v>0</v>
      </c>
      <c r="V16" s="122">
        <f t="shared" si="6"/>
        <v>0</v>
      </c>
      <c r="Y16" s="122">
        <f t="shared" si="7"/>
        <v>0</v>
      </c>
      <c r="AB16" s="122">
        <f t="shared" si="8"/>
        <v>0</v>
      </c>
      <c r="AE16" s="122">
        <v>0</v>
      </c>
      <c r="AH16" s="122">
        <v>0</v>
      </c>
      <c r="AI16" s="155">
        <f>37150000</f>
        <v>37150000</v>
      </c>
      <c r="AJ16" s="156">
        <v>2.7E-2</v>
      </c>
      <c r="AK16" s="122">
        <f t="shared" si="9"/>
        <v>2786.25</v>
      </c>
      <c r="AL16" s="155"/>
      <c r="AM16" s="156"/>
      <c r="AN16" s="122">
        <f t="shared" si="10"/>
        <v>0</v>
      </c>
      <c r="AQ16" s="122">
        <f t="shared" si="11"/>
        <v>0</v>
      </c>
      <c r="AT16" s="122">
        <f t="shared" si="12"/>
        <v>0</v>
      </c>
      <c r="AW16" s="122">
        <f t="shared" si="13"/>
        <v>0</v>
      </c>
      <c r="AZ16" s="122">
        <f t="shared" si="14"/>
        <v>0</v>
      </c>
      <c r="BC16" s="122">
        <f t="shared" si="15"/>
        <v>0</v>
      </c>
      <c r="BF16" s="122">
        <f t="shared" si="16"/>
        <v>0</v>
      </c>
      <c r="BI16" s="122">
        <f t="shared" si="17"/>
        <v>0</v>
      </c>
      <c r="BL16" s="122">
        <f t="shared" si="18"/>
        <v>0</v>
      </c>
      <c r="BO16" s="122">
        <f t="shared" si="19"/>
        <v>0</v>
      </c>
      <c r="BR16" s="122">
        <f t="shared" si="20"/>
        <v>0</v>
      </c>
      <c r="BU16" s="122">
        <f t="shared" si="21"/>
        <v>0</v>
      </c>
      <c r="BX16" s="122">
        <f t="shared" si="22"/>
        <v>0</v>
      </c>
      <c r="CA16" s="122">
        <f t="shared" si="23"/>
        <v>0</v>
      </c>
      <c r="CD16" s="122">
        <f t="shared" si="24"/>
        <v>0</v>
      </c>
      <c r="CG16" s="122">
        <f t="shared" si="25"/>
        <v>0</v>
      </c>
      <c r="CJ16" s="122">
        <f t="shared" si="26"/>
        <v>0</v>
      </c>
      <c r="CM16" s="122">
        <f t="shared" si="27"/>
        <v>0</v>
      </c>
      <c r="CP16" s="122">
        <f t="shared" si="28"/>
        <v>0</v>
      </c>
      <c r="CS16" s="122">
        <f t="shared" si="29"/>
        <v>0</v>
      </c>
      <c r="CV16" s="122">
        <f t="shared" si="30"/>
        <v>0</v>
      </c>
      <c r="CY16" s="122">
        <f t="shared" si="31"/>
        <v>0</v>
      </c>
      <c r="DB16" s="122">
        <f t="shared" si="32"/>
        <v>0</v>
      </c>
      <c r="DE16" s="122">
        <f t="shared" si="33"/>
        <v>0</v>
      </c>
      <c r="DH16" s="122">
        <f t="shared" si="34"/>
        <v>0</v>
      </c>
      <c r="DK16" s="122">
        <f t="shared" si="35"/>
        <v>0</v>
      </c>
      <c r="DN16" s="122">
        <f t="shared" si="36"/>
        <v>0</v>
      </c>
      <c r="DQ16" s="122">
        <f t="shared" si="37"/>
        <v>0</v>
      </c>
      <c r="DT16" s="122">
        <f t="shared" si="38"/>
        <v>0</v>
      </c>
      <c r="DW16" s="122">
        <f t="shared" si="39"/>
        <v>0</v>
      </c>
      <c r="DZ16" s="122"/>
      <c r="EA16" s="122"/>
      <c r="EB16" s="157">
        <f t="shared" si="40"/>
        <v>37150000</v>
      </c>
      <c r="EC16" s="157">
        <f t="shared" si="41"/>
        <v>0</v>
      </c>
      <c r="ED16" s="122">
        <f t="shared" si="42"/>
        <v>2786.25</v>
      </c>
      <c r="EE16" s="123">
        <f t="shared" si="43"/>
        <v>2.6999999999999996E-2</v>
      </c>
      <c r="EG16" s="157">
        <f t="shared" si="44"/>
        <v>0</v>
      </c>
      <c r="EH16" s="122">
        <f t="shared" si="45"/>
        <v>0</v>
      </c>
      <c r="EI16" s="123">
        <f t="shared" si="46"/>
        <v>0</v>
      </c>
      <c r="EJ16" s="123"/>
      <c r="EK16" s="157">
        <f t="shared" si="47"/>
        <v>37150000</v>
      </c>
      <c r="EL16" s="157">
        <f t="shared" si="48"/>
        <v>0</v>
      </c>
      <c r="EM16" s="157">
        <f t="shared" si="49"/>
        <v>2786.25</v>
      </c>
      <c r="EN16" s="123">
        <f t="shared" si="50"/>
        <v>2.6999999999999996E-2</v>
      </c>
      <c r="EP16" s="122"/>
    </row>
    <row r="17" spans="1:146" x14ac:dyDescent="0.25">
      <c r="A17" s="66">
        <f t="shared" si="51"/>
        <v>43531</v>
      </c>
      <c r="D17" s="122">
        <f t="shared" si="0"/>
        <v>0</v>
      </c>
      <c r="G17" s="122">
        <f t="shared" si="1"/>
        <v>0</v>
      </c>
      <c r="J17" s="122">
        <f t="shared" si="2"/>
        <v>0</v>
      </c>
      <c r="M17" s="122">
        <f t="shared" si="3"/>
        <v>0</v>
      </c>
      <c r="P17" s="122">
        <f t="shared" si="4"/>
        <v>0</v>
      </c>
      <c r="S17" s="122">
        <f t="shared" si="5"/>
        <v>0</v>
      </c>
      <c r="V17" s="122">
        <f t="shared" si="6"/>
        <v>0</v>
      </c>
      <c r="Y17" s="122">
        <f t="shared" si="7"/>
        <v>0</v>
      </c>
      <c r="AB17" s="122">
        <f t="shared" si="8"/>
        <v>0</v>
      </c>
      <c r="AE17" s="122">
        <v>0</v>
      </c>
      <c r="AH17" s="122">
        <v>0</v>
      </c>
      <c r="AI17" s="155">
        <f>25950000</f>
        <v>25950000</v>
      </c>
      <c r="AJ17" s="156">
        <v>2.7E-2</v>
      </c>
      <c r="AK17" s="122">
        <f t="shared" si="9"/>
        <v>1946.25</v>
      </c>
      <c r="AL17" s="155"/>
      <c r="AM17" s="156"/>
      <c r="AN17" s="122">
        <f t="shared" si="10"/>
        <v>0</v>
      </c>
      <c r="AQ17" s="122">
        <f t="shared" si="11"/>
        <v>0</v>
      </c>
      <c r="AT17" s="122">
        <f t="shared" si="12"/>
        <v>0</v>
      </c>
      <c r="AW17" s="122">
        <f t="shared" si="13"/>
        <v>0</v>
      </c>
      <c r="AZ17" s="122">
        <f t="shared" si="14"/>
        <v>0</v>
      </c>
      <c r="BC17" s="122">
        <f t="shared" si="15"/>
        <v>0</v>
      </c>
      <c r="BF17" s="122">
        <f t="shared" si="16"/>
        <v>0</v>
      </c>
      <c r="BI17" s="122">
        <f t="shared" si="17"/>
        <v>0</v>
      </c>
      <c r="BL17" s="122">
        <f t="shared" si="18"/>
        <v>0</v>
      </c>
      <c r="BO17" s="122">
        <f t="shared" si="19"/>
        <v>0</v>
      </c>
      <c r="BR17" s="122">
        <f t="shared" si="20"/>
        <v>0</v>
      </c>
      <c r="BU17" s="122">
        <f t="shared" si="21"/>
        <v>0</v>
      </c>
      <c r="BX17" s="122">
        <f t="shared" si="22"/>
        <v>0</v>
      </c>
      <c r="CA17" s="122">
        <f t="shared" si="23"/>
        <v>0</v>
      </c>
      <c r="CD17" s="122">
        <f t="shared" si="24"/>
        <v>0</v>
      </c>
      <c r="CG17" s="122">
        <f t="shared" si="25"/>
        <v>0</v>
      </c>
      <c r="CJ17" s="122">
        <f t="shared" si="26"/>
        <v>0</v>
      </c>
      <c r="CM17" s="122">
        <f t="shared" si="27"/>
        <v>0</v>
      </c>
      <c r="CP17" s="122">
        <f t="shared" si="28"/>
        <v>0</v>
      </c>
      <c r="CS17" s="122">
        <f t="shared" si="29"/>
        <v>0</v>
      </c>
      <c r="CV17" s="122">
        <f t="shared" si="30"/>
        <v>0</v>
      </c>
      <c r="CY17" s="122">
        <f t="shared" si="31"/>
        <v>0</v>
      </c>
      <c r="DB17" s="122">
        <f t="shared" si="32"/>
        <v>0</v>
      </c>
      <c r="DE17" s="122">
        <f t="shared" si="33"/>
        <v>0</v>
      </c>
      <c r="DH17" s="122">
        <f t="shared" si="34"/>
        <v>0</v>
      </c>
      <c r="DK17" s="122">
        <f t="shared" si="35"/>
        <v>0</v>
      </c>
      <c r="DN17" s="122">
        <f t="shared" si="36"/>
        <v>0</v>
      </c>
      <c r="DQ17" s="122">
        <f t="shared" si="37"/>
        <v>0</v>
      </c>
      <c r="DT17" s="122">
        <f t="shared" si="38"/>
        <v>0</v>
      </c>
      <c r="DW17" s="122">
        <f t="shared" si="39"/>
        <v>0</v>
      </c>
      <c r="DZ17" s="122"/>
      <c r="EA17" s="122"/>
      <c r="EB17" s="157">
        <f t="shared" si="40"/>
        <v>25950000</v>
      </c>
      <c r="EC17" s="157">
        <f t="shared" si="41"/>
        <v>0</v>
      </c>
      <c r="ED17" s="122">
        <f t="shared" si="42"/>
        <v>1946.25</v>
      </c>
      <c r="EE17" s="123">
        <f t="shared" si="43"/>
        <v>2.6999999999999996E-2</v>
      </c>
      <c r="EG17" s="157">
        <f t="shared" si="44"/>
        <v>0</v>
      </c>
      <c r="EH17" s="122">
        <f t="shared" si="45"/>
        <v>0</v>
      </c>
      <c r="EI17" s="123">
        <f t="shared" si="46"/>
        <v>0</v>
      </c>
      <c r="EJ17" s="123"/>
      <c r="EK17" s="157">
        <f t="shared" si="47"/>
        <v>25950000</v>
      </c>
      <c r="EL17" s="157">
        <f t="shared" si="48"/>
        <v>0</v>
      </c>
      <c r="EM17" s="157">
        <f t="shared" si="49"/>
        <v>1946.25</v>
      </c>
      <c r="EN17" s="123">
        <f t="shared" si="50"/>
        <v>2.6999999999999996E-2</v>
      </c>
      <c r="EP17" s="122"/>
    </row>
    <row r="18" spans="1:146" x14ac:dyDescent="0.25">
      <c r="A18" s="66">
        <f t="shared" si="51"/>
        <v>43532</v>
      </c>
      <c r="D18" s="122">
        <f t="shared" si="0"/>
        <v>0</v>
      </c>
      <c r="G18" s="122">
        <f t="shared" si="1"/>
        <v>0</v>
      </c>
      <c r="J18" s="122">
        <f t="shared" si="2"/>
        <v>0</v>
      </c>
      <c r="M18" s="122">
        <f t="shared" si="3"/>
        <v>0</v>
      </c>
      <c r="P18" s="122">
        <f t="shared" si="4"/>
        <v>0</v>
      </c>
      <c r="S18" s="122">
        <f t="shared" si="5"/>
        <v>0</v>
      </c>
      <c r="V18" s="122">
        <f t="shared" si="6"/>
        <v>0</v>
      </c>
      <c r="Y18" s="122">
        <f t="shared" si="7"/>
        <v>0</v>
      </c>
      <c r="AB18" s="122">
        <f t="shared" si="8"/>
        <v>0</v>
      </c>
      <c r="AE18" s="122">
        <v>0</v>
      </c>
      <c r="AH18" s="122">
        <v>0</v>
      </c>
      <c r="AI18" s="155">
        <f>27850000</f>
        <v>27850000</v>
      </c>
      <c r="AJ18" s="156">
        <v>2.7E-2</v>
      </c>
      <c r="AK18" s="122">
        <f t="shared" si="9"/>
        <v>2088.75</v>
      </c>
      <c r="AL18" s="155"/>
      <c r="AM18" s="156"/>
      <c r="AN18" s="122">
        <f t="shared" si="10"/>
        <v>0</v>
      </c>
      <c r="AQ18" s="122">
        <f t="shared" si="11"/>
        <v>0</v>
      </c>
      <c r="AT18" s="122">
        <f t="shared" si="12"/>
        <v>0</v>
      </c>
      <c r="AW18" s="122">
        <f t="shared" si="13"/>
        <v>0</v>
      </c>
      <c r="AZ18" s="122">
        <f t="shared" si="14"/>
        <v>0</v>
      </c>
      <c r="BC18" s="122">
        <f t="shared" si="15"/>
        <v>0</v>
      </c>
      <c r="BF18" s="122">
        <f t="shared" si="16"/>
        <v>0</v>
      </c>
      <c r="BI18" s="122">
        <f t="shared" si="17"/>
        <v>0</v>
      </c>
      <c r="BL18" s="122">
        <f t="shared" si="18"/>
        <v>0</v>
      </c>
      <c r="BO18" s="122">
        <f t="shared" si="19"/>
        <v>0</v>
      </c>
      <c r="BR18" s="122">
        <f t="shared" si="20"/>
        <v>0</v>
      </c>
      <c r="BU18" s="122">
        <f t="shared" si="21"/>
        <v>0</v>
      </c>
      <c r="BX18" s="122">
        <f t="shared" si="22"/>
        <v>0</v>
      </c>
      <c r="CA18" s="122">
        <f t="shared" si="23"/>
        <v>0</v>
      </c>
      <c r="CD18" s="122">
        <f t="shared" si="24"/>
        <v>0</v>
      </c>
      <c r="CG18" s="122">
        <f t="shared" si="25"/>
        <v>0</v>
      </c>
      <c r="CJ18" s="122">
        <f t="shared" si="26"/>
        <v>0</v>
      </c>
      <c r="CM18" s="122">
        <f t="shared" si="27"/>
        <v>0</v>
      </c>
      <c r="CP18" s="122">
        <f t="shared" si="28"/>
        <v>0</v>
      </c>
      <c r="CS18" s="122">
        <f t="shared" si="29"/>
        <v>0</v>
      </c>
      <c r="CV18" s="122">
        <f t="shared" si="30"/>
        <v>0</v>
      </c>
      <c r="CY18" s="122">
        <f t="shared" si="31"/>
        <v>0</v>
      </c>
      <c r="DB18" s="122">
        <f t="shared" si="32"/>
        <v>0</v>
      </c>
      <c r="DE18" s="122">
        <f t="shared" si="33"/>
        <v>0</v>
      </c>
      <c r="DH18" s="122">
        <f t="shared" si="34"/>
        <v>0</v>
      </c>
      <c r="DK18" s="122">
        <f t="shared" si="35"/>
        <v>0</v>
      </c>
      <c r="DN18" s="122">
        <f t="shared" si="36"/>
        <v>0</v>
      </c>
      <c r="DQ18" s="122">
        <f t="shared" si="37"/>
        <v>0</v>
      </c>
      <c r="DT18" s="122">
        <f t="shared" si="38"/>
        <v>0</v>
      </c>
      <c r="DW18" s="122">
        <f t="shared" si="39"/>
        <v>0</v>
      </c>
      <c r="DZ18" s="122"/>
      <c r="EA18" s="122"/>
      <c r="EB18" s="157">
        <f t="shared" si="40"/>
        <v>27850000</v>
      </c>
      <c r="EC18" s="157">
        <f t="shared" si="41"/>
        <v>0</v>
      </c>
      <c r="ED18" s="122">
        <f t="shared" si="42"/>
        <v>2088.75</v>
      </c>
      <c r="EE18" s="123">
        <f t="shared" si="43"/>
        <v>2.6999999999999996E-2</v>
      </c>
      <c r="EG18" s="157">
        <f t="shared" si="44"/>
        <v>0</v>
      </c>
      <c r="EH18" s="122">
        <f t="shared" si="45"/>
        <v>0</v>
      </c>
      <c r="EI18" s="123">
        <f t="shared" si="46"/>
        <v>0</v>
      </c>
      <c r="EJ18" s="123"/>
      <c r="EK18" s="157">
        <f t="shared" si="47"/>
        <v>27850000</v>
      </c>
      <c r="EL18" s="157">
        <f t="shared" si="48"/>
        <v>0</v>
      </c>
      <c r="EM18" s="157">
        <f t="shared" si="49"/>
        <v>2088.75</v>
      </c>
      <c r="EN18" s="123">
        <f t="shared" si="50"/>
        <v>2.6999999999999996E-2</v>
      </c>
      <c r="EP18" s="122"/>
    </row>
    <row r="19" spans="1:146" x14ac:dyDescent="0.25">
      <c r="A19" s="66">
        <f t="shared" si="51"/>
        <v>43533</v>
      </c>
      <c r="D19" s="122">
        <f t="shared" si="0"/>
        <v>0</v>
      </c>
      <c r="G19" s="122">
        <f t="shared" si="1"/>
        <v>0</v>
      </c>
      <c r="J19" s="122">
        <f t="shared" si="2"/>
        <v>0</v>
      </c>
      <c r="M19" s="122">
        <f t="shared" si="3"/>
        <v>0</v>
      </c>
      <c r="P19" s="122">
        <f t="shared" si="4"/>
        <v>0</v>
      </c>
      <c r="S19" s="122">
        <f t="shared" si="5"/>
        <v>0</v>
      </c>
      <c r="V19" s="122">
        <f t="shared" si="6"/>
        <v>0</v>
      </c>
      <c r="Y19" s="122">
        <f t="shared" si="7"/>
        <v>0</v>
      </c>
      <c r="AB19" s="122">
        <f t="shared" si="8"/>
        <v>0</v>
      </c>
      <c r="AE19" s="122">
        <v>0</v>
      </c>
      <c r="AH19" s="122">
        <v>0</v>
      </c>
      <c r="AI19" s="155">
        <f>27850000</f>
        <v>27850000</v>
      </c>
      <c r="AJ19" s="156">
        <v>2.7E-2</v>
      </c>
      <c r="AK19" s="122">
        <f t="shared" si="9"/>
        <v>2088.75</v>
      </c>
      <c r="AL19" s="155"/>
      <c r="AM19" s="156"/>
      <c r="AN19" s="122">
        <f t="shared" si="10"/>
        <v>0</v>
      </c>
      <c r="AQ19" s="122">
        <f t="shared" si="11"/>
        <v>0</v>
      </c>
      <c r="AT19" s="122">
        <f t="shared" si="12"/>
        <v>0</v>
      </c>
      <c r="AW19" s="122">
        <f t="shared" si="13"/>
        <v>0</v>
      </c>
      <c r="AZ19" s="122">
        <f t="shared" si="14"/>
        <v>0</v>
      </c>
      <c r="BC19" s="122">
        <f t="shared" si="15"/>
        <v>0</v>
      </c>
      <c r="BF19" s="122">
        <f t="shared" si="16"/>
        <v>0</v>
      </c>
      <c r="BI19" s="122">
        <f t="shared" si="17"/>
        <v>0</v>
      </c>
      <c r="BL19" s="122">
        <f t="shared" si="18"/>
        <v>0</v>
      </c>
      <c r="BO19" s="122">
        <f t="shared" si="19"/>
        <v>0</v>
      </c>
      <c r="BR19" s="122">
        <f t="shared" si="20"/>
        <v>0</v>
      </c>
      <c r="BU19" s="122">
        <f t="shared" si="21"/>
        <v>0</v>
      </c>
      <c r="BX19" s="122">
        <f t="shared" si="22"/>
        <v>0</v>
      </c>
      <c r="CA19" s="122">
        <f t="shared" si="23"/>
        <v>0</v>
      </c>
      <c r="CD19" s="122">
        <f t="shared" si="24"/>
        <v>0</v>
      </c>
      <c r="CG19" s="122">
        <f t="shared" si="25"/>
        <v>0</v>
      </c>
      <c r="CJ19" s="122">
        <f t="shared" si="26"/>
        <v>0</v>
      </c>
      <c r="CM19" s="122">
        <f t="shared" si="27"/>
        <v>0</v>
      </c>
      <c r="CP19" s="122">
        <f t="shared" si="28"/>
        <v>0</v>
      </c>
      <c r="CS19" s="122">
        <f t="shared" si="29"/>
        <v>0</v>
      </c>
      <c r="CV19" s="122">
        <f t="shared" si="30"/>
        <v>0</v>
      </c>
      <c r="CY19" s="122">
        <f t="shared" si="31"/>
        <v>0</v>
      </c>
      <c r="DB19" s="122">
        <f t="shared" si="32"/>
        <v>0</v>
      </c>
      <c r="DE19" s="122">
        <f t="shared" si="33"/>
        <v>0</v>
      </c>
      <c r="DH19" s="122">
        <f t="shared" si="34"/>
        <v>0</v>
      </c>
      <c r="DK19" s="122">
        <f t="shared" si="35"/>
        <v>0</v>
      </c>
      <c r="DN19" s="122">
        <f t="shared" si="36"/>
        <v>0</v>
      </c>
      <c r="DQ19" s="122">
        <f t="shared" si="37"/>
        <v>0</v>
      </c>
      <c r="DT19" s="122">
        <f t="shared" si="38"/>
        <v>0</v>
      </c>
      <c r="DW19" s="122">
        <f t="shared" si="39"/>
        <v>0</v>
      </c>
      <c r="DZ19" s="122"/>
      <c r="EA19" s="122"/>
      <c r="EB19" s="157">
        <f t="shared" si="40"/>
        <v>27850000</v>
      </c>
      <c r="EC19" s="157">
        <f t="shared" si="41"/>
        <v>0</v>
      </c>
      <c r="ED19" s="122">
        <f t="shared" si="42"/>
        <v>2088.75</v>
      </c>
      <c r="EE19" s="123">
        <f t="shared" si="43"/>
        <v>2.6999999999999996E-2</v>
      </c>
      <c r="EG19" s="157">
        <f t="shared" si="44"/>
        <v>0</v>
      </c>
      <c r="EH19" s="122">
        <f t="shared" si="45"/>
        <v>0</v>
      </c>
      <c r="EI19" s="123">
        <f t="shared" si="46"/>
        <v>0</v>
      </c>
      <c r="EJ19" s="123"/>
      <c r="EK19" s="157">
        <f t="shared" si="47"/>
        <v>27850000</v>
      </c>
      <c r="EL19" s="157">
        <f t="shared" si="48"/>
        <v>0</v>
      </c>
      <c r="EM19" s="157">
        <f t="shared" si="49"/>
        <v>2088.75</v>
      </c>
      <c r="EN19" s="123">
        <f t="shared" si="50"/>
        <v>2.6999999999999996E-2</v>
      </c>
      <c r="EP19" s="122"/>
    </row>
    <row r="20" spans="1:146" x14ac:dyDescent="0.25">
      <c r="A20" s="66">
        <f t="shared" si="51"/>
        <v>43534</v>
      </c>
      <c r="D20" s="122">
        <f t="shared" si="0"/>
        <v>0</v>
      </c>
      <c r="G20" s="122">
        <f t="shared" si="1"/>
        <v>0</v>
      </c>
      <c r="J20" s="122">
        <f t="shared" si="2"/>
        <v>0</v>
      </c>
      <c r="M20" s="122">
        <f t="shared" si="3"/>
        <v>0</v>
      </c>
      <c r="P20" s="122">
        <f t="shared" si="4"/>
        <v>0</v>
      </c>
      <c r="S20" s="122">
        <f t="shared" si="5"/>
        <v>0</v>
      </c>
      <c r="V20" s="122">
        <f t="shared" si="6"/>
        <v>0</v>
      </c>
      <c r="Y20" s="122">
        <f t="shared" si="7"/>
        <v>0</v>
      </c>
      <c r="AB20" s="122">
        <f t="shared" si="8"/>
        <v>0</v>
      </c>
      <c r="AE20" s="122">
        <v>0</v>
      </c>
      <c r="AH20" s="122">
        <v>0</v>
      </c>
      <c r="AI20" s="155">
        <f>27850000</f>
        <v>27850000</v>
      </c>
      <c r="AJ20" s="156">
        <v>2.7E-2</v>
      </c>
      <c r="AK20" s="122">
        <f t="shared" si="9"/>
        <v>2088.75</v>
      </c>
      <c r="AL20" s="155"/>
      <c r="AM20" s="156"/>
      <c r="AN20" s="122">
        <f t="shared" si="10"/>
        <v>0</v>
      </c>
      <c r="AQ20" s="122">
        <f t="shared" si="11"/>
        <v>0</v>
      </c>
      <c r="AT20" s="122">
        <f t="shared" si="12"/>
        <v>0</v>
      </c>
      <c r="AW20" s="122">
        <f t="shared" si="13"/>
        <v>0</v>
      </c>
      <c r="AZ20" s="122">
        <f t="shared" si="14"/>
        <v>0</v>
      </c>
      <c r="BC20" s="122">
        <f t="shared" si="15"/>
        <v>0</v>
      </c>
      <c r="BF20" s="122">
        <f t="shared" si="16"/>
        <v>0</v>
      </c>
      <c r="BI20" s="122">
        <f t="shared" si="17"/>
        <v>0</v>
      </c>
      <c r="BL20" s="122">
        <f t="shared" si="18"/>
        <v>0</v>
      </c>
      <c r="BO20" s="122">
        <f t="shared" si="19"/>
        <v>0</v>
      </c>
      <c r="BR20" s="122">
        <f t="shared" si="20"/>
        <v>0</v>
      </c>
      <c r="BU20" s="122">
        <f t="shared" si="21"/>
        <v>0</v>
      </c>
      <c r="BX20" s="122">
        <f t="shared" si="22"/>
        <v>0</v>
      </c>
      <c r="CA20" s="122">
        <f t="shared" si="23"/>
        <v>0</v>
      </c>
      <c r="CD20" s="122">
        <f t="shared" si="24"/>
        <v>0</v>
      </c>
      <c r="CG20" s="122">
        <f t="shared" si="25"/>
        <v>0</v>
      </c>
      <c r="CJ20" s="122">
        <f t="shared" si="26"/>
        <v>0</v>
      </c>
      <c r="CM20" s="122">
        <f t="shared" si="27"/>
        <v>0</v>
      </c>
      <c r="CP20" s="122">
        <f t="shared" si="28"/>
        <v>0</v>
      </c>
      <c r="CS20" s="122">
        <f t="shared" si="29"/>
        <v>0</v>
      </c>
      <c r="CV20" s="122">
        <f t="shared" si="30"/>
        <v>0</v>
      </c>
      <c r="CY20" s="122">
        <f t="shared" si="31"/>
        <v>0</v>
      </c>
      <c r="DB20" s="122">
        <f t="shared" si="32"/>
        <v>0</v>
      </c>
      <c r="DE20" s="122">
        <f t="shared" si="33"/>
        <v>0</v>
      </c>
      <c r="DH20" s="122">
        <f t="shared" si="34"/>
        <v>0</v>
      </c>
      <c r="DK20" s="122">
        <f t="shared" si="35"/>
        <v>0</v>
      </c>
      <c r="DN20" s="122">
        <f t="shared" si="36"/>
        <v>0</v>
      </c>
      <c r="DQ20" s="122">
        <f t="shared" si="37"/>
        <v>0</v>
      </c>
      <c r="DT20" s="122">
        <f t="shared" si="38"/>
        <v>0</v>
      </c>
      <c r="DW20" s="122">
        <f t="shared" si="39"/>
        <v>0</v>
      </c>
      <c r="DZ20" s="122"/>
      <c r="EA20" s="122"/>
      <c r="EB20" s="157">
        <f t="shared" si="40"/>
        <v>27850000</v>
      </c>
      <c r="EC20" s="157">
        <f t="shared" si="41"/>
        <v>0</v>
      </c>
      <c r="ED20" s="122">
        <f t="shared" si="42"/>
        <v>2088.75</v>
      </c>
      <c r="EE20" s="123">
        <f t="shared" si="43"/>
        <v>2.6999999999999996E-2</v>
      </c>
      <c r="EG20" s="157">
        <f t="shared" si="44"/>
        <v>0</v>
      </c>
      <c r="EH20" s="122">
        <f t="shared" si="45"/>
        <v>0</v>
      </c>
      <c r="EI20" s="123">
        <f t="shared" si="46"/>
        <v>0</v>
      </c>
      <c r="EJ20" s="123"/>
      <c r="EK20" s="157">
        <f t="shared" si="47"/>
        <v>27850000</v>
      </c>
      <c r="EL20" s="157">
        <f t="shared" si="48"/>
        <v>0</v>
      </c>
      <c r="EM20" s="157">
        <f t="shared" si="49"/>
        <v>2088.75</v>
      </c>
      <c r="EN20" s="123">
        <f t="shared" si="50"/>
        <v>2.6999999999999996E-2</v>
      </c>
      <c r="EP20" s="122"/>
    </row>
    <row r="21" spans="1:146" x14ac:dyDescent="0.25">
      <c r="A21" s="66">
        <f t="shared" si="51"/>
        <v>43535</v>
      </c>
      <c r="D21" s="122">
        <f t="shared" si="0"/>
        <v>0</v>
      </c>
      <c r="G21" s="122">
        <f t="shared" si="1"/>
        <v>0</v>
      </c>
      <c r="J21" s="122">
        <f t="shared" si="2"/>
        <v>0</v>
      </c>
      <c r="M21" s="122">
        <f t="shared" si="3"/>
        <v>0</v>
      </c>
      <c r="P21" s="122">
        <f t="shared" si="4"/>
        <v>0</v>
      </c>
      <c r="S21" s="122">
        <f t="shared" si="5"/>
        <v>0</v>
      </c>
      <c r="V21" s="122">
        <f t="shared" si="6"/>
        <v>0</v>
      </c>
      <c r="Y21" s="122">
        <f t="shared" si="7"/>
        <v>0</v>
      </c>
      <c r="AB21" s="122">
        <f t="shared" si="8"/>
        <v>0</v>
      </c>
      <c r="AE21" s="122">
        <v>0</v>
      </c>
      <c r="AH21" s="122">
        <v>0</v>
      </c>
      <c r="AI21" s="155">
        <f>15875000</f>
        <v>15875000</v>
      </c>
      <c r="AJ21" s="156">
        <v>2.7E-2</v>
      </c>
      <c r="AK21" s="122">
        <f t="shared" si="9"/>
        <v>1190.625</v>
      </c>
      <c r="AL21" s="155"/>
      <c r="AM21" s="156"/>
      <c r="AN21" s="122">
        <f t="shared" si="10"/>
        <v>0</v>
      </c>
      <c r="AQ21" s="122">
        <f t="shared" si="11"/>
        <v>0</v>
      </c>
      <c r="AT21" s="122">
        <f t="shared" si="12"/>
        <v>0</v>
      </c>
      <c r="AW21" s="122">
        <f t="shared" si="13"/>
        <v>0</v>
      </c>
      <c r="AZ21" s="122">
        <f t="shared" si="14"/>
        <v>0</v>
      </c>
      <c r="BC21" s="122">
        <f t="shared" si="15"/>
        <v>0</v>
      </c>
      <c r="BF21" s="122">
        <f t="shared" si="16"/>
        <v>0</v>
      </c>
      <c r="BI21" s="122">
        <f t="shared" si="17"/>
        <v>0</v>
      </c>
      <c r="BL21" s="122">
        <f t="shared" si="18"/>
        <v>0</v>
      </c>
      <c r="BO21" s="122">
        <f t="shared" si="19"/>
        <v>0</v>
      </c>
      <c r="BR21" s="122">
        <f t="shared" si="20"/>
        <v>0</v>
      </c>
      <c r="BU21" s="122">
        <f t="shared" si="21"/>
        <v>0</v>
      </c>
      <c r="BX21" s="122">
        <f t="shared" si="22"/>
        <v>0</v>
      </c>
      <c r="CA21" s="122">
        <f t="shared" si="23"/>
        <v>0</v>
      </c>
      <c r="CD21" s="122">
        <f t="shared" si="24"/>
        <v>0</v>
      </c>
      <c r="CG21" s="122">
        <f t="shared" si="25"/>
        <v>0</v>
      </c>
      <c r="CJ21" s="122">
        <f t="shared" si="26"/>
        <v>0</v>
      </c>
      <c r="CM21" s="122">
        <f t="shared" si="27"/>
        <v>0</v>
      </c>
      <c r="CP21" s="122">
        <f t="shared" si="28"/>
        <v>0</v>
      </c>
      <c r="CS21" s="122">
        <f t="shared" si="29"/>
        <v>0</v>
      </c>
      <c r="CV21" s="122">
        <f t="shared" si="30"/>
        <v>0</v>
      </c>
      <c r="CY21" s="122">
        <f t="shared" si="31"/>
        <v>0</v>
      </c>
      <c r="DB21" s="122">
        <f t="shared" si="32"/>
        <v>0</v>
      </c>
      <c r="DE21" s="122">
        <f t="shared" si="33"/>
        <v>0</v>
      </c>
      <c r="DH21" s="122">
        <f t="shared" si="34"/>
        <v>0</v>
      </c>
      <c r="DK21" s="122">
        <f t="shared" si="35"/>
        <v>0</v>
      </c>
      <c r="DN21" s="122">
        <f t="shared" si="36"/>
        <v>0</v>
      </c>
      <c r="DQ21" s="122">
        <f t="shared" si="37"/>
        <v>0</v>
      </c>
      <c r="DT21" s="122">
        <f t="shared" si="38"/>
        <v>0</v>
      </c>
      <c r="DW21" s="122">
        <f t="shared" si="39"/>
        <v>0</v>
      </c>
      <c r="DZ21" s="122"/>
      <c r="EA21" s="122"/>
      <c r="EB21" s="157">
        <f t="shared" si="40"/>
        <v>15875000</v>
      </c>
      <c r="EC21" s="157">
        <f t="shared" si="41"/>
        <v>0</v>
      </c>
      <c r="ED21" s="122">
        <f t="shared" si="42"/>
        <v>1190.625</v>
      </c>
      <c r="EE21" s="123">
        <f t="shared" si="43"/>
        <v>2.6999999999999996E-2</v>
      </c>
      <c r="EG21" s="157">
        <f t="shared" si="44"/>
        <v>0</v>
      </c>
      <c r="EH21" s="122">
        <f t="shared" si="45"/>
        <v>0</v>
      </c>
      <c r="EI21" s="123">
        <f t="shared" si="46"/>
        <v>0</v>
      </c>
      <c r="EJ21" s="123"/>
      <c r="EK21" s="157">
        <f t="shared" si="47"/>
        <v>15875000</v>
      </c>
      <c r="EL21" s="157">
        <f t="shared" si="48"/>
        <v>0</v>
      </c>
      <c r="EM21" s="157">
        <f t="shared" si="49"/>
        <v>1190.625</v>
      </c>
      <c r="EN21" s="123">
        <f t="shared" si="50"/>
        <v>2.6999999999999996E-2</v>
      </c>
      <c r="EP21" s="122"/>
    </row>
    <row r="22" spans="1:146" x14ac:dyDescent="0.25">
      <c r="A22" s="66">
        <f t="shared" si="51"/>
        <v>43536</v>
      </c>
      <c r="D22" s="122">
        <f t="shared" si="0"/>
        <v>0</v>
      </c>
      <c r="G22" s="122">
        <f t="shared" si="1"/>
        <v>0</v>
      </c>
      <c r="J22" s="122">
        <f t="shared" si="2"/>
        <v>0</v>
      </c>
      <c r="M22" s="122">
        <f t="shared" si="3"/>
        <v>0</v>
      </c>
      <c r="P22" s="122">
        <f t="shared" si="4"/>
        <v>0</v>
      </c>
      <c r="S22" s="122">
        <f t="shared" si="5"/>
        <v>0</v>
      </c>
      <c r="V22" s="122">
        <f t="shared" si="6"/>
        <v>0</v>
      </c>
      <c r="Y22" s="122">
        <f t="shared" si="7"/>
        <v>0</v>
      </c>
      <c r="AB22" s="122">
        <f t="shared" si="8"/>
        <v>0</v>
      </c>
      <c r="AE22" s="122">
        <v>0</v>
      </c>
      <c r="AH22" s="122">
        <v>0</v>
      </c>
      <c r="AI22" s="155">
        <f>5625000</f>
        <v>5625000</v>
      </c>
      <c r="AJ22" s="156">
        <v>2.7E-2</v>
      </c>
      <c r="AK22" s="122">
        <f t="shared" si="9"/>
        <v>421.875</v>
      </c>
      <c r="AL22" s="155"/>
      <c r="AM22" s="156"/>
      <c r="AN22" s="122">
        <f t="shared" si="10"/>
        <v>0</v>
      </c>
      <c r="AQ22" s="122">
        <f t="shared" si="11"/>
        <v>0</v>
      </c>
      <c r="AT22" s="122">
        <f t="shared" si="12"/>
        <v>0</v>
      </c>
      <c r="AW22" s="122">
        <f t="shared" si="13"/>
        <v>0</v>
      </c>
      <c r="AZ22" s="122">
        <f t="shared" si="14"/>
        <v>0</v>
      </c>
      <c r="BC22" s="122">
        <f t="shared" si="15"/>
        <v>0</v>
      </c>
      <c r="BF22" s="122">
        <f t="shared" si="16"/>
        <v>0</v>
      </c>
      <c r="BI22" s="122">
        <f t="shared" si="17"/>
        <v>0</v>
      </c>
      <c r="BL22" s="122">
        <f t="shared" si="18"/>
        <v>0</v>
      </c>
      <c r="BO22" s="122">
        <f t="shared" si="19"/>
        <v>0</v>
      </c>
      <c r="BR22" s="122">
        <f t="shared" si="20"/>
        <v>0</v>
      </c>
      <c r="BU22" s="122">
        <f t="shared" si="21"/>
        <v>0</v>
      </c>
      <c r="BX22" s="122">
        <f t="shared" si="22"/>
        <v>0</v>
      </c>
      <c r="CA22" s="122">
        <f t="shared" si="23"/>
        <v>0</v>
      </c>
      <c r="CD22" s="122">
        <f t="shared" si="24"/>
        <v>0</v>
      </c>
      <c r="CG22" s="122">
        <f t="shared" si="25"/>
        <v>0</v>
      </c>
      <c r="CJ22" s="122">
        <f t="shared" si="26"/>
        <v>0</v>
      </c>
      <c r="CM22" s="122">
        <f t="shared" si="27"/>
        <v>0</v>
      </c>
      <c r="CP22" s="122">
        <f t="shared" si="28"/>
        <v>0</v>
      </c>
      <c r="CS22" s="122">
        <f t="shared" si="29"/>
        <v>0</v>
      </c>
      <c r="CV22" s="122">
        <f t="shared" si="30"/>
        <v>0</v>
      </c>
      <c r="CY22" s="122">
        <f t="shared" si="31"/>
        <v>0</v>
      </c>
      <c r="DB22" s="122">
        <f t="shared" si="32"/>
        <v>0</v>
      </c>
      <c r="DE22" s="122">
        <f t="shared" si="33"/>
        <v>0</v>
      </c>
      <c r="DH22" s="122">
        <f t="shared" si="34"/>
        <v>0</v>
      </c>
      <c r="DK22" s="122">
        <f t="shared" si="35"/>
        <v>0</v>
      </c>
      <c r="DN22" s="122">
        <f t="shared" si="36"/>
        <v>0</v>
      </c>
      <c r="DQ22" s="122">
        <f t="shared" si="37"/>
        <v>0</v>
      </c>
      <c r="DT22" s="122">
        <f t="shared" si="38"/>
        <v>0</v>
      </c>
      <c r="DW22" s="122">
        <f t="shared" si="39"/>
        <v>0</v>
      </c>
      <c r="DZ22" s="122"/>
      <c r="EA22" s="122"/>
      <c r="EB22" s="157">
        <f t="shared" si="40"/>
        <v>5625000</v>
      </c>
      <c r="EC22" s="157">
        <f t="shared" si="41"/>
        <v>0</v>
      </c>
      <c r="ED22" s="122">
        <f t="shared" si="42"/>
        <v>421.875</v>
      </c>
      <c r="EE22" s="123">
        <f t="shared" si="43"/>
        <v>2.6999999999999996E-2</v>
      </c>
      <c r="EG22" s="157">
        <f t="shared" si="44"/>
        <v>0</v>
      </c>
      <c r="EH22" s="122">
        <f t="shared" si="45"/>
        <v>0</v>
      </c>
      <c r="EI22" s="123">
        <f t="shared" si="46"/>
        <v>0</v>
      </c>
      <c r="EJ22" s="123"/>
      <c r="EK22" s="157">
        <f t="shared" si="47"/>
        <v>5625000</v>
      </c>
      <c r="EL22" s="157">
        <f t="shared" si="48"/>
        <v>0</v>
      </c>
      <c r="EM22" s="157">
        <f t="shared" si="49"/>
        <v>421.875</v>
      </c>
      <c r="EN22" s="123">
        <f t="shared" si="50"/>
        <v>2.6999999999999996E-2</v>
      </c>
      <c r="EP22" s="122"/>
    </row>
    <row r="23" spans="1:146" x14ac:dyDescent="0.25">
      <c r="A23" s="66">
        <f t="shared" si="51"/>
        <v>43537</v>
      </c>
      <c r="D23" s="122">
        <f t="shared" si="0"/>
        <v>0</v>
      </c>
      <c r="G23" s="122">
        <f t="shared" si="1"/>
        <v>0</v>
      </c>
      <c r="J23" s="122">
        <f t="shared" si="2"/>
        <v>0</v>
      </c>
      <c r="M23" s="122">
        <f t="shared" si="3"/>
        <v>0</v>
      </c>
      <c r="P23" s="122">
        <f t="shared" si="4"/>
        <v>0</v>
      </c>
      <c r="S23" s="122">
        <f t="shared" si="5"/>
        <v>0</v>
      </c>
      <c r="V23" s="122">
        <f t="shared" si="6"/>
        <v>0</v>
      </c>
      <c r="Y23" s="122">
        <f t="shared" si="7"/>
        <v>0</v>
      </c>
      <c r="AB23" s="122">
        <f t="shared" si="8"/>
        <v>0</v>
      </c>
      <c r="AE23" s="122">
        <v>0</v>
      </c>
      <c r="AH23" s="122">
        <v>0</v>
      </c>
      <c r="AI23" s="155">
        <f>24175000</f>
        <v>24175000</v>
      </c>
      <c r="AJ23" s="156">
        <v>2.7E-2</v>
      </c>
      <c r="AK23" s="122">
        <f t="shared" si="9"/>
        <v>1813.125</v>
      </c>
      <c r="AL23" s="155"/>
      <c r="AM23" s="156"/>
      <c r="AN23" s="122">
        <f t="shared" si="10"/>
        <v>0</v>
      </c>
      <c r="AQ23" s="122">
        <f t="shared" si="11"/>
        <v>0</v>
      </c>
      <c r="AT23" s="122">
        <f t="shared" si="12"/>
        <v>0</v>
      </c>
      <c r="AW23" s="122">
        <f t="shared" si="13"/>
        <v>0</v>
      </c>
      <c r="AZ23" s="122">
        <f t="shared" si="14"/>
        <v>0</v>
      </c>
      <c r="BC23" s="122">
        <f t="shared" si="15"/>
        <v>0</v>
      </c>
      <c r="BF23" s="122">
        <f t="shared" si="16"/>
        <v>0</v>
      </c>
      <c r="BI23" s="122">
        <f t="shared" si="17"/>
        <v>0</v>
      </c>
      <c r="BL23" s="122">
        <f t="shared" si="18"/>
        <v>0</v>
      </c>
      <c r="BO23" s="122">
        <f t="shared" si="19"/>
        <v>0</v>
      </c>
      <c r="BR23" s="122">
        <f t="shared" si="20"/>
        <v>0</v>
      </c>
      <c r="BU23" s="122">
        <f t="shared" si="21"/>
        <v>0</v>
      </c>
      <c r="BX23" s="122">
        <f t="shared" si="22"/>
        <v>0</v>
      </c>
      <c r="CA23" s="122">
        <f t="shared" si="23"/>
        <v>0</v>
      </c>
      <c r="CD23" s="122">
        <f t="shared" si="24"/>
        <v>0</v>
      </c>
      <c r="CG23" s="122">
        <f t="shared" si="25"/>
        <v>0</v>
      </c>
      <c r="CJ23" s="122">
        <f t="shared" si="26"/>
        <v>0</v>
      </c>
      <c r="CM23" s="122">
        <f t="shared" si="27"/>
        <v>0</v>
      </c>
      <c r="CP23" s="122">
        <f t="shared" si="28"/>
        <v>0</v>
      </c>
      <c r="CS23" s="122">
        <f t="shared" si="29"/>
        <v>0</v>
      </c>
      <c r="CV23" s="122">
        <f t="shared" si="30"/>
        <v>0</v>
      </c>
      <c r="CY23" s="122">
        <f t="shared" si="31"/>
        <v>0</v>
      </c>
      <c r="DB23" s="122">
        <f t="shared" si="32"/>
        <v>0</v>
      </c>
      <c r="DE23" s="122">
        <f t="shared" si="33"/>
        <v>0</v>
      </c>
      <c r="DH23" s="122">
        <f t="shared" si="34"/>
        <v>0</v>
      </c>
      <c r="DK23" s="122">
        <f t="shared" si="35"/>
        <v>0</v>
      </c>
      <c r="DN23" s="122">
        <f t="shared" si="36"/>
        <v>0</v>
      </c>
      <c r="DQ23" s="122">
        <f t="shared" si="37"/>
        <v>0</v>
      </c>
      <c r="DT23" s="122">
        <f t="shared" si="38"/>
        <v>0</v>
      </c>
      <c r="DW23" s="122">
        <f t="shared" si="39"/>
        <v>0</v>
      </c>
      <c r="DZ23" s="122"/>
      <c r="EA23" s="122"/>
      <c r="EB23" s="157">
        <f t="shared" si="40"/>
        <v>24175000</v>
      </c>
      <c r="EC23" s="157">
        <f t="shared" si="41"/>
        <v>0</v>
      </c>
      <c r="ED23" s="122">
        <f t="shared" si="42"/>
        <v>1813.125</v>
      </c>
      <c r="EE23" s="123">
        <f t="shared" si="43"/>
        <v>2.6999999999999996E-2</v>
      </c>
      <c r="EG23" s="157">
        <f t="shared" si="44"/>
        <v>0</v>
      </c>
      <c r="EH23" s="122">
        <f t="shared" si="45"/>
        <v>0</v>
      </c>
      <c r="EI23" s="123">
        <f t="shared" si="46"/>
        <v>0</v>
      </c>
      <c r="EJ23" s="123"/>
      <c r="EK23" s="157">
        <f t="shared" si="47"/>
        <v>24175000</v>
      </c>
      <c r="EL23" s="157">
        <f t="shared" si="48"/>
        <v>0</v>
      </c>
      <c r="EM23" s="157">
        <f t="shared" si="49"/>
        <v>1813.125</v>
      </c>
      <c r="EN23" s="123">
        <f t="shared" si="50"/>
        <v>2.6999999999999996E-2</v>
      </c>
      <c r="EP23" s="122"/>
    </row>
    <row r="24" spans="1:146" x14ac:dyDescent="0.25">
      <c r="A24" s="66">
        <f t="shared" si="51"/>
        <v>43538</v>
      </c>
      <c r="D24" s="122">
        <f t="shared" si="0"/>
        <v>0</v>
      </c>
      <c r="G24" s="122">
        <f t="shared" si="1"/>
        <v>0</v>
      </c>
      <c r="J24" s="122">
        <f t="shared" si="2"/>
        <v>0</v>
      </c>
      <c r="M24" s="122">
        <f t="shared" si="3"/>
        <v>0</v>
      </c>
      <c r="P24" s="122">
        <f t="shared" si="4"/>
        <v>0</v>
      </c>
      <c r="S24" s="122">
        <f t="shared" si="5"/>
        <v>0</v>
      </c>
      <c r="V24" s="122">
        <f t="shared" si="6"/>
        <v>0</v>
      </c>
      <c r="Y24" s="122">
        <f t="shared" si="7"/>
        <v>0</v>
      </c>
      <c r="AB24" s="122">
        <f t="shared" si="8"/>
        <v>0</v>
      </c>
      <c r="AE24" s="122">
        <v>0</v>
      </c>
      <c r="AH24" s="122">
        <v>0</v>
      </c>
      <c r="AI24" s="155">
        <f>21775000</f>
        <v>21775000</v>
      </c>
      <c r="AJ24" s="156">
        <v>2.7E-2</v>
      </c>
      <c r="AK24" s="122">
        <f t="shared" si="9"/>
        <v>1633.125</v>
      </c>
      <c r="AL24" s="155"/>
      <c r="AM24" s="156"/>
      <c r="AN24" s="122">
        <f t="shared" si="10"/>
        <v>0</v>
      </c>
      <c r="AQ24" s="122">
        <f t="shared" si="11"/>
        <v>0</v>
      </c>
      <c r="AT24" s="122">
        <f t="shared" si="12"/>
        <v>0</v>
      </c>
      <c r="AW24" s="122">
        <f t="shared" si="13"/>
        <v>0</v>
      </c>
      <c r="AZ24" s="122">
        <f t="shared" si="14"/>
        <v>0</v>
      </c>
      <c r="BC24" s="122">
        <f t="shared" si="15"/>
        <v>0</v>
      </c>
      <c r="BF24" s="122">
        <f t="shared" si="16"/>
        <v>0</v>
      </c>
      <c r="BI24" s="122">
        <f t="shared" si="17"/>
        <v>0</v>
      </c>
      <c r="BL24" s="122">
        <f t="shared" si="18"/>
        <v>0</v>
      </c>
      <c r="BO24" s="122">
        <f t="shared" si="19"/>
        <v>0</v>
      </c>
      <c r="BR24" s="122">
        <f t="shared" si="20"/>
        <v>0</v>
      </c>
      <c r="BU24" s="122">
        <f t="shared" si="21"/>
        <v>0</v>
      </c>
      <c r="BX24" s="122">
        <f t="shared" si="22"/>
        <v>0</v>
      </c>
      <c r="CA24" s="122">
        <f t="shared" si="23"/>
        <v>0</v>
      </c>
      <c r="CD24" s="122">
        <f t="shared" si="24"/>
        <v>0</v>
      </c>
      <c r="CG24" s="122">
        <f t="shared" si="25"/>
        <v>0</v>
      </c>
      <c r="CJ24" s="122">
        <f t="shared" si="26"/>
        <v>0</v>
      </c>
      <c r="CM24" s="122">
        <f t="shared" si="27"/>
        <v>0</v>
      </c>
      <c r="CP24" s="122">
        <f t="shared" si="28"/>
        <v>0</v>
      </c>
      <c r="CS24" s="122">
        <f t="shared" si="29"/>
        <v>0</v>
      </c>
      <c r="CV24" s="122">
        <f t="shared" si="30"/>
        <v>0</v>
      </c>
      <c r="CY24" s="122">
        <f t="shared" si="31"/>
        <v>0</v>
      </c>
      <c r="DB24" s="122">
        <f t="shared" si="32"/>
        <v>0</v>
      </c>
      <c r="DE24" s="122">
        <f t="shared" si="33"/>
        <v>0</v>
      </c>
      <c r="DH24" s="122">
        <f t="shared" si="34"/>
        <v>0</v>
      </c>
      <c r="DK24" s="122">
        <f t="shared" si="35"/>
        <v>0</v>
      </c>
      <c r="DN24" s="122">
        <f t="shared" si="36"/>
        <v>0</v>
      </c>
      <c r="DQ24" s="122">
        <f t="shared" si="37"/>
        <v>0</v>
      </c>
      <c r="DT24" s="122">
        <f t="shared" si="38"/>
        <v>0</v>
      </c>
      <c r="DW24" s="122">
        <f t="shared" si="39"/>
        <v>0</v>
      </c>
      <c r="DZ24" s="122"/>
      <c r="EA24" s="122"/>
      <c r="EB24" s="157">
        <f t="shared" si="40"/>
        <v>21775000</v>
      </c>
      <c r="EC24" s="157">
        <f t="shared" si="41"/>
        <v>0</v>
      </c>
      <c r="ED24" s="122">
        <f t="shared" si="42"/>
        <v>1633.125</v>
      </c>
      <c r="EE24" s="123">
        <f t="shared" si="43"/>
        <v>2.6999999999999996E-2</v>
      </c>
      <c r="EG24" s="157">
        <f t="shared" si="44"/>
        <v>0</v>
      </c>
      <c r="EH24" s="122">
        <f t="shared" si="45"/>
        <v>0</v>
      </c>
      <c r="EI24" s="123">
        <f t="shared" si="46"/>
        <v>0</v>
      </c>
      <c r="EJ24" s="123"/>
      <c r="EK24" s="157">
        <f t="shared" si="47"/>
        <v>21775000</v>
      </c>
      <c r="EL24" s="157">
        <f t="shared" si="48"/>
        <v>0</v>
      </c>
      <c r="EM24" s="157">
        <f t="shared" si="49"/>
        <v>1633.125</v>
      </c>
      <c r="EN24" s="123">
        <f t="shared" si="50"/>
        <v>2.6999999999999996E-2</v>
      </c>
      <c r="EP24" s="122"/>
    </row>
    <row r="25" spans="1:146" x14ac:dyDescent="0.25">
      <c r="A25" s="66">
        <f t="shared" si="51"/>
        <v>43539</v>
      </c>
      <c r="D25" s="122">
        <f t="shared" si="0"/>
        <v>0</v>
      </c>
      <c r="G25" s="122">
        <f t="shared" si="1"/>
        <v>0</v>
      </c>
      <c r="J25" s="122">
        <f t="shared" si="2"/>
        <v>0</v>
      </c>
      <c r="M25" s="122">
        <f t="shared" si="3"/>
        <v>0</v>
      </c>
      <c r="P25" s="122">
        <f t="shared" si="4"/>
        <v>0</v>
      </c>
      <c r="S25" s="122">
        <f t="shared" si="5"/>
        <v>0</v>
      </c>
      <c r="V25" s="122">
        <f t="shared" si="6"/>
        <v>0</v>
      </c>
      <c r="Y25" s="122">
        <f t="shared" si="7"/>
        <v>0</v>
      </c>
      <c r="AB25" s="122">
        <f t="shared" si="8"/>
        <v>0</v>
      </c>
      <c r="AE25" s="122">
        <v>0</v>
      </c>
      <c r="AH25" s="122">
        <v>0</v>
      </c>
      <c r="AI25" s="155">
        <f>72350000</f>
        <v>72350000</v>
      </c>
      <c r="AJ25" s="156">
        <v>2.7E-2</v>
      </c>
      <c r="AK25" s="122">
        <f t="shared" si="9"/>
        <v>5426.25</v>
      </c>
      <c r="AL25" s="155"/>
      <c r="AM25" s="156"/>
      <c r="AN25" s="122">
        <f t="shared" si="10"/>
        <v>0</v>
      </c>
      <c r="AQ25" s="122">
        <f t="shared" si="11"/>
        <v>0</v>
      </c>
      <c r="AT25" s="122">
        <f t="shared" si="12"/>
        <v>0</v>
      </c>
      <c r="AW25" s="122">
        <f t="shared" si="13"/>
        <v>0</v>
      </c>
      <c r="AZ25" s="122">
        <f t="shared" si="14"/>
        <v>0</v>
      </c>
      <c r="BC25" s="122">
        <f t="shared" si="15"/>
        <v>0</v>
      </c>
      <c r="BF25" s="122">
        <f t="shared" si="16"/>
        <v>0</v>
      </c>
      <c r="BI25" s="122">
        <f t="shared" si="17"/>
        <v>0</v>
      </c>
      <c r="BL25" s="122">
        <f t="shared" si="18"/>
        <v>0</v>
      </c>
      <c r="BO25" s="122">
        <f t="shared" si="19"/>
        <v>0</v>
      </c>
      <c r="BR25" s="122">
        <f t="shared" si="20"/>
        <v>0</v>
      </c>
      <c r="BU25" s="122">
        <f t="shared" si="21"/>
        <v>0</v>
      </c>
      <c r="BX25" s="122">
        <f t="shared" si="22"/>
        <v>0</v>
      </c>
      <c r="CA25" s="122">
        <f t="shared" si="23"/>
        <v>0</v>
      </c>
      <c r="CD25" s="122">
        <f t="shared" si="24"/>
        <v>0</v>
      </c>
      <c r="CG25" s="122">
        <f t="shared" si="25"/>
        <v>0</v>
      </c>
      <c r="CJ25" s="122">
        <f t="shared" si="26"/>
        <v>0</v>
      </c>
      <c r="CM25" s="122">
        <f t="shared" si="27"/>
        <v>0</v>
      </c>
      <c r="CP25" s="122">
        <f t="shared" si="28"/>
        <v>0</v>
      </c>
      <c r="CS25" s="122">
        <f t="shared" si="29"/>
        <v>0</v>
      </c>
      <c r="CV25" s="122">
        <f t="shared" si="30"/>
        <v>0</v>
      </c>
      <c r="CY25" s="122">
        <f t="shared" si="31"/>
        <v>0</v>
      </c>
      <c r="DB25" s="122">
        <f t="shared" si="32"/>
        <v>0</v>
      </c>
      <c r="DE25" s="122">
        <f t="shared" si="33"/>
        <v>0</v>
      </c>
      <c r="DH25" s="122">
        <f t="shared" si="34"/>
        <v>0</v>
      </c>
      <c r="DK25" s="122">
        <f t="shared" si="35"/>
        <v>0</v>
      </c>
      <c r="DN25" s="122">
        <f t="shared" si="36"/>
        <v>0</v>
      </c>
      <c r="DQ25" s="122">
        <f t="shared" si="37"/>
        <v>0</v>
      </c>
      <c r="DT25" s="122">
        <f t="shared" si="38"/>
        <v>0</v>
      </c>
      <c r="DW25" s="122">
        <f t="shared" si="39"/>
        <v>0</v>
      </c>
      <c r="DZ25" s="122"/>
      <c r="EA25" s="122"/>
      <c r="EB25" s="157">
        <f t="shared" si="40"/>
        <v>72350000</v>
      </c>
      <c r="EC25" s="157">
        <f t="shared" si="41"/>
        <v>0</v>
      </c>
      <c r="ED25" s="122">
        <f t="shared" si="42"/>
        <v>5426.25</v>
      </c>
      <c r="EE25" s="123">
        <f t="shared" si="43"/>
        <v>2.6999999999999996E-2</v>
      </c>
      <c r="EG25" s="157">
        <f t="shared" si="44"/>
        <v>0</v>
      </c>
      <c r="EH25" s="122">
        <f t="shared" si="45"/>
        <v>0</v>
      </c>
      <c r="EI25" s="123">
        <f t="shared" si="46"/>
        <v>0</v>
      </c>
      <c r="EJ25" s="123"/>
      <c r="EK25" s="157">
        <f t="shared" si="47"/>
        <v>72350000</v>
      </c>
      <c r="EL25" s="157">
        <f t="shared" si="48"/>
        <v>0</v>
      </c>
      <c r="EM25" s="157">
        <f t="shared" si="49"/>
        <v>5426.25</v>
      </c>
      <c r="EN25" s="123">
        <f t="shared" si="50"/>
        <v>2.6999999999999996E-2</v>
      </c>
      <c r="EP25" s="122"/>
    </row>
    <row r="26" spans="1:146" x14ac:dyDescent="0.25">
      <c r="A26" s="66">
        <f t="shared" si="51"/>
        <v>43540</v>
      </c>
      <c r="D26" s="122">
        <f t="shared" si="0"/>
        <v>0</v>
      </c>
      <c r="G26" s="122">
        <f t="shared" si="1"/>
        <v>0</v>
      </c>
      <c r="J26" s="122">
        <f t="shared" si="2"/>
        <v>0</v>
      </c>
      <c r="M26" s="122">
        <f t="shared" si="3"/>
        <v>0</v>
      </c>
      <c r="P26" s="122">
        <f t="shared" si="4"/>
        <v>0</v>
      </c>
      <c r="S26" s="122">
        <f t="shared" si="5"/>
        <v>0</v>
      </c>
      <c r="V26" s="122">
        <f t="shared" si="6"/>
        <v>0</v>
      </c>
      <c r="Y26" s="122">
        <f t="shared" si="7"/>
        <v>0</v>
      </c>
      <c r="AB26" s="122">
        <f t="shared" si="8"/>
        <v>0</v>
      </c>
      <c r="AE26" s="122">
        <v>0</v>
      </c>
      <c r="AH26" s="122">
        <v>0</v>
      </c>
      <c r="AI26" s="155">
        <f>72350000</f>
        <v>72350000</v>
      </c>
      <c r="AJ26" s="156">
        <v>2.7E-2</v>
      </c>
      <c r="AK26" s="122">
        <f t="shared" si="9"/>
        <v>5426.25</v>
      </c>
      <c r="AL26" s="155"/>
      <c r="AM26" s="156"/>
      <c r="AN26" s="122">
        <f t="shared" si="10"/>
        <v>0</v>
      </c>
      <c r="AQ26" s="122">
        <f t="shared" si="11"/>
        <v>0</v>
      </c>
      <c r="AT26" s="122">
        <f t="shared" si="12"/>
        <v>0</v>
      </c>
      <c r="AW26" s="122">
        <f t="shared" si="13"/>
        <v>0</v>
      </c>
      <c r="AZ26" s="122">
        <f t="shared" si="14"/>
        <v>0</v>
      </c>
      <c r="BC26" s="122">
        <f t="shared" si="15"/>
        <v>0</v>
      </c>
      <c r="BF26" s="122">
        <f t="shared" si="16"/>
        <v>0</v>
      </c>
      <c r="BI26" s="122">
        <f t="shared" si="17"/>
        <v>0</v>
      </c>
      <c r="BL26" s="122">
        <f t="shared" si="18"/>
        <v>0</v>
      </c>
      <c r="BO26" s="122">
        <f t="shared" si="19"/>
        <v>0</v>
      </c>
      <c r="BR26" s="122">
        <f t="shared" si="20"/>
        <v>0</v>
      </c>
      <c r="BU26" s="122">
        <f t="shared" si="21"/>
        <v>0</v>
      </c>
      <c r="BX26" s="122">
        <f t="shared" si="22"/>
        <v>0</v>
      </c>
      <c r="CA26" s="122">
        <f t="shared" si="23"/>
        <v>0</v>
      </c>
      <c r="CD26" s="122">
        <f t="shared" si="24"/>
        <v>0</v>
      </c>
      <c r="CG26" s="122">
        <f t="shared" si="25"/>
        <v>0</v>
      </c>
      <c r="CJ26" s="122">
        <f t="shared" si="26"/>
        <v>0</v>
      </c>
      <c r="CM26" s="122">
        <f t="shared" si="27"/>
        <v>0</v>
      </c>
      <c r="CP26" s="122">
        <f t="shared" si="28"/>
        <v>0</v>
      </c>
      <c r="CS26" s="122">
        <f t="shared" si="29"/>
        <v>0</v>
      </c>
      <c r="CV26" s="122">
        <f t="shared" si="30"/>
        <v>0</v>
      </c>
      <c r="CY26" s="122">
        <f t="shared" si="31"/>
        <v>0</v>
      </c>
      <c r="DB26" s="122">
        <f t="shared" si="32"/>
        <v>0</v>
      </c>
      <c r="DE26" s="122">
        <f t="shared" si="33"/>
        <v>0</v>
      </c>
      <c r="DH26" s="122">
        <f t="shared" si="34"/>
        <v>0</v>
      </c>
      <c r="DK26" s="122">
        <f t="shared" si="35"/>
        <v>0</v>
      </c>
      <c r="DN26" s="122">
        <f t="shared" si="36"/>
        <v>0</v>
      </c>
      <c r="DQ26" s="122">
        <f t="shared" si="37"/>
        <v>0</v>
      </c>
      <c r="DT26" s="122">
        <f t="shared" si="38"/>
        <v>0</v>
      </c>
      <c r="DW26" s="122">
        <f t="shared" si="39"/>
        <v>0</v>
      </c>
      <c r="DZ26" s="122"/>
      <c r="EA26" s="122"/>
      <c r="EB26" s="157">
        <f t="shared" si="40"/>
        <v>72350000</v>
      </c>
      <c r="EC26" s="157">
        <f t="shared" si="41"/>
        <v>0</v>
      </c>
      <c r="ED26" s="122">
        <f t="shared" si="42"/>
        <v>5426.25</v>
      </c>
      <c r="EE26" s="123">
        <f t="shared" si="43"/>
        <v>2.6999999999999996E-2</v>
      </c>
      <c r="EG26" s="157">
        <f t="shared" si="44"/>
        <v>0</v>
      </c>
      <c r="EH26" s="122">
        <f t="shared" si="45"/>
        <v>0</v>
      </c>
      <c r="EI26" s="123">
        <f t="shared" si="46"/>
        <v>0</v>
      </c>
      <c r="EJ26" s="123"/>
      <c r="EK26" s="157">
        <f t="shared" si="47"/>
        <v>72350000</v>
      </c>
      <c r="EL26" s="157">
        <f t="shared" si="48"/>
        <v>0</v>
      </c>
      <c r="EM26" s="157">
        <f t="shared" si="49"/>
        <v>5426.25</v>
      </c>
      <c r="EN26" s="123">
        <f t="shared" si="50"/>
        <v>2.6999999999999996E-2</v>
      </c>
      <c r="EP26" s="122"/>
    </row>
    <row r="27" spans="1:146" x14ac:dyDescent="0.25">
      <c r="A27" s="66">
        <f t="shared" si="51"/>
        <v>43541</v>
      </c>
      <c r="D27" s="122">
        <f t="shared" si="0"/>
        <v>0</v>
      </c>
      <c r="G27" s="122">
        <f t="shared" si="1"/>
        <v>0</v>
      </c>
      <c r="J27" s="122">
        <f t="shared" si="2"/>
        <v>0</v>
      </c>
      <c r="M27" s="122">
        <f t="shared" si="3"/>
        <v>0</v>
      </c>
      <c r="P27" s="122">
        <f t="shared" si="4"/>
        <v>0</v>
      </c>
      <c r="S27" s="122">
        <f t="shared" si="5"/>
        <v>0</v>
      </c>
      <c r="V27" s="122">
        <f t="shared" si="6"/>
        <v>0</v>
      </c>
      <c r="Y27" s="122">
        <f t="shared" si="7"/>
        <v>0</v>
      </c>
      <c r="AB27" s="122">
        <f t="shared" si="8"/>
        <v>0</v>
      </c>
      <c r="AE27" s="122">
        <v>0</v>
      </c>
      <c r="AH27" s="122">
        <v>0</v>
      </c>
      <c r="AI27" s="155">
        <f>72350000</f>
        <v>72350000</v>
      </c>
      <c r="AJ27" s="156">
        <v>2.7E-2</v>
      </c>
      <c r="AK27" s="122">
        <f t="shared" si="9"/>
        <v>5426.25</v>
      </c>
      <c r="AL27" s="155"/>
      <c r="AM27" s="156"/>
      <c r="AN27" s="122">
        <f t="shared" si="10"/>
        <v>0</v>
      </c>
      <c r="AQ27" s="122">
        <f t="shared" si="11"/>
        <v>0</v>
      </c>
      <c r="AT27" s="122">
        <f t="shared" si="12"/>
        <v>0</v>
      </c>
      <c r="AW27" s="122">
        <f t="shared" si="13"/>
        <v>0</v>
      </c>
      <c r="AZ27" s="122">
        <f t="shared" si="14"/>
        <v>0</v>
      </c>
      <c r="BC27" s="122">
        <f t="shared" si="15"/>
        <v>0</v>
      </c>
      <c r="BF27" s="122">
        <f t="shared" si="16"/>
        <v>0</v>
      </c>
      <c r="BI27" s="122">
        <f t="shared" si="17"/>
        <v>0</v>
      </c>
      <c r="BL27" s="122">
        <f t="shared" si="18"/>
        <v>0</v>
      </c>
      <c r="BO27" s="122">
        <f t="shared" si="19"/>
        <v>0</v>
      </c>
      <c r="BR27" s="122">
        <f t="shared" si="20"/>
        <v>0</v>
      </c>
      <c r="BU27" s="122">
        <f t="shared" si="21"/>
        <v>0</v>
      </c>
      <c r="BX27" s="122">
        <f t="shared" si="22"/>
        <v>0</v>
      </c>
      <c r="CA27" s="122">
        <f t="shared" si="23"/>
        <v>0</v>
      </c>
      <c r="CD27" s="122">
        <f t="shared" si="24"/>
        <v>0</v>
      </c>
      <c r="CG27" s="122">
        <f t="shared" si="25"/>
        <v>0</v>
      </c>
      <c r="CJ27" s="122">
        <f t="shared" si="26"/>
        <v>0</v>
      </c>
      <c r="CM27" s="122">
        <f t="shared" si="27"/>
        <v>0</v>
      </c>
      <c r="CP27" s="122">
        <f t="shared" si="28"/>
        <v>0</v>
      </c>
      <c r="CS27" s="122">
        <f t="shared" si="29"/>
        <v>0</v>
      </c>
      <c r="CV27" s="122">
        <f t="shared" si="30"/>
        <v>0</v>
      </c>
      <c r="CY27" s="122">
        <f t="shared" si="31"/>
        <v>0</v>
      </c>
      <c r="DB27" s="122">
        <f t="shared" si="32"/>
        <v>0</v>
      </c>
      <c r="DE27" s="122">
        <f t="shared" si="33"/>
        <v>0</v>
      </c>
      <c r="DH27" s="122">
        <f t="shared" si="34"/>
        <v>0</v>
      </c>
      <c r="DK27" s="122">
        <f t="shared" si="35"/>
        <v>0</v>
      </c>
      <c r="DN27" s="122">
        <f t="shared" si="36"/>
        <v>0</v>
      </c>
      <c r="DQ27" s="122">
        <f t="shared" si="37"/>
        <v>0</v>
      </c>
      <c r="DT27" s="122">
        <f t="shared" si="38"/>
        <v>0</v>
      </c>
      <c r="DW27" s="122">
        <f t="shared" si="39"/>
        <v>0</v>
      </c>
      <c r="DZ27" s="122"/>
      <c r="EA27" s="122"/>
      <c r="EB27" s="157">
        <f t="shared" si="40"/>
        <v>72350000</v>
      </c>
      <c r="EC27" s="157">
        <f t="shared" si="41"/>
        <v>0</v>
      </c>
      <c r="ED27" s="122">
        <f t="shared" si="42"/>
        <v>5426.25</v>
      </c>
      <c r="EE27" s="123">
        <f t="shared" si="43"/>
        <v>2.6999999999999996E-2</v>
      </c>
      <c r="EG27" s="157">
        <f t="shared" si="44"/>
        <v>0</v>
      </c>
      <c r="EH27" s="122">
        <f t="shared" si="45"/>
        <v>0</v>
      </c>
      <c r="EI27" s="123">
        <f t="shared" si="46"/>
        <v>0</v>
      </c>
      <c r="EJ27" s="123"/>
      <c r="EK27" s="157">
        <f t="shared" si="47"/>
        <v>72350000</v>
      </c>
      <c r="EL27" s="157">
        <f t="shared" si="48"/>
        <v>0</v>
      </c>
      <c r="EM27" s="157">
        <f t="shared" si="49"/>
        <v>5426.25</v>
      </c>
      <c r="EN27" s="123">
        <f t="shared" si="50"/>
        <v>2.6999999999999996E-2</v>
      </c>
      <c r="EP27" s="122"/>
    </row>
    <row r="28" spans="1:146" x14ac:dyDescent="0.25">
      <c r="A28" s="66">
        <f t="shared" si="51"/>
        <v>43542</v>
      </c>
      <c r="D28" s="122">
        <f t="shared" si="0"/>
        <v>0</v>
      </c>
      <c r="G28" s="122">
        <f t="shared" si="1"/>
        <v>0</v>
      </c>
      <c r="J28" s="122">
        <f t="shared" si="2"/>
        <v>0</v>
      </c>
      <c r="M28" s="122">
        <f t="shared" si="3"/>
        <v>0</v>
      </c>
      <c r="P28" s="122">
        <f t="shared" si="4"/>
        <v>0</v>
      </c>
      <c r="S28" s="122">
        <f t="shared" si="5"/>
        <v>0</v>
      </c>
      <c r="V28" s="122">
        <f t="shared" si="6"/>
        <v>0</v>
      </c>
      <c r="Y28" s="122">
        <f t="shared" si="7"/>
        <v>0</v>
      </c>
      <c r="AB28" s="122">
        <f t="shared" si="8"/>
        <v>0</v>
      </c>
      <c r="AE28" s="122">
        <v>0</v>
      </c>
      <c r="AH28" s="122">
        <v>0</v>
      </c>
      <c r="AI28" s="155">
        <f>68425000</f>
        <v>68425000</v>
      </c>
      <c r="AJ28" s="156">
        <v>2.7E-2</v>
      </c>
      <c r="AK28" s="122">
        <f t="shared" si="9"/>
        <v>5131.875</v>
      </c>
      <c r="AL28" s="155"/>
      <c r="AM28" s="156"/>
      <c r="AN28" s="122">
        <f t="shared" si="10"/>
        <v>0</v>
      </c>
      <c r="AQ28" s="122">
        <f t="shared" si="11"/>
        <v>0</v>
      </c>
      <c r="AT28" s="122">
        <f t="shared" si="12"/>
        <v>0</v>
      </c>
      <c r="AW28" s="122">
        <f t="shared" si="13"/>
        <v>0</v>
      </c>
      <c r="AZ28" s="122">
        <f t="shared" si="14"/>
        <v>0</v>
      </c>
      <c r="BC28" s="122">
        <f t="shared" si="15"/>
        <v>0</v>
      </c>
      <c r="BF28" s="122">
        <f t="shared" si="16"/>
        <v>0</v>
      </c>
      <c r="BI28" s="122">
        <f t="shared" si="17"/>
        <v>0</v>
      </c>
      <c r="BL28" s="122">
        <f t="shared" si="18"/>
        <v>0</v>
      </c>
      <c r="BO28" s="122">
        <f t="shared" si="19"/>
        <v>0</v>
      </c>
      <c r="BR28" s="122">
        <f t="shared" si="20"/>
        <v>0</v>
      </c>
      <c r="BU28" s="122">
        <f t="shared" si="21"/>
        <v>0</v>
      </c>
      <c r="BX28" s="122">
        <f t="shared" si="22"/>
        <v>0</v>
      </c>
      <c r="CA28" s="122">
        <f t="shared" si="23"/>
        <v>0</v>
      </c>
      <c r="CD28" s="122">
        <f t="shared" si="24"/>
        <v>0</v>
      </c>
      <c r="CG28" s="122">
        <f t="shared" si="25"/>
        <v>0</v>
      </c>
      <c r="CJ28" s="122">
        <f t="shared" si="26"/>
        <v>0</v>
      </c>
      <c r="CM28" s="122">
        <f t="shared" si="27"/>
        <v>0</v>
      </c>
      <c r="CP28" s="122">
        <f t="shared" si="28"/>
        <v>0</v>
      </c>
      <c r="CS28" s="122">
        <f t="shared" si="29"/>
        <v>0</v>
      </c>
      <c r="CV28" s="122">
        <f t="shared" si="30"/>
        <v>0</v>
      </c>
      <c r="CY28" s="122">
        <f t="shared" si="31"/>
        <v>0</v>
      </c>
      <c r="DB28" s="122">
        <f t="shared" si="32"/>
        <v>0</v>
      </c>
      <c r="DE28" s="122">
        <f t="shared" si="33"/>
        <v>0</v>
      </c>
      <c r="DH28" s="122">
        <f t="shared" si="34"/>
        <v>0</v>
      </c>
      <c r="DK28" s="122">
        <f t="shared" si="35"/>
        <v>0</v>
      </c>
      <c r="DN28" s="122">
        <f t="shared" si="36"/>
        <v>0</v>
      </c>
      <c r="DQ28" s="122">
        <f t="shared" si="37"/>
        <v>0</v>
      </c>
      <c r="DT28" s="122">
        <f t="shared" si="38"/>
        <v>0</v>
      </c>
      <c r="DW28" s="122">
        <f t="shared" si="39"/>
        <v>0</v>
      </c>
      <c r="DZ28" s="122"/>
      <c r="EA28" s="122"/>
      <c r="EB28" s="157">
        <f t="shared" si="40"/>
        <v>68425000</v>
      </c>
      <c r="EC28" s="157">
        <f t="shared" si="41"/>
        <v>0</v>
      </c>
      <c r="ED28" s="122">
        <f t="shared" si="42"/>
        <v>5131.875</v>
      </c>
      <c r="EE28" s="123">
        <f t="shared" si="43"/>
        <v>2.6999999999999996E-2</v>
      </c>
      <c r="EG28" s="157">
        <f t="shared" si="44"/>
        <v>0</v>
      </c>
      <c r="EH28" s="122">
        <f t="shared" si="45"/>
        <v>0</v>
      </c>
      <c r="EI28" s="123">
        <f t="shared" si="46"/>
        <v>0</v>
      </c>
      <c r="EJ28" s="123"/>
      <c r="EK28" s="157">
        <f t="shared" si="47"/>
        <v>68425000</v>
      </c>
      <c r="EL28" s="157">
        <f t="shared" si="48"/>
        <v>0</v>
      </c>
      <c r="EM28" s="157">
        <f t="shared" si="49"/>
        <v>5131.875</v>
      </c>
      <c r="EN28" s="123">
        <f t="shared" si="50"/>
        <v>2.6999999999999996E-2</v>
      </c>
      <c r="EP28" s="122"/>
    </row>
    <row r="29" spans="1:146" x14ac:dyDescent="0.25">
      <c r="A29" s="66">
        <f t="shared" si="51"/>
        <v>43543</v>
      </c>
      <c r="D29" s="122">
        <f t="shared" si="0"/>
        <v>0</v>
      </c>
      <c r="G29" s="122">
        <f t="shared" si="1"/>
        <v>0</v>
      </c>
      <c r="J29" s="122">
        <f t="shared" si="2"/>
        <v>0</v>
      </c>
      <c r="M29" s="122">
        <f t="shared" si="3"/>
        <v>0</v>
      </c>
      <c r="P29" s="122">
        <f t="shared" si="4"/>
        <v>0</v>
      </c>
      <c r="S29" s="122">
        <f t="shared" si="5"/>
        <v>0</v>
      </c>
      <c r="V29" s="122">
        <f t="shared" si="6"/>
        <v>0</v>
      </c>
      <c r="Y29" s="122">
        <f t="shared" si="7"/>
        <v>0</v>
      </c>
      <c r="AB29" s="122">
        <f t="shared" si="8"/>
        <v>0</v>
      </c>
      <c r="AE29" s="122">
        <v>0</v>
      </c>
      <c r="AH29" s="122">
        <v>0</v>
      </c>
      <c r="AI29" s="155">
        <f>57325000</f>
        <v>57325000</v>
      </c>
      <c r="AJ29" s="156">
        <v>2.7E-2</v>
      </c>
      <c r="AK29" s="122">
        <f t="shared" si="9"/>
        <v>4299.375</v>
      </c>
      <c r="AL29" s="155"/>
      <c r="AM29" s="156"/>
      <c r="AN29" s="122">
        <f t="shared" si="10"/>
        <v>0</v>
      </c>
      <c r="AQ29" s="122">
        <f t="shared" si="11"/>
        <v>0</v>
      </c>
      <c r="AT29" s="122">
        <f t="shared" si="12"/>
        <v>0</v>
      </c>
      <c r="AW29" s="122">
        <f t="shared" si="13"/>
        <v>0</v>
      </c>
      <c r="AZ29" s="122">
        <f t="shared" si="14"/>
        <v>0</v>
      </c>
      <c r="BC29" s="122">
        <f t="shared" si="15"/>
        <v>0</v>
      </c>
      <c r="BF29" s="122">
        <f t="shared" si="16"/>
        <v>0</v>
      </c>
      <c r="BI29" s="122">
        <f t="shared" si="17"/>
        <v>0</v>
      </c>
      <c r="BL29" s="122">
        <f t="shared" si="18"/>
        <v>0</v>
      </c>
      <c r="BO29" s="122">
        <f t="shared" si="19"/>
        <v>0</v>
      </c>
      <c r="BR29" s="122">
        <f t="shared" si="20"/>
        <v>0</v>
      </c>
      <c r="BU29" s="122">
        <f t="shared" si="21"/>
        <v>0</v>
      </c>
      <c r="BX29" s="122">
        <f t="shared" si="22"/>
        <v>0</v>
      </c>
      <c r="CA29" s="122">
        <f t="shared" si="23"/>
        <v>0</v>
      </c>
      <c r="CD29" s="122">
        <f t="shared" si="24"/>
        <v>0</v>
      </c>
      <c r="CG29" s="122">
        <f t="shared" si="25"/>
        <v>0</v>
      </c>
      <c r="CJ29" s="122">
        <f t="shared" si="26"/>
        <v>0</v>
      </c>
      <c r="CM29" s="122">
        <f t="shared" si="27"/>
        <v>0</v>
      </c>
      <c r="CP29" s="122">
        <f t="shared" si="28"/>
        <v>0</v>
      </c>
      <c r="CS29" s="122">
        <f t="shared" si="29"/>
        <v>0</v>
      </c>
      <c r="CV29" s="122">
        <f t="shared" si="30"/>
        <v>0</v>
      </c>
      <c r="CY29" s="122">
        <f t="shared" si="31"/>
        <v>0</v>
      </c>
      <c r="DB29" s="122">
        <f t="shared" si="32"/>
        <v>0</v>
      </c>
      <c r="DE29" s="122">
        <f t="shared" si="33"/>
        <v>0</v>
      </c>
      <c r="DH29" s="122">
        <f t="shared" si="34"/>
        <v>0</v>
      </c>
      <c r="DK29" s="122">
        <f t="shared" si="35"/>
        <v>0</v>
      </c>
      <c r="DN29" s="122">
        <f t="shared" si="36"/>
        <v>0</v>
      </c>
      <c r="DQ29" s="122">
        <f t="shared" si="37"/>
        <v>0</v>
      </c>
      <c r="DT29" s="122">
        <f t="shared" si="38"/>
        <v>0</v>
      </c>
      <c r="DW29" s="122">
        <f t="shared" si="39"/>
        <v>0</v>
      </c>
      <c r="DZ29" s="122"/>
      <c r="EA29" s="122"/>
      <c r="EB29" s="157">
        <f t="shared" si="40"/>
        <v>57325000</v>
      </c>
      <c r="EC29" s="157">
        <f t="shared" si="41"/>
        <v>0</v>
      </c>
      <c r="ED29" s="122">
        <f t="shared" si="42"/>
        <v>4299.375</v>
      </c>
      <c r="EE29" s="123">
        <f t="shared" si="43"/>
        <v>2.6999999999999996E-2</v>
      </c>
      <c r="EG29" s="157">
        <f t="shared" si="44"/>
        <v>0</v>
      </c>
      <c r="EH29" s="122">
        <f t="shared" si="45"/>
        <v>0</v>
      </c>
      <c r="EI29" s="123">
        <f t="shared" si="46"/>
        <v>0</v>
      </c>
      <c r="EJ29" s="123"/>
      <c r="EK29" s="157">
        <f t="shared" si="47"/>
        <v>57325000</v>
      </c>
      <c r="EL29" s="157">
        <f t="shared" si="48"/>
        <v>0</v>
      </c>
      <c r="EM29" s="157">
        <f t="shared" si="49"/>
        <v>4299.375</v>
      </c>
      <c r="EN29" s="123">
        <f t="shared" si="50"/>
        <v>2.6999999999999996E-2</v>
      </c>
      <c r="EP29" s="122"/>
    </row>
    <row r="30" spans="1:146" x14ac:dyDescent="0.25">
      <c r="A30" s="66">
        <f t="shared" si="51"/>
        <v>43544</v>
      </c>
      <c r="D30" s="122">
        <f t="shared" si="0"/>
        <v>0</v>
      </c>
      <c r="G30" s="122">
        <f t="shared" si="1"/>
        <v>0</v>
      </c>
      <c r="J30" s="122">
        <f t="shared" si="2"/>
        <v>0</v>
      </c>
      <c r="M30" s="122">
        <f t="shared" si="3"/>
        <v>0</v>
      </c>
      <c r="P30" s="122">
        <f t="shared" si="4"/>
        <v>0</v>
      </c>
      <c r="S30" s="122">
        <f t="shared" si="5"/>
        <v>0</v>
      </c>
      <c r="V30" s="122">
        <f t="shared" si="6"/>
        <v>0</v>
      </c>
      <c r="Y30" s="122">
        <f t="shared" si="7"/>
        <v>0</v>
      </c>
      <c r="AB30" s="122">
        <f t="shared" si="8"/>
        <v>0</v>
      </c>
      <c r="AE30" s="122">
        <v>0</v>
      </c>
      <c r="AH30" s="122">
        <v>0</v>
      </c>
      <c r="AI30" s="155">
        <f>51775000</f>
        <v>51775000</v>
      </c>
      <c r="AJ30" s="156">
        <v>2.7E-2</v>
      </c>
      <c r="AK30" s="122">
        <f t="shared" si="9"/>
        <v>3883.125</v>
      </c>
      <c r="AL30" s="155"/>
      <c r="AM30" s="156"/>
      <c r="AN30" s="122">
        <f t="shared" si="10"/>
        <v>0</v>
      </c>
      <c r="AQ30" s="122">
        <f t="shared" si="11"/>
        <v>0</v>
      </c>
      <c r="AT30" s="122">
        <f t="shared" si="12"/>
        <v>0</v>
      </c>
      <c r="AW30" s="122">
        <f t="shared" si="13"/>
        <v>0</v>
      </c>
      <c r="AZ30" s="122">
        <f t="shared" si="14"/>
        <v>0</v>
      </c>
      <c r="BC30" s="122">
        <f t="shared" si="15"/>
        <v>0</v>
      </c>
      <c r="BF30" s="122">
        <f t="shared" si="16"/>
        <v>0</v>
      </c>
      <c r="BI30" s="122">
        <f t="shared" si="17"/>
        <v>0</v>
      </c>
      <c r="BL30" s="122">
        <f t="shared" si="18"/>
        <v>0</v>
      </c>
      <c r="BO30" s="122">
        <f t="shared" si="19"/>
        <v>0</v>
      </c>
      <c r="BR30" s="122">
        <f t="shared" si="20"/>
        <v>0</v>
      </c>
      <c r="BU30" s="122">
        <f t="shared" si="21"/>
        <v>0</v>
      </c>
      <c r="BX30" s="122">
        <f t="shared" si="22"/>
        <v>0</v>
      </c>
      <c r="CA30" s="122">
        <f t="shared" si="23"/>
        <v>0</v>
      </c>
      <c r="CD30" s="122">
        <f t="shared" si="24"/>
        <v>0</v>
      </c>
      <c r="CG30" s="122">
        <f t="shared" si="25"/>
        <v>0</v>
      </c>
      <c r="CJ30" s="122">
        <f t="shared" si="26"/>
        <v>0</v>
      </c>
      <c r="CM30" s="122">
        <f t="shared" si="27"/>
        <v>0</v>
      </c>
      <c r="CP30" s="122">
        <f t="shared" si="28"/>
        <v>0</v>
      </c>
      <c r="CS30" s="122">
        <f t="shared" si="29"/>
        <v>0</v>
      </c>
      <c r="CV30" s="122">
        <f t="shared" si="30"/>
        <v>0</v>
      </c>
      <c r="CY30" s="122">
        <f t="shared" si="31"/>
        <v>0</v>
      </c>
      <c r="DB30" s="122">
        <f t="shared" si="32"/>
        <v>0</v>
      </c>
      <c r="DE30" s="122">
        <f t="shared" si="33"/>
        <v>0</v>
      </c>
      <c r="DH30" s="122">
        <f t="shared" si="34"/>
        <v>0</v>
      </c>
      <c r="DK30" s="122">
        <f t="shared" si="35"/>
        <v>0</v>
      </c>
      <c r="DN30" s="122">
        <f t="shared" si="36"/>
        <v>0</v>
      </c>
      <c r="DQ30" s="122">
        <f t="shared" si="37"/>
        <v>0</v>
      </c>
      <c r="DT30" s="122">
        <f t="shared" si="38"/>
        <v>0</v>
      </c>
      <c r="DW30" s="122">
        <f t="shared" si="39"/>
        <v>0</v>
      </c>
      <c r="DZ30" s="122"/>
      <c r="EA30" s="122"/>
      <c r="EB30" s="157">
        <f t="shared" si="40"/>
        <v>51775000</v>
      </c>
      <c r="EC30" s="157">
        <f t="shared" si="41"/>
        <v>0</v>
      </c>
      <c r="ED30" s="122">
        <f t="shared" si="42"/>
        <v>3883.125</v>
      </c>
      <c r="EE30" s="123">
        <f t="shared" si="43"/>
        <v>2.6999999999999996E-2</v>
      </c>
      <c r="EG30" s="157">
        <f t="shared" si="44"/>
        <v>0</v>
      </c>
      <c r="EH30" s="122">
        <f t="shared" si="45"/>
        <v>0</v>
      </c>
      <c r="EI30" s="123">
        <f t="shared" si="46"/>
        <v>0</v>
      </c>
      <c r="EJ30" s="123"/>
      <c r="EK30" s="157">
        <f t="shared" si="47"/>
        <v>51775000</v>
      </c>
      <c r="EL30" s="157">
        <f t="shared" si="48"/>
        <v>0</v>
      </c>
      <c r="EM30" s="157">
        <f t="shared" si="49"/>
        <v>3883.125</v>
      </c>
      <c r="EN30" s="123">
        <f t="shared" si="50"/>
        <v>2.6999999999999996E-2</v>
      </c>
      <c r="EP30" s="122"/>
    </row>
    <row r="31" spans="1:146" x14ac:dyDescent="0.25">
      <c r="A31" s="66">
        <f t="shared" si="51"/>
        <v>43545</v>
      </c>
      <c r="D31" s="122">
        <f t="shared" si="0"/>
        <v>0</v>
      </c>
      <c r="G31" s="122">
        <f t="shared" si="1"/>
        <v>0</v>
      </c>
      <c r="J31" s="122">
        <f t="shared" si="2"/>
        <v>0</v>
      </c>
      <c r="M31" s="122">
        <f t="shared" si="3"/>
        <v>0</v>
      </c>
      <c r="P31" s="122">
        <f t="shared" si="4"/>
        <v>0</v>
      </c>
      <c r="S31" s="122">
        <f t="shared" si="5"/>
        <v>0</v>
      </c>
      <c r="V31" s="122">
        <f t="shared" si="6"/>
        <v>0</v>
      </c>
      <c r="Y31" s="122">
        <f t="shared" si="7"/>
        <v>0</v>
      </c>
      <c r="AB31" s="122">
        <f t="shared" si="8"/>
        <v>0</v>
      </c>
      <c r="AE31" s="122">
        <v>0</v>
      </c>
      <c r="AH31" s="122">
        <v>0</v>
      </c>
      <c r="AI31" s="155">
        <f>42575000</f>
        <v>42575000</v>
      </c>
      <c r="AJ31" s="156">
        <v>2.7E-2</v>
      </c>
      <c r="AK31" s="122">
        <f t="shared" si="9"/>
        <v>3193.125</v>
      </c>
      <c r="AL31" s="155"/>
      <c r="AM31" s="156"/>
      <c r="AN31" s="122">
        <f t="shared" si="10"/>
        <v>0</v>
      </c>
      <c r="AQ31" s="122">
        <f t="shared" si="11"/>
        <v>0</v>
      </c>
      <c r="AT31" s="122">
        <f t="shared" si="12"/>
        <v>0</v>
      </c>
      <c r="AW31" s="122">
        <f t="shared" si="13"/>
        <v>0</v>
      </c>
      <c r="AZ31" s="122">
        <f t="shared" si="14"/>
        <v>0</v>
      </c>
      <c r="BC31" s="122">
        <f t="shared" si="15"/>
        <v>0</v>
      </c>
      <c r="BF31" s="122">
        <f t="shared" si="16"/>
        <v>0</v>
      </c>
      <c r="BI31" s="122">
        <f t="shared" si="17"/>
        <v>0</v>
      </c>
      <c r="BL31" s="122">
        <f t="shared" si="18"/>
        <v>0</v>
      </c>
      <c r="BO31" s="122">
        <f t="shared" si="19"/>
        <v>0</v>
      </c>
      <c r="BR31" s="122">
        <f t="shared" si="20"/>
        <v>0</v>
      </c>
      <c r="BU31" s="122">
        <f t="shared" si="21"/>
        <v>0</v>
      </c>
      <c r="BX31" s="122">
        <f t="shared" si="22"/>
        <v>0</v>
      </c>
      <c r="CA31" s="122">
        <f t="shared" si="23"/>
        <v>0</v>
      </c>
      <c r="CD31" s="122">
        <f t="shared" si="24"/>
        <v>0</v>
      </c>
      <c r="CG31" s="122">
        <f t="shared" si="25"/>
        <v>0</v>
      </c>
      <c r="CJ31" s="122">
        <f t="shared" si="26"/>
        <v>0</v>
      </c>
      <c r="CM31" s="122">
        <f t="shared" si="27"/>
        <v>0</v>
      </c>
      <c r="CP31" s="122">
        <f t="shared" si="28"/>
        <v>0</v>
      </c>
      <c r="CS31" s="122">
        <f t="shared" si="29"/>
        <v>0</v>
      </c>
      <c r="CV31" s="122">
        <f t="shared" si="30"/>
        <v>0</v>
      </c>
      <c r="CY31" s="122">
        <f t="shared" si="31"/>
        <v>0</v>
      </c>
      <c r="DB31" s="122">
        <f t="shared" si="32"/>
        <v>0</v>
      </c>
      <c r="DE31" s="122">
        <f t="shared" si="33"/>
        <v>0</v>
      </c>
      <c r="DH31" s="122">
        <f t="shared" si="34"/>
        <v>0</v>
      </c>
      <c r="DK31" s="122">
        <f t="shared" si="35"/>
        <v>0</v>
      </c>
      <c r="DN31" s="122">
        <f t="shared" si="36"/>
        <v>0</v>
      </c>
      <c r="DQ31" s="122">
        <f t="shared" si="37"/>
        <v>0</v>
      </c>
      <c r="DT31" s="122">
        <f t="shared" si="38"/>
        <v>0</v>
      </c>
      <c r="DW31" s="122">
        <f t="shared" si="39"/>
        <v>0</v>
      </c>
      <c r="DZ31" s="122"/>
      <c r="EA31" s="122"/>
      <c r="EB31" s="157">
        <f t="shared" si="40"/>
        <v>42575000</v>
      </c>
      <c r="EC31" s="157">
        <f t="shared" si="41"/>
        <v>0</v>
      </c>
      <c r="ED31" s="122">
        <f t="shared" si="42"/>
        <v>3193.125</v>
      </c>
      <c r="EE31" s="123">
        <f t="shared" si="43"/>
        <v>2.6999999999999996E-2</v>
      </c>
      <c r="EG31" s="157">
        <f t="shared" si="44"/>
        <v>0</v>
      </c>
      <c r="EH31" s="122">
        <f t="shared" si="45"/>
        <v>0</v>
      </c>
      <c r="EI31" s="123">
        <f t="shared" si="46"/>
        <v>0</v>
      </c>
      <c r="EJ31" s="123"/>
      <c r="EK31" s="157">
        <f t="shared" si="47"/>
        <v>42575000</v>
      </c>
      <c r="EL31" s="157">
        <f t="shared" si="48"/>
        <v>0</v>
      </c>
      <c r="EM31" s="157">
        <f t="shared" si="49"/>
        <v>3193.125</v>
      </c>
      <c r="EN31" s="123">
        <f t="shared" si="50"/>
        <v>2.6999999999999996E-2</v>
      </c>
      <c r="EP31" s="122"/>
    </row>
    <row r="32" spans="1:146" x14ac:dyDescent="0.25">
      <c r="A32" s="66">
        <f t="shared" si="51"/>
        <v>43546</v>
      </c>
      <c r="D32" s="122">
        <f t="shared" si="0"/>
        <v>0</v>
      </c>
      <c r="G32" s="122">
        <f t="shared" si="1"/>
        <v>0</v>
      </c>
      <c r="J32" s="122">
        <f t="shared" si="2"/>
        <v>0</v>
      </c>
      <c r="M32" s="122">
        <f t="shared" si="3"/>
        <v>0</v>
      </c>
      <c r="P32" s="122">
        <f t="shared" si="4"/>
        <v>0</v>
      </c>
      <c r="S32" s="122">
        <f t="shared" si="5"/>
        <v>0</v>
      </c>
      <c r="V32" s="122">
        <f t="shared" si="6"/>
        <v>0</v>
      </c>
      <c r="Y32" s="122">
        <f t="shared" si="7"/>
        <v>0</v>
      </c>
      <c r="AB32" s="122">
        <f t="shared" si="8"/>
        <v>0</v>
      </c>
      <c r="AE32" s="122">
        <v>0</v>
      </c>
      <c r="AH32" s="122">
        <v>0</v>
      </c>
      <c r="AI32" s="155">
        <f>47800000</f>
        <v>47800000</v>
      </c>
      <c r="AJ32" s="156">
        <v>2.7E-2</v>
      </c>
      <c r="AK32" s="122">
        <f t="shared" si="9"/>
        <v>3585</v>
      </c>
      <c r="AL32" s="155"/>
      <c r="AM32" s="156"/>
      <c r="AN32" s="122">
        <f t="shared" si="10"/>
        <v>0</v>
      </c>
      <c r="AQ32" s="122">
        <f t="shared" si="11"/>
        <v>0</v>
      </c>
      <c r="AT32" s="122">
        <f t="shared" si="12"/>
        <v>0</v>
      </c>
      <c r="AW32" s="122">
        <f t="shared" si="13"/>
        <v>0</v>
      </c>
      <c r="AZ32" s="122">
        <f t="shared" si="14"/>
        <v>0</v>
      </c>
      <c r="BC32" s="122">
        <f t="shared" si="15"/>
        <v>0</v>
      </c>
      <c r="BF32" s="122">
        <f t="shared" si="16"/>
        <v>0</v>
      </c>
      <c r="BI32" s="122">
        <f t="shared" si="17"/>
        <v>0</v>
      </c>
      <c r="BL32" s="122">
        <f t="shared" si="18"/>
        <v>0</v>
      </c>
      <c r="BO32" s="122">
        <f t="shared" si="19"/>
        <v>0</v>
      </c>
      <c r="BR32" s="122">
        <f t="shared" si="20"/>
        <v>0</v>
      </c>
      <c r="BU32" s="122">
        <f t="shared" si="21"/>
        <v>0</v>
      </c>
      <c r="BX32" s="122">
        <f t="shared" si="22"/>
        <v>0</v>
      </c>
      <c r="CA32" s="122">
        <f t="shared" si="23"/>
        <v>0</v>
      </c>
      <c r="CD32" s="122">
        <f t="shared" si="24"/>
        <v>0</v>
      </c>
      <c r="CG32" s="122">
        <f t="shared" si="25"/>
        <v>0</v>
      </c>
      <c r="CJ32" s="122">
        <f t="shared" si="26"/>
        <v>0</v>
      </c>
      <c r="CM32" s="122">
        <f t="shared" si="27"/>
        <v>0</v>
      </c>
      <c r="CP32" s="122">
        <f t="shared" si="28"/>
        <v>0</v>
      </c>
      <c r="CS32" s="122">
        <f t="shared" si="29"/>
        <v>0</v>
      </c>
      <c r="CV32" s="122">
        <f t="shared" si="30"/>
        <v>0</v>
      </c>
      <c r="CY32" s="122">
        <f t="shared" si="31"/>
        <v>0</v>
      </c>
      <c r="DB32" s="122">
        <f t="shared" si="32"/>
        <v>0</v>
      </c>
      <c r="DE32" s="122">
        <f t="shared" si="33"/>
        <v>0</v>
      </c>
      <c r="DH32" s="122">
        <f t="shared" si="34"/>
        <v>0</v>
      </c>
      <c r="DK32" s="122">
        <f t="shared" si="35"/>
        <v>0</v>
      </c>
      <c r="DN32" s="122">
        <f t="shared" si="36"/>
        <v>0</v>
      </c>
      <c r="DQ32" s="122">
        <f t="shared" si="37"/>
        <v>0</v>
      </c>
      <c r="DT32" s="122">
        <f t="shared" si="38"/>
        <v>0</v>
      </c>
      <c r="DW32" s="122">
        <f t="shared" si="39"/>
        <v>0</v>
      </c>
      <c r="DZ32" s="122"/>
      <c r="EA32" s="122"/>
      <c r="EB32" s="157">
        <f t="shared" si="40"/>
        <v>47800000</v>
      </c>
      <c r="EC32" s="157">
        <f t="shared" si="41"/>
        <v>0</v>
      </c>
      <c r="ED32" s="122">
        <f t="shared" si="42"/>
        <v>3585</v>
      </c>
      <c r="EE32" s="123">
        <f t="shared" si="43"/>
        <v>2.6999999999999996E-2</v>
      </c>
      <c r="EG32" s="157">
        <f t="shared" si="44"/>
        <v>0</v>
      </c>
      <c r="EH32" s="122">
        <f t="shared" si="45"/>
        <v>0</v>
      </c>
      <c r="EI32" s="123">
        <f t="shared" si="46"/>
        <v>0</v>
      </c>
      <c r="EJ32" s="123"/>
      <c r="EK32" s="157">
        <f t="shared" si="47"/>
        <v>47800000</v>
      </c>
      <c r="EL32" s="157">
        <f t="shared" si="48"/>
        <v>0</v>
      </c>
      <c r="EM32" s="157">
        <f t="shared" si="49"/>
        <v>3585</v>
      </c>
      <c r="EN32" s="123">
        <f t="shared" si="50"/>
        <v>2.6999999999999996E-2</v>
      </c>
      <c r="EP32" s="122"/>
    </row>
    <row r="33" spans="1:146" x14ac:dyDescent="0.25">
      <c r="A33" s="66">
        <f t="shared" si="51"/>
        <v>43547</v>
      </c>
      <c r="D33" s="122">
        <f t="shared" si="0"/>
        <v>0</v>
      </c>
      <c r="G33" s="122">
        <f t="shared" si="1"/>
        <v>0</v>
      </c>
      <c r="J33" s="122">
        <f t="shared" si="2"/>
        <v>0</v>
      </c>
      <c r="M33" s="122">
        <f t="shared" si="3"/>
        <v>0</v>
      </c>
      <c r="P33" s="122">
        <f t="shared" si="4"/>
        <v>0</v>
      </c>
      <c r="S33" s="122">
        <f t="shared" si="5"/>
        <v>0</v>
      </c>
      <c r="V33" s="122">
        <f t="shared" si="6"/>
        <v>0</v>
      </c>
      <c r="Y33" s="122">
        <f t="shared" si="7"/>
        <v>0</v>
      </c>
      <c r="AB33" s="122">
        <f t="shared" si="8"/>
        <v>0</v>
      </c>
      <c r="AE33" s="122">
        <v>0</v>
      </c>
      <c r="AH33" s="122">
        <v>0</v>
      </c>
      <c r="AI33" s="155">
        <f>47800000</f>
        <v>47800000</v>
      </c>
      <c r="AJ33" s="156">
        <v>2.7E-2</v>
      </c>
      <c r="AK33" s="122">
        <f t="shared" si="9"/>
        <v>3585</v>
      </c>
      <c r="AL33" s="155"/>
      <c r="AM33" s="156"/>
      <c r="AN33" s="122">
        <f t="shared" si="10"/>
        <v>0</v>
      </c>
      <c r="AQ33" s="122">
        <f t="shared" si="11"/>
        <v>0</v>
      </c>
      <c r="AT33" s="122">
        <f t="shared" si="12"/>
        <v>0</v>
      </c>
      <c r="AW33" s="122">
        <f t="shared" si="13"/>
        <v>0</v>
      </c>
      <c r="AZ33" s="122">
        <f t="shared" si="14"/>
        <v>0</v>
      </c>
      <c r="BC33" s="122">
        <f t="shared" si="15"/>
        <v>0</v>
      </c>
      <c r="BF33" s="122">
        <f t="shared" si="16"/>
        <v>0</v>
      </c>
      <c r="BI33" s="122">
        <f t="shared" si="17"/>
        <v>0</v>
      </c>
      <c r="BL33" s="122">
        <f t="shared" si="18"/>
        <v>0</v>
      </c>
      <c r="BO33" s="122">
        <f t="shared" si="19"/>
        <v>0</v>
      </c>
      <c r="BR33" s="122">
        <f t="shared" si="20"/>
        <v>0</v>
      </c>
      <c r="BU33" s="122">
        <f t="shared" si="21"/>
        <v>0</v>
      </c>
      <c r="BX33" s="122">
        <f t="shared" si="22"/>
        <v>0</v>
      </c>
      <c r="CA33" s="122">
        <f t="shared" si="23"/>
        <v>0</v>
      </c>
      <c r="CD33" s="122">
        <f t="shared" si="24"/>
        <v>0</v>
      </c>
      <c r="CG33" s="122">
        <f t="shared" si="25"/>
        <v>0</v>
      </c>
      <c r="CJ33" s="122">
        <f t="shared" si="26"/>
        <v>0</v>
      </c>
      <c r="CM33" s="122">
        <f t="shared" si="27"/>
        <v>0</v>
      </c>
      <c r="CP33" s="122">
        <f t="shared" si="28"/>
        <v>0</v>
      </c>
      <c r="CS33" s="122">
        <f t="shared" si="29"/>
        <v>0</v>
      </c>
      <c r="CV33" s="122">
        <f t="shared" si="30"/>
        <v>0</v>
      </c>
      <c r="CY33" s="122">
        <f t="shared" si="31"/>
        <v>0</v>
      </c>
      <c r="DB33" s="122">
        <f t="shared" si="32"/>
        <v>0</v>
      </c>
      <c r="DE33" s="122">
        <f t="shared" si="33"/>
        <v>0</v>
      </c>
      <c r="DH33" s="122">
        <f t="shared" si="34"/>
        <v>0</v>
      </c>
      <c r="DK33" s="122">
        <f t="shared" si="35"/>
        <v>0</v>
      </c>
      <c r="DN33" s="122">
        <f t="shared" si="36"/>
        <v>0</v>
      </c>
      <c r="DQ33" s="122">
        <f t="shared" si="37"/>
        <v>0</v>
      </c>
      <c r="DT33" s="122">
        <f t="shared" si="38"/>
        <v>0</v>
      </c>
      <c r="DW33" s="122">
        <f t="shared" si="39"/>
        <v>0</v>
      </c>
      <c r="DZ33" s="122"/>
      <c r="EA33" s="122"/>
      <c r="EB33" s="157">
        <f t="shared" si="40"/>
        <v>47800000</v>
      </c>
      <c r="EC33" s="157">
        <f t="shared" si="41"/>
        <v>0</v>
      </c>
      <c r="ED33" s="122">
        <f t="shared" si="42"/>
        <v>3585</v>
      </c>
      <c r="EE33" s="123">
        <f t="shared" si="43"/>
        <v>2.6999999999999996E-2</v>
      </c>
      <c r="EG33" s="157">
        <f t="shared" si="44"/>
        <v>0</v>
      </c>
      <c r="EH33" s="122">
        <f t="shared" si="45"/>
        <v>0</v>
      </c>
      <c r="EI33" s="123">
        <f t="shared" si="46"/>
        <v>0</v>
      </c>
      <c r="EJ33" s="123"/>
      <c r="EK33" s="157">
        <f t="shared" si="47"/>
        <v>47800000</v>
      </c>
      <c r="EL33" s="157">
        <f t="shared" si="48"/>
        <v>0</v>
      </c>
      <c r="EM33" s="157">
        <f t="shared" si="49"/>
        <v>3585</v>
      </c>
      <c r="EN33" s="123">
        <f t="shared" si="50"/>
        <v>2.6999999999999996E-2</v>
      </c>
      <c r="EP33" s="122"/>
    </row>
    <row r="34" spans="1:146" x14ac:dyDescent="0.25">
      <c r="A34" s="66">
        <f t="shared" si="51"/>
        <v>43548</v>
      </c>
      <c r="D34" s="122">
        <f t="shared" si="0"/>
        <v>0</v>
      </c>
      <c r="G34" s="122">
        <f t="shared" si="1"/>
        <v>0</v>
      </c>
      <c r="J34" s="122">
        <f t="shared" si="2"/>
        <v>0</v>
      </c>
      <c r="M34" s="122">
        <f t="shared" si="3"/>
        <v>0</v>
      </c>
      <c r="P34" s="122">
        <f t="shared" si="4"/>
        <v>0</v>
      </c>
      <c r="S34" s="122">
        <f t="shared" si="5"/>
        <v>0</v>
      </c>
      <c r="V34" s="122">
        <f t="shared" si="6"/>
        <v>0</v>
      </c>
      <c r="Y34" s="122">
        <f t="shared" si="7"/>
        <v>0</v>
      </c>
      <c r="AB34" s="122">
        <f t="shared" si="8"/>
        <v>0</v>
      </c>
      <c r="AE34" s="122">
        <v>0</v>
      </c>
      <c r="AH34" s="122">
        <v>0</v>
      </c>
      <c r="AI34" s="155">
        <f>47800000</f>
        <v>47800000</v>
      </c>
      <c r="AJ34" s="156">
        <v>2.7E-2</v>
      </c>
      <c r="AK34" s="122">
        <f t="shared" si="9"/>
        <v>3585</v>
      </c>
      <c r="AL34" s="155"/>
      <c r="AM34" s="156"/>
      <c r="AN34" s="122">
        <f t="shared" si="10"/>
        <v>0</v>
      </c>
      <c r="AQ34" s="122">
        <f t="shared" si="11"/>
        <v>0</v>
      </c>
      <c r="AT34" s="122">
        <f t="shared" si="12"/>
        <v>0</v>
      </c>
      <c r="AW34" s="122">
        <f t="shared" si="13"/>
        <v>0</v>
      </c>
      <c r="AZ34" s="122">
        <f t="shared" si="14"/>
        <v>0</v>
      </c>
      <c r="BC34" s="122">
        <f t="shared" si="15"/>
        <v>0</v>
      </c>
      <c r="BF34" s="122">
        <f t="shared" si="16"/>
        <v>0</v>
      </c>
      <c r="BI34" s="122">
        <f t="shared" si="17"/>
        <v>0</v>
      </c>
      <c r="BL34" s="122">
        <f t="shared" si="18"/>
        <v>0</v>
      </c>
      <c r="BO34" s="122">
        <f t="shared" si="19"/>
        <v>0</v>
      </c>
      <c r="BR34" s="122">
        <f t="shared" si="20"/>
        <v>0</v>
      </c>
      <c r="BU34" s="122">
        <f t="shared" si="21"/>
        <v>0</v>
      </c>
      <c r="BX34" s="122">
        <f t="shared" si="22"/>
        <v>0</v>
      </c>
      <c r="CA34" s="122">
        <f t="shared" si="23"/>
        <v>0</v>
      </c>
      <c r="CD34" s="122">
        <f t="shared" si="24"/>
        <v>0</v>
      </c>
      <c r="CG34" s="122">
        <f t="shared" si="25"/>
        <v>0</v>
      </c>
      <c r="CJ34" s="122">
        <f t="shared" si="26"/>
        <v>0</v>
      </c>
      <c r="CM34" s="122">
        <f t="shared" si="27"/>
        <v>0</v>
      </c>
      <c r="CP34" s="122">
        <f t="shared" si="28"/>
        <v>0</v>
      </c>
      <c r="CS34" s="122">
        <f t="shared" si="29"/>
        <v>0</v>
      </c>
      <c r="CV34" s="122">
        <f t="shared" si="30"/>
        <v>0</v>
      </c>
      <c r="CY34" s="122">
        <f t="shared" si="31"/>
        <v>0</v>
      </c>
      <c r="DB34" s="122">
        <f t="shared" si="32"/>
        <v>0</v>
      </c>
      <c r="DE34" s="122">
        <f t="shared" si="33"/>
        <v>0</v>
      </c>
      <c r="DH34" s="122">
        <f t="shared" si="34"/>
        <v>0</v>
      </c>
      <c r="DK34" s="122">
        <f t="shared" si="35"/>
        <v>0</v>
      </c>
      <c r="DN34" s="122">
        <f t="shared" si="36"/>
        <v>0</v>
      </c>
      <c r="DQ34" s="122">
        <f t="shared" si="37"/>
        <v>0</v>
      </c>
      <c r="DT34" s="122">
        <f t="shared" si="38"/>
        <v>0</v>
      </c>
      <c r="DW34" s="122">
        <f t="shared" si="39"/>
        <v>0</v>
      </c>
      <c r="DZ34" s="122"/>
      <c r="EA34" s="122"/>
      <c r="EB34" s="157">
        <f t="shared" si="40"/>
        <v>47800000</v>
      </c>
      <c r="EC34" s="157">
        <f t="shared" si="41"/>
        <v>0</v>
      </c>
      <c r="ED34" s="122">
        <f t="shared" si="42"/>
        <v>3585</v>
      </c>
      <c r="EE34" s="123">
        <f t="shared" si="43"/>
        <v>2.6999999999999996E-2</v>
      </c>
      <c r="EG34" s="157">
        <f t="shared" si="44"/>
        <v>0</v>
      </c>
      <c r="EH34" s="122">
        <f t="shared" si="45"/>
        <v>0</v>
      </c>
      <c r="EI34" s="123">
        <f t="shared" si="46"/>
        <v>0</v>
      </c>
      <c r="EJ34" s="123"/>
      <c r="EK34" s="157">
        <f t="shared" si="47"/>
        <v>47800000</v>
      </c>
      <c r="EL34" s="157">
        <f t="shared" si="48"/>
        <v>0</v>
      </c>
      <c r="EM34" s="157">
        <f t="shared" si="49"/>
        <v>3585</v>
      </c>
      <c r="EN34" s="123">
        <f t="shared" si="50"/>
        <v>2.6999999999999996E-2</v>
      </c>
      <c r="EP34" s="122"/>
    </row>
    <row r="35" spans="1:146" x14ac:dyDescent="0.25">
      <c r="A35" s="66">
        <f t="shared" si="51"/>
        <v>43549</v>
      </c>
      <c r="D35" s="122">
        <f t="shared" si="0"/>
        <v>0</v>
      </c>
      <c r="G35" s="122">
        <f t="shared" si="1"/>
        <v>0</v>
      </c>
      <c r="J35" s="122">
        <f t="shared" si="2"/>
        <v>0</v>
      </c>
      <c r="M35" s="122">
        <f t="shared" si="3"/>
        <v>0</v>
      </c>
      <c r="P35" s="122">
        <f t="shared" si="4"/>
        <v>0</v>
      </c>
      <c r="S35" s="122">
        <f t="shared" si="5"/>
        <v>0</v>
      </c>
      <c r="V35" s="122">
        <f t="shared" si="6"/>
        <v>0</v>
      </c>
      <c r="Y35" s="122">
        <f t="shared" si="7"/>
        <v>0</v>
      </c>
      <c r="AB35" s="122">
        <f t="shared" si="8"/>
        <v>0</v>
      </c>
      <c r="AE35" s="122">
        <v>0</v>
      </c>
      <c r="AH35" s="122">
        <v>0</v>
      </c>
      <c r="AI35" s="155">
        <f>45000000</f>
        <v>45000000</v>
      </c>
      <c r="AJ35" s="156">
        <v>2.7E-2</v>
      </c>
      <c r="AK35" s="122">
        <f t="shared" si="9"/>
        <v>3375</v>
      </c>
      <c r="AL35" s="155"/>
      <c r="AM35" s="156"/>
      <c r="AN35" s="122">
        <f t="shared" si="10"/>
        <v>0</v>
      </c>
      <c r="AQ35" s="122">
        <f t="shared" si="11"/>
        <v>0</v>
      </c>
      <c r="AT35" s="122">
        <f t="shared" si="12"/>
        <v>0</v>
      </c>
      <c r="AW35" s="122">
        <f t="shared" si="13"/>
        <v>0</v>
      </c>
      <c r="AZ35" s="122">
        <f t="shared" si="14"/>
        <v>0</v>
      </c>
      <c r="BC35" s="122">
        <f t="shared" si="15"/>
        <v>0</v>
      </c>
      <c r="BF35" s="122">
        <f t="shared" si="16"/>
        <v>0</v>
      </c>
      <c r="BI35" s="122">
        <f t="shared" si="17"/>
        <v>0</v>
      </c>
      <c r="BL35" s="122">
        <f t="shared" si="18"/>
        <v>0</v>
      </c>
      <c r="BO35" s="122">
        <f t="shared" si="19"/>
        <v>0</v>
      </c>
      <c r="BR35" s="122">
        <f t="shared" si="20"/>
        <v>0</v>
      </c>
      <c r="BU35" s="122">
        <f t="shared" si="21"/>
        <v>0</v>
      </c>
      <c r="BX35" s="122">
        <f t="shared" si="22"/>
        <v>0</v>
      </c>
      <c r="CA35" s="122">
        <f t="shared" si="23"/>
        <v>0</v>
      </c>
      <c r="CD35" s="122">
        <f t="shared" si="24"/>
        <v>0</v>
      </c>
      <c r="CG35" s="122">
        <f t="shared" si="25"/>
        <v>0</v>
      </c>
      <c r="CJ35" s="122">
        <f t="shared" si="26"/>
        <v>0</v>
      </c>
      <c r="CM35" s="122">
        <f t="shared" si="27"/>
        <v>0</v>
      </c>
      <c r="CP35" s="122">
        <f t="shared" si="28"/>
        <v>0</v>
      </c>
      <c r="CS35" s="122">
        <f t="shared" si="29"/>
        <v>0</v>
      </c>
      <c r="CV35" s="122">
        <f t="shared" si="30"/>
        <v>0</v>
      </c>
      <c r="CY35" s="122">
        <f t="shared" si="31"/>
        <v>0</v>
      </c>
      <c r="DB35" s="122">
        <f t="shared" si="32"/>
        <v>0</v>
      </c>
      <c r="DE35" s="122">
        <f t="shared" si="33"/>
        <v>0</v>
      </c>
      <c r="DH35" s="122">
        <f t="shared" si="34"/>
        <v>0</v>
      </c>
      <c r="DK35" s="122">
        <f t="shared" si="35"/>
        <v>0</v>
      </c>
      <c r="DN35" s="122">
        <f t="shared" si="36"/>
        <v>0</v>
      </c>
      <c r="DQ35" s="122">
        <f t="shared" si="37"/>
        <v>0</v>
      </c>
      <c r="DT35" s="122">
        <f t="shared" si="38"/>
        <v>0</v>
      </c>
      <c r="DW35" s="122">
        <f t="shared" si="39"/>
        <v>0</v>
      </c>
      <c r="DZ35" s="122"/>
      <c r="EA35" s="122"/>
      <c r="EB35" s="157">
        <f t="shared" si="40"/>
        <v>45000000</v>
      </c>
      <c r="EC35" s="157">
        <f t="shared" si="41"/>
        <v>0</v>
      </c>
      <c r="ED35" s="122">
        <f t="shared" si="42"/>
        <v>3375</v>
      </c>
      <c r="EE35" s="123">
        <f t="shared" si="43"/>
        <v>2.6999999999999996E-2</v>
      </c>
      <c r="EG35" s="157">
        <f t="shared" si="44"/>
        <v>0</v>
      </c>
      <c r="EH35" s="122">
        <f t="shared" si="45"/>
        <v>0</v>
      </c>
      <c r="EI35" s="123">
        <f t="shared" si="46"/>
        <v>0</v>
      </c>
      <c r="EJ35" s="123"/>
      <c r="EK35" s="157">
        <f t="shared" si="47"/>
        <v>45000000</v>
      </c>
      <c r="EL35" s="157">
        <f t="shared" si="48"/>
        <v>0</v>
      </c>
      <c r="EM35" s="157">
        <f t="shared" si="49"/>
        <v>3375</v>
      </c>
      <c r="EN35" s="123">
        <f t="shared" si="50"/>
        <v>2.6999999999999996E-2</v>
      </c>
      <c r="EP35" s="122"/>
    </row>
    <row r="36" spans="1:146" x14ac:dyDescent="0.25">
      <c r="A36" s="66">
        <f t="shared" si="51"/>
        <v>43550</v>
      </c>
      <c r="D36" s="122">
        <f t="shared" si="0"/>
        <v>0</v>
      </c>
      <c r="G36" s="122">
        <f t="shared" si="1"/>
        <v>0</v>
      </c>
      <c r="J36" s="122">
        <f t="shared" si="2"/>
        <v>0</v>
      </c>
      <c r="M36" s="122">
        <f t="shared" si="3"/>
        <v>0</v>
      </c>
      <c r="P36" s="122">
        <f t="shared" si="4"/>
        <v>0</v>
      </c>
      <c r="S36" s="122">
        <f t="shared" si="5"/>
        <v>0</v>
      </c>
      <c r="V36" s="122">
        <f t="shared" si="6"/>
        <v>0</v>
      </c>
      <c r="Y36" s="122">
        <f t="shared" si="7"/>
        <v>0</v>
      </c>
      <c r="AB36" s="122">
        <f t="shared" si="8"/>
        <v>0</v>
      </c>
      <c r="AE36" s="122">
        <v>0</v>
      </c>
      <c r="AH36" s="122">
        <v>0</v>
      </c>
      <c r="AI36" s="155">
        <f>34375000</f>
        <v>34375000</v>
      </c>
      <c r="AJ36" s="156">
        <v>2.7E-2</v>
      </c>
      <c r="AK36" s="122">
        <f t="shared" si="9"/>
        <v>2578.125</v>
      </c>
      <c r="AL36" s="155"/>
      <c r="AM36" s="156"/>
      <c r="AN36" s="122">
        <f t="shared" si="10"/>
        <v>0</v>
      </c>
      <c r="AQ36" s="122">
        <f t="shared" si="11"/>
        <v>0</v>
      </c>
      <c r="AT36" s="122">
        <f t="shared" si="12"/>
        <v>0</v>
      </c>
      <c r="AW36" s="122">
        <f t="shared" si="13"/>
        <v>0</v>
      </c>
      <c r="AZ36" s="122">
        <f t="shared" si="14"/>
        <v>0</v>
      </c>
      <c r="BC36" s="122">
        <f t="shared" si="15"/>
        <v>0</v>
      </c>
      <c r="BF36" s="122">
        <f t="shared" si="16"/>
        <v>0</v>
      </c>
      <c r="BI36" s="122">
        <f t="shared" si="17"/>
        <v>0</v>
      </c>
      <c r="BL36" s="122">
        <f t="shared" si="18"/>
        <v>0</v>
      </c>
      <c r="BO36" s="122">
        <f t="shared" si="19"/>
        <v>0</v>
      </c>
      <c r="BR36" s="122">
        <f t="shared" si="20"/>
        <v>0</v>
      </c>
      <c r="BU36" s="122">
        <f t="shared" si="21"/>
        <v>0</v>
      </c>
      <c r="BX36" s="122">
        <f t="shared" si="22"/>
        <v>0</v>
      </c>
      <c r="CA36" s="122">
        <f t="shared" si="23"/>
        <v>0</v>
      </c>
      <c r="CD36" s="122">
        <f t="shared" si="24"/>
        <v>0</v>
      </c>
      <c r="CG36" s="122">
        <f t="shared" si="25"/>
        <v>0</v>
      </c>
      <c r="CJ36" s="122">
        <f t="shared" si="26"/>
        <v>0</v>
      </c>
      <c r="CM36" s="122">
        <f t="shared" si="27"/>
        <v>0</v>
      </c>
      <c r="CP36" s="122">
        <f t="shared" si="28"/>
        <v>0</v>
      </c>
      <c r="CS36" s="122">
        <f t="shared" si="29"/>
        <v>0</v>
      </c>
      <c r="CV36" s="122">
        <f t="shared" si="30"/>
        <v>0</v>
      </c>
      <c r="CY36" s="122">
        <f t="shared" si="31"/>
        <v>0</v>
      </c>
      <c r="DB36" s="122">
        <f t="shared" si="32"/>
        <v>0</v>
      </c>
      <c r="DE36" s="122">
        <f t="shared" si="33"/>
        <v>0</v>
      </c>
      <c r="DH36" s="122">
        <f t="shared" si="34"/>
        <v>0</v>
      </c>
      <c r="DK36" s="122">
        <f t="shared" si="35"/>
        <v>0</v>
      </c>
      <c r="DN36" s="122">
        <f t="shared" si="36"/>
        <v>0</v>
      </c>
      <c r="DQ36" s="122">
        <f t="shared" si="37"/>
        <v>0</v>
      </c>
      <c r="DT36" s="122">
        <f t="shared" si="38"/>
        <v>0</v>
      </c>
      <c r="DW36" s="122">
        <f t="shared" si="39"/>
        <v>0</v>
      </c>
      <c r="DZ36" s="122"/>
      <c r="EA36" s="122"/>
      <c r="EB36" s="157">
        <f t="shared" si="40"/>
        <v>34375000</v>
      </c>
      <c r="EC36" s="157">
        <f t="shared" si="41"/>
        <v>0</v>
      </c>
      <c r="ED36" s="122">
        <f t="shared" si="42"/>
        <v>2578.125</v>
      </c>
      <c r="EE36" s="123">
        <f t="shared" si="43"/>
        <v>2.6999999999999996E-2</v>
      </c>
      <c r="EG36" s="157">
        <f t="shared" si="44"/>
        <v>0</v>
      </c>
      <c r="EH36" s="122">
        <f t="shared" si="45"/>
        <v>0</v>
      </c>
      <c r="EI36" s="123">
        <f t="shared" si="46"/>
        <v>0</v>
      </c>
      <c r="EJ36" s="123"/>
      <c r="EK36" s="157">
        <f t="shared" si="47"/>
        <v>34375000</v>
      </c>
      <c r="EL36" s="157">
        <f t="shared" si="48"/>
        <v>0</v>
      </c>
      <c r="EM36" s="157">
        <f t="shared" si="49"/>
        <v>2578.125</v>
      </c>
      <c r="EN36" s="123">
        <f t="shared" si="50"/>
        <v>2.6999999999999996E-2</v>
      </c>
      <c r="EP36" s="122"/>
    </row>
    <row r="37" spans="1:146" x14ac:dyDescent="0.25">
      <c r="A37" s="66">
        <f t="shared" si="51"/>
        <v>43551</v>
      </c>
      <c r="D37" s="122">
        <f t="shared" si="0"/>
        <v>0</v>
      </c>
      <c r="G37" s="122">
        <f t="shared" si="1"/>
        <v>0</v>
      </c>
      <c r="J37" s="122">
        <f t="shared" si="2"/>
        <v>0</v>
      </c>
      <c r="M37" s="122">
        <f t="shared" si="3"/>
        <v>0</v>
      </c>
      <c r="P37" s="122">
        <f t="shared" si="4"/>
        <v>0</v>
      </c>
      <c r="S37" s="122">
        <f t="shared" si="5"/>
        <v>0</v>
      </c>
      <c r="V37" s="122">
        <f t="shared" si="6"/>
        <v>0</v>
      </c>
      <c r="Y37" s="122">
        <f t="shared" si="7"/>
        <v>0</v>
      </c>
      <c r="AB37" s="122">
        <f t="shared" si="8"/>
        <v>0</v>
      </c>
      <c r="AE37" s="122">
        <v>0</v>
      </c>
      <c r="AH37" s="122">
        <v>0</v>
      </c>
      <c r="AI37" s="155">
        <f>25450000</f>
        <v>25450000</v>
      </c>
      <c r="AJ37" s="156">
        <v>2.7E-2</v>
      </c>
      <c r="AK37" s="122">
        <f t="shared" si="9"/>
        <v>1908.75</v>
      </c>
      <c r="AL37" s="155"/>
      <c r="AM37" s="156"/>
      <c r="AN37" s="122">
        <f t="shared" si="10"/>
        <v>0</v>
      </c>
      <c r="AQ37" s="122">
        <f t="shared" si="11"/>
        <v>0</v>
      </c>
      <c r="AT37" s="122">
        <f t="shared" si="12"/>
        <v>0</v>
      </c>
      <c r="AW37" s="122">
        <f t="shared" si="13"/>
        <v>0</v>
      </c>
      <c r="AZ37" s="122">
        <f t="shared" si="14"/>
        <v>0</v>
      </c>
      <c r="BC37" s="122">
        <f t="shared" si="15"/>
        <v>0</v>
      </c>
      <c r="BF37" s="122">
        <f t="shared" si="16"/>
        <v>0</v>
      </c>
      <c r="BI37" s="122">
        <f t="shared" si="17"/>
        <v>0</v>
      </c>
      <c r="BL37" s="122">
        <f t="shared" si="18"/>
        <v>0</v>
      </c>
      <c r="BO37" s="122">
        <f t="shared" si="19"/>
        <v>0</v>
      </c>
      <c r="BR37" s="122">
        <f t="shared" si="20"/>
        <v>0</v>
      </c>
      <c r="BU37" s="122">
        <f t="shared" si="21"/>
        <v>0</v>
      </c>
      <c r="BX37" s="122">
        <f t="shared" si="22"/>
        <v>0</v>
      </c>
      <c r="CA37" s="122">
        <f t="shared" si="23"/>
        <v>0</v>
      </c>
      <c r="CD37" s="122">
        <f t="shared" si="24"/>
        <v>0</v>
      </c>
      <c r="CG37" s="122">
        <f t="shared" si="25"/>
        <v>0</v>
      </c>
      <c r="CJ37" s="122">
        <f t="shared" si="26"/>
        <v>0</v>
      </c>
      <c r="CM37" s="122">
        <f t="shared" si="27"/>
        <v>0</v>
      </c>
      <c r="CP37" s="122">
        <f t="shared" si="28"/>
        <v>0</v>
      </c>
      <c r="CS37" s="122">
        <f t="shared" si="29"/>
        <v>0</v>
      </c>
      <c r="CV37" s="122">
        <f t="shared" si="30"/>
        <v>0</v>
      </c>
      <c r="CY37" s="122">
        <f t="shared" si="31"/>
        <v>0</v>
      </c>
      <c r="DB37" s="122">
        <f t="shared" si="32"/>
        <v>0</v>
      </c>
      <c r="DE37" s="122">
        <f t="shared" si="33"/>
        <v>0</v>
      </c>
      <c r="DH37" s="122">
        <f t="shared" si="34"/>
        <v>0</v>
      </c>
      <c r="DK37" s="122">
        <f t="shared" si="35"/>
        <v>0</v>
      </c>
      <c r="DN37" s="122">
        <f t="shared" si="36"/>
        <v>0</v>
      </c>
      <c r="DQ37" s="122">
        <f t="shared" si="37"/>
        <v>0</v>
      </c>
      <c r="DT37" s="122">
        <f t="shared" si="38"/>
        <v>0</v>
      </c>
      <c r="DW37" s="122">
        <f t="shared" si="39"/>
        <v>0</v>
      </c>
      <c r="DZ37" s="122"/>
      <c r="EA37" s="122"/>
      <c r="EB37" s="157">
        <f t="shared" si="40"/>
        <v>25450000</v>
      </c>
      <c r="EC37" s="157">
        <f t="shared" si="41"/>
        <v>0</v>
      </c>
      <c r="ED37" s="122">
        <f t="shared" si="42"/>
        <v>1908.75</v>
      </c>
      <c r="EE37" s="123">
        <f t="shared" si="43"/>
        <v>2.6999999999999996E-2</v>
      </c>
      <c r="EG37" s="157">
        <f t="shared" si="44"/>
        <v>0</v>
      </c>
      <c r="EH37" s="122">
        <f t="shared" si="45"/>
        <v>0</v>
      </c>
      <c r="EI37" s="123">
        <f t="shared" si="46"/>
        <v>0</v>
      </c>
      <c r="EJ37" s="123"/>
      <c r="EK37" s="157">
        <f t="shared" si="47"/>
        <v>25450000</v>
      </c>
      <c r="EL37" s="157">
        <f t="shared" si="48"/>
        <v>0</v>
      </c>
      <c r="EM37" s="157">
        <f t="shared" si="49"/>
        <v>1908.75</v>
      </c>
      <c r="EN37" s="123">
        <f t="shared" si="50"/>
        <v>2.6999999999999996E-2</v>
      </c>
      <c r="EP37" s="122"/>
    </row>
    <row r="38" spans="1:146" x14ac:dyDescent="0.25">
      <c r="A38" s="66">
        <f t="shared" si="51"/>
        <v>43552</v>
      </c>
      <c r="D38" s="122">
        <f t="shared" si="0"/>
        <v>0</v>
      </c>
      <c r="G38" s="122">
        <f t="shared" si="1"/>
        <v>0</v>
      </c>
      <c r="J38" s="122">
        <f t="shared" si="2"/>
        <v>0</v>
      </c>
      <c r="M38" s="122">
        <f t="shared" si="3"/>
        <v>0</v>
      </c>
      <c r="P38" s="122">
        <f t="shared" si="4"/>
        <v>0</v>
      </c>
      <c r="S38" s="122">
        <f t="shared" si="5"/>
        <v>0</v>
      </c>
      <c r="V38" s="122">
        <f t="shared" si="6"/>
        <v>0</v>
      </c>
      <c r="Y38" s="122">
        <f t="shared" si="7"/>
        <v>0</v>
      </c>
      <c r="AB38" s="122">
        <f t="shared" si="8"/>
        <v>0</v>
      </c>
      <c r="AE38" s="122">
        <v>0</v>
      </c>
      <c r="AH38" s="122">
        <v>0</v>
      </c>
      <c r="AI38" s="155">
        <f>38650000</f>
        <v>38650000</v>
      </c>
      <c r="AJ38" s="156">
        <v>2.7E-2</v>
      </c>
      <c r="AK38" s="122">
        <f t="shared" si="9"/>
        <v>2898.75</v>
      </c>
      <c r="AL38" s="155"/>
      <c r="AM38" s="156"/>
      <c r="AN38" s="122">
        <f t="shared" si="10"/>
        <v>0</v>
      </c>
      <c r="AQ38" s="122">
        <f t="shared" si="11"/>
        <v>0</v>
      </c>
      <c r="AT38" s="122">
        <f t="shared" si="12"/>
        <v>0</v>
      </c>
      <c r="AW38" s="122">
        <f t="shared" si="13"/>
        <v>0</v>
      </c>
      <c r="AZ38" s="122">
        <f t="shared" si="14"/>
        <v>0</v>
      </c>
      <c r="BC38" s="122">
        <f t="shared" si="15"/>
        <v>0</v>
      </c>
      <c r="BF38" s="122">
        <f t="shared" si="16"/>
        <v>0</v>
      </c>
      <c r="BI38" s="122">
        <f t="shared" si="17"/>
        <v>0</v>
      </c>
      <c r="BL38" s="122">
        <f t="shared" si="18"/>
        <v>0</v>
      </c>
      <c r="BO38" s="122">
        <f t="shared" si="19"/>
        <v>0</v>
      </c>
      <c r="BR38" s="122">
        <f t="shared" si="20"/>
        <v>0</v>
      </c>
      <c r="BU38" s="122">
        <f t="shared" si="21"/>
        <v>0</v>
      </c>
      <c r="BX38" s="122">
        <f t="shared" si="22"/>
        <v>0</v>
      </c>
      <c r="CA38" s="122">
        <f t="shared" si="23"/>
        <v>0</v>
      </c>
      <c r="CD38" s="122">
        <f t="shared" si="24"/>
        <v>0</v>
      </c>
      <c r="CG38" s="122">
        <f t="shared" si="25"/>
        <v>0</v>
      </c>
      <c r="CJ38" s="122">
        <f t="shared" si="26"/>
        <v>0</v>
      </c>
      <c r="CM38" s="122">
        <f t="shared" si="27"/>
        <v>0</v>
      </c>
      <c r="CP38" s="122">
        <f t="shared" si="28"/>
        <v>0</v>
      </c>
      <c r="CS38" s="122">
        <f t="shared" si="29"/>
        <v>0</v>
      </c>
      <c r="CV38" s="122">
        <f t="shared" si="30"/>
        <v>0</v>
      </c>
      <c r="CY38" s="122">
        <f t="shared" si="31"/>
        <v>0</v>
      </c>
      <c r="DB38" s="122">
        <f t="shared" si="32"/>
        <v>0</v>
      </c>
      <c r="DE38" s="122">
        <f t="shared" si="33"/>
        <v>0</v>
      </c>
      <c r="DH38" s="122">
        <f t="shared" si="34"/>
        <v>0</v>
      </c>
      <c r="DK38" s="122">
        <f t="shared" si="35"/>
        <v>0</v>
      </c>
      <c r="DN38" s="122">
        <f t="shared" si="36"/>
        <v>0</v>
      </c>
      <c r="DQ38" s="122">
        <f t="shared" si="37"/>
        <v>0</v>
      </c>
      <c r="DT38" s="122">
        <f t="shared" si="38"/>
        <v>0</v>
      </c>
      <c r="DW38" s="122">
        <f t="shared" si="39"/>
        <v>0</v>
      </c>
      <c r="DZ38" s="122"/>
      <c r="EA38" s="122"/>
      <c r="EB38" s="157">
        <f t="shared" si="40"/>
        <v>38650000</v>
      </c>
      <c r="EC38" s="157">
        <f t="shared" si="41"/>
        <v>0</v>
      </c>
      <c r="ED38" s="122">
        <f t="shared" si="42"/>
        <v>2898.75</v>
      </c>
      <c r="EE38" s="123">
        <f t="shared" si="43"/>
        <v>2.6999999999999996E-2</v>
      </c>
      <c r="EG38" s="157">
        <f t="shared" si="44"/>
        <v>0</v>
      </c>
      <c r="EH38" s="122">
        <f t="shared" si="45"/>
        <v>0</v>
      </c>
      <c r="EI38" s="123">
        <f t="shared" si="46"/>
        <v>0</v>
      </c>
      <c r="EJ38" s="123"/>
      <c r="EK38" s="157">
        <f t="shared" si="47"/>
        <v>38650000</v>
      </c>
      <c r="EL38" s="157">
        <f t="shared" si="48"/>
        <v>0</v>
      </c>
      <c r="EM38" s="157">
        <f t="shared" si="49"/>
        <v>2898.75</v>
      </c>
      <c r="EN38" s="123">
        <f t="shared" si="50"/>
        <v>2.6999999999999996E-2</v>
      </c>
      <c r="EP38" s="122"/>
    </row>
    <row r="39" spans="1:146" x14ac:dyDescent="0.25">
      <c r="A39" s="66">
        <f t="shared" si="51"/>
        <v>43553</v>
      </c>
      <c r="D39" s="122">
        <f t="shared" si="0"/>
        <v>0</v>
      </c>
      <c r="G39" s="122">
        <f t="shared" si="1"/>
        <v>0</v>
      </c>
      <c r="J39" s="122">
        <f t="shared" si="2"/>
        <v>0</v>
      </c>
      <c r="M39" s="122">
        <f t="shared" si="3"/>
        <v>0</v>
      </c>
      <c r="P39" s="122">
        <f t="shared" si="4"/>
        <v>0</v>
      </c>
      <c r="S39" s="122">
        <f t="shared" si="5"/>
        <v>0</v>
      </c>
      <c r="V39" s="122">
        <f t="shared" si="6"/>
        <v>0</v>
      </c>
      <c r="Y39" s="122">
        <f t="shared" si="7"/>
        <v>0</v>
      </c>
      <c r="AB39" s="122">
        <f t="shared" si="8"/>
        <v>0</v>
      </c>
      <c r="AE39" s="122">
        <v>0</v>
      </c>
      <c r="AH39" s="122">
        <v>0</v>
      </c>
      <c r="AI39" s="155">
        <f>54750000</f>
        <v>54750000</v>
      </c>
      <c r="AJ39" s="156">
        <v>2.7E-2</v>
      </c>
      <c r="AK39" s="122">
        <f t="shared" si="9"/>
        <v>4106.25</v>
      </c>
      <c r="AL39" s="155"/>
      <c r="AM39" s="156"/>
      <c r="AN39" s="122">
        <f t="shared" si="10"/>
        <v>0</v>
      </c>
      <c r="AQ39" s="122">
        <f t="shared" si="11"/>
        <v>0</v>
      </c>
      <c r="AT39" s="122">
        <f t="shared" si="12"/>
        <v>0</v>
      </c>
      <c r="AW39" s="122">
        <f t="shared" si="13"/>
        <v>0</v>
      </c>
      <c r="AZ39" s="122">
        <f t="shared" si="14"/>
        <v>0</v>
      </c>
      <c r="BC39" s="122">
        <f t="shared" si="15"/>
        <v>0</v>
      </c>
      <c r="BF39" s="122">
        <f t="shared" si="16"/>
        <v>0</v>
      </c>
      <c r="BI39" s="122">
        <f t="shared" si="17"/>
        <v>0</v>
      </c>
      <c r="BL39" s="122">
        <f t="shared" si="18"/>
        <v>0</v>
      </c>
      <c r="BO39" s="122">
        <f t="shared" si="19"/>
        <v>0</v>
      </c>
      <c r="BR39" s="122">
        <f t="shared" si="20"/>
        <v>0</v>
      </c>
      <c r="BU39" s="122">
        <f t="shared" si="21"/>
        <v>0</v>
      </c>
      <c r="BX39" s="122">
        <f t="shared" si="22"/>
        <v>0</v>
      </c>
      <c r="CA39" s="122">
        <f t="shared" si="23"/>
        <v>0</v>
      </c>
      <c r="CD39" s="122">
        <f t="shared" si="24"/>
        <v>0</v>
      </c>
      <c r="CG39" s="122">
        <f t="shared" si="25"/>
        <v>0</v>
      </c>
      <c r="CJ39" s="122">
        <f t="shared" si="26"/>
        <v>0</v>
      </c>
      <c r="CM39" s="122">
        <f t="shared" si="27"/>
        <v>0</v>
      </c>
      <c r="CP39" s="122">
        <f t="shared" si="28"/>
        <v>0</v>
      </c>
      <c r="CS39" s="122">
        <f t="shared" si="29"/>
        <v>0</v>
      </c>
      <c r="CV39" s="122">
        <f t="shared" si="30"/>
        <v>0</v>
      </c>
      <c r="CY39" s="122">
        <f t="shared" si="31"/>
        <v>0</v>
      </c>
      <c r="DB39" s="122">
        <f t="shared" si="32"/>
        <v>0</v>
      </c>
      <c r="DE39" s="122">
        <f t="shared" si="33"/>
        <v>0</v>
      </c>
      <c r="DH39" s="122">
        <f t="shared" si="34"/>
        <v>0</v>
      </c>
      <c r="DK39" s="122">
        <f t="shared" si="35"/>
        <v>0</v>
      </c>
      <c r="DN39" s="122">
        <f t="shared" si="36"/>
        <v>0</v>
      </c>
      <c r="DQ39" s="122">
        <f t="shared" si="37"/>
        <v>0</v>
      </c>
      <c r="DT39" s="122">
        <f t="shared" si="38"/>
        <v>0</v>
      </c>
      <c r="DW39" s="122">
        <f t="shared" si="39"/>
        <v>0</v>
      </c>
      <c r="DZ39" s="122"/>
      <c r="EA39" s="122"/>
      <c r="EB39" s="157">
        <f t="shared" si="40"/>
        <v>54750000</v>
      </c>
      <c r="EC39" s="157">
        <f t="shared" si="41"/>
        <v>0</v>
      </c>
      <c r="ED39" s="122">
        <f t="shared" si="42"/>
        <v>4106.25</v>
      </c>
      <c r="EE39" s="123">
        <f t="shared" si="43"/>
        <v>2.6999999999999996E-2</v>
      </c>
      <c r="EG39" s="157">
        <f t="shared" si="44"/>
        <v>0</v>
      </c>
      <c r="EH39" s="122">
        <f t="shared" si="45"/>
        <v>0</v>
      </c>
      <c r="EI39" s="123">
        <f t="shared" si="46"/>
        <v>0</v>
      </c>
      <c r="EJ39" s="123"/>
      <c r="EK39" s="157">
        <f t="shared" si="47"/>
        <v>54750000</v>
      </c>
      <c r="EL39" s="157">
        <f t="shared" si="48"/>
        <v>0</v>
      </c>
      <c r="EM39" s="157">
        <f t="shared" si="49"/>
        <v>4106.25</v>
      </c>
      <c r="EN39" s="123">
        <f t="shared" si="50"/>
        <v>2.6999999999999996E-2</v>
      </c>
      <c r="EP39" s="122"/>
    </row>
    <row r="40" spans="1:146" x14ac:dyDescent="0.25">
      <c r="A40" s="66">
        <f t="shared" si="51"/>
        <v>43554</v>
      </c>
      <c r="D40" s="122">
        <f t="shared" si="0"/>
        <v>0</v>
      </c>
      <c r="G40" s="122">
        <f t="shared" si="1"/>
        <v>0</v>
      </c>
      <c r="J40" s="122">
        <f t="shared" si="2"/>
        <v>0</v>
      </c>
      <c r="M40" s="122">
        <f t="shared" si="3"/>
        <v>0</v>
      </c>
      <c r="P40" s="122">
        <f t="shared" si="4"/>
        <v>0</v>
      </c>
      <c r="S40" s="122">
        <f t="shared" si="5"/>
        <v>0</v>
      </c>
      <c r="V40" s="122">
        <f t="shared" si="6"/>
        <v>0</v>
      </c>
      <c r="Y40" s="122">
        <f t="shared" si="7"/>
        <v>0</v>
      </c>
      <c r="AB40" s="122">
        <f t="shared" si="8"/>
        <v>0</v>
      </c>
      <c r="AE40" s="122">
        <v>0</v>
      </c>
      <c r="AH40" s="122">
        <v>0</v>
      </c>
      <c r="AI40" s="155">
        <f>54750000</f>
        <v>54750000</v>
      </c>
      <c r="AJ40" s="156">
        <v>2.7E-2</v>
      </c>
      <c r="AK40" s="122">
        <f t="shared" si="9"/>
        <v>4106.25</v>
      </c>
      <c r="AL40" s="155"/>
      <c r="AM40" s="156"/>
      <c r="AN40" s="122">
        <f t="shared" si="10"/>
        <v>0</v>
      </c>
      <c r="AQ40" s="122">
        <f t="shared" si="11"/>
        <v>0</v>
      </c>
      <c r="AT40" s="122">
        <f t="shared" si="12"/>
        <v>0</v>
      </c>
      <c r="AW40" s="122">
        <f t="shared" si="13"/>
        <v>0</v>
      </c>
      <c r="AZ40" s="122">
        <f t="shared" si="14"/>
        <v>0</v>
      </c>
      <c r="BC40" s="122">
        <f t="shared" si="15"/>
        <v>0</v>
      </c>
      <c r="BF40" s="122">
        <f t="shared" si="16"/>
        <v>0</v>
      </c>
      <c r="BI40" s="122">
        <f t="shared" si="17"/>
        <v>0</v>
      </c>
      <c r="BL40" s="122">
        <f t="shared" si="18"/>
        <v>0</v>
      </c>
      <c r="BO40" s="122">
        <f t="shared" si="19"/>
        <v>0</v>
      </c>
      <c r="BR40" s="122">
        <f t="shared" si="20"/>
        <v>0</v>
      </c>
      <c r="BU40" s="122">
        <f t="shared" si="21"/>
        <v>0</v>
      </c>
      <c r="BX40" s="122">
        <f t="shared" si="22"/>
        <v>0</v>
      </c>
      <c r="CA40" s="122">
        <f t="shared" si="23"/>
        <v>0</v>
      </c>
      <c r="CD40" s="122">
        <f t="shared" si="24"/>
        <v>0</v>
      </c>
      <c r="CG40" s="122">
        <f t="shared" si="25"/>
        <v>0</v>
      </c>
      <c r="CJ40" s="122">
        <f t="shared" si="26"/>
        <v>0</v>
      </c>
      <c r="CM40" s="122">
        <f t="shared" si="27"/>
        <v>0</v>
      </c>
      <c r="CP40" s="122">
        <f t="shared" si="28"/>
        <v>0</v>
      </c>
      <c r="CS40" s="122">
        <f t="shared" si="29"/>
        <v>0</v>
      </c>
      <c r="CV40" s="122">
        <f t="shared" si="30"/>
        <v>0</v>
      </c>
      <c r="CY40" s="122">
        <f t="shared" si="31"/>
        <v>0</v>
      </c>
      <c r="DB40" s="122">
        <f t="shared" si="32"/>
        <v>0</v>
      </c>
      <c r="DE40" s="122">
        <f t="shared" si="33"/>
        <v>0</v>
      </c>
      <c r="DH40" s="122">
        <f t="shared" si="34"/>
        <v>0</v>
      </c>
      <c r="DK40" s="122">
        <f t="shared" si="35"/>
        <v>0</v>
      </c>
      <c r="DN40" s="122">
        <f t="shared" si="36"/>
        <v>0</v>
      </c>
      <c r="DQ40" s="122">
        <f t="shared" si="37"/>
        <v>0</v>
      </c>
      <c r="DT40" s="122">
        <f t="shared" si="38"/>
        <v>0</v>
      </c>
      <c r="DW40" s="122">
        <f t="shared" si="39"/>
        <v>0</v>
      </c>
      <c r="DZ40" s="120"/>
      <c r="EA40" s="122"/>
      <c r="EB40" s="157">
        <f t="shared" si="40"/>
        <v>54750000</v>
      </c>
      <c r="EC40" s="157">
        <f t="shared" si="41"/>
        <v>0</v>
      </c>
      <c r="ED40" s="122">
        <f t="shared" si="42"/>
        <v>4106.25</v>
      </c>
      <c r="EE40" s="123">
        <f t="shared" si="43"/>
        <v>2.6999999999999996E-2</v>
      </c>
      <c r="EG40" s="157">
        <f t="shared" si="44"/>
        <v>0</v>
      </c>
      <c r="EH40" s="122">
        <f t="shared" si="45"/>
        <v>0</v>
      </c>
      <c r="EI40" s="123">
        <f t="shared" si="46"/>
        <v>0</v>
      </c>
      <c r="EJ40" s="123"/>
      <c r="EK40" s="157">
        <f t="shared" si="47"/>
        <v>54750000</v>
      </c>
      <c r="EL40" s="157">
        <f t="shared" si="48"/>
        <v>0</v>
      </c>
      <c r="EM40" s="157">
        <f t="shared" si="49"/>
        <v>4106.25</v>
      </c>
      <c r="EN40" s="123">
        <f t="shared" si="50"/>
        <v>2.6999999999999996E-2</v>
      </c>
      <c r="EP40" s="122"/>
    </row>
    <row r="41" spans="1:146" x14ac:dyDescent="0.25">
      <c r="A41" s="66">
        <f t="shared" si="51"/>
        <v>43555</v>
      </c>
      <c r="D41" s="122">
        <f t="shared" si="0"/>
        <v>0</v>
      </c>
      <c r="G41" s="122">
        <f t="shared" si="1"/>
        <v>0</v>
      </c>
      <c r="J41" s="122">
        <f t="shared" si="2"/>
        <v>0</v>
      </c>
      <c r="M41" s="122">
        <f t="shared" si="3"/>
        <v>0</v>
      </c>
      <c r="P41" s="122">
        <f t="shared" si="4"/>
        <v>0</v>
      </c>
      <c r="S41" s="122">
        <f t="shared" si="5"/>
        <v>0</v>
      </c>
      <c r="V41" s="122">
        <f t="shared" si="6"/>
        <v>0</v>
      </c>
      <c r="Y41" s="122">
        <f t="shared" si="7"/>
        <v>0</v>
      </c>
      <c r="AB41" s="122">
        <f t="shared" si="8"/>
        <v>0</v>
      </c>
      <c r="AE41" s="122">
        <v>0</v>
      </c>
      <c r="AH41" s="122">
        <v>0</v>
      </c>
      <c r="AI41" s="155">
        <f>54750000</f>
        <v>54750000</v>
      </c>
      <c r="AJ41" s="156">
        <v>2.7E-2</v>
      </c>
      <c r="AK41" s="122">
        <f t="shared" si="9"/>
        <v>4106.25</v>
      </c>
      <c r="AL41" s="155"/>
      <c r="AM41" s="156"/>
      <c r="AN41" s="122">
        <f t="shared" si="10"/>
        <v>0</v>
      </c>
      <c r="AQ41" s="122">
        <f t="shared" si="11"/>
        <v>0</v>
      </c>
      <c r="AT41" s="122">
        <f t="shared" si="12"/>
        <v>0</v>
      </c>
      <c r="AW41" s="122">
        <f t="shared" si="13"/>
        <v>0</v>
      </c>
      <c r="AZ41" s="122">
        <f t="shared" si="14"/>
        <v>0</v>
      </c>
      <c r="BC41" s="122">
        <f t="shared" si="15"/>
        <v>0</v>
      </c>
      <c r="BF41" s="122">
        <f t="shared" si="16"/>
        <v>0</v>
      </c>
      <c r="BI41" s="122">
        <f t="shared" si="17"/>
        <v>0</v>
      </c>
      <c r="BL41" s="122">
        <f t="shared" si="18"/>
        <v>0</v>
      </c>
      <c r="BO41" s="122">
        <f t="shared" si="19"/>
        <v>0</v>
      </c>
      <c r="BR41" s="122">
        <f t="shared" si="20"/>
        <v>0</v>
      </c>
      <c r="BU41" s="122">
        <f t="shared" si="21"/>
        <v>0</v>
      </c>
      <c r="BX41" s="122">
        <f t="shared" si="22"/>
        <v>0</v>
      </c>
      <c r="CA41" s="122">
        <f t="shared" si="23"/>
        <v>0</v>
      </c>
      <c r="CD41" s="122">
        <f t="shared" si="24"/>
        <v>0</v>
      </c>
      <c r="CG41" s="122">
        <f t="shared" si="25"/>
        <v>0</v>
      </c>
      <c r="CJ41" s="122">
        <f t="shared" si="26"/>
        <v>0</v>
      </c>
      <c r="CM41" s="122">
        <f t="shared" si="27"/>
        <v>0</v>
      </c>
      <c r="CP41" s="122">
        <f t="shared" si="28"/>
        <v>0</v>
      </c>
      <c r="CS41" s="122">
        <f t="shared" si="29"/>
        <v>0</v>
      </c>
      <c r="CV41" s="122">
        <f t="shared" si="30"/>
        <v>0</v>
      </c>
      <c r="CY41" s="122">
        <f t="shared" si="31"/>
        <v>0</v>
      </c>
      <c r="DB41" s="122">
        <f t="shared" si="32"/>
        <v>0</v>
      </c>
      <c r="DE41" s="122">
        <f t="shared" si="33"/>
        <v>0</v>
      </c>
      <c r="DH41" s="122">
        <f t="shared" si="34"/>
        <v>0</v>
      </c>
      <c r="DK41" s="122">
        <f t="shared" si="35"/>
        <v>0</v>
      </c>
      <c r="DN41" s="122">
        <f t="shared" si="36"/>
        <v>0</v>
      </c>
      <c r="DQ41" s="122">
        <f t="shared" si="37"/>
        <v>0</v>
      </c>
      <c r="DT41" s="122">
        <f t="shared" si="38"/>
        <v>0</v>
      </c>
      <c r="DW41" s="122">
        <f t="shared" si="39"/>
        <v>0</v>
      </c>
      <c r="DZ41" s="120"/>
      <c r="EA41" s="122"/>
      <c r="EB41" s="157">
        <f t="shared" si="40"/>
        <v>54750000</v>
      </c>
      <c r="EC41" s="157">
        <f t="shared" si="41"/>
        <v>0</v>
      </c>
      <c r="ED41" s="122">
        <f t="shared" si="42"/>
        <v>4106.25</v>
      </c>
      <c r="EE41" s="123">
        <f t="shared" si="43"/>
        <v>2.6999999999999996E-2</v>
      </c>
      <c r="EG41" s="157">
        <f t="shared" si="44"/>
        <v>0</v>
      </c>
      <c r="EH41" s="122">
        <f t="shared" si="45"/>
        <v>0</v>
      </c>
      <c r="EI41" s="123">
        <f t="shared" si="46"/>
        <v>0</v>
      </c>
      <c r="EJ41" s="123"/>
      <c r="EK41" s="157">
        <f t="shared" si="47"/>
        <v>54750000</v>
      </c>
      <c r="EL41" s="157">
        <f t="shared" si="48"/>
        <v>0</v>
      </c>
      <c r="EM41" s="157">
        <f t="shared" si="49"/>
        <v>4106.25</v>
      </c>
      <c r="EN41" s="123">
        <f t="shared" si="50"/>
        <v>2.6999999999999996E-2</v>
      </c>
      <c r="EP41" s="122"/>
    </row>
    <row r="42" spans="1:146" x14ac:dyDescent="0.25">
      <c r="A42" s="158" t="s">
        <v>238</v>
      </c>
      <c r="D42" s="159">
        <f>SUM(D11:D41)</f>
        <v>0</v>
      </c>
      <c r="G42" s="159">
        <f>SUM(G11:G41)</f>
        <v>0</v>
      </c>
      <c r="J42" s="159">
        <f>SUM(J11:J41)</f>
        <v>0</v>
      </c>
      <c r="M42" s="159">
        <f>SUM(M11:M41)</f>
        <v>0</v>
      </c>
      <c r="P42" s="159">
        <f>SUM(P11:P41)</f>
        <v>0</v>
      </c>
      <c r="S42" s="159">
        <f>SUM(S11:S41)</f>
        <v>0</v>
      </c>
      <c r="V42" s="159">
        <f>SUM(V11:V41)</f>
        <v>0</v>
      </c>
      <c r="Y42" s="159">
        <f>SUM(Y11:Y41)</f>
        <v>0</v>
      </c>
      <c r="AB42" s="159">
        <f>SUM(AB11:AB41)</f>
        <v>0</v>
      </c>
      <c r="AE42" s="159">
        <f>SUM(AE11:AE41)</f>
        <v>0</v>
      </c>
      <c r="AH42" s="159">
        <f>SUM(AH11:AH41)</f>
        <v>0</v>
      </c>
      <c r="AK42" s="159">
        <f>SUM(AK11:AK41)</f>
        <v>106807.5</v>
      </c>
      <c r="AN42" s="159">
        <f>SUM(AN11:AN41)</f>
        <v>13611.111111111111</v>
      </c>
      <c r="AQ42" s="159">
        <f>SUM(AQ11:AQ41)</f>
        <v>11791.666666666668</v>
      </c>
      <c r="AT42" s="159">
        <f>SUM(AT11:AT41)</f>
        <v>148437.5</v>
      </c>
      <c r="AW42" s="159">
        <f>SUM(AW11:AW41)</f>
        <v>0</v>
      </c>
      <c r="AZ42" s="159">
        <f>SUM(AZ11:AZ41)</f>
        <v>0</v>
      </c>
      <c r="BC42" s="159">
        <f>SUM(BC11:BC41)</f>
        <v>0</v>
      </c>
      <c r="BF42" s="159">
        <f>SUM(BF11:BF41)</f>
        <v>0</v>
      </c>
      <c r="BI42" s="159">
        <f>SUM(BI11:BI41)</f>
        <v>0</v>
      </c>
      <c r="BL42" s="159">
        <f>SUM(BL11:BL41)</f>
        <v>0</v>
      </c>
      <c r="BO42" s="159">
        <f>SUM(BO11:BO41)</f>
        <v>0</v>
      </c>
      <c r="BR42" s="159">
        <f>SUM(BR11:BR41)</f>
        <v>0</v>
      </c>
      <c r="BU42" s="159">
        <f>SUM(BU11:BU41)</f>
        <v>0</v>
      </c>
      <c r="BX42" s="159">
        <f>SUM(BX11:BX41)</f>
        <v>0</v>
      </c>
      <c r="CA42" s="159">
        <f>SUM(CA11:CA41)</f>
        <v>0</v>
      </c>
      <c r="CD42" s="159">
        <f>SUM(CD11:CD41)</f>
        <v>0</v>
      </c>
      <c r="CG42" s="159">
        <f>SUM(CG11:CG41)</f>
        <v>0</v>
      </c>
      <c r="CJ42" s="159">
        <f>SUM(CJ11:CJ41)</f>
        <v>0</v>
      </c>
      <c r="CM42" s="159">
        <f>SUM(CM11:CM41)</f>
        <v>0</v>
      </c>
      <c r="CP42" s="159">
        <f>SUM(CP11:CP41)</f>
        <v>0</v>
      </c>
      <c r="CS42" s="159">
        <f>SUM(CS11:CS41)</f>
        <v>0</v>
      </c>
      <c r="CV42" s="159">
        <f>SUM(CV11:CV41)</f>
        <v>0</v>
      </c>
      <c r="CY42" s="159">
        <f>SUM(CY11:CY41)</f>
        <v>0</v>
      </c>
      <c r="DB42" s="159">
        <f>SUM(DB11:DB41)</f>
        <v>0</v>
      </c>
      <c r="DE42" s="159">
        <f>SUM(DE11:DE41)</f>
        <v>0</v>
      </c>
      <c r="DH42" s="159">
        <f>SUM(DH11:DH41)</f>
        <v>0</v>
      </c>
      <c r="DK42" s="159">
        <f>SUM(DK11:DK41)</f>
        <v>0</v>
      </c>
      <c r="DN42" s="159">
        <f>SUM(DN11:DN41)</f>
        <v>0</v>
      </c>
      <c r="DQ42" s="159">
        <f>SUM(DQ11:DQ41)</f>
        <v>0</v>
      </c>
      <c r="DT42" s="159">
        <f>SUM(DT11:DT41)</f>
        <v>0</v>
      </c>
      <c r="DW42" s="159">
        <f>SUM(DW11:DW41)</f>
        <v>0</v>
      </c>
      <c r="DZ42" s="120"/>
      <c r="EA42" s="120"/>
      <c r="EB42" s="122"/>
      <c r="EC42" s="122"/>
      <c r="ED42" s="159">
        <f>SUM(ED11:ED41)</f>
        <v>280647.77777777775</v>
      </c>
      <c r="EE42" s="123"/>
      <c r="EG42" s="122"/>
      <c r="EH42" s="159">
        <f>SUM(EH11:EH41)</f>
        <v>0</v>
      </c>
      <c r="EI42" s="123"/>
      <c r="EJ42" s="123"/>
      <c r="EK42" s="122"/>
      <c r="EL42" s="122"/>
      <c r="EM42" s="159">
        <f>SUM(EM11:EM41)</f>
        <v>280647.77777777775</v>
      </c>
      <c r="EN42" s="123"/>
      <c r="EP42" s="122"/>
    </row>
    <row r="44" spans="1:146" x14ac:dyDescent="0.25">
      <c r="EM44" s="160"/>
    </row>
    <row r="46" spans="1:146" x14ac:dyDescent="0.25">
      <c r="EM46" s="1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48"/>
  <sheetViews>
    <sheetView workbookViewId="0">
      <selection activeCell="C14" sqref="C14"/>
    </sheetView>
  </sheetViews>
  <sheetFormatPr defaultRowHeight="15" x14ac:dyDescent="0.25"/>
  <cols>
    <col min="1" max="1" width="14.5703125" bestFit="1" customWidth="1"/>
    <col min="2" max="2" width="15.5703125" style="122" bestFit="1" customWidth="1"/>
    <col min="3" max="3" width="15.42578125" style="123" bestFit="1" customWidth="1"/>
    <col min="4" max="4" width="15.42578125" bestFit="1" customWidth="1"/>
    <col min="5" max="5" width="15.5703125" style="122" bestFit="1" customWidth="1"/>
    <col min="6" max="6" width="12.28515625" style="123" bestFit="1" customWidth="1"/>
    <col min="7" max="7" width="15.42578125" bestFit="1" customWidth="1"/>
    <col min="8" max="8" width="15.42578125" style="122" hidden="1" customWidth="1"/>
    <col min="9" max="9" width="10.28515625" style="123" hidden="1" customWidth="1"/>
    <col min="10" max="10" width="13.42578125" hidden="1" customWidth="1"/>
    <col min="11" max="11" width="14.42578125" style="122" hidden="1" customWidth="1"/>
    <col min="12" max="12" width="10.28515625" style="123" hidden="1" customWidth="1"/>
    <col min="13" max="13" width="11.7109375" hidden="1" customWidth="1"/>
    <col min="14" max="14" width="14.42578125" style="122" hidden="1" customWidth="1"/>
    <col min="15" max="15" width="10.28515625" style="123" hidden="1" customWidth="1"/>
    <col min="16" max="16" width="11.7109375" hidden="1" customWidth="1"/>
    <col min="17" max="17" width="15.42578125" style="122" hidden="1" customWidth="1"/>
    <col min="18" max="18" width="10.28515625" style="123" hidden="1" customWidth="1"/>
    <col min="19" max="19" width="11.7109375" hidden="1" customWidth="1"/>
    <col min="20" max="20" width="15.42578125" style="122" hidden="1" customWidth="1"/>
    <col min="21" max="21" width="10.28515625" style="123" hidden="1" customWidth="1"/>
    <col min="22" max="22" width="11.7109375" hidden="1" customWidth="1"/>
    <col min="23" max="23" width="15.42578125" style="122" hidden="1" customWidth="1"/>
    <col min="24" max="24" width="10.28515625" style="123" hidden="1" customWidth="1"/>
    <col min="25" max="25" width="11.7109375" hidden="1" customWidth="1"/>
    <col min="26" max="26" width="15.42578125" style="122" hidden="1" customWidth="1"/>
    <col min="27" max="27" width="10.28515625" style="123" hidden="1" customWidth="1"/>
    <col min="28" max="28" width="11.7109375" hidden="1" customWidth="1"/>
    <col min="29" max="29" width="15.42578125" style="122" hidden="1" customWidth="1"/>
    <col min="30" max="30" width="10.28515625" style="123" hidden="1" customWidth="1"/>
    <col min="31" max="31" width="11.7109375" hidden="1" customWidth="1"/>
    <col min="32" max="32" width="14.42578125" style="122" hidden="1" customWidth="1"/>
    <col min="33" max="33" width="10.28515625" style="123" hidden="1" customWidth="1"/>
    <col min="34" max="34" width="10.7109375" hidden="1" customWidth="1"/>
    <col min="35" max="35" width="14.42578125" style="122" customWidth="1"/>
    <col min="36" max="36" width="10.28515625" style="123" customWidth="1"/>
    <col min="37" max="37" width="11.7109375" bestFit="1" customWidth="1"/>
    <col min="38" max="38" width="14.42578125" style="122" customWidth="1"/>
    <col min="39" max="39" width="10.28515625" style="123" customWidth="1"/>
    <col min="40" max="40" width="10.7109375" customWidth="1"/>
    <col min="41" max="41" width="15.42578125" style="122" bestFit="1" customWidth="1"/>
    <col min="42" max="42" width="12.28515625" style="123" bestFit="1" customWidth="1"/>
    <col min="43" max="43" width="11.7109375" bestFit="1" customWidth="1"/>
    <col min="44" max="44" width="15.42578125" style="122" bestFit="1" customWidth="1"/>
    <col min="45" max="45" width="10.28515625" style="123" bestFit="1" customWidth="1"/>
    <col min="46" max="46" width="11.7109375" bestFit="1" customWidth="1"/>
    <col min="47" max="47" width="14.42578125" style="122" customWidth="1"/>
    <col min="48" max="48" width="10.28515625" style="123" customWidth="1"/>
    <col min="49" max="49" width="10.7109375" customWidth="1"/>
    <col min="50" max="50" width="14.42578125" style="122" customWidth="1"/>
    <col min="51" max="51" width="10.28515625" style="123" customWidth="1"/>
    <col min="52" max="52" width="10.7109375" customWidth="1"/>
    <col min="53" max="53" width="14.42578125" style="122" customWidth="1"/>
    <col min="54" max="54" width="10.28515625" style="123" customWidth="1"/>
    <col min="55" max="55" width="10.7109375" customWidth="1"/>
    <col min="56" max="56" width="14.42578125" style="122" customWidth="1"/>
    <col min="57" max="57" width="10.28515625" style="123" customWidth="1"/>
    <col min="58" max="58" width="10.7109375" customWidth="1"/>
    <col min="59" max="59" width="14.42578125" style="122" customWidth="1"/>
    <col min="60" max="60" width="10.28515625" style="123" customWidth="1"/>
    <col min="61" max="61" width="10.7109375" customWidth="1"/>
    <col min="62" max="62" width="14.42578125" style="122" customWidth="1"/>
    <col min="63" max="63" width="10.28515625" style="123" customWidth="1"/>
    <col min="64" max="64" width="10.7109375" customWidth="1"/>
    <col min="65" max="65" width="14.42578125" style="122" hidden="1" customWidth="1"/>
    <col min="66" max="66" width="10.28515625" style="123" hidden="1" customWidth="1"/>
    <col min="67" max="67" width="10.7109375" hidden="1" customWidth="1"/>
    <col min="68" max="68" width="14.42578125" style="122" hidden="1" customWidth="1"/>
    <col min="69" max="69" width="10.28515625" style="123" hidden="1" customWidth="1"/>
    <col min="70" max="70" width="10.7109375" hidden="1" customWidth="1"/>
    <col min="71" max="71" width="14.42578125" style="122" hidden="1" customWidth="1"/>
    <col min="72" max="72" width="10.28515625" style="123" hidden="1" customWidth="1"/>
    <col min="73" max="73" width="10.7109375" hidden="1" customWidth="1"/>
    <col min="74" max="74" width="14.42578125" style="122" hidden="1" customWidth="1"/>
    <col min="75" max="75" width="10.28515625" style="123" hidden="1" customWidth="1"/>
    <col min="76" max="76" width="10.7109375" hidden="1" customWidth="1"/>
    <col min="77" max="77" width="14.42578125" style="122" hidden="1" customWidth="1"/>
    <col min="78" max="78" width="10.28515625" style="123" hidden="1" customWidth="1"/>
    <col min="79" max="79" width="10.7109375" hidden="1" customWidth="1"/>
    <col min="80" max="80" width="14.42578125" style="122" hidden="1" customWidth="1"/>
    <col min="81" max="81" width="10.28515625" style="123" hidden="1" customWidth="1"/>
    <col min="82" max="82" width="10.7109375" hidden="1" customWidth="1"/>
    <col min="83" max="83" width="14.42578125" style="122" hidden="1" customWidth="1"/>
    <col min="84" max="84" width="10.28515625" style="123" hidden="1" customWidth="1"/>
    <col min="85" max="85" width="10.7109375" hidden="1" customWidth="1"/>
    <col min="86" max="86" width="14.42578125" style="122" hidden="1" customWidth="1"/>
    <col min="87" max="87" width="10.28515625" style="123" hidden="1" customWidth="1"/>
    <col min="88" max="88" width="10.7109375" hidden="1" customWidth="1"/>
    <col min="89" max="89" width="14.42578125" style="122" hidden="1" customWidth="1"/>
    <col min="90" max="90" width="10.28515625" style="123" hidden="1" customWidth="1"/>
    <col min="91" max="91" width="10.7109375" hidden="1" customWidth="1"/>
    <col min="92" max="92" width="14.42578125" style="122" hidden="1" customWidth="1"/>
    <col min="93" max="93" width="10.28515625" style="123" hidden="1" customWidth="1"/>
    <col min="94" max="94" width="10.7109375" hidden="1" customWidth="1"/>
    <col min="95" max="95" width="14.42578125" style="122" hidden="1" customWidth="1"/>
    <col min="96" max="96" width="10.28515625" style="123" hidden="1" customWidth="1"/>
    <col min="97" max="97" width="10.7109375" hidden="1" customWidth="1"/>
    <col min="98" max="98" width="14.42578125" style="122" hidden="1" customWidth="1"/>
    <col min="99" max="99" width="10.28515625" style="123" hidden="1" customWidth="1"/>
    <col min="100" max="100" width="10.7109375" hidden="1" customWidth="1"/>
    <col min="101" max="101" width="14.42578125" style="122" hidden="1" customWidth="1"/>
    <col min="102" max="102" width="10.28515625" style="123" hidden="1" customWidth="1"/>
    <col min="103" max="103" width="10.7109375" hidden="1" customWidth="1"/>
    <col min="104" max="104" width="14.42578125" style="122" hidden="1" customWidth="1"/>
    <col min="105" max="105" width="10.28515625" style="123" hidden="1" customWidth="1"/>
    <col min="106" max="106" width="10.7109375" hidden="1" customWidth="1"/>
    <col min="107" max="107" width="14.42578125" style="122" hidden="1" customWidth="1"/>
    <col min="108" max="108" width="10.28515625" style="123" hidden="1" customWidth="1"/>
    <col min="109" max="109" width="10.7109375" hidden="1" customWidth="1"/>
    <col min="110" max="110" width="14.42578125" style="122" hidden="1" customWidth="1"/>
    <col min="111" max="111" width="10.28515625" style="123" hidden="1" customWidth="1"/>
    <col min="112" max="112" width="10.7109375" hidden="1" customWidth="1"/>
    <col min="113" max="113" width="14.42578125" style="122" hidden="1" customWidth="1"/>
    <col min="114" max="114" width="10.28515625" style="123" hidden="1" customWidth="1"/>
    <col min="115" max="115" width="10.7109375" hidden="1" customWidth="1"/>
    <col min="116" max="116" width="14.42578125" style="122" hidden="1" customWidth="1"/>
    <col min="117" max="117" width="10.28515625" style="123" hidden="1" customWidth="1"/>
    <col min="118" max="118" width="10.7109375" hidden="1" customWidth="1"/>
    <col min="119" max="119" width="14.42578125" style="122" hidden="1" customWidth="1"/>
    <col min="120" max="120" width="10.28515625" style="123" hidden="1" customWidth="1"/>
    <col min="121" max="121" width="10.7109375" hidden="1" customWidth="1"/>
    <col min="122" max="122" width="14.42578125" style="122" hidden="1" customWidth="1"/>
    <col min="123" max="123" width="10.28515625" style="123" hidden="1" customWidth="1"/>
    <col min="124" max="124" width="10.7109375" hidden="1" customWidth="1"/>
    <col min="125" max="125" width="14.42578125" style="122" hidden="1" customWidth="1"/>
    <col min="126" max="126" width="10.28515625" style="123" hidden="1" customWidth="1"/>
    <col min="127" max="127" width="10.7109375" hidden="1" customWidth="1"/>
    <col min="128" max="128" width="14.42578125" style="122" hidden="1" customWidth="1"/>
    <col min="129" max="129" width="10.28515625" style="123" hidden="1" customWidth="1"/>
    <col min="130" max="130" width="10.7109375" hidden="1" customWidth="1"/>
    <col min="131" max="131" width="2.7109375" hidden="1" customWidth="1"/>
    <col min="132" max="132" width="15.42578125" bestFit="1" customWidth="1"/>
    <col min="133" max="133" width="15.42578125" hidden="1" customWidth="1"/>
    <col min="134" max="134" width="14.42578125" bestFit="1" customWidth="1"/>
    <col min="135" max="135" width="17.7109375" bestFit="1" customWidth="1"/>
    <col min="136" max="136" width="2.7109375" customWidth="1"/>
    <col min="137" max="137" width="15.42578125" hidden="1" customWidth="1"/>
    <col min="138" max="138" width="14.42578125" hidden="1" customWidth="1"/>
    <col min="139" max="139" width="12.42578125" hidden="1" customWidth="1"/>
    <col min="140" max="140" width="2.7109375" hidden="1" customWidth="1"/>
    <col min="141" max="141" width="15.42578125" bestFit="1" customWidth="1"/>
    <col min="142" max="142" width="15.42578125" hidden="1" customWidth="1"/>
    <col min="143" max="144" width="14.42578125" bestFit="1" customWidth="1"/>
    <col min="145" max="145" width="42.85546875" bestFit="1" customWidth="1"/>
    <col min="146" max="146" width="18.140625" bestFit="1" customWidth="1"/>
    <col min="147" max="147" width="23.140625" bestFit="1" customWidth="1"/>
  </cols>
  <sheetData>
    <row r="1" spans="1:147" s="115" customFormat="1" ht="15.75" x14ac:dyDescent="0.25">
      <c r="A1" s="112" t="s">
        <v>0</v>
      </c>
      <c r="B1" s="113"/>
      <c r="C1" s="114"/>
      <c r="E1" s="113"/>
      <c r="F1" s="114"/>
      <c r="H1" s="113"/>
      <c r="I1" s="114"/>
      <c r="K1" s="113"/>
      <c r="L1" s="114"/>
      <c r="N1" s="113"/>
      <c r="O1" s="114"/>
      <c r="Q1" s="113"/>
      <c r="R1" s="114"/>
      <c r="T1" s="113"/>
      <c r="U1" s="114"/>
      <c r="W1" s="113"/>
      <c r="X1" s="114"/>
      <c r="Z1" s="113"/>
      <c r="AA1" s="114"/>
      <c r="AC1" s="113"/>
      <c r="AD1" s="114"/>
      <c r="AF1" s="113"/>
      <c r="AG1" s="114"/>
      <c r="AI1" s="113"/>
      <c r="AJ1" s="114"/>
      <c r="AL1" s="113"/>
      <c r="AM1" s="114"/>
      <c r="AO1" s="113"/>
      <c r="AP1" s="114"/>
      <c r="AR1" s="113"/>
      <c r="AS1" s="114"/>
      <c r="AU1" s="113"/>
      <c r="AV1" s="114"/>
      <c r="AX1" s="113"/>
      <c r="AY1" s="114"/>
      <c r="BA1" s="113"/>
      <c r="BB1" s="114"/>
      <c r="BD1" s="113"/>
      <c r="BE1" s="114"/>
      <c r="BG1" s="113"/>
      <c r="BH1" s="114"/>
      <c r="BJ1" s="113"/>
      <c r="BK1" s="114"/>
      <c r="BM1" s="113"/>
      <c r="BN1" s="114"/>
      <c r="BP1" s="113"/>
      <c r="BQ1" s="114"/>
      <c r="BS1" s="113"/>
      <c r="BT1" s="114"/>
      <c r="BV1" s="113"/>
      <c r="BW1" s="114"/>
      <c r="BY1" s="113"/>
      <c r="BZ1" s="114"/>
      <c r="CB1" s="113"/>
      <c r="CC1" s="114"/>
      <c r="CE1" s="113"/>
      <c r="CF1" s="114"/>
      <c r="CH1" s="113"/>
      <c r="CI1" s="114"/>
      <c r="CK1" s="113"/>
      <c r="CL1" s="114"/>
      <c r="CN1" s="113"/>
      <c r="CO1" s="114"/>
      <c r="CQ1" s="113"/>
      <c r="CR1" s="114"/>
      <c r="CT1" s="113"/>
      <c r="CU1" s="114"/>
      <c r="CW1" s="113"/>
      <c r="CX1" s="114"/>
      <c r="CZ1" s="113"/>
      <c r="DA1" s="114"/>
      <c r="DC1" s="113"/>
      <c r="DD1" s="114"/>
      <c r="DF1" s="113"/>
      <c r="DG1" s="114"/>
      <c r="DI1" s="113"/>
      <c r="DJ1" s="114"/>
      <c r="DL1" s="113"/>
      <c r="DM1" s="114"/>
      <c r="DO1" s="113"/>
      <c r="DP1" s="114"/>
      <c r="DR1" s="113"/>
      <c r="DS1" s="114"/>
      <c r="DU1" s="113"/>
      <c r="DV1" s="114"/>
      <c r="DX1" s="113"/>
      <c r="DY1" s="114"/>
      <c r="DZ1" s="116"/>
      <c r="ED1" s="117"/>
      <c r="EE1" s="118" t="s">
        <v>257</v>
      </c>
      <c r="EI1" s="117" t="s">
        <v>258</v>
      </c>
      <c r="EM1" s="117"/>
      <c r="EN1" s="117" t="s">
        <v>259</v>
      </c>
      <c r="EO1" s="112" t="s">
        <v>260</v>
      </c>
      <c r="EP1" s="112" t="s">
        <v>261</v>
      </c>
      <c r="EQ1" s="112" t="s">
        <v>262</v>
      </c>
    </row>
    <row r="2" spans="1:147" s="115" customFormat="1" ht="16.5" thickBot="1" x14ac:dyDescent="0.3">
      <c r="A2" s="112" t="s">
        <v>263</v>
      </c>
      <c r="B2" s="113"/>
      <c r="C2" s="114"/>
      <c r="E2" s="119"/>
      <c r="F2" s="114"/>
      <c r="G2" s="117"/>
      <c r="H2" s="113"/>
      <c r="I2" s="114"/>
      <c r="K2" s="113"/>
      <c r="L2" s="114"/>
      <c r="N2" s="113"/>
      <c r="O2" s="114"/>
      <c r="Q2" s="113"/>
      <c r="R2" s="114"/>
      <c r="T2" s="113"/>
      <c r="U2" s="114"/>
      <c r="W2" s="113"/>
      <c r="X2" s="114"/>
      <c r="Z2" s="113"/>
      <c r="AA2" s="114"/>
      <c r="AC2" s="113"/>
      <c r="AD2" s="114"/>
      <c r="AF2" s="113"/>
      <c r="AG2" s="114"/>
      <c r="AI2" s="113"/>
      <c r="AJ2" s="114"/>
      <c r="AL2" s="113"/>
      <c r="AM2" s="114"/>
      <c r="AO2" s="113"/>
      <c r="AP2" s="114"/>
      <c r="AR2" s="113"/>
      <c r="AS2" s="114"/>
      <c r="AU2" s="113"/>
      <c r="AV2" s="114"/>
      <c r="AX2" s="113"/>
      <c r="AY2" s="114"/>
      <c r="BA2" s="113"/>
      <c r="BB2" s="114"/>
      <c r="BD2" s="113"/>
      <c r="BE2" s="114"/>
      <c r="BG2" s="113"/>
      <c r="BH2" s="114"/>
      <c r="BJ2" s="113"/>
      <c r="BK2" s="114"/>
      <c r="BM2" s="113"/>
      <c r="BN2" s="114"/>
      <c r="BP2" s="113"/>
      <c r="BQ2" s="114"/>
      <c r="BS2" s="113"/>
      <c r="BT2" s="114"/>
      <c r="BV2" s="113"/>
      <c r="BW2" s="114"/>
      <c r="BY2" s="113"/>
      <c r="BZ2" s="114"/>
      <c r="CB2" s="113"/>
      <c r="CC2" s="114"/>
      <c r="CE2" s="113"/>
      <c r="CF2" s="114"/>
      <c r="CH2" s="113"/>
      <c r="CI2" s="114"/>
      <c r="CK2" s="113"/>
      <c r="CL2" s="114"/>
      <c r="CN2" s="113"/>
      <c r="CO2" s="114"/>
      <c r="CQ2" s="113"/>
      <c r="CR2" s="114"/>
      <c r="CT2" s="113"/>
      <c r="CU2" s="114"/>
      <c r="CW2" s="113"/>
      <c r="CX2" s="114"/>
      <c r="CZ2" s="113"/>
      <c r="DA2" s="114"/>
      <c r="DC2" s="113"/>
      <c r="DD2" s="114"/>
      <c r="DF2" s="113"/>
      <c r="DG2" s="114"/>
      <c r="DI2" s="113"/>
      <c r="DJ2" s="114"/>
      <c r="DL2" s="113"/>
      <c r="DM2" s="114"/>
      <c r="DO2" s="113"/>
      <c r="DP2" s="114"/>
      <c r="DR2" s="113"/>
      <c r="DS2" s="114"/>
      <c r="DU2" s="113"/>
      <c r="DV2" s="114"/>
      <c r="DX2" s="113"/>
      <c r="DY2" s="114"/>
      <c r="EB2" s="54" t="s">
        <v>264</v>
      </c>
      <c r="EC2" s="54"/>
      <c r="ED2" s="120"/>
      <c r="EE2" s="120">
        <f>EB40</f>
        <v>92325000</v>
      </c>
      <c r="EI2" s="120">
        <f>EG40</f>
        <v>0</v>
      </c>
      <c r="EM2" s="120"/>
      <c r="EN2" s="120">
        <f>EK40</f>
        <v>92325000</v>
      </c>
      <c r="EO2" s="113">
        <v>0</v>
      </c>
      <c r="EP2" s="113">
        <f>EN2+EO2</f>
        <v>92325000</v>
      </c>
      <c r="EQ2" s="113">
        <f>EE2+EO2</f>
        <v>92325000</v>
      </c>
    </row>
    <row r="3" spans="1:147" ht="16.5" thickTop="1" x14ac:dyDescent="0.25">
      <c r="A3" s="121" t="s">
        <v>333</v>
      </c>
      <c r="E3" s="124" t="s">
        <v>266</v>
      </c>
      <c r="F3" s="125"/>
      <c r="G3" s="126"/>
      <c r="EB3" s="54" t="s">
        <v>267</v>
      </c>
      <c r="EC3" s="54"/>
      <c r="ED3" s="120"/>
      <c r="EE3" s="120">
        <f>AVERAGE(EB11:EB40)</f>
        <v>73955000</v>
      </c>
      <c r="EI3" s="120">
        <f>AVERAGE(EG11:EG40)</f>
        <v>0</v>
      </c>
      <c r="EM3" s="120"/>
      <c r="EN3" s="120">
        <f>AVERAGE(EK11:EK40)</f>
        <v>73955000</v>
      </c>
    </row>
    <row r="4" spans="1:147" x14ac:dyDescent="0.25">
      <c r="D4" s="54"/>
      <c r="E4" s="130" t="s">
        <v>264</v>
      </c>
      <c r="F4" s="120"/>
      <c r="G4" s="131">
        <f>EQ2</f>
        <v>92325000</v>
      </c>
      <c r="AI4" s="132" t="s">
        <v>268</v>
      </c>
      <c r="EB4" s="54" t="s">
        <v>269</v>
      </c>
      <c r="EC4" s="54"/>
      <c r="ED4" s="128"/>
      <c r="EE4" s="128">
        <f>IF(EE3=0,0,360*(AVERAGE(ED11:ED40)/EE3))</f>
        <v>2.6622737926216396E-2</v>
      </c>
      <c r="EI4" s="128">
        <f>IF(EI3=0,0,360*(AVERAGE(EH11:EH40)/EI3))</f>
        <v>0</v>
      </c>
      <c r="EM4" s="128"/>
      <c r="EN4" s="128">
        <f>IF(EN3=0,0,360*(AVERAGE(EM11:EM40)/EN3))</f>
        <v>2.6622737926216396E-2</v>
      </c>
      <c r="EO4" s="133" t="s">
        <v>270</v>
      </c>
      <c r="EQ4" s="134" t="s">
        <v>268</v>
      </c>
    </row>
    <row r="5" spans="1:147" ht="15.75" x14ac:dyDescent="0.25">
      <c r="D5" s="54"/>
      <c r="E5" s="130" t="s">
        <v>267</v>
      </c>
      <c r="F5" s="120"/>
      <c r="G5" s="131">
        <f>EE3</f>
        <v>73955000</v>
      </c>
      <c r="AI5" s="135" t="s">
        <v>259</v>
      </c>
      <c r="EB5" s="136" t="s">
        <v>271</v>
      </c>
      <c r="EC5" s="136"/>
      <c r="ED5" s="120"/>
      <c r="EE5" s="120">
        <f>MAX(EB11:EB40)</f>
        <v>92325000</v>
      </c>
      <c r="EI5" s="120">
        <f>MAX(EG11:EG40)</f>
        <v>0</v>
      </c>
      <c r="EM5" s="120"/>
      <c r="EN5" s="120">
        <f>MAX(EK11:EK40)</f>
        <v>92325000</v>
      </c>
    </row>
    <row r="6" spans="1:147" x14ac:dyDescent="0.25">
      <c r="D6" s="54"/>
      <c r="E6" s="130" t="s">
        <v>269</v>
      </c>
      <c r="F6" s="120"/>
      <c r="G6" s="137">
        <f>EE4</f>
        <v>2.6622737926216396E-2</v>
      </c>
    </row>
    <row r="7" spans="1:147" ht="16.5" thickBot="1" x14ac:dyDescent="0.3">
      <c r="D7" s="54"/>
      <c r="E7" s="138" t="s">
        <v>271</v>
      </c>
      <c r="F7" s="139"/>
      <c r="G7" s="140">
        <f>EE5</f>
        <v>92325000</v>
      </c>
      <c r="AI7" s="135" t="s">
        <v>259</v>
      </c>
      <c r="EB7" s="141" t="s">
        <v>272</v>
      </c>
      <c r="EC7" s="141"/>
      <c r="ED7" s="142"/>
      <c r="EE7" s="142"/>
      <c r="EG7" s="141" t="s">
        <v>273</v>
      </c>
      <c r="EH7" s="142"/>
      <c r="EI7" s="142"/>
      <c r="EJ7" s="143"/>
      <c r="EK7" s="141" t="s">
        <v>274</v>
      </c>
      <c r="EL7" s="141"/>
      <c r="EM7" s="142"/>
      <c r="EN7" s="142"/>
    </row>
    <row r="8" spans="1:147" ht="15.75" thickTop="1" x14ac:dyDescent="0.25">
      <c r="AI8" s="144" t="s">
        <v>275</v>
      </c>
      <c r="AL8" s="144" t="s">
        <v>275</v>
      </c>
      <c r="AO8" s="144" t="s">
        <v>275</v>
      </c>
      <c r="AR8" s="144" t="s">
        <v>275</v>
      </c>
      <c r="AU8" s="144" t="s">
        <v>275</v>
      </c>
      <c r="AX8" s="144" t="s">
        <v>275</v>
      </c>
      <c r="BA8" s="144" t="s">
        <v>275</v>
      </c>
      <c r="BD8" s="144" t="s">
        <v>275</v>
      </c>
      <c r="BG8" s="144" t="s">
        <v>275</v>
      </c>
      <c r="BJ8" s="144" t="s">
        <v>275</v>
      </c>
      <c r="BM8" s="144" t="s">
        <v>275</v>
      </c>
      <c r="BP8" s="144" t="s">
        <v>275</v>
      </c>
      <c r="BS8" s="144" t="s">
        <v>275</v>
      </c>
      <c r="BV8" s="144" t="s">
        <v>275</v>
      </c>
      <c r="BY8" s="144" t="s">
        <v>275</v>
      </c>
      <c r="CB8" s="144" t="s">
        <v>275</v>
      </c>
      <c r="CE8" s="144" t="s">
        <v>275</v>
      </c>
      <c r="CH8" s="144" t="s">
        <v>275</v>
      </c>
      <c r="CK8" s="144" t="s">
        <v>275</v>
      </c>
      <c r="CN8" s="144" t="s">
        <v>275</v>
      </c>
      <c r="CQ8" s="144" t="s">
        <v>275</v>
      </c>
      <c r="CT8" s="144" t="s">
        <v>275</v>
      </c>
      <c r="CW8" s="144" t="s">
        <v>275</v>
      </c>
      <c r="CZ8" s="144" t="s">
        <v>275</v>
      </c>
      <c r="DC8" s="144" t="s">
        <v>275</v>
      </c>
      <c r="DF8" s="144" t="s">
        <v>275</v>
      </c>
      <c r="DI8" s="144" t="s">
        <v>275</v>
      </c>
      <c r="DL8" s="144" t="s">
        <v>275</v>
      </c>
      <c r="DO8" s="144" t="s">
        <v>275</v>
      </c>
      <c r="DR8" s="144" t="s">
        <v>275</v>
      </c>
      <c r="EB8" s="145"/>
      <c r="EC8" s="145"/>
      <c r="ED8" s="145"/>
      <c r="EE8" s="145" t="s">
        <v>276</v>
      </c>
      <c r="EG8" s="145"/>
      <c r="EH8" s="146" t="s">
        <v>258</v>
      </c>
      <c r="EI8" s="145" t="s">
        <v>276</v>
      </c>
      <c r="EJ8" s="145"/>
      <c r="EK8" s="134" t="s">
        <v>277</v>
      </c>
      <c r="EL8" s="134" t="s">
        <v>278</v>
      </c>
      <c r="EM8" s="146" t="s">
        <v>279</v>
      </c>
      <c r="EN8" s="145" t="s">
        <v>276</v>
      </c>
    </row>
    <row r="9" spans="1:147" x14ac:dyDescent="0.25">
      <c r="B9" s="147" t="s">
        <v>280</v>
      </c>
      <c r="C9" s="148"/>
      <c r="D9" s="142"/>
      <c r="E9" s="147" t="s">
        <v>281</v>
      </c>
      <c r="F9" s="148"/>
      <c r="G9" s="142"/>
      <c r="H9" s="147" t="s">
        <v>282</v>
      </c>
      <c r="I9" s="148"/>
      <c r="J9" s="142"/>
      <c r="K9" s="147" t="s">
        <v>283</v>
      </c>
      <c r="L9" s="148"/>
      <c r="M9" s="142"/>
      <c r="N9" s="147" t="s">
        <v>284</v>
      </c>
      <c r="O9" s="148"/>
      <c r="P9" s="142"/>
      <c r="Q9" s="147" t="s">
        <v>285</v>
      </c>
      <c r="R9" s="148"/>
      <c r="S9" s="142"/>
      <c r="T9" s="147" t="s">
        <v>286</v>
      </c>
      <c r="U9" s="148"/>
      <c r="V9" s="142"/>
      <c r="W9" s="147" t="s">
        <v>287</v>
      </c>
      <c r="X9" s="148"/>
      <c r="Y9" s="142"/>
      <c r="Z9" s="147" t="s">
        <v>288</v>
      </c>
      <c r="AA9" s="148"/>
      <c r="AB9" s="142"/>
      <c r="AC9" s="149" t="s">
        <v>289</v>
      </c>
      <c r="AD9" s="148"/>
      <c r="AE9" s="142"/>
      <c r="AF9" s="149" t="s">
        <v>290</v>
      </c>
      <c r="AG9" s="148"/>
      <c r="AH9" s="142"/>
      <c r="AI9" s="147" t="s">
        <v>291</v>
      </c>
      <c r="AJ9" s="148"/>
      <c r="AK9" s="142"/>
      <c r="AL9" s="147" t="s">
        <v>292</v>
      </c>
      <c r="AM9" s="148"/>
      <c r="AN9" s="142"/>
      <c r="AO9" s="147" t="s">
        <v>293</v>
      </c>
      <c r="AP9" s="148"/>
      <c r="AQ9" s="142"/>
      <c r="AR9" s="147" t="s">
        <v>294</v>
      </c>
      <c r="AS9" s="148"/>
      <c r="AT9" s="142"/>
      <c r="AU9" s="147" t="s">
        <v>295</v>
      </c>
      <c r="AV9" s="148"/>
      <c r="AW9" s="142"/>
      <c r="AX9" s="147" t="s">
        <v>296</v>
      </c>
      <c r="AY9" s="148"/>
      <c r="AZ9" s="142"/>
      <c r="BA9" s="147" t="s">
        <v>297</v>
      </c>
      <c r="BB9" s="148"/>
      <c r="BC9" s="142"/>
      <c r="BD9" s="147" t="s">
        <v>298</v>
      </c>
      <c r="BE9" s="148"/>
      <c r="BF9" s="142"/>
      <c r="BG9" s="147" t="s">
        <v>299</v>
      </c>
      <c r="BH9" s="148"/>
      <c r="BI9" s="142"/>
      <c r="BJ9" s="147" t="s">
        <v>300</v>
      </c>
      <c r="BK9" s="148"/>
      <c r="BL9" s="142"/>
      <c r="BM9" s="147" t="s">
        <v>301</v>
      </c>
      <c r="BN9" s="148"/>
      <c r="BO9" s="142"/>
      <c r="BP9" s="147" t="s">
        <v>302</v>
      </c>
      <c r="BQ9" s="148"/>
      <c r="BR9" s="142"/>
      <c r="BS9" s="147" t="s">
        <v>303</v>
      </c>
      <c r="BT9" s="148"/>
      <c r="BU9" s="142"/>
      <c r="BV9" s="147" t="s">
        <v>304</v>
      </c>
      <c r="BW9" s="148"/>
      <c r="BX9" s="142"/>
      <c r="BY9" s="147" t="s">
        <v>305</v>
      </c>
      <c r="BZ9" s="148"/>
      <c r="CA9" s="142"/>
      <c r="CB9" s="147" t="s">
        <v>306</v>
      </c>
      <c r="CC9" s="148"/>
      <c r="CD9" s="142"/>
      <c r="CE9" s="147" t="s">
        <v>307</v>
      </c>
      <c r="CF9" s="148"/>
      <c r="CG9" s="142"/>
      <c r="CH9" s="147" t="s">
        <v>308</v>
      </c>
      <c r="CI9" s="148"/>
      <c r="CJ9" s="142"/>
      <c r="CK9" s="147" t="s">
        <v>309</v>
      </c>
      <c r="CL9" s="148"/>
      <c r="CM9" s="142"/>
      <c r="CN9" s="147" t="s">
        <v>310</v>
      </c>
      <c r="CO9" s="148"/>
      <c r="CP9" s="142"/>
      <c r="CQ9" s="147" t="s">
        <v>311</v>
      </c>
      <c r="CR9" s="148"/>
      <c r="CS9" s="142"/>
      <c r="CT9" s="147" t="s">
        <v>312</v>
      </c>
      <c r="CU9" s="148"/>
      <c r="CV9" s="142"/>
      <c r="CW9" s="147" t="s">
        <v>313</v>
      </c>
      <c r="CX9" s="148"/>
      <c r="CY9" s="142"/>
      <c r="CZ9" s="147" t="s">
        <v>314</v>
      </c>
      <c r="DA9" s="148"/>
      <c r="DB9" s="142"/>
      <c r="DC9" s="147" t="s">
        <v>315</v>
      </c>
      <c r="DD9" s="148"/>
      <c r="DE9" s="142"/>
      <c r="DF9" s="147" t="s">
        <v>316</v>
      </c>
      <c r="DG9" s="148"/>
      <c r="DH9" s="142"/>
      <c r="DI9" s="147" t="s">
        <v>317</v>
      </c>
      <c r="DJ9" s="148"/>
      <c r="DK9" s="142"/>
      <c r="DL9" s="147" t="s">
        <v>318</v>
      </c>
      <c r="DM9" s="148"/>
      <c r="DN9" s="142"/>
      <c r="DO9" s="147" t="s">
        <v>319</v>
      </c>
      <c r="DP9" s="148"/>
      <c r="DQ9" s="142"/>
      <c r="DR9" s="147" t="s">
        <v>320</v>
      </c>
      <c r="DS9" s="148"/>
      <c r="DT9" s="142"/>
      <c r="DU9" s="147" t="s">
        <v>321</v>
      </c>
      <c r="DV9" s="148"/>
      <c r="DW9" s="142"/>
      <c r="DX9" s="150" t="s">
        <v>322</v>
      </c>
      <c r="DY9" s="148"/>
      <c r="DZ9" s="142"/>
      <c r="EA9" s="143"/>
      <c r="EB9" s="134" t="s">
        <v>323</v>
      </c>
      <c r="EC9" s="134" t="s">
        <v>324</v>
      </c>
      <c r="ED9" s="145" t="s">
        <v>325</v>
      </c>
      <c r="EE9" s="145" t="s">
        <v>326</v>
      </c>
      <c r="EG9" s="146" t="s">
        <v>327</v>
      </c>
      <c r="EH9" s="145" t="s">
        <v>325</v>
      </c>
      <c r="EI9" s="145" t="s">
        <v>326</v>
      </c>
      <c r="EJ9" s="145"/>
      <c r="EK9" s="146" t="s">
        <v>279</v>
      </c>
      <c r="EL9" s="146" t="s">
        <v>279</v>
      </c>
      <c r="EM9" s="145" t="s">
        <v>325</v>
      </c>
      <c r="EN9" s="145" t="s">
        <v>326</v>
      </c>
    </row>
    <row r="10" spans="1:147" x14ac:dyDescent="0.25">
      <c r="A10" s="145" t="s">
        <v>328</v>
      </c>
      <c r="B10" s="151" t="s">
        <v>329</v>
      </c>
      <c r="C10" s="152" t="s">
        <v>330</v>
      </c>
      <c r="D10" s="153" t="s">
        <v>25</v>
      </c>
      <c r="E10" s="151" t="s">
        <v>329</v>
      </c>
      <c r="F10" s="152" t="s">
        <v>330</v>
      </c>
      <c r="G10" s="153" t="s">
        <v>25</v>
      </c>
      <c r="H10" s="151" t="s">
        <v>329</v>
      </c>
      <c r="I10" s="152" t="s">
        <v>330</v>
      </c>
      <c r="J10" s="153" t="s">
        <v>25</v>
      </c>
      <c r="K10" s="151" t="s">
        <v>329</v>
      </c>
      <c r="L10" s="152" t="s">
        <v>330</v>
      </c>
      <c r="M10" s="153" t="s">
        <v>25</v>
      </c>
      <c r="N10" s="151" t="s">
        <v>329</v>
      </c>
      <c r="O10" s="152" t="s">
        <v>330</v>
      </c>
      <c r="P10" s="153" t="s">
        <v>25</v>
      </c>
      <c r="Q10" s="151" t="s">
        <v>329</v>
      </c>
      <c r="R10" s="152" t="s">
        <v>330</v>
      </c>
      <c r="S10" s="153" t="s">
        <v>25</v>
      </c>
      <c r="T10" s="151" t="s">
        <v>329</v>
      </c>
      <c r="U10" s="152" t="s">
        <v>330</v>
      </c>
      <c r="V10" s="153" t="s">
        <v>25</v>
      </c>
      <c r="W10" s="151" t="s">
        <v>329</v>
      </c>
      <c r="X10" s="152" t="s">
        <v>330</v>
      </c>
      <c r="Y10" s="153" t="s">
        <v>25</v>
      </c>
      <c r="Z10" s="151" t="s">
        <v>329</v>
      </c>
      <c r="AA10" s="152" t="s">
        <v>330</v>
      </c>
      <c r="AB10" s="153" t="s">
        <v>25</v>
      </c>
      <c r="AC10" s="151" t="s">
        <v>329</v>
      </c>
      <c r="AD10" s="152" t="s">
        <v>330</v>
      </c>
      <c r="AE10" s="153" t="s">
        <v>25</v>
      </c>
      <c r="AF10" s="151" t="s">
        <v>329</v>
      </c>
      <c r="AG10" s="152" t="s">
        <v>330</v>
      </c>
      <c r="AH10" s="153" t="s">
        <v>25</v>
      </c>
      <c r="AI10" s="151" t="s">
        <v>329</v>
      </c>
      <c r="AJ10" s="152" t="s">
        <v>330</v>
      </c>
      <c r="AK10" s="153" t="s">
        <v>25</v>
      </c>
      <c r="AL10" s="151" t="s">
        <v>329</v>
      </c>
      <c r="AM10" s="152" t="s">
        <v>330</v>
      </c>
      <c r="AN10" s="153" t="s">
        <v>25</v>
      </c>
      <c r="AO10" s="151" t="s">
        <v>329</v>
      </c>
      <c r="AP10" s="152" t="s">
        <v>330</v>
      </c>
      <c r="AQ10" s="153" t="s">
        <v>25</v>
      </c>
      <c r="AR10" s="151" t="s">
        <v>329</v>
      </c>
      <c r="AS10" s="152" t="s">
        <v>330</v>
      </c>
      <c r="AT10" s="153" t="s">
        <v>25</v>
      </c>
      <c r="AU10" s="151" t="s">
        <v>329</v>
      </c>
      <c r="AV10" s="152" t="s">
        <v>330</v>
      </c>
      <c r="AW10" s="153" t="s">
        <v>25</v>
      </c>
      <c r="AX10" s="151" t="s">
        <v>329</v>
      </c>
      <c r="AY10" s="152" t="s">
        <v>330</v>
      </c>
      <c r="AZ10" s="153" t="s">
        <v>25</v>
      </c>
      <c r="BA10" s="151" t="s">
        <v>329</v>
      </c>
      <c r="BB10" s="152" t="s">
        <v>330</v>
      </c>
      <c r="BC10" s="153" t="s">
        <v>25</v>
      </c>
      <c r="BD10" s="151" t="s">
        <v>329</v>
      </c>
      <c r="BE10" s="152" t="s">
        <v>330</v>
      </c>
      <c r="BF10" s="153" t="s">
        <v>25</v>
      </c>
      <c r="BG10" s="151" t="s">
        <v>329</v>
      </c>
      <c r="BH10" s="152" t="s">
        <v>330</v>
      </c>
      <c r="BI10" s="153" t="s">
        <v>25</v>
      </c>
      <c r="BJ10" s="151" t="s">
        <v>329</v>
      </c>
      <c r="BK10" s="152" t="s">
        <v>330</v>
      </c>
      <c r="BL10" s="153" t="s">
        <v>25</v>
      </c>
      <c r="BM10" s="151" t="s">
        <v>329</v>
      </c>
      <c r="BN10" s="152" t="s">
        <v>330</v>
      </c>
      <c r="BO10" s="153" t="s">
        <v>25</v>
      </c>
      <c r="BP10" s="151" t="s">
        <v>329</v>
      </c>
      <c r="BQ10" s="152" t="s">
        <v>330</v>
      </c>
      <c r="BR10" s="153" t="s">
        <v>25</v>
      </c>
      <c r="BS10" s="151" t="s">
        <v>329</v>
      </c>
      <c r="BT10" s="152" t="s">
        <v>330</v>
      </c>
      <c r="BU10" s="153" t="s">
        <v>25</v>
      </c>
      <c r="BV10" s="151" t="s">
        <v>329</v>
      </c>
      <c r="BW10" s="152" t="s">
        <v>330</v>
      </c>
      <c r="BX10" s="153" t="s">
        <v>25</v>
      </c>
      <c r="BY10" s="151" t="s">
        <v>329</v>
      </c>
      <c r="BZ10" s="152" t="s">
        <v>330</v>
      </c>
      <c r="CA10" s="153" t="s">
        <v>25</v>
      </c>
      <c r="CB10" s="151" t="s">
        <v>329</v>
      </c>
      <c r="CC10" s="152" t="s">
        <v>330</v>
      </c>
      <c r="CD10" s="153" t="s">
        <v>25</v>
      </c>
      <c r="CE10" s="151" t="s">
        <v>329</v>
      </c>
      <c r="CF10" s="152" t="s">
        <v>330</v>
      </c>
      <c r="CG10" s="153" t="s">
        <v>25</v>
      </c>
      <c r="CH10" s="151" t="s">
        <v>329</v>
      </c>
      <c r="CI10" s="152" t="s">
        <v>330</v>
      </c>
      <c r="CJ10" s="153" t="s">
        <v>25</v>
      </c>
      <c r="CK10" s="151" t="s">
        <v>329</v>
      </c>
      <c r="CL10" s="152" t="s">
        <v>330</v>
      </c>
      <c r="CM10" s="153" t="s">
        <v>25</v>
      </c>
      <c r="CN10" s="151" t="s">
        <v>329</v>
      </c>
      <c r="CO10" s="152" t="s">
        <v>330</v>
      </c>
      <c r="CP10" s="153" t="s">
        <v>25</v>
      </c>
      <c r="CQ10" s="151" t="s">
        <v>329</v>
      </c>
      <c r="CR10" s="152" t="s">
        <v>330</v>
      </c>
      <c r="CS10" s="153" t="s">
        <v>25</v>
      </c>
      <c r="CT10" s="151" t="s">
        <v>329</v>
      </c>
      <c r="CU10" s="152" t="s">
        <v>330</v>
      </c>
      <c r="CV10" s="153" t="s">
        <v>25</v>
      </c>
      <c r="CW10" s="151" t="s">
        <v>329</v>
      </c>
      <c r="CX10" s="152" t="s">
        <v>330</v>
      </c>
      <c r="CY10" s="153" t="s">
        <v>25</v>
      </c>
      <c r="CZ10" s="151" t="s">
        <v>329</v>
      </c>
      <c r="DA10" s="152" t="s">
        <v>330</v>
      </c>
      <c r="DB10" s="153" t="s">
        <v>25</v>
      </c>
      <c r="DC10" s="151" t="s">
        <v>329</v>
      </c>
      <c r="DD10" s="152" t="s">
        <v>330</v>
      </c>
      <c r="DE10" s="153" t="s">
        <v>25</v>
      </c>
      <c r="DF10" s="151" t="s">
        <v>329</v>
      </c>
      <c r="DG10" s="152" t="s">
        <v>330</v>
      </c>
      <c r="DH10" s="153" t="s">
        <v>25</v>
      </c>
      <c r="DI10" s="151" t="s">
        <v>329</v>
      </c>
      <c r="DJ10" s="152" t="s">
        <v>330</v>
      </c>
      <c r="DK10" s="153" t="s">
        <v>25</v>
      </c>
      <c r="DL10" s="151" t="s">
        <v>329</v>
      </c>
      <c r="DM10" s="152" t="s">
        <v>330</v>
      </c>
      <c r="DN10" s="153" t="s">
        <v>25</v>
      </c>
      <c r="DO10" s="151" t="s">
        <v>329</v>
      </c>
      <c r="DP10" s="152" t="s">
        <v>330</v>
      </c>
      <c r="DQ10" s="153" t="s">
        <v>25</v>
      </c>
      <c r="DR10" s="151" t="s">
        <v>329</v>
      </c>
      <c r="DS10" s="152" t="s">
        <v>330</v>
      </c>
      <c r="DT10" s="153" t="s">
        <v>25</v>
      </c>
      <c r="DU10" s="151" t="s">
        <v>329</v>
      </c>
      <c r="DV10" s="152" t="s">
        <v>330</v>
      </c>
      <c r="DW10" s="153" t="s">
        <v>25</v>
      </c>
      <c r="DX10" s="151" t="s">
        <v>329</v>
      </c>
      <c r="DY10" s="152"/>
      <c r="DZ10" s="153"/>
      <c r="EA10" s="153"/>
      <c r="EB10" s="153" t="s">
        <v>331</v>
      </c>
      <c r="EC10" s="153" t="s">
        <v>331</v>
      </c>
      <c r="ED10" s="153" t="s">
        <v>25</v>
      </c>
      <c r="EE10" s="154" t="s">
        <v>330</v>
      </c>
      <c r="EG10" s="153" t="s">
        <v>331</v>
      </c>
      <c r="EH10" s="153" t="s">
        <v>25</v>
      </c>
      <c r="EI10" s="154" t="s">
        <v>330</v>
      </c>
      <c r="EJ10" s="154"/>
      <c r="EK10" s="153" t="s">
        <v>331</v>
      </c>
      <c r="EL10" s="153" t="s">
        <v>331</v>
      </c>
      <c r="EM10" s="153" t="s">
        <v>25</v>
      </c>
      <c r="EN10" s="154" t="s">
        <v>330</v>
      </c>
    </row>
    <row r="11" spans="1:147" x14ac:dyDescent="0.25">
      <c r="A11" s="66">
        <v>43556</v>
      </c>
      <c r="D11" s="122">
        <f>(B11*C11)/360</f>
        <v>0</v>
      </c>
      <c r="G11" s="122">
        <f>(E11*F11)/360</f>
        <v>0</v>
      </c>
      <c r="J11" s="122">
        <f>(H11*I11)/360</f>
        <v>0</v>
      </c>
      <c r="M11" s="122">
        <f>(K11*L11)/360</f>
        <v>0</v>
      </c>
      <c r="P11" s="122">
        <f>(N11*O11)/360</f>
        <v>0</v>
      </c>
      <c r="S11" s="122">
        <f>(Q11*R11)/360</f>
        <v>0</v>
      </c>
      <c r="V11" s="122">
        <f>(T11*U11)/360</f>
        <v>0</v>
      </c>
      <c r="Y11" s="122">
        <f>(W11*X11)/360</f>
        <v>0</v>
      </c>
      <c r="AB11" s="122">
        <f>(Z11*AA11)/360</f>
        <v>0</v>
      </c>
      <c r="AE11" s="122">
        <v>0</v>
      </c>
      <c r="AH11" s="122">
        <v>0</v>
      </c>
      <c r="AI11" s="155">
        <f>82025000</f>
        <v>82025000</v>
      </c>
      <c r="AJ11" s="156">
        <v>2.7E-2</v>
      </c>
      <c r="AK11" s="122">
        <f>(AI11*AJ11)/360</f>
        <v>6151.875</v>
      </c>
      <c r="AN11" s="122">
        <f>(AL11*AM11)/360</f>
        <v>0</v>
      </c>
      <c r="AQ11" s="122">
        <f>(AO11*AP11)/360</f>
        <v>0</v>
      </c>
      <c r="AT11" s="122">
        <f>(AR11*AS11)/360</f>
        <v>0</v>
      </c>
      <c r="AW11" s="122">
        <f>(AU11*AV11)/360</f>
        <v>0</v>
      </c>
      <c r="AZ11" s="122">
        <f>(AX11*AY11)/360</f>
        <v>0</v>
      </c>
      <c r="BC11" s="122">
        <f>(BA11*BB11)/360</f>
        <v>0</v>
      </c>
      <c r="BF11" s="122">
        <f>(BD11*BE11)/360</f>
        <v>0</v>
      </c>
      <c r="BI11" s="122">
        <f>(BG11*BH11)/360</f>
        <v>0</v>
      </c>
      <c r="BL11" s="122">
        <f>(BJ11*BK11)/360</f>
        <v>0</v>
      </c>
      <c r="BO11" s="122">
        <f>(BM11*BN11)/360</f>
        <v>0</v>
      </c>
      <c r="BR11" s="122">
        <f>(BP11*BQ11)/360</f>
        <v>0</v>
      </c>
      <c r="BU11" s="122">
        <f>(BS11*BT11)/360</f>
        <v>0</v>
      </c>
      <c r="BX11" s="122">
        <f>(BV11*BW11)/360</f>
        <v>0</v>
      </c>
      <c r="CA11" s="122">
        <f>(BY11*BZ11)/360</f>
        <v>0</v>
      </c>
      <c r="CD11" s="122">
        <f>(CB11*CC11)/360</f>
        <v>0</v>
      </c>
      <c r="CG11" s="122">
        <f>(CE11*CF11)/360</f>
        <v>0</v>
      </c>
      <c r="CJ11" s="122">
        <f>(CH11*CI11)/360</f>
        <v>0</v>
      </c>
      <c r="CM11" s="122">
        <f>(CK11*CL11)/360</f>
        <v>0</v>
      </c>
      <c r="CP11" s="122">
        <f>(CN11*CO11)/360</f>
        <v>0</v>
      </c>
      <c r="CS11" s="122">
        <f>(CQ11*CR11)/360</f>
        <v>0</v>
      </c>
      <c r="CV11" s="122">
        <f>(CT11*CU11)/360</f>
        <v>0</v>
      </c>
      <c r="CY11" s="122">
        <f>(CW11*CX11)/360</f>
        <v>0</v>
      </c>
      <c r="DB11" s="122">
        <f>(CZ11*DA11)/360</f>
        <v>0</v>
      </c>
      <c r="DE11" s="122">
        <f>(DC11*DD11)/360</f>
        <v>0</v>
      </c>
      <c r="DH11" s="122">
        <f>(DF11*DG11)/360</f>
        <v>0</v>
      </c>
      <c r="DK11" s="122">
        <f>(DI11*DJ11)/360</f>
        <v>0</v>
      </c>
      <c r="DN11" s="122">
        <f>(DL11*DM11)/360</f>
        <v>0</v>
      </c>
      <c r="DQ11" s="122">
        <f>(DO11*DP11)/360</f>
        <v>0</v>
      </c>
      <c r="DT11" s="122">
        <f>(DR11*DS11)/360</f>
        <v>0</v>
      </c>
      <c r="DW11" s="122">
        <f>(DU11*DV11)/360</f>
        <v>0</v>
      </c>
      <c r="DZ11" s="122"/>
      <c r="EA11" s="122"/>
      <c r="EB11" s="157">
        <f>B11+E11+H11+K11+N11+Q11+T11+W11+Z11+AC11+AF11+AL11+AO11+AR11+AU11+AX11+BA11+BD11+BG11+DU11+AI11+DR11+DO11+DL11+DI11+DF11+DC11+CZ11+CW11+CT11+CQ11+CN11+CK11+CH11+CE11+CB11+BY11+BV11+BS11+BP11+BM11+BJ11</f>
        <v>82025000</v>
      </c>
      <c r="EC11" s="157">
        <f>EB11-EK11+EL11</f>
        <v>0</v>
      </c>
      <c r="ED11" s="122">
        <f>D11+G11+J11+M11+P11+S11+V11+Y11+AB11+AE11+AH11+AK11+AN11+AQ11+AT11+AW11+AZ11+BC11+BF11+BI11+DW11+DT11+DQ11+DN11+DK11+DH11+DE11+DB11+CY11+CV11+CS11+CP11+CM11+CJ11+CG11+CD11+CA11+BX11+BU11+BR11+BO11+BL11</f>
        <v>6151.875</v>
      </c>
      <c r="EE11" s="123">
        <f>IF(EB11&lt;&gt;0,((ED11/EB11)*360),0)</f>
        <v>2.6999999999999996E-2</v>
      </c>
      <c r="EG11" s="157">
        <f>Q11+T11+W11+Z11+AC11+AF11</f>
        <v>0</v>
      </c>
      <c r="EH11" s="122">
        <f>S11+V11+Y11+AB11+AE11+AH11</f>
        <v>0</v>
      </c>
      <c r="EI11" s="123">
        <f>IF(EG11&lt;&gt;0,((EH11/EG11)*360),0)</f>
        <v>0</v>
      </c>
      <c r="EJ11" s="123"/>
      <c r="EK11" s="157">
        <f>DR11+DL11+DI11+DF11+DC11+CZ11+CW11+CT11+CQ11+CN11+CK11+CH11+CE11+CB11+BY11+BV11+BS11+BP11+BM11+BJ11+BG11+BD11+BA11+AX11+AU11+AR11+AO11+AL11+AI11+DO11</f>
        <v>82025000</v>
      </c>
      <c r="EL11" s="157">
        <f>DX11</f>
        <v>0</v>
      </c>
      <c r="EM11" s="157">
        <f>DT11+DQ11+DN11+DK11+DH11+DE11+DB11+CY11+CV11+CS11+CP11+CM11+CJ11+CG11+CD11+CA11+BX11+BU11+BR11+BO11+BL11+BI11+BF11+BC11+AZ11+AW11+AT11+AQ11+AN11+AK11</f>
        <v>6151.875</v>
      </c>
      <c r="EN11" s="123">
        <f>IF(EK11&lt;&gt;0,((EM11/EK11)*360),0)</f>
        <v>2.6999999999999996E-2</v>
      </c>
    </row>
    <row r="12" spans="1:147" x14ac:dyDescent="0.25">
      <c r="A12" s="66">
        <f>1+A11</f>
        <v>43557</v>
      </c>
      <c r="D12" s="122">
        <f t="shared" ref="D12:D40" si="0">(B12*C12)/360</f>
        <v>0</v>
      </c>
      <c r="G12" s="122">
        <f t="shared" ref="G12:G40" si="1">(E12*F12)/360</f>
        <v>0</v>
      </c>
      <c r="J12" s="122">
        <f t="shared" ref="J12:J40" si="2">(H12*I12)/360</f>
        <v>0</v>
      </c>
      <c r="M12" s="122">
        <f t="shared" ref="M12:M40" si="3">(K12*L12)/360</f>
        <v>0</v>
      </c>
      <c r="P12" s="122">
        <f t="shared" ref="P12:P40" si="4">(N12*O12)/360</f>
        <v>0</v>
      </c>
      <c r="S12" s="122">
        <f t="shared" ref="S12:S40" si="5">(Q12*R12)/360</f>
        <v>0</v>
      </c>
      <c r="V12" s="122">
        <f t="shared" ref="V12:V40" si="6">(T12*U12)/360</f>
        <v>0</v>
      </c>
      <c r="Y12" s="122">
        <f t="shared" ref="Y12:Y40" si="7">(W12*X12)/360</f>
        <v>0</v>
      </c>
      <c r="AB12" s="122">
        <f t="shared" ref="AB12:AB40" si="8">(Z12*AA12)/360</f>
        <v>0</v>
      </c>
      <c r="AE12" s="122">
        <v>0</v>
      </c>
      <c r="AH12" s="122">
        <v>0</v>
      </c>
      <c r="AI12" s="155">
        <f>66700000</f>
        <v>66700000</v>
      </c>
      <c r="AJ12" s="156">
        <v>2.7E-2</v>
      </c>
      <c r="AK12" s="122">
        <f t="shared" ref="AK12:AK40" si="9">(AI12*AJ12)/360</f>
        <v>5002.5</v>
      </c>
      <c r="AN12" s="122">
        <f t="shared" ref="AN12:AN40" si="10">(AL12*AM12)/360</f>
        <v>0</v>
      </c>
      <c r="AQ12" s="122">
        <f t="shared" ref="AQ12:AQ40" si="11">(AO12*AP12)/360</f>
        <v>0</v>
      </c>
      <c r="AT12" s="122">
        <f t="shared" ref="AT12:AT40" si="12">(AR12*AS12)/360</f>
        <v>0</v>
      </c>
      <c r="AW12" s="122">
        <f t="shared" ref="AW12:AW40" si="13">(AU12*AV12)/360</f>
        <v>0</v>
      </c>
      <c r="AZ12" s="122">
        <f t="shared" ref="AZ12:AZ40" si="14">(AX12*AY12)/360</f>
        <v>0</v>
      </c>
      <c r="BC12" s="122">
        <f t="shared" ref="BC12:BC40" si="15">(BA12*BB12)/360</f>
        <v>0</v>
      </c>
      <c r="BF12" s="122">
        <f t="shared" ref="BF12:BF40" si="16">(BD12*BE12)/360</f>
        <v>0</v>
      </c>
      <c r="BI12" s="122">
        <f t="shared" ref="BI12:BI40" si="17">(BG12*BH12)/360</f>
        <v>0</v>
      </c>
      <c r="BL12" s="122">
        <f t="shared" ref="BL12:BL40" si="18">(BJ12*BK12)/360</f>
        <v>0</v>
      </c>
      <c r="BO12" s="122">
        <f t="shared" ref="BO12:BO40" si="19">(BM12*BN12)/360</f>
        <v>0</v>
      </c>
      <c r="BR12" s="122">
        <f t="shared" ref="BR12:BR40" si="20">(BP12*BQ12)/360</f>
        <v>0</v>
      </c>
      <c r="BU12" s="122">
        <f t="shared" ref="BU12:BU40" si="21">(BS12*BT12)/360</f>
        <v>0</v>
      </c>
      <c r="BX12" s="122">
        <f t="shared" ref="BX12:BX40" si="22">(BV12*BW12)/360</f>
        <v>0</v>
      </c>
      <c r="CA12" s="122">
        <f t="shared" ref="CA12:CA40" si="23">(BY12*BZ12)/360</f>
        <v>0</v>
      </c>
      <c r="CD12" s="122">
        <f t="shared" ref="CD12:CD40" si="24">(CB12*CC12)/360</f>
        <v>0</v>
      </c>
      <c r="CG12" s="122">
        <f t="shared" ref="CG12:CG40" si="25">(CE12*CF12)/360</f>
        <v>0</v>
      </c>
      <c r="CJ12" s="122">
        <f t="shared" ref="CJ12:CJ40" si="26">(CH12*CI12)/360</f>
        <v>0</v>
      </c>
      <c r="CM12" s="122">
        <f t="shared" ref="CM12:CM40" si="27">(CK12*CL12)/360</f>
        <v>0</v>
      </c>
      <c r="CP12" s="122">
        <f t="shared" ref="CP12:CP40" si="28">(CN12*CO12)/360</f>
        <v>0</v>
      </c>
      <c r="CS12" s="122">
        <f t="shared" ref="CS12:CS40" si="29">(CQ12*CR12)/360</f>
        <v>0</v>
      </c>
      <c r="CV12" s="122">
        <f t="shared" ref="CV12:CV40" si="30">(CT12*CU12)/360</f>
        <v>0</v>
      </c>
      <c r="CY12" s="122">
        <f t="shared" ref="CY12:CY40" si="31">(CW12*CX12)/360</f>
        <v>0</v>
      </c>
      <c r="DB12" s="122">
        <f t="shared" ref="DB12:DB40" si="32">(CZ12*DA12)/360</f>
        <v>0</v>
      </c>
      <c r="DE12" s="122">
        <f t="shared" ref="DE12:DE40" si="33">(DC12*DD12)/360</f>
        <v>0</v>
      </c>
      <c r="DH12" s="122">
        <f t="shared" ref="DH12:DH40" si="34">(DF12*DG12)/360</f>
        <v>0</v>
      </c>
      <c r="DK12" s="122">
        <f t="shared" ref="DK12:DK40" si="35">(DI12*DJ12)/360</f>
        <v>0</v>
      </c>
      <c r="DN12" s="122">
        <f t="shared" ref="DN12:DN40" si="36">(DL12*DM12)/360</f>
        <v>0</v>
      </c>
      <c r="DQ12" s="122">
        <f t="shared" ref="DQ12:DQ40" si="37">(DO12*DP12)/360</f>
        <v>0</v>
      </c>
      <c r="DT12" s="122">
        <f t="shared" ref="DT12:DT40" si="38">(DR12*DS12)/360</f>
        <v>0</v>
      </c>
      <c r="DW12" s="122">
        <f t="shared" ref="DW12:DW40" si="39">(DU12*DV12)/360</f>
        <v>0</v>
      </c>
      <c r="DZ12" s="122"/>
      <c r="EA12" s="122"/>
      <c r="EB12" s="157">
        <f t="shared" ref="EB12:EB40" si="40">B12+E12+H12+K12+N12+Q12+T12+W12+Z12+AC12+AF12+AL12+AO12+AR12+AU12+AX12+BA12+BD12+BG12+DU12+AI12+DR12+DO12+DL12+DI12+DF12+DC12+CZ12+CW12+CT12+CQ12+CN12+CK12+CH12+CE12+CB12+BY12+BV12+BS12+BP12+BM12+BJ12</f>
        <v>66700000</v>
      </c>
      <c r="EC12" s="157">
        <f t="shared" ref="EC12:EC40" si="41">EB12-EK12+EL12</f>
        <v>0</v>
      </c>
      <c r="ED12" s="122">
        <f t="shared" ref="ED12:ED40" si="42">D12+G12+J12+M12+P12+S12+V12+Y12+AB12+AE12+AH12+AK12+AN12+AQ12+AT12+AW12+AZ12+BC12+BF12+BI12+DW12+DT12+DQ12+DN12+DK12+DH12+DE12+DB12+CY12+CV12+CS12+CP12+CM12+CJ12+CG12+CD12+CA12+BX12+BU12+BR12+BO12+BL12</f>
        <v>5002.5</v>
      </c>
      <c r="EE12" s="123">
        <f t="shared" ref="EE12:EE40" si="43">IF(EB12&lt;&gt;0,((ED12/EB12)*360),0)</f>
        <v>2.6999999999999996E-2</v>
      </c>
      <c r="EG12" s="157">
        <f t="shared" ref="EG12:EG40" si="44">Q12+T12+W12+Z12+AC12+AF12</f>
        <v>0</v>
      </c>
      <c r="EH12" s="122">
        <f t="shared" ref="EH12:EH40" si="45">S12+V12+Y12+AB12+AE12+AH12</f>
        <v>0</v>
      </c>
      <c r="EI12" s="123">
        <f t="shared" ref="EI12:EI40" si="46">IF(EG12&lt;&gt;0,((EH12/EG12)*360),0)</f>
        <v>0</v>
      </c>
      <c r="EJ12" s="123"/>
      <c r="EK12" s="157">
        <f t="shared" ref="EK12:EK40" si="47">DR12+DL12+DI12+DF12+DC12+CZ12+CW12+CT12+CQ12+CN12+CK12+CH12+CE12+CB12+BY12+BV12+BS12+BP12+BM12+BJ12+BG12+BD12+BA12+AX12+AU12+AR12+AO12+AL12+AI12+DO12</f>
        <v>66700000</v>
      </c>
      <c r="EL12" s="157">
        <f t="shared" ref="EL12:EL40" si="48">DX12</f>
        <v>0</v>
      </c>
      <c r="EM12" s="157">
        <f t="shared" ref="EM12:EM40" si="49">DT12+DQ12+DN12+DK12+DH12+DE12+DB12+CY12+CV12+CS12+CP12+CM12+CJ12+CG12+CD12+CA12+BX12+BU12+BR12+BO12+BL12+BI12+BF12+BC12+AZ12+AW12+AT12+AQ12+AN12+AK12</f>
        <v>5002.5</v>
      </c>
      <c r="EN12" s="123">
        <f t="shared" ref="EN12:EN40" si="50">IF(EK12&lt;&gt;0,((EM12/EK12)*360),0)</f>
        <v>2.6999999999999996E-2</v>
      </c>
    </row>
    <row r="13" spans="1:147" x14ac:dyDescent="0.25">
      <c r="A13" s="66">
        <f t="shared" ref="A13:A40" si="51">1+A12</f>
        <v>43558</v>
      </c>
      <c r="D13" s="122">
        <f t="shared" si="0"/>
        <v>0</v>
      </c>
      <c r="G13" s="122">
        <f t="shared" si="1"/>
        <v>0</v>
      </c>
      <c r="J13" s="122">
        <f t="shared" si="2"/>
        <v>0</v>
      </c>
      <c r="M13" s="122">
        <f t="shared" si="3"/>
        <v>0</v>
      </c>
      <c r="P13" s="122">
        <f t="shared" si="4"/>
        <v>0</v>
      </c>
      <c r="S13" s="122">
        <f t="shared" si="5"/>
        <v>0</v>
      </c>
      <c r="V13" s="122">
        <f t="shared" si="6"/>
        <v>0</v>
      </c>
      <c r="Y13" s="122">
        <f t="shared" si="7"/>
        <v>0</v>
      </c>
      <c r="AB13" s="122">
        <f t="shared" si="8"/>
        <v>0</v>
      </c>
      <c r="AE13" s="122">
        <v>0</v>
      </c>
      <c r="AH13" s="122">
        <v>0</v>
      </c>
      <c r="AI13" s="155">
        <f>59775000</f>
        <v>59775000</v>
      </c>
      <c r="AJ13" s="156">
        <v>2.7E-2</v>
      </c>
      <c r="AK13" s="122">
        <f t="shared" si="9"/>
        <v>4483.125</v>
      </c>
      <c r="AN13" s="122">
        <f t="shared" si="10"/>
        <v>0</v>
      </c>
      <c r="AQ13" s="122">
        <f t="shared" si="11"/>
        <v>0</v>
      </c>
      <c r="AT13" s="122">
        <f t="shared" si="12"/>
        <v>0</v>
      </c>
      <c r="AW13" s="122">
        <f t="shared" si="13"/>
        <v>0</v>
      </c>
      <c r="AZ13" s="122">
        <f t="shared" si="14"/>
        <v>0</v>
      </c>
      <c r="BC13" s="122">
        <f t="shared" si="15"/>
        <v>0</v>
      </c>
      <c r="BF13" s="122">
        <f t="shared" si="16"/>
        <v>0</v>
      </c>
      <c r="BI13" s="122">
        <f t="shared" si="17"/>
        <v>0</v>
      </c>
      <c r="BL13" s="122">
        <f t="shared" si="18"/>
        <v>0</v>
      </c>
      <c r="BO13" s="122">
        <f t="shared" si="19"/>
        <v>0</v>
      </c>
      <c r="BR13" s="122">
        <f t="shared" si="20"/>
        <v>0</v>
      </c>
      <c r="BU13" s="122">
        <f t="shared" si="21"/>
        <v>0</v>
      </c>
      <c r="BX13" s="122">
        <f t="shared" si="22"/>
        <v>0</v>
      </c>
      <c r="CA13" s="122">
        <f t="shared" si="23"/>
        <v>0</v>
      </c>
      <c r="CD13" s="122">
        <f t="shared" si="24"/>
        <v>0</v>
      </c>
      <c r="CG13" s="122">
        <f t="shared" si="25"/>
        <v>0</v>
      </c>
      <c r="CJ13" s="122">
        <f t="shared" si="26"/>
        <v>0</v>
      </c>
      <c r="CM13" s="122">
        <f t="shared" si="27"/>
        <v>0</v>
      </c>
      <c r="CP13" s="122">
        <f t="shared" si="28"/>
        <v>0</v>
      </c>
      <c r="CS13" s="122">
        <f t="shared" si="29"/>
        <v>0</v>
      </c>
      <c r="CV13" s="122">
        <f t="shared" si="30"/>
        <v>0</v>
      </c>
      <c r="CY13" s="122">
        <f t="shared" si="31"/>
        <v>0</v>
      </c>
      <c r="DB13" s="122">
        <f t="shared" si="32"/>
        <v>0</v>
      </c>
      <c r="DE13" s="122">
        <f t="shared" si="33"/>
        <v>0</v>
      </c>
      <c r="DH13" s="122">
        <f t="shared" si="34"/>
        <v>0</v>
      </c>
      <c r="DK13" s="122">
        <f t="shared" si="35"/>
        <v>0</v>
      </c>
      <c r="DN13" s="122">
        <f t="shared" si="36"/>
        <v>0</v>
      </c>
      <c r="DQ13" s="122">
        <f t="shared" si="37"/>
        <v>0</v>
      </c>
      <c r="DT13" s="122">
        <f t="shared" si="38"/>
        <v>0</v>
      </c>
      <c r="DW13" s="122">
        <f t="shared" si="39"/>
        <v>0</v>
      </c>
      <c r="DZ13" s="122"/>
      <c r="EA13" s="122"/>
      <c r="EB13" s="157">
        <f t="shared" si="40"/>
        <v>59775000</v>
      </c>
      <c r="EC13" s="157">
        <f t="shared" si="41"/>
        <v>0</v>
      </c>
      <c r="ED13" s="122">
        <f t="shared" si="42"/>
        <v>4483.125</v>
      </c>
      <c r="EE13" s="123">
        <f t="shared" si="43"/>
        <v>2.6999999999999996E-2</v>
      </c>
      <c r="EG13" s="157">
        <f t="shared" si="44"/>
        <v>0</v>
      </c>
      <c r="EH13" s="122">
        <f t="shared" si="45"/>
        <v>0</v>
      </c>
      <c r="EI13" s="123">
        <f t="shared" si="46"/>
        <v>0</v>
      </c>
      <c r="EJ13" s="123"/>
      <c r="EK13" s="157">
        <f t="shared" si="47"/>
        <v>59775000</v>
      </c>
      <c r="EL13" s="157">
        <f t="shared" si="48"/>
        <v>0</v>
      </c>
      <c r="EM13" s="157">
        <f t="shared" si="49"/>
        <v>4483.125</v>
      </c>
      <c r="EN13" s="123">
        <f t="shared" si="50"/>
        <v>2.6999999999999996E-2</v>
      </c>
    </row>
    <row r="14" spans="1:147" x14ac:dyDescent="0.25">
      <c r="A14" s="66">
        <f t="shared" si="51"/>
        <v>43559</v>
      </c>
      <c r="D14" s="122">
        <f t="shared" si="0"/>
        <v>0</v>
      </c>
      <c r="G14" s="122">
        <f t="shared" si="1"/>
        <v>0</v>
      </c>
      <c r="J14" s="122">
        <f t="shared" si="2"/>
        <v>0</v>
      </c>
      <c r="M14" s="122">
        <f t="shared" si="3"/>
        <v>0</v>
      </c>
      <c r="P14" s="122">
        <f t="shared" si="4"/>
        <v>0</v>
      </c>
      <c r="S14" s="122">
        <f t="shared" si="5"/>
        <v>0</v>
      </c>
      <c r="V14" s="122">
        <f t="shared" si="6"/>
        <v>0</v>
      </c>
      <c r="Y14" s="122">
        <f t="shared" si="7"/>
        <v>0</v>
      </c>
      <c r="AB14" s="122">
        <f t="shared" si="8"/>
        <v>0</v>
      </c>
      <c r="AE14" s="122">
        <v>0</v>
      </c>
      <c r="AH14" s="122">
        <v>0</v>
      </c>
      <c r="AI14" s="155">
        <f>83225000</f>
        <v>83225000</v>
      </c>
      <c r="AJ14" s="156">
        <v>2.7E-2</v>
      </c>
      <c r="AK14" s="122">
        <f t="shared" si="9"/>
        <v>6241.875</v>
      </c>
      <c r="AN14" s="122">
        <f t="shared" si="10"/>
        <v>0</v>
      </c>
      <c r="AQ14" s="122">
        <f t="shared" si="11"/>
        <v>0</v>
      </c>
      <c r="AT14" s="122">
        <f t="shared" si="12"/>
        <v>0</v>
      </c>
      <c r="AW14" s="122">
        <f t="shared" si="13"/>
        <v>0</v>
      </c>
      <c r="AZ14" s="122">
        <f t="shared" si="14"/>
        <v>0</v>
      </c>
      <c r="BC14" s="122">
        <f t="shared" si="15"/>
        <v>0</v>
      </c>
      <c r="BF14" s="122">
        <f t="shared" si="16"/>
        <v>0</v>
      </c>
      <c r="BI14" s="122">
        <f t="shared" si="17"/>
        <v>0</v>
      </c>
      <c r="BL14" s="122">
        <f t="shared" si="18"/>
        <v>0</v>
      </c>
      <c r="BO14" s="122">
        <f t="shared" si="19"/>
        <v>0</v>
      </c>
      <c r="BR14" s="122">
        <f t="shared" si="20"/>
        <v>0</v>
      </c>
      <c r="BU14" s="122">
        <f t="shared" si="21"/>
        <v>0</v>
      </c>
      <c r="BX14" s="122">
        <f t="shared" si="22"/>
        <v>0</v>
      </c>
      <c r="CA14" s="122">
        <f t="shared" si="23"/>
        <v>0</v>
      </c>
      <c r="CD14" s="122">
        <f t="shared" si="24"/>
        <v>0</v>
      </c>
      <c r="CG14" s="122">
        <f t="shared" si="25"/>
        <v>0</v>
      </c>
      <c r="CJ14" s="122">
        <f t="shared" si="26"/>
        <v>0</v>
      </c>
      <c r="CM14" s="122">
        <f t="shared" si="27"/>
        <v>0</v>
      </c>
      <c r="CP14" s="122">
        <f t="shared" si="28"/>
        <v>0</v>
      </c>
      <c r="CS14" s="122">
        <f t="shared" si="29"/>
        <v>0</v>
      </c>
      <c r="CV14" s="122">
        <f t="shared" si="30"/>
        <v>0</v>
      </c>
      <c r="CY14" s="122">
        <f t="shared" si="31"/>
        <v>0</v>
      </c>
      <c r="DB14" s="122">
        <f t="shared" si="32"/>
        <v>0</v>
      </c>
      <c r="DE14" s="122">
        <f t="shared" si="33"/>
        <v>0</v>
      </c>
      <c r="DH14" s="122">
        <f t="shared" si="34"/>
        <v>0</v>
      </c>
      <c r="DK14" s="122">
        <f t="shared" si="35"/>
        <v>0</v>
      </c>
      <c r="DN14" s="122">
        <f t="shared" si="36"/>
        <v>0</v>
      </c>
      <c r="DQ14" s="122">
        <f t="shared" si="37"/>
        <v>0</v>
      </c>
      <c r="DT14" s="122">
        <f t="shared" si="38"/>
        <v>0</v>
      </c>
      <c r="DW14" s="122">
        <f t="shared" si="39"/>
        <v>0</v>
      </c>
      <c r="DZ14" s="122"/>
      <c r="EA14" s="122"/>
      <c r="EB14" s="157">
        <f t="shared" si="40"/>
        <v>83225000</v>
      </c>
      <c r="EC14" s="157">
        <f t="shared" si="41"/>
        <v>0</v>
      </c>
      <c r="ED14" s="122">
        <f t="shared" si="42"/>
        <v>6241.875</v>
      </c>
      <c r="EE14" s="123">
        <f t="shared" si="43"/>
        <v>2.6999999999999996E-2</v>
      </c>
      <c r="EG14" s="157">
        <f t="shared" si="44"/>
        <v>0</v>
      </c>
      <c r="EH14" s="122">
        <f t="shared" si="45"/>
        <v>0</v>
      </c>
      <c r="EI14" s="123">
        <f t="shared" si="46"/>
        <v>0</v>
      </c>
      <c r="EJ14" s="123"/>
      <c r="EK14" s="157">
        <f t="shared" si="47"/>
        <v>83225000</v>
      </c>
      <c r="EL14" s="157">
        <f t="shared" si="48"/>
        <v>0</v>
      </c>
      <c r="EM14" s="157">
        <f t="shared" si="49"/>
        <v>6241.875</v>
      </c>
      <c r="EN14" s="123">
        <f t="shared" si="50"/>
        <v>2.6999999999999996E-2</v>
      </c>
    </row>
    <row r="15" spans="1:147" x14ac:dyDescent="0.25">
      <c r="A15" s="66">
        <f t="shared" si="51"/>
        <v>43560</v>
      </c>
      <c r="D15" s="122">
        <f t="shared" si="0"/>
        <v>0</v>
      </c>
      <c r="G15" s="122">
        <f t="shared" si="1"/>
        <v>0</v>
      </c>
      <c r="J15" s="122">
        <f t="shared" si="2"/>
        <v>0</v>
      </c>
      <c r="M15" s="122">
        <f t="shared" si="3"/>
        <v>0</v>
      </c>
      <c r="P15" s="122">
        <f t="shared" si="4"/>
        <v>0</v>
      </c>
      <c r="S15" s="122">
        <f t="shared" si="5"/>
        <v>0</v>
      </c>
      <c r="V15" s="122">
        <f t="shared" si="6"/>
        <v>0</v>
      </c>
      <c r="Y15" s="122">
        <f t="shared" si="7"/>
        <v>0</v>
      </c>
      <c r="AB15" s="122">
        <f t="shared" si="8"/>
        <v>0</v>
      </c>
      <c r="AE15" s="122">
        <v>0</v>
      </c>
      <c r="AH15" s="122">
        <v>0</v>
      </c>
      <c r="AI15" s="155">
        <f>84300000</f>
        <v>84300000</v>
      </c>
      <c r="AJ15" s="156">
        <v>2.7E-2</v>
      </c>
      <c r="AK15" s="122">
        <f t="shared" si="9"/>
        <v>6322.5</v>
      </c>
      <c r="AN15" s="122">
        <f t="shared" si="10"/>
        <v>0</v>
      </c>
      <c r="AQ15" s="122">
        <f t="shared" si="11"/>
        <v>0</v>
      </c>
      <c r="AT15" s="122">
        <f t="shared" si="12"/>
        <v>0</v>
      </c>
      <c r="AW15" s="122">
        <f t="shared" si="13"/>
        <v>0</v>
      </c>
      <c r="AZ15" s="122">
        <f t="shared" si="14"/>
        <v>0</v>
      </c>
      <c r="BC15" s="122">
        <f t="shared" si="15"/>
        <v>0</v>
      </c>
      <c r="BF15" s="122">
        <f t="shared" si="16"/>
        <v>0</v>
      </c>
      <c r="BI15" s="122">
        <f t="shared" si="17"/>
        <v>0</v>
      </c>
      <c r="BL15" s="122">
        <f t="shared" si="18"/>
        <v>0</v>
      </c>
      <c r="BO15" s="122">
        <f t="shared" si="19"/>
        <v>0</v>
      </c>
      <c r="BR15" s="122">
        <f t="shared" si="20"/>
        <v>0</v>
      </c>
      <c r="BU15" s="122">
        <f t="shared" si="21"/>
        <v>0</v>
      </c>
      <c r="BX15" s="122">
        <f t="shared" si="22"/>
        <v>0</v>
      </c>
      <c r="CA15" s="122">
        <f t="shared" si="23"/>
        <v>0</v>
      </c>
      <c r="CD15" s="122">
        <f t="shared" si="24"/>
        <v>0</v>
      </c>
      <c r="CG15" s="122">
        <f t="shared" si="25"/>
        <v>0</v>
      </c>
      <c r="CJ15" s="122">
        <f t="shared" si="26"/>
        <v>0</v>
      </c>
      <c r="CM15" s="122">
        <f t="shared" si="27"/>
        <v>0</v>
      </c>
      <c r="CP15" s="122">
        <f t="shared" si="28"/>
        <v>0</v>
      </c>
      <c r="CS15" s="122">
        <f t="shared" si="29"/>
        <v>0</v>
      </c>
      <c r="CV15" s="122">
        <f t="shared" si="30"/>
        <v>0</v>
      </c>
      <c r="CY15" s="122">
        <f t="shared" si="31"/>
        <v>0</v>
      </c>
      <c r="DB15" s="122">
        <f t="shared" si="32"/>
        <v>0</v>
      </c>
      <c r="DE15" s="122">
        <f t="shared" si="33"/>
        <v>0</v>
      </c>
      <c r="DH15" s="122">
        <f t="shared" si="34"/>
        <v>0</v>
      </c>
      <c r="DK15" s="122">
        <f t="shared" si="35"/>
        <v>0</v>
      </c>
      <c r="DN15" s="122">
        <f t="shared" si="36"/>
        <v>0</v>
      </c>
      <c r="DQ15" s="122">
        <f t="shared" si="37"/>
        <v>0</v>
      </c>
      <c r="DT15" s="122">
        <f t="shared" si="38"/>
        <v>0</v>
      </c>
      <c r="DW15" s="122">
        <f t="shared" si="39"/>
        <v>0</v>
      </c>
      <c r="DZ15" s="122"/>
      <c r="EA15" s="122"/>
      <c r="EB15" s="157">
        <f t="shared" si="40"/>
        <v>84300000</v>
      </c>
      <c r="EC15" s="157">
        <f t="shared" si="41"/>
        <v>0</v>
      </c>
      <c r="ED15" s="122">
        <f t="shared" si="42"/>
        <v>6322.5</v>
      </c>
      <c r="EE15" s="123">
        <f t="shared" si="43"/>
        <v>2.6999999999999996E-2</v>
      </c>
      <c r="EG15" s="157">
        <f t="shared" si="44"/>
        <v>0</v>
      </c>
      <c r="EH15" s="122">
        <f t="shared" si="45"/>
        <v>0</v>
      </c>
      <c r="EI15" s="123">
        <f t="shared" si="46"/>
        <v>0</v>
      </c>
      <c r="EJ15" s="123"/>
      <c r="EK15" s="157">
        <f t="shared" si="47"/>
        <v>84300000</v>
      </c>
      <c r="EL15" s="157">
        <f t="shared" si="48"/>
        <v>0</v>
      </c>
      <c r="EM15" s="157">
        <f t="shared" si="49"/>
        <v>6322.5</v>
      </c>
      <c r="EN15" s="123">
        <f t="shared" si="50"/>
        <v>2.6999999999999996E-2</v>
      </c>
    </row>
    <row r="16" spans="1:147" x14ac:dyDescent="0.25">
      <c r="A16" s="66">
        <f t="shared" si="51"/>
        <v>43561</v>
      </c>
      <c r="D16" s="122">
        <f t="shared" si="0"/>
        <v>0</v>
      </c>
      <c r="G16" s="122">
        <f t="shared" si="1"/>
        <v>0</v>
      </c>
      <c r="J16" s="122">
        <f t="shared" si="2"/>
        <v>0</v>
      </c>
      <c r="M16" s="122">
        <f t="shared" si="3"/>
        <v>0</v>
      </c>
      <c r="P16" s="122">
        <f t="shared" si="4"/>
        <v>0</v>
      </c>
      <c r="S16" s="122">
        <f t="shared" si="5"/>
        <v>0</v>
      </c>
      <c r="V16" s="122">
        <f t="shared" si="6"/>
        <v>0</v>
      </c>
      <c r="Y16" s="122">
        <f t="shared" si="7"/>
        <v>0</v>
      </c>
      <c r="AB16" s="122">
        <f t="shared" si="8"/>
        <v>0</v>
      </c>
      <c r="AE16" s="122">
        <v>0</v>
      </c>
      <c r="AH16" s="122">
        <v>0</v>
      </c>
      <c r="AI16" s="155">
        <f>84300000</f>
        <v>84300000</v>
      </c>
      <c r="AJ16" s="156">
        <v>2.7E-2</v>
      </c>
      <c r="AK16" s="122">
        <f t="shared" si="9"/>
        <v>6322.5</v>
      </c>
      <c r="AN16" s="122">
        <f t="shared" si="10"/>
        <v>0</v>
      </c>
      <c r="AQ16" s="122">
        <f t="shared" si="11"/>
        <v>0</v>
      </c>
      <c r="AT16" s="122">
        <f t="shared" si="12"/>
        <v>0</v>
      </c>
      <c r="AW16" s="122">
        <f t="shared" si="13"/>
        <v>0</v>
      </c>
      <c r="AZ16" s="122">
        <f t="shared" si="14"/>
        <v>0</v>
      </c>
      <c r="BC16" s="122">
        <f t="shared" si="15"/>
        <v>0</v>
      </c>
      <c r="BF16" s="122">
        <f t="shared" si="16"/>
        <v>0</v>
      </c>
      <c r="BI16" s="122">
        <f t="shared" si="17"/>
        <v>0</v>
      </c>
      <c r="BL16" s="122">
        <f t="shared" si="18"/>
        <v>0</v>
      </c>
      <c r="BO16" s="122">
        <f t="shared" si="19"/>
        <v>0</v>
      </c>
      <c r="BR16" s="122">
        <f t="shared" si="20"/>
        <v>0</v>
      </c>
      <c r="BU16" s="122">
        <f t="shared" si="21"/>
        <v>0</v>
      </c>
      <c r="BX16" s="122">
        <f t="shared" si="22"/>
        <v>0</v>
      </c>
      <c r="CA16" s="122">
        <f t="shared" si="23"/>
        <v>0</v>
      </c>
      <c r="CD16" s="122">
        <f t="shared" si="24"/>
        <v>0</v>
      </c>
      <c r="CG16" s="122">
        <f t="shared" si="25"/>
        <v>0</v>
      </c>
      <c r="CJ16" s="122">
        <f t="shared" si="26"/>
        <v>0</v>
      </c>
      <c r="CM16" s="122">
        <f t="shared" si="27"/>
        <v>0</v>
      </c>
      <c r="CP16" s="122">
        <f t="shared" si="28"/>
        <v>0</v>
      </c>
      <c r="CS16" s="122">
        <f t="shared" si="29"/>
        <v>0</v>
      </c>
      <c r="CV16" s="122">
        <f t="shared" si="30"/>
        <v>0</v>
      </c>
      <c r="CY16" s="122">
        <f t="shared" si="31"/>
        <v>0</v>
      </c>
      <c r="DB16" s="122">
        <f t="shared" si="32"/>
        <v>0</v>
      </c>
      <c r="DE16" s="122">
        <f t="shared" si="33"/>
        <v>0</v>
      </c>
      <c r="DH16" s="122">
        <f t="shared" si="34"/>
        <v>0</v>
      </c>
      <c r="DK16" s="122">
        <f t="shared" si="35"/>
        <v>0</v>
      </c>
      <c r="DN16" s="122">
        <f t="shared" si="36"/>
        <v>0</v>
      </c>
      <c r="DQ16" s="122">
        <f t="shared" si="37"/>
        <v>0</v>
      </c>
      <c r="DT16" s="122">
        <f t="shared" si="38"/>
        <v>0</v>
      </c>
      <c r="DW16" s="122">
        <f t="shared" si="39"/>
        <v>0</v>
      </c>
      <c r="DZ16" s="122"/>
      <c r="EA16" s="122"/>
      <c r="EB16" s="157">
        <f t="shared" si="40"/>
        <v>84300000</v>
      </c>
      <c r="EC16" s="157">
        <f t="shared" si="41"/>
        <v>0</v>
      </c>
      <c r="ED16" s="122">
        <f t="shared" si="42"/>
        <v>6322.5</v>
      </c>
      <c r="EE16" s="123">
        <f t="shared" si="43"/>
        <v>2.6999999999999996E-2</v>
      </c>
      <c r="EG16" s="157">
        <f t="shared" si="44"/>
        <v>0</v>
      </c>
      <c r="EH16" s="122">
        <f t="shared" si="45"/>
        <v>0</v>
      </c>
      <c r="EI16" s="123">
        <f t="shared" si="46"/>
        <v>0</v>
      </c>
      <c r="EJ16" s="123"/>
      <c r="EK16" s="157">
        <f t="shared" si="47"/>
        <v>84300000</v>
      </c>
      <c r="EL16" s="157">
        <f t="shared" si="48"/>
        <v>0</v>
      </c>
      <c r="EM16" s="157">
        <f t="shared" si="49"/>
        <v>6322.5</v>
      </c>
      <c r="EN16" s="123">
        <f t="shared" si="50"/>
        <v>2.6999999999999996E-2</v>
      </c>
    </row>
    <row r="17" spans="1:144" x14ac:dyDescent="0.25">
      <c r="A17" s="66">
        <f t="shared" si="51"/>
        <v>43562</v>
      </c>
      <c r="D17" s="122">
        <f t="shared" si="0"/>
        <v>0</v>
      </c>
      <c r="G17" s="122">
        <f t="shared" si="1"/>
        <v>0</v>
      </c>
      <c r="J17" s="122">
        <f t="shared" si="2"/>
        <v>0</v>
      </c>
      <c r="M17" s="122">
        <f t="shared" si="3"/>
        <v>0</v>
      </c>
      <c r="P17" s="122">
        <f t="shared" si="4"/>
        <v>0</v>
      </c>
      <c r="S17" s="122">
        <f t="shared" si="5"/>
        <v>0</v>
      </c>
      <c r="V17" s="122">
        <f t="shared" si="6"/>
        <v>0</v>
      </c>
      <c r="Y17" s="122">
        <f t="shared" si="7"/>
        <v>0</v>
      </c>
      <c r="AB17" s="122">
        <f t="shared" si="8"/>
        <v>0</v>
      </c>
      <c r="AE17" s="122">
        <v>0</v>
      </c>
      <c r="AH17" s="122">
        <v>0</v>
      </c>
      <c r="AI17" s="155">
        <f>84300000</f>
        <v>84300000</v>
      </c>
      <c r="AJ17" s="156">
        <v>2.7E-2</v>
      </c>
      <c r="AK17" s="122">
        <f t="shared" si="9"/>
        <v>6322.5</v>
      </c>
      <c r="AN17" s="122">
        <f t="shared" si="10"/>
        <v>0</v>
      </c>
      <c r="AQ17" s="122">
        <f t="shared" si="11"/>
        <v>0</v>
      </c>
      <c r="AT17" s="122">
        <f t="shared" si="12"/>
        <v>0</v>
      </c>
      <c r="AW17" s="122">
        <f t="shared" si="13"/>
        <v>0</v>
      </c>
      <c r="AZ17" s="122">
        <f t="shared" si="14"/>
        <v>0</v>
      </c>
      <c r="BC17" s="122">
        <f t="shared" si="15"/>
        <v>0</v>
      </c>
      <c r="BF17" s="122">
        <f t="shared" si="16"/>
        <v>0</v>
      </c>
      <c r="BI17" s="122">
        <f t="shared" si="17"/>
        <v>0</v>
      </c>
      <c r="BL17" s="122">
        <f t="shared" si="18"/>
        <v>0</v>
      </c>
      <c r="BO17" s="122">
        <f t="shared" si="19"/>
        <v>0</v>
      </c>
      <c r="BR17" s="122">
        <f t="shared" si="20"/>
        <v>0</v>
      </c>
      <c r="BU17" s="122">
        <f t="shared" si="21"/>
        <v>0</v>
      </c>
      <c r="BX17" s="122">
        <f t="shared" si="22"/>
        <v>0</v>
      </c>
      <c r="CA17" s="122">
        <f t="shared" si="23"/>
        <v>0</v>
      </c>
      <c r="CD17" s="122">
        <f t="shared" si="24"/>
        <v>0</v>
      </c>
      <c r="CG17" s="122">
        <f t="shared" si="25"/>
        <v>0</v>
      </c>
      <c r="CJ17" s="122">
        <f t="shared" si="26"/>
        <v>0</v>
      </c>
      <c r="CM17" s="122">
        <f t="shared" si="27"/>
        <v>0</v>
      </c>
      <c r="CP17" s="122">
        <f t="shared" si="28"/>
        <v>0</v>
      </c>
      <c r="CS17" s="122">
        <f t="shared" si="29"/>
        <v>0</v>
      </c>
      <c r="CV17" s="122">
        <f t="shared" si="30"/>
        <v>0</v>
      </c>
      <c r="CY17" s="122">
        <f t="shared" si="31"/>
        <v>0</v>
      </c>
      <c r="DB17" s="122">
        <f t="shared" si="32"/>
        <v>0</v>
      </c>
      <c r="DE17" s="122">
        <f t="shared" si="33"/>
        <v>0</v>
      </c>
      <c r="DH17" s="122">
        <f t="shared" si="34"/>
        <v>0</v>
      </c>
      <c r="DK17" s="122">
        <f t="shared" si="35"/>
        <v>0</v>
      </c>
      <c r="DN17" s="122">
        <f t="shared" si="36"/>
        <v>0</v>
      </c>
      <c r="DQ17" s="122">
        <f t="shared" si="37"/>
        <v>0</v>
      </c>
      <c r="DT17" s="122">
        <f t="shared" si="38"/>
        <v>0</v>
      </c>
      <c r="DW17" s="122">
        <f t="shared" si="39"/>
        <v>0</v>
      </c>
      <c r="DZ17" s="122"/>
      <c r="EA17" s="122"/>
      <c r="EB17" s="157">
        <f t="shared" si="40"/>
        <v>84300000</v>
      </c>
      <c r="EC17" s="157">
        <f t="shared" si="41"/>
        <v>0</v>
      </c>
      <c r="ED17" s="122">
        <f t="shared" si="42"/>
        <v>6322.5</v>
      </c>
      <c r="EE17" s="123">
        <f t="shared" si="43"/>
        <v>2.6999999999999996E-2</v>
      </c>
      <c r="EG17" s="157">
        <f t="shared" si="44"/>
        <v>0</v>
      </c>
      <c r="EH17" s="122">
        <f t="shared" si="45"/>
        <v>0</v>
      </c>
      <c r="EI17" s="123">
        <f t="shared" si="46"/>
        <v>0</v>
      </c>
      <c r="EJ17" s="123"/>
      <c r="EK17" s="157">
        <f t="shared" si="47"/>
        <v>84300000</v>
      </c>
      <c r="EL17" s="157">
        <f t="shared" si="48"/>
        <v>0</v>
      </c>
      <c r="EM17" s="157">
        <f t="shared" si="49"/>
        <v>6322.5</v>
      </c>
      <c r="EN17" s="123">
        <f t="shared" si="50"/>
        <v>2.6999999999999996E-2</v>
      </c>
    </row>
    <row r="18" spans="1:144" x14ac:dyDescent="0.25">
      <c r="A18" s="66">
        <f t="shared" si="51"/>
        <v>43563</v>
      </c>
      <c r="D18" s="122">
        <f t="shared" si="0"/>
        <v>0</v>
      </c>
      <c r="G18" s="122">
        <f t="shared" si="1"/>
        <v>0</v>
      </c>
      <c r="J18" s="122">
        <f t="shared" si="2"/>
        <v>0</v>
      </c>
      <c r="M18" s="122">
        <f t="shared" si="3"/>
        <v>0</v>
      </c>
      <c r="P18" s="122">
        <f t="shared" si="4"/>
        <v>0</v>
      </c>
      <c r="S18" s="122">
        <f t="shared" si="5"/>
        <v>0</v>
      </c>
      <c r="V18" s="122">
        <f t="shared" si="6"/>
        <v>0</v>
      </c>
      <c r="Y18" s="122">
        <f t="shared" si="7"/>
        <v>0</v>
      </c>
      <c r="AB18" s="122">
        <f t="shared" si="8"/>
        <v>0</v>
      </c>
      <c r="AE18" s="122">
        <v>0</v>
      </c>
      <c r="AH18" s="122">
        <v>0</v>
      </c>
      <c r="AI18" s="155">
        <f>82575000</f>
        <v>82575000</v>
      </c>
      <c r="AJ18" s="156">
        <v>2.6499999999999999E-2</v>
      </c>
      <c r="AK18" s="122">
        <f t="shared" si="9"/>
        <v>6078.4375</v>
      </c>
      <c r="AN18" s="122">
        <f t="shared" si="10"/>
        <v>0</v>
      </c>
      <c r="AQ18" s="122">
        <f t="shared" si="11"/>
        <v>0</v>
      </c>
      <c r="AT18" s="122">
        <f t="shared" si="12"/>
        <v>0</v>
      </c>
      <c r="AW18" s="122">
        <f t="shared" si="13"/>
        <v>0</v>
      </c>
      <c r="AZ18" s="122">
        <f t="shared" si="14"/>
        <v>0</v>
      </c>
      <c r="BC18" s="122">
        <f t="shared" si="15"/>
        <v>0</v>
      </c>
      <c r="BF18" s="122">
        <f t="shared" si="16"/>
        <v>0</v>
      </c>
      <c r="BI18" s="122">
        <f t="shared" si="17"/>
        <v>0</v>
      </c>
      <c r="BL18" s="122">
        <f t="shared" si="18"/>
        <v>0</v>
      </c>
      <c r="BO18" s="122">
        <f t="shared" si="19"/>
        <v>0</v>
      </c>
      <c r="BR18" s="122">
        <f t="shared" si="20"/>
        <v>0</v>
      </c>
      <c r="BU18" s="122">
        <f t="shared" si="21"/>
        <v>0</v>
      </c>
      <c r="BX18" s="122">
        <f t="shared" si="22"/>
        <v>0</v>
      </c>
      <c r="CA18" s="122">
        <f t="shared" si="23"/>
        <v>0</v>
      </c>
      <c r="CD18" s="122">
        <f t="shared" si="24"/>
        <v>0</v>
      </c>
      <c r="CG18" s="122">
        <f t="shared" si="25"/>
        <v>0</v>
      </c>
      <c r="CJ18" s="122">
        <f t="shared" si="26"/>
        <v>0</v>
      </c>
      <c r="CM18" s="122">
        <f t="shared" si="27"/>
        <v>0</v>
      </c>
      <c r="CP18" s="122">
        <f t="shared" si="28"/>
        <v>0</v>
      </c>
      <c r="CS18" s="122">
        <f t="shared" si="29"/>
        <v>0</v>
      </c>
      <c r="CV18" s="122">
        <f t="shared" si="30"/>
        <v>0</v>
      </c>
      <c r="CY18" s="122">
        <f t="shared" si="31"/>
        <v>0</v>
      </c>
      <c r="DB18" s="122">
        <f t="shared" si="32"/>
        <v>0</v>
      </c>
      <c r="DE18" s="122">
        <f t="shared" si="33"/>
        <v>0</v>
      </c>
      <c r="DH18" s="122">
        <f t="shared" si="34"/>
        <v>0</v>
      </c>
      <c r="DK18" s="122">
        <f t="shared" si="35"/>
        <v>0</v>
      </c>
      <c r="DN18" s="122">
        <f t="shared" si="36"/>
        <v>0</v>
      </c>
      <c r="DQ18" s="122">
        <f t="shared" si="37"/>
        <v>0</v>
      </c>
      <c r="DT18" s="122">
        <f t="shared" si="38"/>
        <v>0</v>
      </c>
      <c r="DW18" s="122">
        <f t="shared" si="39"/>
        <v>0</v>
      </c>
      <c r="DZ18" s="122"/>
      <c r="EA18" s="122"/>
      <c r="EB18" s="157">
        <f t="shared" si="40"/>
        <v>82575000</v>
      </c>
      <c r="EC18" s="157">
        <f t="shared" si="41"/>
        <v>0</v>
      </c>
      <c r="ED18" s="122">
        <f t="shared" si="42"/>
        <v>6078.4375</v>
      </c>
      <c r="EE18" s="123">
        <f t="shared" si="43"/>
        <v>2.6499999999999999E-2</v>
      </c>
      <c r="EG18" s="157">
        <f t="shared" si="44"/>
        <v>0</v>
      </c>
      <c r="EH18" s="122">
        <f t="shared" si="45"/>
        <v>0</v>
      </c>
      <c r="EI18" s="123">
        <f t="shared" si="46"/>
        <v>0</v>
      </c>
      <c r="EJ18" s="123"/>
      <c r="EK18" s="157">
        <f t="shared" si="47"/>
        <v>82575000</v>
      </c>
      <c r="EL18" s="157">
        <f t="shared" si="48"/>
        <v>0</v>
      </c>
      <c r="EM18" s="157">
        <f t="shared" si="49"/>
        <v>6078.4375</v>
      </c>
      <c r="EN18" s="123">
        <f t="shared" si="50"/>
        <v>2.6499999999999999E-2</v>
      </c>
    </row>
    <row r="19" spans="1:144" x14ac:dyDescent="0.25">
      <c r="A19" s="66">
        <f t="shared" si="51"/>
        <v>43564</v>
      </c>
      <c r="D19" s="122">
        <f t="shared" si="0"/>
        <v>0</v>
      </c>
      <c r="G19" s="122">
        <f t="shared" si="1"/>
        <v>0</v>
      </c>
      <c r="J19" s="122">
        <f t="shared" si="2"/>
        <v>0</v>
      </c>
      <c r="M19" s="122">
        <f t="shared" si="3"/>
        <v>0</v>
      </c>
      <c r="P19" s="122">
        <f t="shared" si="4"/>
        <v>0</v>
      </c>
      <c r="S19" s="122">
        <f t="shared" si="5"/>
        <v>0</v>
      </c>
      <c r="V19" s="122">
        <f t="shared" si="6"/>
        <v>0</v>
      </c>
      <c r="Y19" s="122">
        <f t="shared" si="7"/>
        <v>0</v>
      </c>
      <c r="AB19" s="122">
        <f t="shared" si="8"/>
        <v>0</v>
      </c>
      <c r="AE19" s="122">
        <v>0</v>
      </c>
      <c r="AH19" s="122">
        <v>0</v>
      </c>
      <c r="AI19" s="155">
        <f>70700000</f>
        <v>70700000</v>
      </c>
      <c r="AJ19" s="156">
        <v>2.6499999999999999E-2</v>
      </c>
      <c r="AK19" s="122">
        <f t="shared" si="9"/>
        <v>5204.3055555555557</v>
      </c>
      <c r="AN19" s="122">
        <f t="shared" si="10"/>
        <v>0</v>
      </c>
      <c r="AQ19" s="122">
        <f t="shared" si="11"/>
        <v>0</v>
      </c>
      <c r="AT19" s="122">
        <f t="shared" si="12"/>
        <v>0</v>
      </c>
      <c r="AW19" s="122">
        <f t="shared" si="13"/>
        <v>0</v>
      </c>
      <c r="AZ19" s="122">
        <f t="shared" si="14"/>
        <v>0</v>
      </c>
      <c r="BC19" s="122">
        <f t="shared" si="15"/>
        <v>0</v>
      </c>
      <c r="BF19" s="122">
        <f t="shared" si="16"/>
        <v>0</v>
      </c>
      <c r="BI19" s="122">
        <f t="shared" si="17"/>
        <v>0</v>
      </c>
      <c r="BL19" s="122">
        <f t="shared" si="18"/>
        <v>0</v>
      </c>
      <c r="BO19" s="122">
        <f t="shared" si="19"/>
        <v>0</v>
      </c>
      <c r="BR19" s="122">
        <f t="shared" si="20"/>
        <v>0</v>
      </c>
      <c r="BU19" s="122">
        <f t="shared" si="21"/>
        <v>0</v>
      </c>
      <c r="BX19" s="122">
        <f t="shared" si="22"/>
        <v>0</v>
      </c>
      <c r="CA19" s="122">
        <f t="shared" si="23"/>
        <v>0</v>
      </c>
      <c r="CD19" s="122">
        <f t="shared" si="24"/>
        <v>0</v>
      </c>
      <c r="CG19" s="122">
        <f t="shared" si="25"/>
        <v>0</v>
      </c>
      <c r="CJ19" s="122">
        <f t="shared" si="26"/>
        <v>0</v>
      </c>
      <c r="CM19" s="122">
        <f t="shared" si="27"/>
        <v>0</v>
      </c>
      <c r="CP19" s="122">
        <f t="shared" si="28"/>
        <v>0</v>
      </c>
      <c r="CS19" s="122">
        <f t="shared" si="29"/>
        <v>0</v>
      </c>
      <c r="CV19" s="122">
        <f t="shared" si="30"/>
        <v>0</v>
      </c>
      <c r="CY19" s="122">
        <f t="shared" si="31"/>
        <v>0</v>
      </c>
      <c r="DB19" s="122">
        <f t="shared" si="32"/>
        <v>0</v>
      </c>
      <c r="DE19" s="122">
        <f t="shared" si="33"/>
        <v>0</v>
      </c>
      <c r="DH19" s="122">
        <f t="shared" si="34"/>
        <v>0</v>
      </c>
      <c r="DK19" s="122">
        <f t="shared" si="35"/>
        <v>0</v>
      </c>
      <c r="DN19" s="122">
        <f t="shared" si="36"/>
        <v>0</v>
      </c>
      <c r="DQ19" s="122">
        <f t="shared" si="37"/>
        <v>0</v>
      </c>
      <c r="DT19" s="122">
        <f t="shared" si="38"/>
        <v>0</v>
      </c>
      <c r="DW19" s="122">
        <f t="shared" si="39"/>
        <v>0</v>
      </c>
      <c r="DZ19" s="122"/>
      <c r="EA19" s="122"/>
      <c r="EB19" s="157">
        <f t="shared" si="40"/>
        <v>70700000</v>
      </c>
      <c r="EC19" s="157">
        <f t="shared" si="41"/>
        <v>0</v>
      </c>
      <c r="ED19" s="122">
        <f t="shared" si="42"/>
        <v>5204.3055555555557</v>
      </c>
      <c r="EE19" s="123">
        <f t="shared" si="43"/>
        <v>2.6499999999999999E-2</v>
      </c>
      <c r="EG19" s="157">
        <f t="shared" si="44"/>
        <v>0</v>
      </c>
      <c r="EH19" s="122">
        <f t="shared" si="45"/>
        <v>0</v>
      </c>
      <c r="EI19" s="123">
        <f t="shared" si="46"/>
        <v>0</v>
      </c>
      <c r="EJ19" s="123"/>
      <c r="EK19" s="157">
        <f t="shared" si="47"/>
        <v>70700000</v>
      </c>
      <c r="EL19" s="157">
        <f t="shared" si="48"/>
        <v>0</v>
      </c>
      <c r="EM19" s="157">
        <f t="shared" si="49"/>
        <v>5204.3055555555557</v>
      </c>
      <c r="EN19" s="123">
        <f t="shared" si="50"/>
        <v>2.6499999999999999E-2</v>
      </c>
    </row>
    <row r="20" spans="1:144" x14ac:dyDescent="0.25">
      <c r="A20" s="66">
        <f t="shared" si="51"/>
        <v>43565</v>
      </c>
      <c r="D20" s="122">
        <f t="shared" si="0"/>
        <v>0</v>
      </c>
      <c r="G20" s="122">
        <f t="shared" si="1"/>
        <v>0</v>
      </c>
      <c r="J20" s="122">
        <f t="shared" si="2"/>
        <v>0</v>
      </c>
      <c r="M20" s="122">
        <f t="shared" si="3"/>
        <v>0</v>
      </c>
      <c r="P20" s="122">
        <f t="shared" si="4"/>
        <v>0</v>
      </c>
      <c r="S20" s="122">
        <f t="shared" si="5"/>
        <v>0</v>
      </c>
      <c r="V20" s="122">
        <f t="shared" si="6"/>
        <v>0</v>
      </c>
      <c r="Y20" s="122">
        <f t="shared" si="7"/>
        <v>0</v>
      </c>
      <c r="AB20" s="122">
        <f t="shared" si="8"/>
        <v>0</v>
      </c>
      <c r="AE20" s="122">
        <v>0</v>
      </c>
      <c r="AH20" s="122">
        <v>0</v>
      </c>
      <c r="AI20" s="155">
        <f>61675000</f>
        <v>61675000</v>
      </c>
      <c r="AJ20" s="156">
        <v>2.6499999999999999E-2</v>
      </c>
      <c r="AK20" s="122">
        <f t="shared" si="9"/>
        <v>4539.9652777777774</v>
      </c>
      <c r="AN20" s="122">
        <f t="shared" si="10"/>
        <v>0</v>
      </c>
      <c r="AQ20" s="122">
        <f t="shared" si="11"/>
        <v>0</v>
      </c>
      <c r="AT20" s="122">
        <f t="shared" si="12"/>
        <v>0</v>
      </c>
      <c r="AW20" s="122">
        <f t="shared" si="13"/>
        <v>0</v>
      </c>
      <c r="AZ20" s="122">
        <f t="shared" si="14"/>
        <v>0</v>
      </c>
      <c r="BC20" s="122">
        <f t="shared" si="15"/>
        <v>0</v>
      </c>
      <c r="BF20" s="122">
        <f t="shared" si="16"/>
        <v>0</v>
      </c>
      <c r="BI20" s="122">
        <f t="shared" si="17"/>
        <v>0</v>
      </c>
      <c r="BL20" s="122">
        <f t="shared" si="18"/>
        <v>0</v>
      </c>
      <c r="BO20" s="122">
        <f t="shared" si="19"/>
        <v>0</v>
      </c>
      <c r="BR20" s="122">
        <f t="shared" si="20"/>
        <v>0</v>
      </c>
      <c r="BU20" s="122">
        <f t="shared" si="21"/>
        <v>0</v>
      </c>
      <c r="BX20" s="122">
        <f t="shared" si="22"/>
        <v>0</v>
      </c>
      <c r="CA20" s="122">
        <f t="shared" si="23"/>
        <v>0</v>
      </c>
      <c r="CD20" s="122">
        <f t="shared" si="24"/>
        <v>0</v>
      </c>
      <c r="CG20" s="122">
        <f t="shared" si="25"/>
        <v>0</v>
      </c>
      <c r="CJ20" s="122">
        <f t="shared" si="26"/>
        <v>0</v>
      </c>
      <c r="CM20" s="122">
        <f t="shared" si="27"/>
        <v>0</v>
      </c>
      <c r="CP20" s="122">
        <f t="shared" si="28"/>
        <v>0</v>
      </c>
      <c r="CS20" s="122">
        <f t="shared" si="29"/>
        <v>0</v>
      </c>
      <c r="CV20" s="122">
        <f t="shared" si="30"/>
        <v>0</v>
      </c>
      <c r="CY20" s="122">
        <f t="shared" si="31"/>
        <v>0</v>
      </c>
      <c r="DB20" s="122">
        <f t="shared" si="32"/>
        <v>0</v>
      </c>
      <c r="DE20" s="122">
        <f t="shared" si="33"/>
        <v>0</v>
      </c>
      <c r="DH20" s="122">
        <f t="shared" si="34"/>
        <v>0</v>
      </c>
      <c r="DK20" s="122">
        <f t="shared" si="35"/>
        <v>0</v>
      </c>
      <c r="DN20" s="122">
        <f t="shared" si="36"/>
        <v>0</v>
      </c>
      <c r="DQ20" s="122">
        <f t="shared" si="37"/>
        <v>0</v>
      </c>
      <c r="DT20" s="122">
        <f t="shared" si="38"/>
        <v>0</v>
      </c>
      <c r="DW20" s="122">
        <f t="shared" si="39"/>
        <v>0</v>
      </c>
      <c r="DZ20" s="122"/>
      <c r="EA20" s="122"/>
      <c r="EB20" s="157">
        <f t="shared" si="40"/>
        <v>61675000</v>
      </c>
      <c r="EC20" s="157">
        <f t="shared" si="41"/>
        <v>0</v>
      </c>
      <c r="ED20" s="122">
        <f t="shared" si="42"/>
        <v>4539.9652777777774</v>
      </c>
      <c r="EE20" s="123">
        <f t="shared" si="43"/>
        <v>2.6499999999999996E-2</v>
      </c>
      <c r="EG20" s="157">
        <f t="shared" si="44"/>
        <v>0</v>
      </c>
      <c r="EH20" s="122">
        <f t="shared" si="45"/>
        <v>0</v>
      </c>
      <c r="EI20" s="123">
        <f t="shared" si="46"/>
        <v>0</v>
      </c>
      <c r="EJ20" s="123"/>
      <c r="EK20" s="157">
        <f t="shared" si="47"/>
        <v>61675000</v>
      </c>
      <c r="EL20" s="157">
        <f t="shared" si="48"/>
        <v>0</v>
      </c>
      <c r="EM20" s="157">
        <f t="shared" si="49"/>
        <v>4539.9652777777774</v>
      </c>
      <c r="EN20" s="123">
        <f t="shared" si="50"/>
        <v>2.6499999999999996E-2</v>
      </c>
    </row>
    <row r="21" spans="1:144" x14ac:dyDescent="0.25">
      <c r="A21" s="66">
        <f t="shared" si="51"/>
        <v>43566</v>
      </c>
      <c r="D21" s="122">
        <f t="shared" si="0"/>
        <v>0</v>
      </c>
      <c r="G21" s="122">
        <f t="shared" si="1"/>
        <v>0</v>
      </c>
      <c r="J21" s="122">
        <f t="shared" si="2"/>
        <v>0</v>
      </c>
      <c r="M21" s="122">
        <f t="shared" si="3"/>
        <v>0</v>
      </c>
      <c r="P21" s="122">
        <f t="shared" si="4"/>
        <v>0</v>
      </c>
      <c r="S21" s="122">
        <f t="shared" si="5"/>
        <v>0</v>
      </c>
      <c r="V21" s="122">
        <f t="shared" si="6"/>
        <v>0</v>
      </c>
      <c r="Y21" s="122">
        <f t="shared" si="7"/>
        <v>0</v>
      </c>
      <c r="AB21" s="122">
        <f t="shared" si="8"/>
        <v>0</v>
      </c>
      <c r="AE21" s="122">
        <v>0</v>
      </c>
      <c r="AH21" s="122">
        <v>0</v>
      </c>
      <c r="AI21" s="155">
        <f>53250000</f>
        <v>53250000</v>
      </c>
      <c r="AJ21" s="156">
        <v>2.6499999999999999E-2</v>
      </c>
      <c r="AK21" s="122">
        <f t="shared" si="9"/>
        <v>3919.7916666666665</v>
      </c>
      <c r="AN21" s="122">
        <f t="shared" si="10"/>
        <v>0</v>
      </c>
      <c r="AQ21" s="122">
        <f t="shared" si="11"/>
        <v>0</v>
      </c>
      <c r="AT21" s="122">
        <f t="shared" si="12"/>
        <v>0</v>
      </c>
      <c r="AW21" s="122">
        <f t="shared" si="13"/>
        <v>0</v>
      </c>
      <c r="AZ21" s="122">
        <f t="shared" si="14"/>
        <v>0</v>
      </c>
      <c r="BC21" s="122">
        <f t="shared" si="15"/>
        <v>0</v>
      </c>
      <c r="BF21" s="122">
        <f t="shared" si="16"/>
        <v>0</v>
      </c>
      <c r="BI21" s="122">
        <f t="shared" si="17"/>
        <v>0</v>
      </c>
      <c r="BL21" s="122">
        <f t="shared" si="18"/>
        <v>0</v>
      </c>
      <c r="BO21" s="122">
        <f t="shared" si="19"/>
        <v>0</v>
      </c>
      <c r="BR21" s="122">
        <f t="shared" si="20"/>
        <v>0</v>
      </c>
      <c r="BU21" s="122">
        <f t="shared" si="21"/>
        <v>0</v>
      </c>
      <c r="BX21" s="122">
        <f t="shared" si="22"/>
        <v>0</v>
      </c>
      <c r="CA21" s="122">
        <f t="shared" si="23"/>
        <v>0</v>
      </c>
      <c r="CD21" s="122">
        <f t="shared" si="24"/>
        <v>0</v>
      </c>
      <c r="CG21" s="122">
        <f t="shared" si="25"/>
        <v>0</v>
      </c>
      <c r="CJ21" s="122">
        <f t="shared" si="26"/>
        <v>0</v>
      </c>
      <c r="CM21" s="122">
        <f t="shared" si="27"/>
        <v>0</v>
      </c>
      <c r="CP21" s="122">
        <f t="shared" si="28"/>
        <v>0</v>
      </c>
      <c r="CS21" s="122">
        <f t="shared" si="29"/>
        <v>0</v>
      </c>
      <c r="CV21" s="122">
        <f t="shared" si="30"/>
        <v>0</v>
      </c>
      <c r="CY21" s="122">
        <f t="shared" si="31"/>
        <v>0</v>
      </c>
      <c r="DB21" s="122">
        <f t="shared" si="32"/>
        <v>0</v>
      </c>
      <c r="DE21" s="122">
        <f t="shared" si="33"/>
        <v>0</v>
      </c>
      <c r="DH21" s="122">
        <f t="shared" si="34"/>
        <v>0</v>
      </c>
      <c r="DK21" s="122">
        <f t="shared" si="35"/>
        <v>0</v>
      </c>
      <c r="DN21" s="122">
        <f t="shared" si="36"/>
        <v>0</v>
      </c>
      <c r="DQ21" s="122">
        <f t="shared" si="37"/>
        <v>0</v>
      </c>
      <c r="DT21" s="122">
        <f t="shared" si="38"/>
        <v>0</v>
      </c>
      <c r="DW21" s="122">
        <f t="shared" si="39"/>
        <v>0</v>
      </c>
      <c r="DZ21" s="122"/>
      <c r="EA21" s="122"/>
      <c r="EB21" s="157">
        <f t="shared" si="40"/>
        <v>53250000</v>
      </c>
      <c r="EC21" s="157">
        <f t="shared" si="41"/>
        <v>0</v>
      </c>
      <c r="ED21" s="122">
        <f t="shared" si="42"/>
        <v>3919.7916666666665</v>
      </c>
      <c r="EE21" s="123">
        <f t="shared" si="43"/>
        <v>2.6499999999999999E-2</v>
      </c>
      <c r="EG21" s="157">
        <f t="shared" si="44"/>
        <v>0</v>
      </c>
      <c r="EH21" s="122">
        <f t="shared" si="45"/>
        <v>0</v>
      </c>
      <c r="EI21" s="123">
        <f t="shared" si="46"/>
        <v>0</v>
      </c>
      <c r="EJ21" s="123"/>
      <c r="EK21" s="157">
        <f t="shared" si="47"/>
        <v>53250000</v>
      </c>
      <c r="EL21" s="157">
        <f t="shared" si="48"/>
        <v>0</v>
      </c>
      <c r="EM21" s="157">
        <f t="shared" si="49"/>
        <v>3919.7916666666665</v>
      </c>
      <c r="EN21" s="123">
        <f t="shared" si="50"/>
        <v>2.6499999999999999E-2</v>
      </c>
    </row>
    <row r="22" spans="1:144" x14ac:dyDescent="0.25">
      <c r="A22" s="66">
        <f t="shared" si="51"/>
        <v>43567</v>
      </c>
      <c r="D22" s="122">
        <f t="shared" si="0"/>
        <v>0</v>
      </c>
      <c r="G22" s="122">
        <f t="shared" si="1"/>
        <v>0</v>
      </c>
      <c r="J22" s="122">
        <f t="shared" si="2"/>
        <v>0</v>
      </c>
      <c r="M22" s="122">
        <f t="shared" si="3"/>
        <v>0</v>
      </c>
      <c r="P22" s="122">
        <f t="shared" si="4"/>
        <v>0</v>
      </c>
      <c r="S22" s="122">
        <f t="shared" si="5"/>
        <v>0</v>
      </c>
      <c r="V22" s="122">
        <f t="shared" si="6"/>
        <v>0</v>
      </c>
      <c r="Y22" s="122">
        <f t="shared" si="7"/>
        <v>0</v>
      </c>
      <c r="AB22" s="122">
        <f t="shared" si="8"/>
        <v>0</v>
      </c>
      <c r="AE22" s="122">
        <v>0</v>
      </c>
      <c r="AH22" s="122">
        <v>0</v>
      </c>
      <c r="AI22" s="155">
        <f>70750000</f>
        <v>70750000</v>
      </c>
      <c r="AJ22" s="156">
        <v>2.6499999999999999E-2</v>
      </c>
      <c r="AK22" s="122">
        <f t="shared" si="9"/>
        <v>5207.9861111111113</v>
      </c>
      <c r="AN22" s="122">
        <f t="shared" si="10"/>
        <v>0</v>
      </c>
      <c r="AQ22" s="122">
        <f t="shared" si="11"/>
        <v>0</v>
      </c>
      <c r="AT22" s="122">
        <f t="shared" si="12"/>
        <v>0</v>
      </c>
      <c r="AW22" s="122">
        <f t="shared" si="13"/>
        <v>0</v>
      </c>
      <c r="AZ22" s="122">
        <f t="shared" si="14"/>
        <v>0</v>
      </c>
      <c r="BC22" s="122">
        <f t="shared" si="15"/>
        <v>0</v>
      </c>
      <c r="BF22" s="122">
        <f t="shared" si="16"/>
        <v>0</v>
      </c>
      <c r="BI22" s="122">
        <f t="shared" si="17"/>
        <v>0</v>
      </c>
      <c r="BL22" s="122">
        <f t="shared" si="18"/>
        <v>0</v>
      </c>
      <c r="BO22" s="122">
        <f t="shared" si="19"/>
        <v>0</v>
      </c>
      <c r="BR22" s="122">
        <f t="shared" si="20"/>
        <v>0</v>
      </c>
      <c r="BU22" s="122">
        <f t="shared" si="21"/>
        <v>0</v>
      </c>
      <c r="BX22" s="122">
        <f t="shared" si="22"/>
        <v>0</v>
      </c>
      <c r="CA22" s="122">
        <f t="shared" si="23"/>
        <v>0</v>
      </c>
      <c r="CD22" s="122">
        <f t="shared" si="24"/>
        <v>0</v>
      </c>
      <c r="CG22" s="122">
        <f t="shared" si="25"/>
        <v>0</v>
      </c>
      <c r="CJ22" s="122">
        <f t="shared" si="26"/>
        <v>0</v>
      </c>
      <c r="CM22" s="122">
        <f t="shared" si="27"/>
        <v>0</v>
      </c>
      <c r="CP22" s="122">
        <f t="shared" si="28"/>
        <v>0</v>
      </c>
      <c r="CS22" s="122">
        <f t="shared" si="29"/>
        <v>0</v>
      </c>
      <c r="CV22" s="122">
        <f t="shared" si="30"/>
        <v>0</v>
      </c>
      <c r="CY22" s="122">
        <f t="shared" si="31"/>
        <v>0</v>
      </c>
      <c r="DB22" s="122">
        <f t="shared" si="32"/>
        <v>0</v>
      </c>
      <c r="DE22" s="122">
        <f t="shared" si="33"/>
        <v>0</v>
      </c>
      <c r="DH22" s="122">
        <f t="shared" si="34"/>
        <v>0</v>
      </c>
      <c r="DK22" s="122">
        <f t="shared" si="35"/>
        <v>0</v>
      </c>
      <c r="DN22" s="122">
        <f t="shared" si="36"/>
        <v>0</v>
      </c>
      <c r="DQ22" s="122">
        <f t="shared" si="37"/>
        <v>0</v>
      </c>
      <c r="DT22" s="122">
        <f t="shared" si="38"/>
        <v>0</v>
      </c>
      <c r="DW22" s="122">
        <f t="shared" si="39"/>
        <v>0</v>
      </c>
      <c r="DZ22" s="122"/>
      <c r="EA22" s="122"/>
      <c r="EB22" s="157">
        <f t="shared" si="40"/>
        <v>70750000</v>
      </c>
      <c r="EC22" s="157">
        <f t="shared" si="41"/>
        <v>0</v>
      </c>
      <c r="ED22" s="122">
        <f t="shared" si="42"/>
        <v>5207.9861111111113</v>
      </c>
      <c r="EE22" s="123">
        <f t="shared" si="43"/>
        <v>2.6499999999999999E-2</v>
      </c>
      <c r="EG22" s="157">
        <f t="shared" si="44"/>
        <v>0</v>
      </c>
      <c r="EH22" s="122">
        <f t="shared" si="45"/>
        <v>0</v>
      </c>
      <c r="EI22" s="123">
        <f t="shared" si="46"/>
        <v>0</v>
      </c>
      <c r="EJ22" s="123"/>
      <c r="EK22" s="157">
        <f t="shared" si="47"/>
        <v>70750000</v>
      </c>
      <c r="EL22" s="157">
        <f t="shared" si="48"/>
        <v>0</v>
      </c>
      <c r="EM22" s="157">
        <f t="shared" si="49"/>
        <v>5207.9861111111113</v>
      </c>
      <c r="EN22" s="123">
        <f t="shared" si="50"/>
        <v>2.6499999999999999E-2</v>
      </c>
    </row>
    <row r="23" spans="1:144" x14ac:dyDescent="0.25">
      <c r="A23" s="66">
        <f t="shared" si="51"/>
        <v>43568</v>
      </c>
      <c r="D23" s="122">
        <f t="shared" si="0"/>
        <v>0</v>
      </c>
      <c r="G23" s="122">
        <f t="shared" si="1"/>
        <v>0</v>
      </c>
      <c r="J23" s="122">
        <f t="shared" si="2"/>
        <v>0</v>
      </c>
      <c r="M23" s="122">
        <f t="shared" si="3"/>
        <v>0</v>
      </c>
      <c r="P23" s="122">
        <f t="shared" si="4"/>
        <v>0</v>
      </c>
      <c r="S23" s="122">
        <f t="shared" si="5"/>
        <v>0</v>
      </c>
      <c r="V23" s="122">
        <f t="shared" si="6"/>
        <v>0</v>
      </c>
      <c r="Y23" s="122">
        <f t="shared" si="7"/>
        <v>0</v>
      </c>
      <c r="AB23" s="122">
        <f t="shared" si="8"/>
        <v>0</v>
      </c>
      <c r="AE23" s="122">
        <v>0</v>
      </c>
      <c r="AH23" s="122">
        <v>0</v>
      </c>
      <c r="AI23" s="155">
        <f>70750000</f>
        <v>70750000</v>
      </c>
      <c r="AJ23" s="156">
        <v>2.6499999999999999E-2</v>
      </c>
      <c r="AK23" s="122">
        <f t="shared" si="9"/>
        <v>5207.9861111111113</v>
      </c>
      <c r="AN23" s="122">
        <f t="shared" si="10"/>
        <v>0</v>
      </c>
      <c r="AQ23" s="122">
        <f t="shared" si="11"/>
        <v>0</v>
      </c>
      <c r="AT23" s="122">
        <f t="shared" si="12"/>
        <v>0</v>
      </c>
      <c r="AW23" s="122">
        <f t="shared" si="13"/>
        <v>0</v>
      </c>
      <c r="AZ23" s="122">
        <f t="shared" si="14"/>
        <v>0</v>
      </c>
      <c r="BC23" s="122">
        <f t="shared" si="15"/>
        <v>0</v>
      </c>
      <c r="BF23" s="122">
        <f t="shared" si="16"/>
        <v>0</v>
      </c>
      <c r="BI23" s="122">
        <f t="shared" si="17"/>
        <v>0</v>
      </c>
      <c r="BL23" s="122">
        <f t="shared" si="18"/>
        <v>0</v>
      </c>
      <c r="BO23" s="122">
        <f t="shared" si="19"/>
        <v>0</v>
      </c>
      <c r="BR23" s="122">
        <f t="shared" si="20"/>
        <v>0</v>
      </c>
      <c r="BU23" s="122">
        <f t="shared" si="21"/>
        <v>0</v>
      </c>
      <c r="BX23" s="122">
        <f t="shared" si="22"/>
        <v>0</v>
      </c>
      <c r="CA23" s="122">
        <f t="shared" si="23"/>
        <v>0</v>
      </c>
      <c r="CD23" s="122">
        <f t="shared" si="24"/>
        <v>0</v>
      </c>
      <c r="CG23" s="122">
        <f t="shared" si="25"/>
        <v>0</v>
      </c>
      <c r="CJ23" s="122">
        <f t="shared" si="26"/>
        <v>0</v>
      </c>
      <c r="CM23" s="122">
        <f t="shared" si="27"/>
        <v>0</v>
      </c>
      <c r="CP23" s="122">
        <f t="shared" si="28"/>
        <v>0</v>
      </c>
      <c r="CS23" s="122">
        <f t="shared" si="29"/>
        <v>0</v>
      </c>
      <c r="CV23" s="122">
        <f t="shared" si="30"/>
        <v>0</v>
      </c>
      <c r="CY23" s="122">
        <f t="shared" si="31"/>
        <v>0</v>
      </c>
      <c r="DB23" s="122">
        <f t="shared" si="32"/>
        <v>0</v>
      </c>
      <c r="DE23" s="122">
        <f t="shared" si="33"/>
        <v>0</v>
      </c>
      <c r="DH23" s="122">
        <f t="shared" si="34"/>
        <v>0</v>
      </c>
      <c r="DK23" s="122">
        <f t="shared" si="35"/>
        <v>0</v>
      </c>
      <c r="DN23" s="122">
        <f t="shared" si="36"/>
        <v>0</v>
      </c>
      <c r="DQ23" s="122">
        <f t="shared" si="37"/>
        <v>0</v>
      </c>
      <c r="DT23" s="122">
        <f t="shared" si="38"/>
        <v>0</v>
      </c>
      <c r="DW23" s="122">
        <f t="shared" si="39"/>
        <v>0</v>
      </c>
      <c r="DZ23" s="122"/>
      <c r="EA23" s="122"/>
      <c r="EB23" s="157">
        <f t="shared" si="40"/>
        <v>70750000</v>
      </c>
      <c r="EC23" s="157">
        <f t="shared" si="41"/>
        <v>0</v>
      </c>
      <c r="ED23" s="122">
        <f t="shared" si="42"/>
        <v>5207.9861111111113</v>
      </c>
      <c r="EE23" s="123">
        <f t="shared" si="43"/>
        <v>2.6499999999999999E-2</v>
      </c>
      <c r="EG23" s="157">
        <f t="shared" si="44"/>
        <v>0</v>
      </c>
      <c r="EH23" s="122">
        <f t="shared" si="45"/>
        <v>0</v>
      </c>
      <c r="EI23" s="123">
        <f t="shared" si="46"/>
        <v>0</v>
      </c>
      <c r="EJ23" s="123"/>
      <c r="EK23" s="157">
        <f t="shared" si="47"/>
        <v>70750000</v>
      </c>
      <c r="EL23" s="157">
        <f t="shared" si="48"/>
        <v>0</v>
      </c>
      <c r="EM23" s="157">
        <f t="shared" si="49"/>
        <v>5207.9861111111113</v>
      </c>
      <c r="EN23" s="123">
        <f t="shared" si="50"/>
        <v>2.6499999999999999E-2</v>
      </c>
    </row>
    <row r="24" spans="1:144" x14ac:dyDescent="0.25">
      <c r="A24" s="66">
        <f t="shared" si="51"/>
        <v>43569</v>
      </c>
      <c r="D24" s="122">
        <f t="shared" si="0"/>
        <v>0</v>
      </c>
      <c r="G24" s="122">
        <f t="shared" si="1"/>
        <v>0</v>
      </c>
      <c r="J24" s="122">
        <f t="shared" si="2"/>
        <v>0</v>
      </c>
      <c r="M24" s="122">
        <f t="shared" si="3"/>
        <v>0</v>
      </c>
      <c r="P24" s="122">
        <f t="shared" si="4"/>
        <v>0</v>
      </c>
      <c r="S24" s="122">
        <f t="shared" si="5"/>
        <v>0</v>
      </c>
      <c r="V24" s="122">
        <f t="shared" si="6"/>
        <v>0</v>
      </c>
      <c r="Y24" s="122">
        <f t="shared" si="7"/>
        <v>0</v>
      </c>
      <c r="AB24" s="122">
        <f t="shared" si="8"/>
        <v>0</v>
      </c>
      <c r="AE24" s="122">
        <v>0</v>
      </c>
      <c r="AH24" s="122">
        <v>0</v>
      </c>
      <c r="AI24" s="155">
        <f>70750000</f>
        <v>70750000</v>
      </c>
      <c r="AJ24" s="156">
        <v>2.6499999999999999E-2</v>
      </c>
      <c r="AK24" s="122">
        <f t="shared" si="9"/>
        <v>5207.9861111111113</v>
      </c>
      <c r="AN24" s="122">
        <f t="shared" si="10"/>
        <v>0</v>
      </c>
      <c r="AQ24" s="122">
        <f t="shared" si="11"/>
        <v>0</v>
      </c>
      <c r="AT24" s="122">
        <f t="shared" si="12"/>
        <v>0</v>
      </c>
      <c r="AW24" s="122">
        <f t="shared" si="13"/>
        <v>0</v>
      </c>
      <c r="AZ24" s="122">
        <f t="shared" si="14"/>
        <v>0</v>
      </c>
      <c r="BC24" s="122">
        <f t="shared" si="15"/>
        <v>0</v>
      </c>
      <c r="BF24" s="122">
        <f t="shared" si="16"/>
        <v>0</v>
      </c>
      <c r="BI24" s="122">
        <f t="shared" si="17"/>
        <v>0</v>
      </c>
      <c r="BL24" s="122">
        <f t="shared" si="18"/>
        <v>0</v>
      </c>
      <c r="BO24" s="122">
        <f t="shared" si="19"/>
        <v>0</v>
      </c>
      <c r="BR24" s="122">
        <f t="shared" si="20"/>
        <v>0</v>
      </c>
      <c r="BU24" s="122">
        <f t="shared" si="21"/>
        <v>0</v>
      </c>
      <c r="BX24" s="122">
        <f t="shared" si="22"/>
        <v>0</v>
      </c>
      <c r="CA24" s="122">
        <f t="shared" si="23"/>
        <v>0</v>
      </c>
      <c r="CD24" s="122">
        <f t="shared" si="24"/>
        <v>0</v>
      </c>
      <c r="CG24" s="122">
        <f t="shared" si="25"/>
        <v>0</v>
      </c>
      <c r="CJ24" s="122">
        <f t="shared" si="26"/>
        <v>0</v>
      </c>
      <c r="CM24" s="122">
        <f t="shared" si="27"/>
        <v>0</v>
      </c>
      <c r="CP24" s="122">
        <f t="shared" si="28"/>
        <v>0</v>
      </c>
      <c r="CS24" s="122">
        <f t="shared" si="29"/>
        <v>0</v>
      </c>
      <c r="CV24" s="122">
        <f t="shared" si="30"/>
        <v>0</v>
      </c>
      <c r="CY24" s="122">
        <f t="shared" si="31"/>
        <v>0</v>
      </c>
      <c r="DB24" s="122">
        <f t="shared" si="32"/>
        <v>0</v>
      </c>
      <c r="DE24" s="122">
        <f t="shared" si="33"/>
        <v>0</v>
      </c>
      <c r="DH24" s="122">
        <f t="shared" si="34"/>
        <v>0</v>
      </c>
      <c r="DK24" s="122">
        <f t="shared" si="35"/>
        <v>0</v>
      </c>
      <c r="DN24" s="122">
        <f t="shared" si="36"/>
        <v>0</v>
      </c>
      <c r="DQ24" s="122">
        <f t="shared" si="37"/>
        <v>0</v>
      </c>
      <c r="DT24" s="122">
        <f t="shared" si="38"/>
        <v>0</v>
      </c>
      <c r="DW24" s="122">
        <f t="shared" si="39"/>
        <v>0</v>
      </c>
      <c r="DZ24" s="122"/>
      <c r="EA24" s="122"/>
      <c r="EB24" s="157">
        <f t="shared" si="40"/>
        <v>70750000</v>
      </c>
      <c r="EC24" s="157">
        <f t="shared" si="41"/>
        <v>0</v>
      </c>
      <c r="ED24" s="122">
        <f t="shared" si="42"/>
        <v>5207.9861111111113</v>
      </c>
      <c r="EE24" s="123">
        <f t="shared" si="43"/>
        <v>2.6499999999999999E-2</v>
      </c>
      <c r="EG24" s="157">
        <f t="shared" si="44"/>
        <v>0</v>
      </c>
      <c r="EH24" s="122">
        <f t="shared" si="45"/>
        <v>0</v>
      </c>
      <c r="EI24" s="123">
        <f t="shared" si="46"/>
        <v>0</v>
      </c>
      <c r="EJ24" s="123"/>
      <c r="EK24" s="157">
        <f t="shared" si="47"/>
        <v>70750000</v>
      </c>
      <c r="EL24" s="157">
        <f t="shared" si="48"/>
        <v>0</v>
      </c>
      <c r="EM24" s="157">
        <f t="shared" si="49"/>
        <v>5207.9861111111113</v>
      </c>
      <c r="EN24" s="123">
        <f t="shared" si="50"/>
        <v>2.6499999999999999E-2</v>
      </c>
    </row>
    <row r="25" spans="1:144" x14ac:dyDescent="0.25">
      <c r="A25" s="66">
        <f t="shared" si="51"/>
        <v>43570</v>
      </c>
      <c r="D25" s="122">
        <f t="shared" si="0"/>
        <v>0</v>
      </c>
      <c r="G25" s="122">
        <f t="shared" si="1"/>
        <v>0</v>
      </c>
      <c r="J25" s="122">
        <f t="shared" si="2"/>
        <v>0</v>
      </c>
      <c r="M25" s="122">
        <f t="shared" si="3"/>
        <v>0</v>
      </c>
      <c r="P25" s="122">
        <f t="shared" si="4"/>
        <v>0</v>
      </c>
      <c r="S25" s="122">
        <f t="shared" si="5"/>
        <v>0</v>
      </c>
      <c r="V25" s="122">
        <f t="shared" si="6"/>
        <v>0</v>
      </c>
      <c r="Y25" s="122">
        <f t="shared" si="7"/>
        <v>0</v>
      </c>
      <c r="AB25" s="122">
        <f t="shared" si="8"/>
        <v>0</v>
      </c>
      <c r="AE25" s="122">
        <v>0</v>
      </c>
      <c r="AH25" s="122">
        <v>0</v>
      </c>
      <c r="AI25" s="155">
        <f>84125000</f>
        <v>84125000</v>
      </c>
      <c r="AJ25" s="156">
        <v>2.6499999999999999E-2</v>
      </c>
      <c r="AK25" s="122">
        <f t="shared" si="9"/>
        <v>6192.5347222222226</v>
      </c>
      <c r="AN25" s="122">
        <f t="shared" si="10"/>
        <v>0</v>
      </c>
      <c r="AQ25" s="122">
        <f t="shared" si="11"/>
        <v>0</v>
      </c>
      <c r="AT25" s="122">
        <f t="shared" si="12"/>
        <v>0</v>
      </c>
      <c r="AW25" s="122">
        <f t="shared" si="13"/>
        <v>0</v>
      </c>
      <c r="AZ25" s="122">
        <f t="shared" si="14"/>
        <v>0</v>
      </c>
      <c r="BC25" s="122">
        <f t="shared" si="15"/>
        <v>0</v>
      </c>
      <c r="BF25" s="122">
        <f t="shared" si="16"/>
        <v>0</v>
      </c>
      <c r="BI25" s="122">
        <f t="shared" si="17"/>
        <v>0</v>
      </c>
      <c r="BL25" s="122">
        <f t="shared" si="18"/>
        <v>0</v>
      </c>
      <c r="BO25" s="122">
        <f t="shared" si="19"/>
        <v>0</v>
      </c>
      <c r="BR25" s="122">
        <f t="shared" si="20"/>
        <v>0</v>
      </c>
      <c r="BU25" s="122">
        <f t="shared" si="21"/>
        <v>0</v>
      </c>
      <c r="BX25" s="122">
        <f t="shared" si="22"/>
        <v>0</v>
      </c>
      <c r="CA25" s="122">
        <f t="shared" si="23"/>
        <v>0</v>
      </c>
      <c r="CD25" s="122">
        <f t="shared" si="24"/>
        <v>0</v>
      </c>
      <c r="CG25" s="122">
        <f t="shared" si="25"/>
        <v>0</v>
      </c>
      <c r="CJ25" s="122">
        <f t="shared" si="26"/>
        <v>0</v>
      </c>
      <c r="CM25" s="122">
        <f t="shared" si="27"/>
        <v>0</v>
      </c>
      <c r="CP25" s="122">
        <f t="shared" si="28"/>
        <v>0</v>
      </c>
      <c r="CS25" s="122">
        <f t="shared" si="29"/>
        <v>0</v>
      </c>
      <c r="CV25" s="122">
        <f t="shared" si="30"/>
        <v>0</v>
      </c>
      <c r="CY25" s="122">
        <f t="shared" si="31"/>
        <v>0</v>
      </c>
      <c r="DB25" s="122">
        <f t="shared" si="32"/>
        <v>0</v>
      </c>
      <c r="DE25" s="122">
        <f t="shared" si="33"/>
        <v>0</v>
      </c>
      <c r="DH25" s="122">
        <f t="shared" si="34"/>
        <v>0</v>
      </c>
      <c r="DK25" s="122">
        <f t="shared" si="35"/>
        <v>0</v>
      </c>
      <c r="DN25" s="122">
        <f t="shared" si="36"/>
        <v>0</v>
      </c>
      <c r="DQ25" s="122">
        <f t="shared" si="37"/>
        <v>0</v>
      </c>
      <c r="DT25" s="122">
        <f t="shared" si="38"/>
        <v>0</v>
      </c>
      <c r="DW25" s="122">
        <f t="shared" si="39"/>
        <v>0</v>
      </c>
      <c r="DZ25" s="122"/>
      <c r="EA25" s="122"/>
      <c r="EB25" s="157">
        <f t="shared" si="40"/>
        <v>84125000</v>
      </c>
      <c r="EC25" s="157">
        <f t="shared" si="41"/>
        <v>0</v>
      </c>
      <c r="ED25" s="122">
        <f t="shared" si="42"/>
        <v>6192.5347222222226</v>
      </c>
      <c r="EE25" s="123">
        <f t="shared" si="43"/>
        <v>2.6499999999999999E-2</v>
      </c>
      <c r="EG25" s="157">
        <f t="shared" si="44"/>
        <v>0</v>
      </c>
      <c r="EH25" s="122">
        <f t="shared" si="45"/>
        <v>0</v>
      </c>
      <c r="EI25" s="123">
        <f t="shared" si="46"/>
        <v>0</v>
      </c>
      <c r="EJ25" s="123"/>
      <c r="EK25" s="157">
        <f t="shared" si="47"/>
        <v>84125000</v>
      </c>
      <c r="EL25" s="157">
        <f t="shared" si="48"/>
        <v>0</v>
      </c>
      <c r="EM25" s="157">
        <f t="shared" si="49"/>
        <v>6192.5347222222226</v>
      </c>
      <c r="EN25" s="123">
        <f t="shared" si="50"/>
        <v>2.6499999999999999E-2</v>
      </c>
    </row>
    <row r="26" spans="1:144" x14ac:dyDescent="0.25">
      <c r="A26" s="66">
        <f t="shared" si="51"/>
        <v>43571</v>
      </c>
      <c r="D26" s="122">
        <f t="shared" si="0"/>
        <v>0</v>
      </c>
      <c r="G26" s="122">
        <f t="shared" si="1"/>
        <v>0</v>
      </c>
      <c r="J26" s="122">
        <f t="shared" si="2"/>
        <v>0</v>
      </c>
      <c r="M26" s="122">
        <f t="shared" si="3"/>
        <v>0</v>
      </c>
      <c r="P26" s="122">
        <f t="shared" si="4"/>
        <v>0</v>
      </c>
      <c r="S26" s="122">
        <f t="shared" si="5"/>
        <v>0</v>
      </c>
      <c r="V26" s="122">
        <f t="shared" si="6"/>
        <v>0</v>
      </c>
      <c r="Y26" s="122">
        <f t="shared" si="7"/>
        <v>0</v>
      </c>
      <c r="AB26" s="122">
        <f t="shared" si="8"/>
        <v>0</v>
      </c>
      <c r="AE26" s="122">
        <v>0</v>
      </c>
      <c r="AH26" s="122">
        <v>0</v>
      </c>
      <c r="AI26" s="155">
        <f>80425000</f>
        <v>80425000</v>
      </c>
      <c r="AJ26" s="156">
        <v>2.6499999999999999E-2</v>
      </c>
      <c r="AK26" s="122">
        <f t="shared" si="9"/>
        <v>5920.1736111111113</v>
      </c>
      <c r="AN26" s="122">
        <f t="shared" si="10"/>
        <v>0</v>
      </c>
      <c r="AQ26" s="122">
        <f t="shared" si="11"/>
        <v>0</v>
      </c>
      <c r="AT26" s="122">
        <f t="shared" si="12"/>
        <v>0</v>
      </c>
      <c r="AW26" s="122">
        <f t="shared" si="13"/>
        <v>0</v>
      </c>
      <c r="AZ26" s="122">
        <f t="shared" si="14"/>
        <v>0</v>
      </c>
      <c r="BC26" s="122">
        <f t="shared" si="15"/>
        <v>0</v>
      </c>
      <c r="BF26" s="122">
        <f t="shared" si="16"/>
        <v>0</v>
      </c>
      <c r="BI26" s="122">
        <f t="shared" si="17"/>
        <v>0</v>
      </c>
      <c r="BL26" s="122">
        <f t="shared" si="18"/>
        <v>0</v>
      </c>
      <c r="BO26" s="122">
        <f t="shared" si="19"/>
        <v>0</v>
      </c>
      <c r="BR26" s="122">
        <f t="shared" si="20"/>
        <v>0</v>
      </c>
      <c r="BU26" s="122">
        <f t="shared" si="21"/>
        <v>0</v>
      </c>
      <c r="BX26" s="122">
        <f t="shared" si="22"/>
        <v>0</v>
      </c>
      <c r="CA26" s="122">
        <f t="shared" si="23"/>
        <v>0</v>
      </c>
      <c r="CD26" s="122">
        <f t="shared" si="24"/>
        <v>0</v>
      </c>
      <c r="CG26" s="122">
        <f t="shared" si="25"/>
        <v>0</v>
      </c>
      <c r="CJ26" s="122">
        <f t="shared" si="26"/>
        <v>0</v>
      </c>
      <c r="CM26" s="122">
        <f t="shared" si="27"/>
        <v>0</v>
      </c>
      <c r="CP26" s="122">
        <f t="shared" si="28"/>
        <v>0</v>
      </c>
      <c r="CS26" s="122">
        <f t="shared" si="29"/>
        <v>0</v>
      </c>
      <c r="CV26" s="122">
        <f t="shared" si="30"/>
        <v>0</v>
      </c>
      <c r="CY26" s="122">
        <f t="shared" si="31"/>
        <v>0</v>
      </c>
      <c r="DB26" s="122">
        <f t="shared" si="32"/>
        <v>0</v>
      </c>
      <c r="DE26" s="122">
        <f t="shared" si="33"/>
        <v>0</v>
      </c>
      <c r="DH26" s="122">
        <f t="shared" si="34"/>
        <v>0</v>
      </c>
      <c r="DK26" s="122">
        <f t="shared" si="35"/>
        <v>0</v>
      </c>
      <c r="DN26" s="122">
        <f t="shared" si="36"/>
        <v>0</v>
      </c>
      <c r="DQ26" s="122">
        <f t="shared" si="37"/>
        <v>0</v>
      </c>
      <c r="DT26" s="122">
        <f t="shared" si="38"/>
        <v>0</v>
      </c>
      <c r="DW26" s="122">
        <f t="shared" si="39"/>
        <v>0</v>
      </c>
      <c r="DZ26" s="122"/>
      <c r="EA26" s="122"/>
      <c r="EB26" s="157">
        <f t="shared" si="40"/>
        <v>80425000</v>
      </c>
      <c r="EC26" s="157">
        <f t="shared" si="41"/>
        <v>0</v>
      </c>
      <c r="ED26" s="122">
        <f t="shared" si="42"/>
        <v>5920.1736111111113</v>
      </c>
      <c r="EE26" s="123">
        <f t="shared" si="43"/>
        <v>2.6499999999999999E-2</v>
      </c>
      <c r="EG26" s="157">
        <f t="shared" si="44"/>
        <v>0</v>
      </c>
      <c r="EH26" s="122">
        <f t="shared" si="45"/>
        <v>0</v>
      </c>
      <c r="EI26" s="123">
        <f t="shared" si="46"/>
        <v>0</v>
      </c>
      <c r="EJ26" s="123"/>
      <c r="EK26" s="157">
        <f t="shared" si="47"/>
        <v>80425000</v>
      </c>
      <c r="EL26" s="157">
        <f t="shared" si="48"/>
        <v>0</v>
      </c>
      <c r="EM26" s="157">
        <f t="shared" si="49"/>
        <v>5920.1736111111113</v>
      </c>
      <c r="EN26" s="123">
        <f t="shared" si="50"/>
        <v>2.6499999999999999E-2</v>
      </c>
    </row>
    <row r="27" spans="1:144" x14ac:dyDescent="0.25">
      <c r="A27" s="66">
        <f t="shared" si="51"/>
        <v>43572</v>
      </c>
      <c r="D27" s="122">
        <f t="shared" si="0"/>
        <v>0</v>
      </c>
      <c r="G27" s="122">
        <f t="shared" si="1"/>
        <v>0</v>
      </c>
      <c r="J27" s="122">
        <f t="shared" si="2"/>
        <v>0</v>
      </c>
      <c r="M27" s="122">
        <f t="shared" si="3"/>
        <v>0</v>
      </c>
      <c r="P27" s="122">
        <f t="shared" si="4"/>
        <v>0</v>
      </c>
      <c r="S27" s="122">
        <f t="shared" si="5"/>
        <v>0</v>
      </c>
      <c r="V27" s="122">
        <f t="shared" si="6"/>
        <v>0</v>
      </c>
      <c r="Y27" s="122">
        <f t="shared" si="7"/>
        <v>0</v>
      </c>
      <c r="AB27" s="122">
        <f t="shared" si="8"/>
        <v>0</v>
      </c>
      <c r="AE27" s="122">
        <v>0</v>
      </c>
      <c r="AH27" s="122">
        <v>0</v>
      </c>
      <c r="AI27" s="155">
        <f>71525000</f>
        <v>71525000</v>
      </c>
      <c r="AJ27" s="156">
        <v>2.6499999999999999E-2</v>
      </c>
      <c r="AK27" s="122">
        <f t="shared" si="9"/>
        <v>5265.0347222222226</v>
      </c>
      <c r="AN27" s="122">
        <f t="shared" si="10"/>
        <v>0</v>
      </c>
      <c r="AQ27" s="122">
        <f t="shared" si="11"/>
        <v>0</v>
      </c>
      <c r="AT27" s="122">
        <f t="shared" si="12"/>
        <v>0</v>
      </c>
      <c r="AW27" s="122">
        <f t="shared" si="13"/>
        <v>0</v>
      </c>
      <c r="AZ27" s="122">
        <f t="shared" si="14"/>
        <v>0</v>
      </c>
      <c r="BC27" s="122">
        <f t="shared" si="15"/>
        <v>0</v>
      </c>
      <c r="BF27" s="122">
        <f t="shared" si="16"/>
        <v>0</v>
      </c>
      <c r="BI27" s="122">
        <f t="shared" si="17"/>
        <v>0</v>
      </c>
      <c r="BL27" s="122">
        <f t="shared" si="18"/>
        <v>0</v>
      </c>
      <c r="BO27" s="122">
        <f t="shared" si="19"/>
        <v>0</v>
      </c>
      <c r="BR27" s="122">
        <f t="shared" si="20"/>
        <v>0</v>
      </c>
      <c r="BU27" s="122">
        <f t="shared" si="21"/>
        <v>0</v>
      </c>
      <c r="BX27" s="122">
        <f t="shared" si="22"/>
        <v>0</v>
      </c>
      <c r="CA27" s="122">
        <f t="shared" si="23"/>
        <v>0</v>
      </c>
      <c r="CD27" s="122">
        <f t="shared" si="24"/>
        <v>0</v>
      </c>
      <c r="CG27" s="122">
        <f t="shared" si="25"/>
        <v>0</v>
      </c>
      <c r="CJ27" s="122">
        <f t="shared" si="26"/>
        <v>0</v>
      </c>
      <c r="CM27" s="122">
        <f t="shared" si="27"/>
        <v>0</v>
      </c>
      <c r="CP27" s="122">
        <f t="shared" si="28"/>
        <v>0</v>
      </c>
      <c r="CS27" s="122">
        <f t="shared" si="29"/>
        <v>0</v>
      </c>
      <c r="CV27" s="122">
        <f t="shared" si="30"/>
        <v>0</v>
      </c>
      <c r="CY27" s="122">
        <f t="shared" si="31"/>
        <v>0</v>
      </c>
      <c r="DB27" s="122">
        <f t="shared" si="32"/>
        <v>0</v>
      </c>
      <c r="DE27" s="122">
        <f t="shared" si="33"/>
        <v>0</v>
      </c>
      <c r="DH27" s="122">
        <f t="shared" si="34"/>
        <v>0</v>
      </c>
      <c r="DK27" s="122">
        <f t="shared" si="35"/>
        <v>0</v>
      </c>
      <c r="DN27" s="122">
        <f t="shared" si="36"/>
        <v>0</v>
      </c>
      <c r="DQ27" s="122">
        <f t="shared" si="37"/>
        <v>0</v>
      </c>
      <c r="DT27" s="122">
        <f t="shared" si="38"/>
        <v>0</v>
      </c>
      <c r="DW27" s="122">
        <f t="shared" si="39"/>
        <v>0</v>
      </c>
      <c r="DZ27" s="122"/>
      <c r="EA27" s="122"/>
      <c r="EB27" s="157">
        <f t="shared" si="40"/>
        <v>71525000</v>
      </c>
      <c r="EC27" s="157">
        <f t="shared" si="41"/>
        <v>0</v>
      </c>
      <c r="ED27" s="122">
        <f t="shared" si="42"/>
        <v>5265.0347222222226</v>
      </c>
      <c r="EE27" s="123">
        <f t="shared" si="43"/>
        <v>2.6499999999999999E-2</v>
      </c>
      <c r="EG27" s="157">
        <f t="shared" si="44"/>
        <v>0</v>
      </c>
      <c r="EH27" s="122">
        <f t="shared" si="45"/>
        <v>0</v>
      </c>
      <c r="EI27" s="123">
        <f t="shared" si="46"/>
        <v>0</v>
      </c>
      <c r="EJ27" s="123"/>
      <c r="EK27" s="157">
        <f t="shared" si="47"/>
        <v>71525000</v>
      </c>
      <c r="EL27" s="157">
        <f t="shared" si="48"/>
        <v>0</v>
      </c>
      <c r="EM27" s="157">
        <f t="shared" si="49"/>
        <v>5265.0347222222226</v>
      </c>
      <c r="EN27" s="123">
        <f t="shared" si="50"/>
        <v>2.6499999999999999E-2</v>
      </c>
    </row>
    <row r="28" spans="1:144" x14ac:dyDescent="0.25">
      <c r="A28" s="66">
        <f t="shared" si="51"/>
        <v>43573</v>
      </c>
      <c r="D28" s="122">
        <f t="shared" si="0"/>
        <v>0</v>
      </c>
      <c r="G28" s="122">
        <f t="shared" si="1"/>
        <v>0</v>
      </c>
      <c r="J28" s="122">
        <f t="shared" si="2"/>
        <v>0</v>
      </c>
      <c r="M28" s="122">
        <f t="shared" si="3"/>
        <v>0</v>
      </c>
      <c r="P28" s="122">
        <f t="shared" si="4"/>
        <v>0</v>
      </c>
      <c r="S28" s="122">
        <f t="shared" si="5"/>
        <v>0</v>
      </c>
      <c r="V28" s="122">
        <f t="shared" si="6"/>
        <v>0</v>
      </c>
      <c r="Y28" s="122">
        <f t="shared" si="7"/>
        <v>0</v>
      </c>
      <c r="AB28" s="122">
        <f t="shared" si="8"/>
        <v>0</v>
      </c>
      <c r="AE28" s="122">
        <v>0</v>
      </c>
      <c r="AH28" s="122">
        <v>0</v>
      </c>
      <c r="AI28" s="155">
        <f>71750000</f>
        <v>71750000</v>
      </c>
      <c r="AJ28" s="156">
        <v>2.6499999999999999E-2</v>
      </c>
      <c r="AK28" s="122">
        <f t="shared" si="9"/>
        <v>5281.5972222222226</v>
      </c>
      <c r="AN28" s="122">
        <f t="shared" si="10"/>
        <v>0</v>
      </c>
      <c r="AQ28" s="122">
        <f t="shared" si="11"/>
        <v>0</v>
      </c>
      <c r="AT28" s="122">
        <f t="shared" si="12"/>
        <v>0</v>
      </c>
      <c r="AW28" s="122">
        <f t="shared" si="13"/>
        <v>0</v>
      </c>
      <c r="AZ28" s="122">
        <f t="shared" si="14"/>
        <v>0</v>
      </c>
      <c r="BC28" s="122">
        <f t="shared" si="15"/>
        <v>0</v>
      </c>
      <c r="BF28" s="122">
        <f t="shared" si="16"/>
        <v>0</v>
      </c>
      <c r="BI28" s="122">
        <f t="shared" si="17"/>
        <v>0</v>
      </c>
      <c r="BL28" s="122">
        <f t="shared" si="18"/>
        <v>0</v>
      </c>
      <c r="BO28" s="122">
        <f t="shared" si="19"/>
        <v>0</v>
      </c>
      <c r="BR28" s="122">
        <f t="shared" si="20"/>
        <v>0</v>
      </c>
      <c r="BU28" s="122">
        <f t="shared" si="21"/>
        <v>0</v>
      </c>
      <c r="BX28" s="122">
        <f t="shared" si="22"/>
        <v>0</v>
      </c>
      <c r="CA28" s="122">
        <f t="shared" si="23"/>
        <v>0</v>
      </c>
      <c r="CD28" s="122">
        <f t="shared" si="24"/>
        <v>0</v>
      </c>
      <c r="CG28" s="122">
        <f t="shared" si="25"/>
        <v>0</v>
      </c>
      <c r="CJ28" s="122">
        <f t="shared" si="26"/>
        <v>0</v>
      </c>
      <c r="CM28" s="122">
        <f t="shared" si="27"/>
        <v>0</v>
      </c>
      <c r="CP28" s="122">
        <f t="shared" si="28"/>
        <v>0</v>
      </c>
      <c r="CS28" s="122">
        <f t="shared" si="29"/>
        <v>0</v>
      </c>
      <c r="CV28" s="122">
        <f t="shared" si="30"/>
        <v>0</v>
      </c>
      <c r="CY28" s="122">
        <f t="shared" si="31"/>
        <v>0</v>
      </c>
      <c r="DB28" s="122">
        <f t="shared" si="32"/>
        <v>0</v>
      </c>
      <c r="DE28" s="122">
        <f t="shared" si="33"/>
        <v>0</v>
      </c>
      <c r="DH28" s="122">
        <f t="shared" si="34"/>
        <v>0</v>
      </c>
      <c r="DK28" s="122">
        <f t="shared" si="35"/>
        <v>0</v>
      </c>
      <c r="DN28" s="122">
        <f t="shared" si="36"/>
        <v>0</v>
      </c>
      <c r="DQ28" s="122">
        <f t="shared" si="37"/>
        <v>0</v>
      </c>
      <c r="DT28" s="122">
        <f t="shared" si="38"/>
        <v>0</v>
      </c>
      <c r="DW28" s="122">
        <f t="shared" si="39"/>
        <v>0</v>
      </c>
      <c r="DZ28" s="122"/>
      <c r="EA28" s="122"/>
      <c r="EB28" s="157">
        <f t="shared" si="40"/>
        <v>71750000</v>
      </c>
      <c r="EC28" s="157">
        <f t="shared" si="41"/>
        <v>0</v>
      </c>
      <c r="ED28" s="122">
        <f t="shared" si="42"/>
        <v>5281.5972222222226</v>
      </c>
      <c r="EE28" s="123">
        <f t="shared" si="43"/>
        <v>2.6499999999999999E-2</v>
      </c>
      <c r="EG28" s="157">
        <f t="shared" si="44"/>
        <v>0</v>
      </c>
      <c r="EH28" s="122">
        <f t="shared" si="45"/>
        <v>0</v>
      </c>
      <c r="EI28" s="123">
        <f t="shared" si="46"/>
        <v>0</v>
      </c>
      <c r="EJ28" s="123"/>
      <c r="EK28" s="157">
        <f t="shared" si="47"/>
        <v>71750000</v>
      </c>
      <c r="EL28" s="157">
        <f t="shared" si="48"/>
        <v>0</v>
      </c>
      <c r="EM28" s="157">
        <f t="shared" si="49"/>
        <v>5281.5972222222226</v>
      </c>
      <c r="EN28" s="123">
        <f t="shared" si="50"/>
        <v>2.6499999999999999E-2</v>
      </c>
    </row>
    <row r="29" spans="1:144" x14ac:dyDescent="0.25">
      <c r="A29" s="66">
        <f t="shared" si="51"/>
        <v>43574</v>
      </c>
      <c r="D29" s="122">
        <f t="shared" si="0"/>
        <v>0</v>
      </c>
      <c r="G29" s="122">
        <f t="shared" si="1"/>
        <v>0</v>
      </c>
      <c r="J29" s="122">
        <f t="shared" si="2"/>
        <v>0</v>
      </c>
      <c r="M29" s="122">
        <f t="shared" si="3"/>
        <v>0</v>
      </c>
      <c r="P29" s="122">
        <f t="shared" si="4"/>
        <v>0</v>
      </c>
      <c r="S29" s="122">
        <f t="shared" si="5"/>
        <v>0</v>
      </c>
      <c r="V29" s="122">
        <f t="shared" si="6"/>
        <v>0</v>
      </c>
      <c r="Y29" s="122">
        <f t="shared" si="7"/>
        <v>0</v>
      </c>
      <c r="AB29" s="122">
        <f t="shared" si="8"/>
        <v>0</v>
      </c>
      <c r="AE29" s="122">
        <v>0</v>
      </c>
      <c r="AH29" s="122">
        <v>0</v>
      </c>
      <c r="AI29" s="155">
        <f>71750000</f>
        <v>71750000</v>
      </c>
      <c r="AJ29" s="156">
        <v>2.6499999999999999E-2</v>
      </c>
      <c r="AK29" s="122">
        <f t="shared" si="9"/>
        <v>5281.5972222222226</v>
      </c>
      <c r="AN29" s="122">
        <f t="shared" si="10"/>
        <v>0</v>
      </c>
      <c r="AQ29" s="122">
        <f t="shared" si="11"/>
        <v>0</v>
      </c>
      <c r="AT29" s="122">
        <f t="shared" si="12"/>
        <v>0</v>
      </c>
      <c r="AW29" s="122">
        <f t="shared" si="13"/>
        <v>0</v>
      </c>
      <c r="AZ29" s="122">
        <f t="shared" si="14"/>
        <v>0</v>
      </c>
      <c r="BC29" s="122">
        <f t="shared" si="15"/>
        <v>0</v>
      </c>
      <c r="BF29" s="122">
        <f t="shared" si="16"/>
        <v>0</v>
      </c>
      <c r="BI29" s="122">
        <f t="shared" si="17"/>
        <v>0</v>
      </c>
      <c r="BL29" s="122">
        <f t="shared" si="18"/>
        <v>0</v>
      </c>
      <c r="BO29" s="122">
        <f t="shared" si="19"/>
        <v>0</v>
      </c>
      <c r="BR29" s="122">
        <f t="shared" si="20"/>
        <v>0</v>
      </c>
      <c r="BU29" s="122">
        <f t="shared" si="21"/>
        <v>0</v>
      </c>
      <c r="BX29" s="122">
        <f t="shared" si="22"/>
        <v>0</v>
      </c>
      <c r="CA29" s="122">
        <f t="shared" si="23"/>
        <v>0</v>
      </c>
      <c r="CD29" s="122">
        <f t="shared" si="24"/>
        <v>0</v>
      </c>
      <c r="CG29" s="122">
        <f t="shared" si="25"/>
        <v>0</v>
      </c>
      <c r="CJ29" s="122">
        <f t="shared" si="26"/>
        <v>0</v>
      </c>
      <c r="CM29" s="122">
        <f t="shared" si="27"/>
        <v>0</v>
      </c>
      <c r="CP29" s="122">
        <f t="shared" si="28"/>
        <v>0</v>
      </c>
      <c r="CS29" s="122">
        <f t="shared" si="29"/>
        <v>0</v>
      </c>
      <c r="CV29" s="122">
        <f t="shared" si="30"/>
        <v>0</v>
      </c>
      <c r="CY29" s="122">
        <f t="shared" si="31"/>
        <v>0</v>
      </c>
      <c r="DB29" s="122">
        <f t="shared" si="32"/>
        <v>0</v>
      </c>
      <c r="DE29" s="122">
        <f t="shared" si="33"/>
        <v>0</v>
      </c>
      <c r="DH29" s="122">
        <f t="shared" si="34"/>
        <v>0</v>
      </c>
      <c r="DK29" s="122">
        <f t="shared" si="35"/>
        <v>0</v>
      </c>
      <c r="DN29" s="122">
        <f t="shared" si="36"/>
        <v>0</v>
      </c>
      <c r="DQ29" s="122">
        <f t="shared" si="37"/>
        <v>0</v>
      </c>
      <c r="DT29" s="122">
        <f t="shared" si="38"/>
        <v>0</v>
      </c>
      <c r="DW29" s="122">
        <f t="shared" si="39"/>
        <v>0</v>
      </c>
      <c r="DZ29" s="122"/>
      <c r="EA29" s="122"/>
      <c r="EB29" s="157">
        <f t="shared" si="40"/>
        <v>71750000</v>
      </c>
      <c r="EC29" s="157">
        <f t="shared" si="41"/>
        <v>0</v>
      </c>
      <c r="ED29" s="122">
        <f t="shared" si="42"/>
        <v>5281.5972222222226</v>
      </c>
      <c r="EE29" s="123">
        <f t="shared" si="43"/>
        <v>2.6499999999999999E-2</v>
      </c>
      <c r="EG29" s="157">
        <f t="shared" si="44"/>
        <v>0</v>
      </c>
      <c r="EH29" s="122">
        <f t="shared" si="45"/>
        <v>0</v>
      </c>
      <c r="EI29" s="123">
        <f t="shared" si="46"/>
        <v>0</v>
      </c>
      <c r="EJ29" s="123"/>
      <c r="EK29" s="157">
        <f t="shared" si="47"/>
        <v>71750000</v>
      </c>
      <c r="EL29" s="157">
        <f t="shared" si="48"/>
        <v>0</v>
      </c>
      <c r="EM29" s="157">
        <f t="shared" si="49"/>
        <v>5281.5972222222226</v>
      </c>
      <c r="EN29" s="123">
        <f t="shared" si="50"/>
        <v>2.6499999999999999E-2</v>
      </c>
    </row>
    <row r="30" spans="1:144" x14ac:dyDescent="0.25">
      <c r="A30" s="66">
        <f t="shared" si="51"/>
        <v>43575</v>
      </c>
      <c r="D30" s="122">
        <f t="shared" si="0"/>
        <v>0</v>
      </c>
      <c r="G30" s="122">
        <f t="shared" si="1"/>
        <v>0</v>
      </c>
      <c r="J30" s="122">
        <f t="shared" si="2"/>
        <v>0</v>
      </c>
      <c r="M30" s="122">
        <f t="shared" si="3"/>
        <v>0</v>
      </c>
      <c r="P30" s="122">
        <f t="shared" si="4"/>
        <v>0</v>
      </c>
      <c r="S30" s="122">
        <f t="shared" si="5"/>
        <v>0</v>
      </c>
      <c r="V30" s="122">
        <f t="shared" si="6"/>
        <v>0</v>
      </c>
      <c r="Y30" s="122">
        <f t="shared" si="7"/>
        <v>0</v>
      </c>
      <c r="AB30" s="122">
        <f t="shared" si="8"/>
        <v>0</v>
      </c>
      <c r="AE30" s="122">
        <v>0</v>
      </c>
      <c r="AH30" s="122">
        <v>0</v>
      </c>
      <c r="AI30" s="155">
        <f>71750000</f>
        <v>71750000</v>
      </c>
      <c r="AJ30" s="156">
        <v>2.6499999999999999E-2</v>
      </c>
      <c r="AK30" s="122">
        <f t="shared" si="9"/>
        <v>5281.5972222222226</v>
      </c>
      <c r="AN30" s="122">
        <f t="shared" si="10"/>
        <v>0</v>
      </c>
      <c r="AQ30" s="122">
        <f t="shared" si="11"/>
        <v>0</v>
      </c>
      <c r="AT30" s="122">
        <f t="shared" si="12"/>
        <v>0</v>
      </c>
      <c r="AW30" s="122">
        <f t="shared" si="13"/>
        <v>0</v>
      </c>
      <c r="AZ30" s="122">
        <f t="shared" si="14"/>
        <v>0</v>
      </c>
      <c r="BC30" s="122">
        <f t="shared" si="15"/>
        <v>0</v>
      </c>
      <c r="BF30" s="122">
        <f t="shared" si="16"/>
        <v>0</v>
      </c>
      <c r="BI30" s="122">
        <f t="shared" si="17"/>
        <v>0</v>
      </c>
      <c r="BL30" s="122">
        <f t="shared" si="18"/>
        <v>0</v>
      </c>
      <c r="BO30" s="122">
        <f t="shared" si="19"/>
        <v>0</v>
      </c>
      <c r="BR30" s="122">
        <f t="shared" si="20"/>
        <v>0</v>
      </c>
      <c r="BU30" s="122">
        <f t="shared" si="21"/>
        <v>0</v>
      </c>
      <c r="BX30" s="122">
        <f t="shared" si="22"/>
        <v>0</v>
      </c>
      <c r="CA30" s="122">
        <f t="shared" si="23"/>
        <v>0</v>
      </c>
      <c r="CD30" s="122">
        <f t="shared" si="24"/>
        <v>0</v>
      </c>
      <c r="CG30" s="122">
        <f t="shared" si="25"/>
        <v>0</v>
      </c>
      <c r="CJ30" s="122">
        <f t="shared" si="26"/>
        <v>0</v>
      </c>
      <c r="CM30" s="122">
        <f t="shared" si="27"/>
        <v>0</v>
      </c>
      <c r="CP30" s="122">
        <f t="shared" si="28"/>
        <v>0</v>
      </c>
      <c r="CS30" s="122">
        <f t="shared" si="29"/>
        <v>0</v>
      </c>
      <c r="CV30" s="122">
        <f t="shared" si="30"/>
        <v>0</v>
      </c>
      <c r="CY30" s="122">
        <f t="shared" si="31"/>
        <v>0</v>
      </c>
      <c r="DB30" s="122">
        <f t="shared" si="32"/>
        <v>0</v>
      </c>
      <c r="DE30" s="122">
        <f t="shared" si="33"/>
        <v>0</v>
      </c>
      <c r="DH30" s="122">
        <f t="shared" si="34"/>
        <v>0</v>
      </c>
      <c r="DK30" s="122">
        <f t="shared" si="35"/>
        <v>0</v>
      </c>
      <c r="DN30" s="122">
        <f t="shared" si="36"/>
        <v>0</v>
      </c>
      <c r="DQ30" s="122">
        <f t="shared" si="37"/>
        <v>0</v>
      </c>
      <c r="DT30" s="122">
        <f t="shared" si="38"/>
        <v>0</v>
      </c>
      <c r="DW30" s="122">
        <f t="shared" si="39"/>
        <v>0</v>
      </c>
      <c r="DZ30" s="122"/>
      <c r="EA30" s="122"/>
      <c r="EB30" s="157">
        <f t="shared" si="40"/>
        <v>71750000</v>
      </c>
      <c r="EC30" s="157">
        <f t="shared" si="41"/>
        <v>0</v>
      </c>
      <c r="ED30" s="122">
        <f t="shared" si="42"/>
        <v>5281.5972222222226</v>
      </c>
      <c r="EE30" s="123">
        <f t="shared" si="43"/>
        <v>2.6499999999999999E-2</v>
      </c>
      <c r="EG30" s="157">
        <f t="shared" si="44"/>
        <v>0</v>
      </c>
      <c r="EH30" s="122">
        <f t="shared" si="45"/>
        <v>0</v>
      </c>
      <c r="EI30" s="123">
        <f t="shared" si="46"/>
        <v>0</v>
      </c>
      <c r="EJ30" s="123"/>
      <c r="EK30" s="157">
        <f t="shared" si="47"/>
        <v>71750000</v>
      </c>
      <c r="EL30" s="157">
        <f t="shared" si="48"/>
        <v>0</v>
      </c>
      <c r="EM30" s="157">
        <f t="shared" si="49"/>
        <v>5281.5972222222226</v>
      </c>
      <c r="EN30" s="123">
        <f t="shared" si="50"/>
        <v>2.6499999999999999E-2</v>
      </c>
    </row>
    <row r="31" spans="1:144" x14ac:dyDescent="0.25">
      <c r="A31" s="66">
        <f t="shared" si="51"/>
        <v>43576</v>
      </c>
      <c r="D31" s="122">
        <f t="shared" si="0"/>
        <v>0</v>
      </c>
      <c r="G31" s="122">
        <f t="shared" si="1"/>
        <v>0</v>
      </c>
      <c r="J31" s="122">
        <f t="shared" si="2"/>
        <v>0</v>
      </c>
      <c r="M31" s="122">
        <f t="shared" si="3"/>
        <v>0</v>
      </c>
      <c r="P31" s="122">
        <f t="shared" si="4"/>
        <v>0</v>
      </c>
      <c r="S31" s="122">
        <f t="shared" si="5"/>
        <v>0</v>
      </c>
      <c r="V31" s="122">
        <f t="shared" si="6"/>
        <v>0</v>
      </c>
      <c r="Y31" s="122">
        <f t="shared" si="7"/>
        <v>0</v>
      </c>
      <c r="AB31" s="122">
        <f t="shared" si="8"/>
        <v>0</v>
      </c>
      <c r="AE31" s="122">
        <v>0</v>
      </c>
      <c r="AH31" s="122">
        <v>0</v>
      </c>
      <c r="AI31" s="155">
        <f>71750000</f>
        <v>71750000</v>
      </c>
      <c r="AJ31" s="156">
        <v>2.6499999999999999E-2</v>
      </c>
      <c r="AK31" s="122">
        <f t="shared" si="9"/>
        <v>5281.5972222222226</v>
      </c>
      <c r="AN31" s="122">
        <f t="shared" si="10"/>
        <v>0</v>
      </c>
      <c r="AQ31" s="122">
        <f t="shared" si="11"/>
        <v>0</v>
      </c>
      <c r="AT31" s="122">
        <f t="shared" si="12"/>
        <v>0</v>
      </c>
      <c r="AW31" s="122">
        <f t="shared" si="13"/>
        <v>0</v>
      </c>
      <c r="AZ31" s="122">
        <f t="shared" si="14"/>
        <v>0</v>
      </c>
      <c r="BC31" s="122">
        <f t="shared" si="15"/>
        <v>0</v>
      </c>
      <c r="BF31" s="122">
        <f t="shared" si="16"/>
        <v>0</v>
      </c>
      <c r="BI31" s="122">
        <f t="shared" si="17"/>
        <v>0</v>
      </c>
      <c r="BL31" s="122">
        <f t="shared" si="18"/>
        <v>0</v>
      </c>
      <c r="BO31" s="122">
        <f t="shared" si="19"/>
        <v>0</v>
      </c>
      <c r="BR31" s="122">
        <f t="shared" si="20"/>
        <v>0</v>
      </c>
      <c r="BU31" s="122">
        <f t="shared" si="21"/>
        <v>0</v>
      </c>
      <c r="BX31" s="122">
        <f t="shared" si="22"/>
        <v>0</v>
      </c>
      <c r="CA31" s="122">
        <f t="shared" si="23"/>
        <v>0</v>
      </c>
      <c r="CD31" s="122">
        <f t="shared" si="24"/>
        <v>0</v>
      </c>
      <c r="CG31" s="122">
        <f t="shared" si="25"/>
        <v>0</v>
      </c>
      <c r="CJ31" s="122">
        <f t="shared" si="26"/>
        <v>0</v>
      </c>
      <c r="CM31" s="122">
        <f t="shared" si="27"/>
        <v>0</v>
      </c>
      <c r="CP31" s="122">
        <f t="shared" si="28"/>
        <v>0</v>
      </c>
      <c r="CS31" s="122">
        <f t="shared" si="29"/>
        <v>0</v>
      </c>
      <c r="CV31" s="122">
        <f t="shared" si="30"/>
        <v>0</v>
      </c>
      <c r="CY31" s="122">
        <f t="shared" si="31"/>
        <v>0</v>
      </c>
      <c r="DB31" s="122">
        <f t="shared" si="32"/>
        <v>0</v>
      </c>
      <c r="DE31" s="122">
        <f t="shared" si="33"/>
        <v>0</v>
      </c>
      <c r="DH31" s="122">
        <f t="shared" si="34"/>
        <v>0</v>
      </c>
      <c r="DK31" s="122">
        <f t="shared" si="35"/>
        <v>0</v>
      </c>
      <c r="DN31" s="122">
        <f t="shared" si="36"/>
        <v>0</v>
      </c>
      <c r="DQ31" s="122">
        <f t="shared" si="37"/>
        <v>0</v>
      </c>
      <c r="DT31" s="122">
        <f t="shared" si="38"/>
        <v>0</v>
      </c>
      <c r="DW31" s="122">
        <f t="shared" si="39"/>
        <v>0</v>
      </c>
      <c r="DZ31" s="122"/>
      <c r="EA31" s="122"/>
      <c r="EB31" s="157">
        <f t="shared" si="40"/>
        <v>71750000</v>
      </c>
      <c r="EC31" s="157">
        <f t="shared" si="41"/>
        <v>0</v>
      </c>
      <c r="ED31" s="122">
        <f t="shared" si="42"/>
        <v>5281.5972222222226</v>
      </c>
      <c r="EE31" s="123">
        <f t="shared" si="43"/>
        <v>2.6499999999999999E-2</v>
      </c>
      <c r="EG31" s="157">
        <f t="shared" si="44"/>
        <v>0</v>
      </c>
      <c r="EH31" s="122">
        <f t="shared" si="45"/>
        <v>0</v>
      </c>
      <c r="EI31" s="123">
        <f t="shared" si="46"/>
        <v>0</v>
      </c>
      <c r="EJ31" s="123"/>
      <c r="EK31" s="157">
        <f t="shared" si="47"/>
        <v>71750000</v>
      </c>
      <c r="EL31" s="157">
        <f t="shared" si="48"/>
        <v>0</v>
      </c>
      <c r="EM31" s="157">
        <f t="shared" si="49"/>
        <v>5281.5972222222226</v>
      </c>
      <c r="EN31" s="123">
        <f t="shared" si="50"/>
        <v>2.6499999999999999E-2</v>
      </c>
    </row>
    <row r="32" spans="1:144" x14ac:dyDescent="0.25">
      <c r="A32" s="66">
        <f t="shared" si="51"/>
        <v>43577</v>
      </c>
      <c r="D32" s="122">
        <f t="shared" si="0"/>
        <v>0</v>
      </c>
      <c r="G32" s="122">
        <f t="shared" si="1"/>
        <v>0</v>
      </c>
      <c r="J32" s="122">
        <f t="shared" si="2"/>
        <v>0</v>
      </c>
      <c r="M32" s="122">
        <f t="shared" si="3"/>
        <v>0</v>
      </c>
      <c r="P32" s="122">
        <f t="shared" si="4"/>
        <v>0</v>
      </c>
      <c r="S32" s="122">
        <f t="shared" si="5"/>
        <v>0</v>
      </c>
      <c r="V32" s="122">
        <f t="shared" si="6"/>
        <v>0</v>
      </c>
      <c r="Y32" s="122">
        <f t="shared" si="7"/>
        <v>0</v>
      </c>
      <c r="AB32" s="122">
        <f t="shared" si="8"/>
        <v>0</v>
      </c>
      <c r="AE32" s="122">
        <v>0</v>
      </c>
      <c r="AH32" s="122">
        <v>0</v>
      </c>
      <c r="AI32" s="155">
        <f>77400000</f>
        <v>77400000</v>
      </c>
      <c r="AJ32" s="156">
        <v>2.6499999999999999E-2</v>
      </c>
      <c r="AK32" s="122">
        <f t="shared" si="9"/>
        <v>5697.5</v>
      </c>
      <c r="AN32" s="122">
        <f t="shared" si="10"/>
        <v>0</v>
      </c>
      <c r="AQ32" s="122">
        <f t="shared" si="11"/>
        <v>0</v>
      </c>
      <c r="AT32" s="122">
        <f t="shared" si="12"/>
        <v>0</v>
      </c>
      <c r="AW32" s="122">
        <f t="shared" si="13"/>
        <v>0</v>
      </c>
      <c r="AZ32" s="122">
        <f t="shared" si="14"/>
        <v>0</v>
      </c>
      <c r="BC32" s="122">
        <f t="shared" si="15"/>
        <v>0</v>
      </c>
      <c r="BF32" s="122">
        <f t="shared" si="16"/>
        <v>0</v>
      </c>
      <c r="BI32" s="122">
        <f t="shared" si="17"/>
        <v>0</v>
      </c>
      <c r="BL32" s="122">
        <f t="shared" si="18"/>
        <v>0</v>
      </c>
      <c r="BO32" s="122">
        <f t="shared" si="19"/>
        <v>0</v>
      </c>
      <c r="BR32" s="122">
        <f t="shared" si="20"/>
        <v>0</v>
      </c>
      <c r="BU32" s="122">
        <f t="shared" si="21"/>
        <v>0</v>
      </c>
      <c r="BX32" s="122">
        <f t="shared" si="22"/>
        <v>0</v>
      </c>
      <c r="CA32" s="122">
        <f t="shared" si="23"/>
        <v>0</v>
      </c>
      <c r="CD32" s="122">
        <f t="shared" si="24"/>
        <v>0</v>
      </c>
      <c r="CG32" s="122">
        <f t="shared" si="25"/>
        <v>0</v>
      </c>
      <c r="CJ32" s="122">
        <f t="shared" si="26"/>
        <v>0</v>
      </c>
      <c r="CM32" s="122">
        <f t="shared" si="27"/>
        <v>0</v>
      </c>
      <c r="CP32" s="122">
        <f t="shared" si="28"/>
        <v>0</v>
      </c>
      <c r="CS32" s="122">
        <f t="shared" si="29"/>
        <v>0</v>
      </c>
      <c r="CV32" s="122">
        <f t="shared" si="30"/>
        <v>0</v>
      </c>
      <c r="CY32" s="122">
        <f t="shared" si="31"/>
        <v>0</v>
      </c>
      <c r="DB32" s="122">
        <f t="shared" si="32"/>
        <v>0</v>
      </c>
      <c r="DE32" s="122">
        <f t="shared" si="33"/>
        <v>0</v>
      </c>
      <c r="DH32" s="122">
        <f t="shared" si="34"/>
        <v>0</v>
      </c>
      <c r="DK32" s="122">
        <f t="shared" si="35"/>
        <v>0</v>
      </c>
      <c r="DN32" s="122">
        <f t="shared" si="36"/>
        <v>0</v>
      </c>
      <c r="DQ32" s="122">
        <f t="shared" si="37"/>
        <v>0</v>
      </c>
      <c r="DT32" s="122">
        <f t="shared" si="38"/>
        <v>0</v>
      </c>
      <c r="DW32" s="122">
        <f t="shared" si="39"/>
        <v>0</v>
      </c>
      <c r="DZ32" s="122"/>
      <c r="EA32" s="122"/>
      <c r="EB32" s="157">
        <f t="shared" si="40"/>
        <v>77400000</v>
      </c>
      <c r="EC32" s="157">
        <f t="shared" si="41"/>
        <v>0</v>
      </c>
      <c r="ED32" s="122">
        <f t="shared" si="42"/>
        <v>5697.5</v>
      </c>
      <c r="EE32" s="123">
        <f t="shared" si="43"/>
        <v>2.6499999999999999E-2</v>
      </c>
      <c r="EG32" s="157">
        <f t="shared" si="44"/>
        <v>0</v>
      </c>
      <c r="EH32" s="122">
        <f t="shared" si="45"/>
        <v>0</v>
      </c>
      <c r="EI32" s="123">
        <f t="shared" si="46"/>
        <v>0</v>
      </c>
      <c r="EJ32" s="123"/>
      <c r="EK32" s="157">
        <f t="shared" si="47"/>
        <v>77400000</v>
      </c>
      <c r="EL32" s="157">
        <f t="shared" si="48"/>
        <v>0</v>
      </c>
      <c r="EM32" s="157">
        <f t="shared" si="49"/>
        <v>5697.5</v>
      </c>
      <c r="EN32" s="123">
        <f t="shared" si="50"/>
        <v>2.6499999999999999E-2</v>
      </c>
    </row>
    <row r="33" spans="1:144" x14ac:dyDescent="0.25">
      <c r="A33" s="66">
        <f t="shared" si="51"/>
        <v>43578</v>
      </c>
      <c r="D33" s="122">
        <f t="shared" si="0"/>
        <v>0</v>
      </c>
      <c r="G33" s="122">
        <f t="shared" si="1"/>
        <v>0</v>
      </c>
      <c r="J33" s="122">
        <f t="shared" si="2"/>
        <v>0</v>
      </c>
      <c r="M33" s="122">
        <f t="shared" si="3"/>
        <v>0</v>
      </c>
      <c r="P33" s="122">
        <f t="shared" si="4"/>
        <v>0</v>
      </c>
      <c r="S33" s="122">
        <f t="shared" si="5"/>
        <v>0</v>
      </c>
      <c r="V33" s="122">
        <f t="shared" si="6"/>
        <v>0</v>
      </c>
      <c r="Y33" s="122">
        <f t="shared" si="7"/>
        <v>0</v>
      </c>
      <c r="AB33" s="122">
        <f t="shared" si="8"/>
        <v>0</v>
      </c>
      <c r="AE33" s="122">
        <v>0</v>
      </c>
      <c r="AH33" s="122">
        <v>0</v>
      </c>
      <c r="AI33" s="155">
        <f>67450000</f>
        <v>67450000</v>
      </c>
      <c r="AJ33" s="156">
        <v>2.6499999999999999E-2</v>
      </c>
      <c r="AK33" s="122">
        <f t="shared" si="9"/>
        <v>4965.0694444444443</v>
      </c>
      <c r="AN33" s="122">
        <f t="shared" si="10"/>
        <v>0</v>
      </c>
      <c r="AQ33" s="122">
        <f t="shared" si="11"/>
        <v>0</v>
      </c>
      <c r="AT33" s="122">
        <f t="shared" si="12"/>
        <v>0</v>
      </c>
      <c r="AW33" s="122">
        <f t="shared" si="13"/>
        <v>0</v>
      </c>
      <c r="AZ33" s="122">
        <f t="shared" si="14"/>
        <v>0</v>
      </c>
      <c r="BC33" s="122">
        <f t="shared" si="15"/>
        <v>0</v>
      </c>
      <c r="BF33" s="122">
        <f t="shared" si="16"/>
        <v>0</v>
      </c>
      <c r="BI33" s="122">
        <f t="shared" si="17"/>
        <v>0</v>
      </c>
      <c r="BL33" s="122">
        <f t="shared" si="18"/>
        <v>0</v>
      </c>
      <c r="BO33" s="122">
        <f t="shared" si="19"/>
        <v>0</v>
      </c>
      <c r="BR33" s="122">
        <f t="shared" si="20"/>
        <v>0</v>
      </c>
      <c r="BU33" s="122">
        <f t="shared" si="21"/>
        <v>0</v>
      </c>
      <c r="BX33" s="122">
        <f t="shared" si="22"/>
        <v>0</v>
      </c>
      <c r="CA33" s="122">
        <f t="shared" si="23"/>
        <v>0</v>
      </c>
      <c r="CD33" s="122">
        <f t="shared" si="24"/>
        <v>0</v>
      </c>
      <c r="CG33" s="122">
        <f t="shared" si="25"/>
        <v>0</v>
      </c>
      <c r="CJ33" s="122">
        <f t="shared" si="26"/>
        <v>0</v>
      </c>
      <c r="CM33" s="122">
        <f t="shared" si="27"/>
        <v>0</v>
      </c>
      <c r="CP33" s="122">
        <f t="shared" si="28"/>
        <v>0</v>
      </c>
      <c r="CS33" s="122">
        <f t="shared" si="29"/>
        <v>0</v>
      </c>
      <c r="CV33" s="122">
        <f t="shared" si="30"/>
        <v>0</v>
      </c>
      <c r="CY33" s="122">
        <f t="shared" si="31"/>
        <v>0</v>
      </c>
      <c r="DB33" s="122">
        <f t="shared" si="32"/>
        <v>0</v>
      </c>
      <c r="DE33" s="122">
        <f t="shared" si="33"/>
        <v>0</v>
      </c>
      <c r="DH33" s="122">
        <f t="shared" si="34"/>
        <v>0</v>
      </c>
      <c r="DK33" s="122">
        <f t="shared" si="35"/>
        <v>0</v>
      </c>
      <c r="DN33" s="122">
        <f t="shared" si="36"/>
        <v>0</v>
      </c>
      <c r="DQ33" s="122">
        <f t="shared" si="37"/>
        <v>0</v>
      </c>
      <c r="DT33" s="122">
        <f t="shared" si="38"/>
        <v>0</v>
      </c>
      <c r="DW33" s="122">
        <f t="shared" si="39"/>
        <v>0</v>
      </c>
      <c r="DZ33" s="122"/>
      <c r="EA33" s="122"/>
      <c r="EB33" s="157">
        <f t="shared" si="40"/>
        <v>67450000</v>
      </c>
      <c r="EC33" s="157">
        <f t="shared" si="41"/>
        <v>0</v>
      </c>
      <c r="ED33" s="122">
        <f t="shared" si="42"/>
        <v>4965.0694444444443</v>
      </c>
      <c r="EE33" s="123">
        <f t="shared" si="43"/>
        <v>2.6499999999999999E-2</v>
      </c>
      <c r="EG33" s="157">
        <f t="shared" si="44"/>
        <v>0</v>
      </c>
      <c r="EH33" s="122">
        <f t="shared" si="45"/>
        <v>0</v>
      </c>
      <c r="EI33" s="123">
        <f t="shared" si="46"/>
        <v>0</v>
      </c>
      <c r="EJ33" s="123"/>
      <c r="EK33" s="157">
        <f t="shared" si="47"/>
        <v>67450000</v>
      </c>
      <c r="EL33" s="157">
        <f t="shared" si="48"/>
        <v>0</v>
      </c>
      <c r="EM33" s="157">
        <f t="shared" si="49"/>
        <v>4965.0694444444443</v>
      </c>
      <c r="EN33" s="123">
        <f t="shared" si="50"/>
        <v>2.6499999999999999E-2</v>
      </c>
    </row>
    <row r="34" spans="1:144" x14ac:dyDescent="0.25">
      <c r="A34" s="66">
        <f t="shared" si="51"/>
        <v>43579</v>
      </c>
      <c r="D34" s="122">
        <f t="shared" si="0"/>
        <v>0</v>
      </c>
      <c r="G34" s="122">
        <f t="shared" si="1"/>
        <v>0</v>
      </c>
      <c r="J34" s="122">
        <f t="shared" si="2"/>
        <v>0</v>
      </c>
      <c r="M34" s="122">
        <f t="shared" si="3"/>
        <v>0</v>
      </c>
      <c r="P34" s="122">
        <f t="shared" si="4"/>
        <v>0</v>
      </c>
      <c r="S34" s="122">
        <f t="shared" si="5"/>
        <v>0</v>
      </c>
      <c r="V34" s="122">
        <f t="shared" si="6"/>
        <v>0</v>
      </c>
      <c r="Y34" s="122">
        <f t="shared" si="7"/>
        <v>0</v>
      </c>
      <c r="AB34" s="122">
        <f t="shared" si="8"/>
        <v>0</v>
      </c>
      <c r="AE34" s="122">
        <v>0</v>
      </c>
      <c r="AH34" s="122">
        <v>0</v>
      </c>
      <c r="AI34" s="155">
        <f>58275000</f>
        <v>58275000</v>
      </c>
      <c r="AJ34" s="156">
        <v>2.6499999999999999E-2</v>
      </c>
      <c r="AK34" s="122">
        <f t="shared" si="9"/>
        <v>4289.6875</v>
      </c>
      <c r="AN34" s="122">
        <f t="shared" si="10"/>
        <v>0</v>
      </c>
      <c r="AQ34" s="122">
        <f t="shared" si="11"/>
        <v>0</v>
      </c>
      <c r="AT34" s="122">
        <f t="shared" si="12"/>
        <v>0</v>
      </c>
      <c r="AW34" s="122">
        <f t="shared" si="13"/>
        <v>0</v>
      </c>
      <c r="AZ34" s="122">
        <f t="shared" si="14"/>
        <v>0</v>
      </c>
      <c r="BC34" s="122">
        <f t="shared" si="15"/>
        <v>0</v>
      </c>
      <c r="BF34" s="122">
        <f t="shared" si="16"/>
        <v>0</v>
      </c>
      <c r="BI34" s="122">
        <f t="shared" si="17"/>
        <v>0</v>
      </c>
      <c r="BL34" s="122">
        <f t="shared" si="18"/>
        <v>0</v>
      </c>
      <c r="BO34" s="122">
        <f t="shared" si="19"/>
        <v>0</v>
      </c>
      <c r="BR34" s="122">
        <f t="shared" si="20"/>
        <v>0</v>
      </c>
      <c r="BU34" s="122">
        <f t="shared" si="21"/>
        <v>0</v>
      </c>
      <c r="BX34" s="122">
        <f t="shared" si="22"/>
        <v>0</v>
      </c>
      <c r="CA34" s="122">
        <f t="shared" si="23"/>
        <v>0</v>
      </c>
      <c r="CD34" s="122">
        <f t="shared" si="24"/>
        <v>0</v>
      </c>
      <c r="CG34" s="122">
        <f t="shared" si="25"/>
        <v>0</v>
      </c>
      <c r="CJ34" s="122">
        <f t="shared" si="26"/>
        <v>0</v>
      </c>
      <c r="CM34" s="122">
        <f t="shared" si="27"/>
        <v>0</v>
      </c>
      <c r="CP34" s="122">
        <f t="shared" si="28"/>
        <v>0</v>
      </c>
      <c r="CS34" s="122">
        <f t="shared" si="29"/>
        <v>0</v>
      </c>
      <c r="CV34" s="122">
        <f t="shared" si="30"/>
        <v>0</v>
      </c>
      <c r="CY34" s="122">
        <f t="shared" si="31"/>
        <v>0</v>
      </c>
      <c r="DB34" s="122">
        <f t="shared" si="32"/>
        <v>0</v>
      </c>
      <c r="DE34" s="122">
        <f t="shared" si="33"/>
        <v>0</v>
      </c>
      <c r="DH34" s="122">
        <f t="shared" si="34"/>
        <v>0</v>
      </c>
      <c r="DK34" s="122">
        <f t="shared" si="35"/>
        <v>0</v>
      </c>
      <c r="DN34" s="122">
        <f t="shared" si="36"/>
        <v>0</v>
      </c>
      <c r="DQ34" s="122">
        <f t="shared" si="37"/>
        <v>0</v>
      </c>
      <c r="DT34" s="122">
        <f t="shared" si="38"/>
        <v>0</v>
      </c>
      <c r="DW34" s="122">
        <f t="shared" si="39"/>
        <v>0</v>
      </c>
      <c r="DZ34" s="122"/>
      <c r="EA34" s="122"/>
      <c r="EB34" s="157">
        <f t="shared" si="40"/>
        <v>58275000</v>
      </c>
      <c r="EC34" s="157">
        <f t="shared" si="41"/>
        <v>0</v>
      </c>
      <c r="ED34" s="122">
        <f t="shared" si="42"/>
        <v>4289.6875</v>
      </c>
      <c r="EE34" s="123">
        <f t="shared" si="43"/>
        <v>2.6499999999999999E-2</v>
      </c>
      <c r="EG34" s="157">
        <f t="shared" si="44"/>
        <v>0</v>
      </c>
      <c r="EH34" s="122">
        <f t="shared" si="45"/>
        <v>0</v>
      </c>
      <c r="EI34" s="123">
        <f t="shared" si="46"/>
        <v>0</v>
      </c>
      <c r="EJ34" s="123"/>
      <c r="EK34" s="157">
        <f t="shared" si="47"/>
        <v>58275000</v>
      </c>
      <c r="EL34" s="157">
        <f t="shared" si="48"/>
        <v>0</v>
      </c>
      <c r="EM34" s="157">
        <f t="shared" si="49"/>
        <v>4289.6875</v>
      </c>
      <c r="EN34" s="123">
        <f t="shared" si="50"/>
        <v>2.6499999999999999E-2</v>
      </c>
    </row>
    <row r="35" spans="1:144" x14ac:dyDescent="0.25">
      <c r="A35" s="66">
        <f t="shared" si="51"/>
        <v>43580</v>
      </c>
      <c r="D35" s="122">
        <f t="shared" si="0"/>
        <v>0</v>
      </c>
      <c r="G35" s="122">
        <f t="shared" si="1"/>
        <v>0</v>
      </c>
      <c r="J35" s="122">
        <f t="shared" si="2"/>
        <v>0</v>
      </c>
      <c r="M35" s="122">
        <f t="shared" si="3"/>
        <v>0</v>
      </c>
      <c r="P35" s="122">
        <f t="shared" si="4"/>
        <v>0</v>
      </c>
      <c r="S35" s="122">
        <f t="shared" si="5"/>
        <v>0</v>
      </c>
      <c r="V35" s="122">
        <f t="shared" si="6"/>
        <v>0</v>
      </c>
      <c r="Y35" s="122">
        <f t="shared" si="7"/>
        <v>0</v>
      </c>
      <c r="AB35" s="122">
        <f t="shared" si="8"/>
        <v>0</v>
      </c>
      <c r="AE35" s="122">
        <v>0</v>
      </c>
      <c r="AH35" s="122">
        <v>0</v>
      </c>
      <c r="AI35" s="155">
        <f>60175000</f>
        <v>60175000</v>
      </c>
      <c r="AJ35" s="156">
        <v>2.6499999999999999E-2</v>
      </c>
      <c r="AK35" s="122">
        <f t="shared" si="9"/>
        <v>4429.5486111111113</v>
      </c>
      <c r="AN35" s="122">
        <f t="shared" si="10"/>
        <v>0</v>
      </c>
      <c r="AQ35" s="122">
        <f t="shared" si="11"/>
        <v>0</v>
      </c>
      <c r="AT35" s="122">
        <f t="shared" si="12"/>
        <v>0</v>
      </c>
      <c r="AW35" s="122">
        <f t="shared" si="13"/>
        <v>0</v>
      </c>
      <c r="AZ35" s="122">
        <f t="shared" si="14"/>
        <v>0</v>
      </c>
      <c r="BC35" s="122">
        <f t="shared" si="15"/>
        <v>0</v>
      </c>
      <c r="BF35" s="122">
        <f t="shared" si="16"/>
        <v>0</v>
      </c>
      <c r="BI35" s="122">
        <f t="shared" si="17"/>
        <v>0</v>
      </c>
      <c r="BL35" s="122">
        <f t="shared" si="18"/>
        <v>0</v>
      </c>
      <c r="BO35" s="122">
        <f t="shared" si="19"/>
        <v>0</v>
      </c>
      <c r="BR35" s="122">
        <f t="shared" si="20"/>
        <v>0</v>
      </c>
      <c r="BU35" s="122">
        <f t="shared" si="21"/>
        <v>0</v>
      </c>
      <c r="BX35" s="122">
        <f t="shared" si="22"/>
        <v>0</v>
      </c>
      <c r="CA35" s="122">
        <f t="shared" si="23"/>
        <v>0</v>
      </c>
      <c r="CD35" s="122">
        <f t="shared" si="24"/>
        <v>0</v>
      </c>
      <c r="CG35" s="122">
        <f t="shared" si="25"/>
        <v>0</v>
      </c>
      <c r="CJ35" s="122">
        <f t="shared" si="26"/>
        <v>0</v>
      </c>
      <c r="CM35" s="122">
        <f t="shared" si="27"/>
        <v>0</v>
      </c>
      <c r="CP35" s="122">
        <f t="shared" si="28"/>
        <v>0</v>
      </c>
      <c r="CS35" s="122">
        <f t="shared" si="29"/>
        <v>0</v>
      </c>
      <c r="CV35" s="122">
        <f t="shared" si="30"/>
        <v>0</v>
      </c>
      <c r="CY35" s="122">
        <f t="shared" si="31"/>
        <v>0</v>
      </c>
      <c r="DB35" s="122">
        <f t="shared" si="32"/>
        <v>0</v>
      </c>
      <c r="DE35" s="122">
        <f t="shared" si="33"/>
        <v>0</v>
      </c>
      <c r="DH35" s="122">
        <f t="shared" si="34"/>
        <v>0</v>
      </c>
      <c r="DK35" s="122">
        <f t="shared" si="35"/>
        <v>0</v>
      </c>
      <c r="DN35" s="122">
        <f t="shared" si="36"/>
        <v>0</v>
      </c>
      <c r="DQ35" s="122">
        <f t="shared" si="37"/>
        <v>0</v>
      </c>
      <c r="DT35" s="122">
        <f t="shared" si="38"/>
        <v>0</v>
      </c>
      <c r="DW35" s="122">
        <f t="shared" si="39"/>
        <v>0</v>
      </c>
      <c r="DZ35" s="122"/>
      <c r="EA35" s="122"/>
      <c r="EB35" s="157">
        <f t="shared" si="40"/>
        <v>60175000</v>
      </c>
      <c r="EC35" s="157">
        <f t="shared" si="41"/>
        <v>0</v>
      </c>
      <c r="ED35" s="122">
        <f t="shared" si="42"/>
        <v>4429.5486111111113</v>
      </c>
      <c r="EE35" s="123">
        <f t="shared" si="43"/>
        <v>2.6499999999999999E-2</v>
      </c>
      <c r="EG35" s="157">
        <f t="shared" si="44"/>
        <v>0</v>
      </c>
      <c r="EH35" s="122">
        <f t="shared" si="45"/>
        <v>0</v>
      </c>
      <c r="EI35" s="123">
        <f t="shared" si="46"/>
        <v>0</v>
      </c>
      <c r="EJ35" s="123"/>
      <c r="EK35" s="157">
        <f t="shared" si="47"/>
        <v>60175000</v>
      </c>
      <c r="EL35" s="157">
        <f t="shared" si="48"/>
        <v>0</v>
      </c>
      <c r="EM35" s="157">
        <f t="shared" si="49"/>
        <v>4429.5486111111113</v>
      </c>
      <c r="EN35" s="123">
        <f t="shared" si="50"/>
        <v>2.6499999999999999E-2</v>
      </c>
    </row>
    <row r="36" spans="1:144" x14ac:dyDescent="0.25">
      <c r="A36" s="66">
        <f t="shared" si="51"/>
        <v>43581</v>
      </c>
      <c r="D36" s="122">
        <f t="shared" si="0"/>
        <v>0</v>
      </c>
      <c r="G36" s="122">
        <f t="shared" si="1"/>
        <v>0</v>
      </c>
      <c r="J36" s="122">
        <f t="shared" si="2"/>
        <v>0</v>
      </c>
      <c r="M36" s="122">
        <f t="shared" si="3"/>
        <v>0</v>
      </c>
      <c r="P36" s="122">
        <f t="shared" si="4"/>
        <v>0</v>
      </c>
      <c r="S36" s="122">
        <f t="shared" si="5"/>
        <v>0</v>
      </c>
      <c r="V36" s="122">
        <f t="shared" si="6"/>
        <v>0</v>
      </c>
      <c r="Y36" s="122">
        <f t="shared" si="7"/>
        <v>0</v>
      </c>
      <c r="AB36" s="122">
        <f t="shared" si="8"/>
        <v>0</v>
      </c>
      <c r="AE36" s="122">
        <v>0</v>
      </c>
      <c r="AH36" s="122">
        <v>0</v>
      </c>
      <c r="AI36" s="155">
        <f>74975000</f>
        <v>74975000</v>
      </c>
      <c r="AJ36" s="156">
        <v>2.6499999999999999E-2</v>
      </c>
      <c r="AK36" s="122">
        <f t="shared" si="9"/>
        <v>5518.9930555555557</v>
      </c>
      <c r="AN36" s="122">
        <f t="shared" si="10"/>
        <v>0</v>
      </c>
      <c r="AQ36" s="122">
        <f t="shared" si="11"/>
        <v>0</v>
      </c>
      <c r="AT36" s="122">
        <f t="shared" si="12"/>
        <v>0</v>
      </c>
      <c r="AW36" s="122">
        <f t="shared" si="13"/>
        <v>0</v>
      </c>
      <c r="AZ36" s="122">
        <f t="shared" si="14"/>
        <v>0</v>
      </c>
      <c r="BC36" s="122">
        <f t="shared" si="15"/>
        <v>0</v>
      </c>
      <c r="BF36" s="122">
        <f t="shared" si="16"/>
        <v>0</v>
      </c>
      <c r="BI36" s="122">
        <f t="shared" si="17"/>
        <v>0</v>
      </c>
      <c r="BL36" s="122">
        <f t="shared" si="18"/>
        <v>0</v>
      </c>
      <c r="BO36" s="122">
        <f t="shared" si="19"/>
        <v>0</v>
      </c>
      <c r="BR36" s="122">
        <f t="shared" si="20"/>
        <v>0</v>
      </c>
      <c r="BU36" s="122">
        <f t="shared" si="21"/>
        <v>0</v>
      </c>
      <c r="BX36" s="122">
        <f t="shared" si="22"/>
        <v>0</v>
      </c>
      <c r="CA36" s="122">
        <f t="shared" si="23"/>
        <v>0</v>
      </c>
      <c r="CD36" s="122">
        <f t="shared" si="24"/>
        <v>0</v>
      </c>
      <c r="CG36" s="122">
        <f t="shared" si="25"/>
        <v>0</v>
      </c>
      <c r="CJ36" s="122">
        <f t="shared" si="26"/>
        <v>0</v>
      </c>
      <c r="CM36" s="122">
        <f t="shared" si="27"/>
        <v>0</v>
      </c>
      <c r="CP36" s="122">
        <f t="shared" si="28"/>
        <v>0</v>
      </c>
      <c r="CS36" s="122">
        <f t="shared" si="29"/>
        <v>0</v>
      </c>
      <c r="CV36" s="122">
        <f t="shared" si="30"/>
        <v>0</v>
      </c>
      <c r="CY36" s="122">
        <f t="shared" si="31"/>
        <v>0</v>
      </c>
      <c r="DB36" s="122">
        <f t="shared" si="32"/>
        <v>0</v>
      </c>
      <c r="DE36" s="122">
        <f t="shared" si="33"/>
        <v>0</v>
      </c>
      <c r="DH36" s="122">
        <f t="shared" si="34"/>
        <v>0</v>
      </c>
      <c r="DK36" s="122">
        <f t="shared" si="35"/>
        <v>0</v>
      </c>
      <c r="DN36" s="122">
        <f t="shared" si="36"/>
        <v>0</v>
      </c>
      <c r="DQ36" s="122">
        <f t="shared" si="37"/>
        <v>0</v>
      </c>
      <c r="DT36" s="122">
        <f t="shared" si="38"/>
        <v>0</v>
      </c>
      <c r="DW36" s="122">
        <f t="shared" si="39"/>
        <v>0</v>
      </c>
      <c r="DZ36" s="122"/>
      <c r="EA36" s="122"/>
      <c r="EB36" s="157">
        <f t="shared" si="40"/>
        <v>74975000</v>
      </c>
      <c r="EC36" s="157">
        <f t="shared" si="41"/>
        <v>0</v>
      </c>
      <c r="ED36" s="122">
        <f t="shared" si="42"/>
        <v>5518.9930555555557</v>
      </c>
      <c r="EE36" s="123">
        <f t="shared" si="43"/>
        <v>2.6499999999999999E-2</v>
      </c>
      <c r="EG36" s="157">
        <f t="shared" si="44"/>
        <v>0</v>
      </c>
      <c r="EH36" s="122">
        <f t="shared" si="45"/>
        <v>0</v>
      </c>
      <c r="EI36" s="123">
        <f t="shared" si="46"/>
        <v>0</v>
      </c>
      <c r="EJ36" s="123"/>
      <c r="EK36" s="157">
        <f t="shared" si="47"/>
        <v>74975000</v>
      </c>
      <c r="EL36" s="157">
        <f t="shared" si="48"/>
        <v>0</v>
      </c>
      <c r="EM36" s="157">
        <f t="shared" si="49"/>
        <v>5518.9930555555557</v>
      </c>
      <c r="EN36" s="123">
        <f t="shared" si="50"/>
        <v>2.6499999999999999E-2</v>
      </c>
    </row>
    <row r="37" spans="1:144" x14ac:dyDescent="0.25">
      <c r="A37" s="66">
        <f t="shared" si="51"/>
        <v>43582</v>
      </c>
      <c r="D37" s="122">
        <f t="shared" si="0"/>
        <v>0</v>
      </c>
      <c r="G37" s="122">
        <f t="shared" si="1"/>
        <v>0</v>
      </c>
      <c r="J37" s="122">
        <f t="shared" si="2"/>
        <v>0</v>
      </c>
      <c r="M37" s="122">
        <f t="shared" si="3"/>
        <v>0</v>
      </c>
      <c r="P37" s="122">
        <f t="shared" si="4"/>
        <v>0</v>
      </c>
      <c r="S37" s="122">
        <f t="shared" si="5"/>
        <v>0</v>
      </c>
      <c r="V37" s="122">
        <f t="shared" si="6"/>
        <v>0</v>
      </c>
      <c r="Y37" s="122">
        <f t="shared" si="7"/>
        <v>0</v>
      </c>
      <c r="AB37" s="122">
        <f t="shared" si="8"/>
        <v>0</v>
      </c>
      <c r="AE37" s="122">
        <v>0</v>
      </c>
      <c r="AH37" s="122">
        <v>0</v>
      </c>
      <c r="AI37" s="155">
        <f>74975000</f>
        <v>74975000</v>
      </c>
      <c r="AJ37" s="156">
        <v>2.6499999999999999E-2</v>
      </c>
      <c r="AK37" s="122">
        <f t="shared" si="9"/>
        <v>5518.9930555555557</v>
      </c>
      <c r="AN37" s="122">
        <f t="shared" si="10"/>
        <v>0</v>
      </c>
      <c r="AQ37" s="122">
        <f t="shared" si="11"/>
        <v>0</v>
      </c>
      <c r="AT37" s="122">
        <f t="shared" si="12"/>
        <v>0</v>
      </c>
      <c r="AW37" s="122">
        <f t="shared" si="13"/>
        <v>0</v>
      </c>
      <c r="AZ37" s="122">
        <f t="shared" si="14"/>
        <v>0</v>
      </c>
      <c r="BC37" s="122">
        <f t="shared" si="15"/>
        <v>0</v>
      </c>
      <c r="BF37" s="122">
        <f t="shared" si="16"/>
        <v>0</v>
      </c>
      <c r="BI37" s="122">
        <f t="shared" si="17"/>
        <v>0</v>
      </c>
      <c r="BL37" s="122">
        <f t="shared" si="18"/>
        <v>0</v>
      </c>
      <c r="BO37" s="122">
        <f t="shared" si="19"/>
        <v>0</v>
      </c>
      <c r="BR37" s="122">
        <f t="shared" si="20"/>
        <v>0</v>
      </c>
      <c r="BU37" s="122">
        <f t="shared" si="21"/>
        <v>0</v>
      </c>
      <c r="BX37" s="122">
        <f t="shared" si="22"/>
        <v>0</v>
      </c>
      <c r="CA37" s="122">
        <f t="shared" si="23"/>
        <v>0</v>
      </c>
      <c r="CD37" s="122">
        <f t="shared" si="24"/>
        <v>0</v>
      </c>
      <c r="CG37" s="122">
        <f t="shared" si="25"/>
        <v>0</v>
      </c>
      <c r="CJ37" s="122">
        <f t="shared" si="26"/>
        <v>0</v>
      </c>
      <c r="CM37" s="122">
        <f t="shared" si="27"/>
        <v>0</v>
      </c>
      <c r="CP37" s="122">
        <f t="shared" si="28"/>
        <v>0</v>
      </c>
      <c r="CS37" s="122">
        <f t="shared" si="29"/>
        <v>0</v>
      </c>
      <c r="CV37" s="122">
        <f t="shared" si="30"/>
        <v>0</v>
      </c>
      <c r="CY37" s="122">
        <f t="shared" si="31"/>
        <v>0</v>
      </c>
      <c r="DB37" s="122">
        <f t="shared" si="32"/>
        <v>0</v>
      </c>
      <c r="DE37" s="122">
        <f t="shared" si="33"/>
        <v>0</v>
      </c>
      <c r="DH37" s="122">
        <f t="shared" si="34"/>
        <v>0</v>
      </c>
      <c r="DK37" s="122">
        <f t="shared" si="35"/>
        <v>0</v>
      </c>
      <c r="DN37" s="122">
        <f t="shared" si="36"/>
        <v>0</v>
      </c>
      <c r="DQ37" s="122">
        <f t="shared" si="37"/>
        <v>0</v>
      </c>
      <c r="DT37" s="122">
        <f t="shared" si="38"/>
        <v>0</v>
      </c>
      <c r="DW37" s="122">
        <f t="shared" si="39"/>
        <v>0</v>
      </c>
      <c r="DZ37" s="122"/>
      <c r="EA37" s="122"/>
      <c r="EB37" s="157">
        <f t="shared" si="40"/>
        <v>74975000</v>
      </c>
      <c r="EC37" s="157">
        <f t="shared" si="41"/>
        <v>0</v>
      </c>
      <c r="ED37" s="122">
        <f t="shared" si="42"/>
        <v>5518.9930555555557</v>
      </c>
      <c r="EE37" s="123">
        <f t="shared" si="43"/>
        <v>2.6499999999999999E-2</v>
      </c>
      <c r="EG37" s="157">
        <f t="shared" si="44"/>
        <v>0</v>
      </c>
      <c r="EH37" s="122">
        <f t="shared" si="45"/>
        <v>0</v>
      </c>
      <c r="EI37" s="123">
        <f t="shared" si="46"/>
        <v>0</v>
      </c>
      <c r="EJ37" s="123"/>
      <c r="EK37" s="157">
        <f t="shared" si="47"/>
        <v>74975000</v>
      </c>
      <c r="EL37" s="157">
        <f t="shared" si="48"/>
        <v>0</v>
      </c>
      <c r="EM37" s="157">
        <f t="shared" si="49"/>
        <v>5518.9930555555557</v>
      </c>
      <c r="EN37" s="123">
        <f t="shared" si="50"/>
        <v>2.6499999999999999E-2</v>
      </c>
    </row>
    <row r="38" spans="1:144" x14ac:dyDescent="0.25">
      <c r="A38" s="66">
        <f t="shared" si="51"/>
        <v>43583</v>
      </c>
      <c r="D38" s="122">
        <f t="shared" si="0"/>
        <v>0</v>
      </c>
      <c r="G38" s="122">
        <f t="shared" si="1"/>
        <v>0</v>
      </c>
      <c r="J38" s="122">
        <f t="shared" si="2"/>
        <v>0</v>
      </c>
      <c r="M38" s="122">
        <f t="shared" si="3"/>
        <v>0</v>
      </c>
      <c r="P38" s="122">
        <f t="shared" si="4"/>
        <v>0</v>
      </c>
      <c r="S38" s="122">
        <f t="shared" si="5"/>
        <v>0</v>
      </c>
      <c r="V38" s="122">
        <f t="shared" si="6"/>
        <v>0</v>
      </c>
      <c r="Y38" s="122">
        <f t="shared" si="7"/>
        <v>0</v>
      </c>
      <c r="AB38" s="122">
        <f t="shared" si="8"/>
        <v>0</v>
      </c>
      <c r="AE38" s="122">
        <v>0</v>
      </c>
      <c r="AH38" s="122">
        <v>0</v>
      </c>
      <c r="AI38" s="155">
        <f>74975000</f>
        <v>74975000</v>
      </c>
      <c r="AJ38" s="156">
        <v>2.6499999999999999E-2</v>
      </c>
      <c r="AK38" s="122">
        <f t="shared" si="9"/>
        <v>5518.9930555555557</v>
      </c>
      <c r="AN38" s="122">
        <f t="shared" si="10"/>
        <v>0</v>
      </c>
      <c r="AQ38" s="122">
        <f t="shared" si="11"/>
        <v>0</v>
      </c>
      <c r="AT38" s="122">
        <f t="shared" si="12"/>
        <v>0</v>
      </c>
      <c r="AW38" s="122">
        <f t="shared" si="13"/>
        <v>0</v>
      </c>
      <c r="AZ38" s="122">
        <f t="shared" si="14"/>
        <v>0</v>
      </c>
      <c r="BC38" s="122">
        <f t="shared" si="15"/>
        <v>0</v>
      </c>
      <c r="BF38" s="122">
        <f t="shared" si="16"/>
        <v>0</v>
      </c>
      <c r="BI38" s="122">
        <f t="shared" si="17"/>
        <v>0</v>
      </c>
      <c r="BL38" s="122">
        <f t="shared" si="18"/>
        <v>0</v>
      </c>
      <c r="BO38" s="122">
        <f t="shared" si="19"/>
        <v>0</v>
      </c>
      <c r="BR38" s="122">
        <f t="shared" si="20"/>
        <v>0</v>
      </c>
      <c r="BU38" s="122">
        <f t="shared" si="21"/>
        <v>0</v>
      </c>
      <c r="BX38" s="122">
        <f t="shared" si="22"/>
        <v>0</v>
      </c>
      <c r="CA38" s="122">
        <f t="shared" si="23"/>
        <v>0</v>
      </c>
      <c r="CD38" s="122">
        <f t="shared" si="24"/>
        <v>0</v>
      </c>
      <c r="CG38" s="122">
        <f t="shared" si="25"/>
        <v>0</v>
      </c>
      <c r="CJ38" s="122">
        <f t="shared" si="26"/>
        <v>0</v>
      </c>
      <c r="CM38" s="122">
        <f t="shared" si="27"/>
        <v>0</v>
      </c>
      <c r="CP38" s="122">
        <f t="shared" si="28"/>
        <v>0</v>
      </c>
      <c r="CS38" s="122">
        <f t="shared" si="29"/>
        <v>0</v>
      </c>
      <c r="CV38" s="122">
        <f t="shared" si="30"/>
        <v>0</v>
      </c>
      <c r="CY38" s="122">
        <f t="shared" si="31"/>
        <v>0</v>
      </c>
      <c r="DB38" s="122">
        <f t="shared" si="32"/>
        <v>0</v>
      </c>
      <c r="DE38" s="122">
        <f t="shared" si="33"/>
        <v>0</v>
      </c>
      <c r="DH38" s="122">
        <f t="shared" si="34"/>
        <v>0</v>
      </c>
      <c r="DK38" s="122">
        <f t="shared" si="35"/>
        <v>0</v>
      </c>
      <c r="DN38" s="122">
        <f t="shared" si="36"/>
        <v>0</v>
      </c>
      <c r="DQ38" s="122">
        <f t="shared" si="37"/>
        <v>0</v>
      </c>
      <c r="DT38" s="122">
        <f t="shared" si="38"/>
        <v>0</v>
      </c>
      <c r="DW38" s="122">
        <f t="shared" si="39"/>
        <v>0</v>
      </c>
      <c r="DZ38" s="122"/>
      <c r="EA38" s="122"/>
      <c r="EB38" s="157">
        <f t="shared" si="40"/>
        <v>74975000</v>
      </c>
      <c r="EC38" s="157">
        <f t="shared" si="41"/>
        <v>0</v>
      </c>
      <c r="ED38" s="122">
        <f t="shared" si="42"/>
        <v>5518.9930555555557</v>
      </c>
      <c r="EE38" s="123">
        <f t="shared" si="43"/>
        <v>2.6499999999999999E-2</v>
      </c>
      <c r="EG38" s="157">
        <f t="shared" si="44"/>
        <v>0</v>
      </c>
      <c r="EH38" s="122">
        <f t="shared" si="45"/>
        <v>0</v>
      </c>
      <c r="EI38" s="123">
        <f t="shared" si="46"/>
        <v>0</v>
      </c>
      <c r="EJ38" s="123"/>
      <c r="EK38" s="157">
        <f t="shared" si="47"/>
        <v>74975000</v>
      </c>
      <c r="EL38" s="157">
        <f t="shared" si="48"/>
        <v>0</v>
      </c>
      <c r="EM38" s="157">
        <f t="shared" si="49"/>
        <v>5518.9930555555557</v>
      </c>
      <c r="EN38" s="123">
        <f t="shared" si="50"/>
        <v>2.6499999999999999E-2</v>
      </c>
    </row>
    <row r="39" spans="1:144" x14ac:dyDescent="0.25">
      <c r="A39" s="66">
        <f t="shared" si="51"/>
        <v>43584</v>
      </c>
      <c r="D39" s="122">
        <f t="shared" si="0"/>
        <v>0</v>
      </c>
      <c r="G39" s="122">
        <f t="shared" si="1"/>
        <v>0</v>
      </c>
      <c r="J39" s="122">
        <f t="shared" si="2"/>
        <v>0</v>
      </c>
      <c r="M39" s="122">
        <f t="shared" si="3"/>
        <v>0</v>
      </c>
      <c r="P39" s="122">
        <f t="shared" si="4"/>
        <v>0</v>
      </c>
      <c r="S39" s="122">
        <f t="shared" si="5"/>
        <v>0</v>
      </c>
      <c r="V39" s="122">
        <f t="shared" si="6"/>
        <v>0</v>
      </c>
      <c r="Y39" s="122">
        <f t="shared" si="7"/>
        <v>0</v>
      </c>
      <c r="AB39" s="122">
        <f t="shared" si="8"/>
        <v>0</v>
      </c>
      <c r="AE39" s="122">
        <v>0</v>
      </c>
      <c r="AH39" s="122">
        <v>0</v>
      </c>
      <c r="AI39" s="155">
        <f>89950000</f>
        <v>89950000</v>
      </c>
      <c r="AJ39" s="156">
        <v>2.6499999999999999E-2</v>
      </c>
      <c r="AK39" s="122">
        <f t="shared" si="9"/>
        <v>6621.3194444444443</v>
      </c>
      <c r="AN39" s="122">
        <f t="shared" si="10"/>
        <v>0</v>
      </c>
      <c r="AQ39" s="122">
        <f t="shared" si="11"/>
        <v>0</v>
      </c>
      <c r="AT39" s="122">
        <f t="shared" si="12"/>
        <v>0</v>
      </c>
      <c r="AW39" s="122">
        <f t="shared" si="13"/>
        <v>0</v>
      </c>
      <c r="AZ39" s="122">
        <f t="shared" si="14"/>
        <v>0</v>
      </c>
      <c r="BC39" s="122">
        <f t="shared" si="15"/>
        <v>0</v>
      </c>
      <c r="BF39" s="122">
        <f t="shared" si="16"/>
        <v>0</v>
      </c>
      <c r="BI39" s="122">
        <f t="shared" si="17"/>
        <v>0</v>
      </c>
      <c r="BL39" s="122">
        <f t="shared" si="18"/>
        <v>0</v>
      </c>
      <c r="BO39" s="122">
        <f t="shared" si="19"/>
        <v>0</v>
      </c>
      <c r="BR39" s="122">
        <f t="shared" si="20"/>
        <v>0</v>
      </c>
      <c r="BU39" s="122">
        <f t="shared" si="21"/>
        <v>0</v>
      </c>
      <c r="BX39" s="122">
        <f t="shared" si="22"/>
        <v>0</v>
      </c>
      <c r="CA39" s="122">
        <f t="shared" si="23"/>
        <v>0</v>
      </c>
      <c r="CD39" s="122">
        <f t="shared" si="24"/>
        <v>0</v>
      </c>
      <c r="CG39" s="122">
        <f t="shared" si="25"/>
        <v>0</v>
      </c>
      <c r="CJ39" s="122">
        <f t="shared" si="26"/>
        <v>0</v>
      </c>
      <c r="CM39" s="122">
        <f t="shared" si="27"/>
        <v>0</v>
      </c>
      <c r="CP39" s="122">
        <f t="shared" si="28"/>
        <v>0</v>
      </c>
      <c r="CS39" s="122">
        <f t="shared" si="29"/>
        <v>0</v>
      </c>
      <c r="CV39" s="122">
        <f t="shared" si="30"/>
        <v>0</v>
      </c>
      <c r="CY39" s="122">
        <f t="shared" si="31"/>
        <v>0</v>
      </c>
      <c r="DB39" s="122">
        <f t="shared" si="32"/>
        <v>0</v>
      </c>
      <c r="DE39" s="122">
        <f t="shared" si="33"/>
        <v>0</v>
      </c>
      <c r="DH39" s="122">
        <f t="shared" si="34"/>
        <v>0</v>
      </c>
      <c r="DK39" s="122">
        <f t="shared" si="35"/>
        <v>0</v>
      </c>
      <c r="DN39" s="122">
        <f t="shared" si="36"/>
        <v>0</v>
      </c>
      <c r="DQ39" s="122">
        <f t="shared" si="37"/>
        <v>0</v>
      </c>
      <c r="DT39" s="122">
        <f t="shared" si="38"/>
        <v>0</v>
      </c>
      <c r="DW39" s="122">
        <f t="shared" si="39"/>
        <v>0</v>
      </c>
      <c r="DZ39" s="122"/>
      <c r="EA39" s="122"/>
      <c r="EB39" s="157">
        <f t="shared" si="40"/>
        <v>89950000</v>
      </c>
      <c r="EC39" s="157">
        <f t="shared" si="41"/>
        <v>0</v>
      </c>
      <c r="ED39" s="122">
        <f t="shared" si="42"/>
        <v>6621.3194444444443</v>
      </c>
      <c r="EE39" s="123">
        <f t="shared" si="43"/>
        <v>2.6499999999999999E-2</v>
      </c>
      <c r="EG39" s="157">
        <f t="shared" si="44"/>
        <v>0</v>
      </c>
      <c r="EH39" s="122">
        <f t="shared" si="45"/>
        <v>0</v>
      </c>
      <c r="EI39" s="123">
        <f t="shared" si="46"/>
        <v>0</v>
      </c>
      <c r="EJ39" s="123"/>
      <c r="EK39" s="157">
        <f t="shared" si="47"/>
        <v>89950000</v>
      </c>
      <c r="EL39" s="157">
        <f t="shared" si="48"/>
        <v>0</v>
      </c>
      <c r="EM39" s="157">
        <f t="shared" si="49"/>
        <v>6621.3194444444443</v>
      </c>
      <c r="EN39" s="123">
        <f t="shared" si="50"/>
        <v>2.6499999999999999E-2</v>
      </c>
    </row>
    <row r="40" spans="1:144" x14ac:dyDescent="0.25">
      <c r="A40" s="66">
        <f t="shared" si="51"/>
        <v>43585</v>
      </c>
      <c r="D40" s="122">
        <f t="shared" si="0"/>
        <v>0</v>
      </c>
      <c r="G40" s="122">
        <f t="shared" si="1"/>
        <v>0</v>
      </c>
      <c r="J40" s="122">
        <f t="shared" si="2"/>
        <v>0</v>
      </c>
      <c r="M40" s="122">
        <f t="shared" si="3"/>
        <v>0</v>
      </c>
      <c r="P40" s="122">
        <f t="shared" si="4"/>
        <v>0</v>
      </c>
      <c r="S40" s="122">
        <f t="shared" si="5"/>
        <v>0</v>
      </c>
      <c r="V40" s="122">
        <f t="shared" si="6"/>
        <v>0</v>
      </c>
      <c r="Y40" s="122">
        <f t="shared" si="7"/>
        <v>0</v>
      </c>
      <c r="AB40" s="122">
        <f t="shared" si="8"/>
        <v>0</v>
      </c>
      <c r="AE40" s="122">
        <v>0</v>
      </c>
      <c r="AH40" s="122">
        <v>0</v>
      </c>
      <c r="AI40" s="155">
        <f>92325000</f>
        <v>92325000</v>
      </c>
      <c r="AJ40" s="156">
        <v>2.6499999999999999E-2</v>
      </c>
      <c r="AK40" s="122">
        <f t="shared" si="9"/>
        <v>6796.145833333333</v>
      </c>
      <c r="AN40" s="122">
        <f t="shared" si="10"/>
        <v>0</v>
      </c>
      <c r="AQ40" s="122">
        <f t="shared" si="11"/>
        <v>0</v>
      </c>
      <c r="AT40" s="122">
        <f t="shared" si="12"/>
        <v>0</v>
      </c>
      <c r="AW40" s="122">
        <f t="shared" si="13"/>
        <v>0</v>
      </c>
      <c r="AZ40" s="122">
        <f t="shared" si="14"/>
        <v>0</v>
      </c>
      <c r="BC40" s="122">
        <f t="shared" si="15"/>
        <v>0</v>
      </c>
      <c r="BF40" s="122">
        <f t="shared" si="16"/>
        <v>0</v>
      </c>
      <c r="BI40" s="122">
        <f t="shared" si="17"/>
        <v>0</v>
      </c>
      <c r="BL40" s="122">
        <f t="shared" si="18"/>
        <v>0</v>
      </c>
      <c r="BO40" s="122">
        <f t="shared" si="19"/>
        <v>0</v>
      </c>
      <c r="BR40" s="122">
        <f t="shared" si="20"/>
        <v>0</v>
      </c>
      <c r="BU40" s="122">
        <f t="shared" si="21"/>
        <v>0</v>
      </c>
      <c r="BX40" s="122">
        <f t="shared" si="22"/>
        <v>0</v>
      </c>
      <c r="CA40" s="122">
        <f t="shared" si="23"/>
        <v>0</v>
      </c>
      <c r="CD40" s="122">
        <f t="shared" si="24"/>
        <v>0</v>
      </c>
      <c r="CG40" s="122">
        <f t="shared" si="25"/>
        <v>0</v>
      </c>
      <c r="CJ40" s="122">
        <f t="shared" si="26"/>
        <v>0</v>
      </c>
      <c r="CM40" s="122">
        <f t="shared" si="27"/>
        <v>0</v>
      </c>
      <c r="CP40" s="122">
        <f t="shared" si="28"/>
        <v>0</v>
      </c>
      <c r="CS40" s="122">
        <f t="shared" si="29"/>
        <v>0</v>
      </c>
      <c r="CV40" s="122">
        <f t="shared" si="30"/>
        <v>0</v>
      </c>
      <c r="CY40" s="122">
        <f t="shared" si="31"/>
        <v>0</v>
      </c>
      <c r="DB40" s="122">
        <f t="shared" si="32"/>
        <v>0</v>
      </c>
      <c r="DE40" s="122">
        <f t="shared" si="33"/>
        <v>0</v>
      </c>
      <c r="DH40" s="122">
        <f t="shared" si="34"/>
        <v>0</v>
      </c>
      <c r="DK40" s="122">
        <f t="shared" si="35"/>
        <v>0</v>
      </c>
      <c r="DN40" s="122">
        <f t="shared" si="36"/>
        <v>0</v>
      </c>
      <c r="DQ40" s="122">
        <f t="shared" si="37"/>
        <v>0</v>
      </c>
      <c r="DT40" s="122">
        <f t="shared" si="38"/>
        <v>0</v>
      </c>
      <c r="DW40" s="122">
        <f t="shared" si="39"/>
        <v>0</v>
      </c>
      <c r="DZ40" s="120"/>
      <c r="EA40" s="122"/>
      <c r="EB40" s="157">
        <f t="shared" si="40"/>
        <v>92325000</v>
      </c>
      <c r="EC40" s="157">
        <f t="shared" si="41"/>
        <v>0</v>
      </c>
      <c r="ED40" s="122">
        <f t="shared" si="42"/>
        <v>6796.145833333333</v>
      </c>
      <c r="EE40" s="123">
        <f t="shared" si="43"/>
        <v>2.6499999999999999E-2</v>
      </c>
      <c r="EG40" s="157">
        <f t="shared" si="44"/>
        <v>0</v>
      </c>
      <c r="EH40" s="122">
        <f t="shared" si="45"/>
        <v>0</v>
      </c>
      <c r="EI40" s="123">
        <f t="shared" si="46"/>
        <v>0</v>
      </c>
      <c r="EJ40" s="123"/>
      <c r="EK40" s="157">
        <f t="shared" si="47"/>
        <v>92325000</v>
      </c>
      <c r="EL40" s="157">
        <f t="shared" si="48"/>
        <v>0</v>
      </c>
      <c r="EM40" s="157">
        <f t="shared" si="49"/>
        <v>6796.145833333333</v>
      </c>
      <c r="EN40" s="123">
        <f t="shared" si="50"/>
        <v>2.6499999999999999E-2</v>
      </c>
    </row>
    <row r="41" spans="1:144" x14ac:dyDescent="0.25">
      <c r="A41" s="158" t="s">
        <v>238</v>
      </c>
      <c r="D41" s="159">
        <f>SUM(D11:D40)</f>
        <v>0</v>
      </c>
      <c r="G41" s="159">
        <f>SUM(G11:G40)</f>
        <v>0</v>
      </c>
      <c r="J41" s="159">
        <f>SUM(J11:J40)</f>
        <v>0</v>
      </c>
      <c r="M41" s="159">
        <f>SUM(M11:M40)</f>
        <v>0</v>
      </c>
      <c r="P41" s="159">
        <f>SUM(P11:P40)</f>
        <v>0</v>
      </c>
      <c r="S41" s="159">
        <f>SUM(S11:S40)</f>
        <v>0</v>
      </c>
      <c r="V41" s="159">
        <f>SUM(V11:V40)</f>
        <v>0</v>
      </c>
      <c r="Y41" s="159">
        <f>SUM(Y11:Y40)</f>
        <v>0</v>
      </c>
      <c r="AB41" s="159">
        <f>SUM(AB11:AB40)</f>
        <v>0</v>
      </c>
      <c r="AE41" s="159">
        <f>SUM(AE11:AE40)</f>
        <v>0</v>
      </c>
      <c r="AH41" s="159">
        <f>SUM(AH11:AH40)</f>
        <v>0</v>
      </c>
      <c r="AK41" s="159">
        <f>SUM(AK11:AK40)</f>
        <v>164073.71527777778</v>
      </c>
      <c r="AN41" s="159">
        <f>SUM(AN11:AN40)</f>
        <v>0</v>
      </c>
      <c r="AQ41" s="159">
        <f>SUM(AQ11:AQ40)</f>
        <v>0</v>
      </c>
      <c r="AT41" s="159">
        <f>SUM(AT11:AT40)</f>
        <v>0</v>
      </c>
      <c r="AW41" s="159">
        <f>SUM(AW11:AW40)</f>
        <v>0</v>
      </c>
      <c r="AZ41" s="159">
        <f>SUM(AZ11:AZ40)</f>
        <v>0</v>
      </c>
      <c r="BC41" s="159">
        <f>SUM(BC11:BC40)</f>
        <v>0</v>
      </c>
      <c r="BF41" s="159">
        <f>SUM(BF11:BF40)</f>
        <v>0</v>
      </c>
      <c r="BI41" s="159">
        <f>SUM(BI11:BI40)</f>
        <v>0</v>
      </c>
      <c r="BL41" s="159">
        <f>SUM(BL11:BL40)</f>
        <v>0</v>
      </c>
      <c r="BO41" s="159">
        <f>SUM(BO11:BO40)</f>
        <v>0</v>
      </c>
      <c r="BR41" s="159">
        <f>SUM(BR11:BR40)</f>
        <v>0</v>
      </c>
      <c r="BU41" s="159">
        <f>SUM(BU11:BU40)</f>
        <v>0</v>
      </c>
      <c r="BX41" s="159">
        <f>SUM(BX11:BX40)</f>
        <v>0</v>
      </c>
      <c r="CA41" s="159">
        <f>SUM(CA11:CA40)</f>
        <v>0</v>
      </c>
      <c r="CD41" s="159">
        <f>SUM(CD11:CD40)</f>
        <v>0</v>
      </c>
      <c r="CG41" s="159">
        <f>SUM(CG11:CG40)</f>
        <v>0</v>
      </c>
      <c r="CJ41" s="159">
        <f>SUM(CJ11:CJ40)</f>
        <v>0</v>
      </c>
      <c r="CM41" s="159">
        <f>SUM(CM11:CM40)</f>
        <v>0</v>
      </c>
      <c r="CP41" s="159">
        <f>SUM(CP11:CP40)</f>
        <v>0</v>
      </c>
      <c r="CS41" s="159">
        <f>SUM(CS11:CS40)</f>
        <v>0</v>
      </c>
      <c r="CV41" s="159">
        <f>SUM(CV11:CV40)</f>
        <v>0</v>
      </c>
      <c r="CY41" s="159">
        <f>SUM(CY11:CY40)</f>
        <v>0</v>
      </c>
      <c r="DB41" s="159">
        <f>SUM(DB11:DB40)</f>
        <v>0</v>
      </c>
      <c r="DE41" s="159">
        <f>SUM(DE11:DE40)</f>
        <v>0</v>
      </c>
      <c r="DH41" s="159">
        <f>SUM(DH11:DH40)</f>
        <v>0</v>
      </c>
      <c r="DK41" s="159">
        <f>SUM(DK11:DK40)</f>
        <v>0</v>
      </c>
      <c r="DN41" s="159">
        <f>SUM(DN11:DN40)</f>
        <v>0</v>
      </c>
      <c r="DQ41" s="159">
        <f>SUM(DQ11:DQ40)</f>
        <v>0</v>
      </c>
      <c r="DT41" s="159">
        <f>SUM(DT11:DT40)</f>
        <v>0</v>
      </c>
      <c r="DW41" s="159">
        <f>SUM(DW11:DW40)</f>
        <v>0</v>
      </c>
      <c r="DZ41" s="120"/>
      <c r="EA41" s="120"/>
      <c r="EB41" s="122"/>
      <c r="EC41" s="122"/>
      <c r="ED41" s="159">
        <f>SUM(ED11:ED40)</f>
        <v>164073.71527777778</v>
      </c>
      <c r="EE41" s="123"/>
      <c r="EG41" s="122"/>
      <c r="EH41" s="159">
        <f>SUM(EH11:EH40)</f>
        <v>0</v>
      </c>
      <c r="EI41" s="123"/>
      <c r="EJ41" s="123"/>
      <c r="EK41" s="122"/>
      <c r="EL41" s="122"/>
      <c r="EM41" s="159">
        <f>SUM(EM11:EM40)</f>
        <v>164073.71527777778</v>
      </c>
      <c r="EN41" s="123"/>
    </row>
    <row r="43" spans="1:144" x14ac:dyDescent="0.25">
      <c r="EM43" s="160"/>
    </row>
    <row r="44" spans="1:144" x14ac:dyDescent="0.25">
      <c r="EM44" s="122"/>
    </row>
    <row r="46" spans="1:144" x14ac:dyDescent="0.25">
      <c r="EM46" s="160"/>
    </row>
    <row r="48" spans="1:144" x14ac:dyDescent="0.25">
      <c r="EM48" s="1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Monthly Cost Tracker</vt:lpstr>
      <vt:lpstr>Rate Schedule</vt:lpstr>
      <vt:lpstr>RRR</vt:lpstr>
      <vt:lpstr>SRP</vt:lpstr>
      <vt:lpstr>RAC</vt:lpstr>
      <vt:lpstr>Jan 19 int</vt:lpstr>
      <vt:lpstr>Feb 19 int</vt:lpstr>
      <vt:lpstr>Mar 19 int</vt:lpstr>
      <vt:lpstr>Apr 19 int</vt:lpstr>
      <vt:lpstr>May 19 int</vt:lpstr>
      <vt:lpstr>June 19 int</vt:lpstr>
      <vt:lpstr>July 19 int</vt:lpstr>
      <vt:lpstr>'Rate Schedule'!Print_Area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Barkau, Christine M</dc:creator>
  <cp:lastModifiedBy>Best, Geri A</cp:lastModifiedBy>
  <cp:lastPrinted>2019-09-26T21:04:40Z</cp:lastPrinted>
  <dcterms:created xsi:type="dcterms:W3CDTF">2019-08-15T19:17:26Z</dcterms:created>
  <dcterms:modified xsi:type="dcterms:W3CDTF">2019-09-26T21:04:46Z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