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ER-2021-XXXX RESRAM Accumulation 2\"/>
    </mc:Choice>
  </mc:AlternateContent>
  <bookViews>
    <workbookView xWindow="0" yWindow="0" windowWidth="20520" windowHeight="9405" tabRatio="888" activeTab="3"/>
  </bookViews>
  <sheets>
    <sheet name="Monthly Cost Tracker 1" sheetId="31" r:id="rId1"/>
    <sheet name="Monthly Cost Tracker 2" sheetId="4" r:id="rId2"/>
    <sheet name="True-Up" sheetId="32" r:id="rId3"/>
    <sheet name="Rate Schedule" sheetId="2" r:id="rId4"/>
    <sheet name="RRR" sheetId="9" r:id="rId5"/>
    <sheet name="SRP" sheetId="10" r:id="rId6"/>
    <sheet name="RAC" sheetId="11" r:id="rId7"/>
    <sheet name="Aug 19 Int" sheetId="19" r:id="rId8"/>
    <sheet name="Sept 19 Int" sheetId="20" r:id="rId9"/>
    <sheet name="Oct 19 Int" sheetId="21" r:id="rId10"/>
    <sheet name="Nov 19 Int" sheetId="22" r:id="rId11"/>
    <sheet name="Dec 19 Int" sheetId="23" r:id="rId12"/>
    <sheet name="Jan 20 Int" sheetId="24" r:id="rId13"/>
    <sheet name="Feb 20 Int" sheetId="25" r:id="rId14"/>
    <sheet name="Mar 20 Int" sheetId="26" r:id="rId15"/>
    <sheet name="Apr 20 Int" sheetId="27" r:id="rId16"/>
    <sheet name="May 20 Int" sheetId="28" r:id="rId17"/>
    <sheet name="June 20 Int" sheetId="29" r:id="rId18"/>
    <sheet name="July 20 Int" sheetId="30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_xlnm.Print_Area" localSheetId="3">'Rate Schedule'!$A$1:$C$25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E19" i="32" l="1"/>
  <c r="E18" i="32"/>
  <c r="E17" i="32"/>
  <c r="E16" i="32"/>
  <c r="E15" i="32"/>
  <c r="E14" i="32"/>
  <c r="E13" i="32"/>
  <c r="E12" i="32"/>
  <c r="E11" i="32"/>
  <c r="E10" i="32"/>
  <c r="E9" i="32"/>
  <c r="E8" i="32"/>
  <c r="B13" i="32"/>
  <c r="B12" i="32"/>
  <c r="B11" i="32"/>
  <c r="B10" i="32"/>
  <c r="B9" i="32"/>
  <c r="B8" i="32"/>
  <c r="C14" i="32"/>
  <c r="F15" i="32"/>
  <c r="F16" i="32"/>
  <c r="F17" i="32"/>
  <c r="F18" i="32"/>
  <c r="C19" i="32"/>
  <c r="C18" i="32" l="1"/>
  <c r="G18" i="32" s="1"/>
  <c r="C17" i="32"/>
  <c r="G17" i="32" s="1"/>
  <c r="F14" i="32"/>
  <c r="G14" i="32" s="1"/>
  <c r="C16" i="32"/>
  <c r="G16" i="32" s="1"/>
  <c r="C15" i="32"/>
  <c r="G15" i="32" s="1"/>
  <c r="F19" i="32"/>
  <c r="C21" i="32" l="1"/>
  <c r="G19" i="32"/>
  <c r="C9" i="9"/>
  <c r="C8" i="9"/>
  <c r="L21" i="11" l="1"/>
  <c r="F17" i="11" l="1"/>
  <c r="F13" i="32" l="1"/>
  <c r="G13" i="32" l="1"/>
  <c r="F8" i="32" l="1"/>
  <c r="N28" i="31"/>
  <c r="M28" i="31"/>
  <c r="L28" i="31"/>
  <c r="K28" i="31"/>
  <c r="J28" i="31"/>
  <c r="I28" i="31"/>
  <c r="H28" i="31"/>
  <c r="G28" i="31"/>
  <c r="F28" i="31"/>
  <c r="E28" i="31"/>
  <c r="D28" i="31"/>
  <c r="C28" i="31"/>
  <c r="H25" i="31"/>
  <c r="G25" i="31"/>
  <c r="F25" i="31"/>
  <c r="E25" i="31"/>
  <c r="D25" i="31"/>
  <c r="C25" i="31"/>
  <c r="N20" i="31"/>
  <c r="N26" i="31" s="1"/>
  <c r="M20" i="31"/>
  <c r="M26" i="31" s="1"/>
  <c r="L20" i="31"/>
  <c r="L26" i="31" s="1"/>
  <c r="K20" i="31"/>
  <c r="K26" i="31" s="1"/>
  <c r="J20" i="31"/>
  <c r="J26" i="31" s="1"/>
  <c r="I20" i="31"/>
  <c r="I26" i="31" s="1"/>
  <c r="H20" i="31"/>
  <c r="G20" i="31"/>
  <c r="G26" i="31" s="1"/>
  <c r="F20" i="31"/>
  <c r="E20" i="31"/>
  <c r="D20" i="31"/>
  <c r="C20" i="31"/>
  <c r="F26" i="31" l="1"/>
  <c r="C26" i="31"/>
  <c r="D26" i="31"/>
  <c r="H26" i="31"/>
  <c r="E26" i="31"/>
  <c r="D21" i="32"/>
  <c r="F12" i="32"/>
  <c r="G12" i="32" s="1"/>
  <c r="F11" i="32"/>
  <c r="G11" i="32" s="1"/>
  <c r="F9" i="32"/>
  <c r="G9" i="32" s="1"/>
  <c r="F10" i="32"/>
  <c r="G10" i="32" s="1"/>
  <c r="B21" i="32"/>
  <c r="F21" i="32" l="1"/>
  <c r="C29" i="31"/>
  <c r="C31" i="31" s="1"/>
  <c r="D29" i="31" s="1"/>
  <c r="D31" i="31" s="1"/>
  <c r="E29" i="31" s="1"/>
  <c r="E31" i="31" s="1"/>
  <c r="F29" i="31" s="1"/>
  <c r="F31" i="31" s="1"/>
  <c r="G29" i="31" s="1"/>
  <c r="G31" i="31" s="1"/>
  <c r="H29" i="31" s="1"/>
  <c r="H31" i="31" s="1"/>
  <c r="I29" i="31" s="1"/>
  <c r="I31" i="31" s="1"/>
  <c r="J29" i="31" s="1"/>
  <c r="J31" i="31" s="1"/>
  <c r="K29" i="31" s="1"/>
  <c r="K31" i="31" s="1"/>
  <c r="L29" i="31" s="1"/>
  <c r="L31" i="31" s="1"/>
  <c r="M29" i="31" s="1"/>
  <c r="M31" i="31" s="1"/>
  <c r="N29" i="31" s="1"/>
  <c r="N31" i="31" s="1"/>
  <c r="G8" i="32"/>
  <c r="G21" i="32" s="1"/>
  <c r="C15" i="2" s="1"/>
  <c r="M28" i="4" l="1"/>
  <c r="L28" i="4"/>
  <c r="K28" i="4"/>
  <c r="J28" i="4"/>
  <c r="I28" i="4"/>
  <c r="H28" i="4"/>
  <c r="G28" i="4"/>
  <c r="F28" i="4"/>
  <c r="E28" i="4"/>
  <c r="D28" i="4"/>
  <c r="C28" i="4"/>
  <c r="B28" i="4"/>
  <c r="DK42" i="30"/>
  <c r="CM42" i="30"/>
  <c r="BO42" i="30"/>
  <c r="AQ42" i="30"/>
  <c r="S42" i="30"/>
  <c r="EL41" i="30"/>
  <c r="EK41" i="30"/>
  <c r="EI41" i="30"/>
  <c r="EG41" i="30"/>
  <c r="EB41" i="30"/>
  <c r="DW41" i="30"/>
  <c r="DT41" i="30"/>
  <c r="EM41" i="30" s="1"/>
  <c r="DQ41" i="30"/>
  <c r="DN41" i="30"/>
  <c r="DK41" i="30"/>
  <c r="DH41" i="30"/>
  <c r="DE41" i="30"/>
  <c r="DB41" i="30"/>
  <c r="CY41" i="30"/>
  <c r="CV41" i="30"/>
  <c r="CS41" i="30"/>
  <c r="CP41" i="30"/>
  <c r="CM41" i="30"/>
  <c r="CJ41" i="30"/>
  <c r="CG41" i="30"/>
  <c r="CD41" i="30"/>
  <c r="CA41" i="30"/>
  <c r="BX41" i="30"/>
  <c r="BU41" i="30"/>
  <c r="BR41" i="30"/>
  <c r="BO41" i="30"/>
  <c r="BL41" i="30"/>
  <c r="BI41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V41" i="30"/>
  <c r="S41" i="30"/>
  <c r="EH41" i="30" s="1"/>
  <c r="P41" i="30"/>
  <c r="M41" i="30"/>
  <c r="J41" i="30"/>
  <c r="G41" i="30"/>
  <c r="D41" i="30"/>
  <c r="ED41" i="30" s="1"/>
  <c r="EL40" i="30"/>
  <c r="EK40" i="30"/>
  <c r="EI40" i="30"/>
  <c r="EG40" i="30"/>
  <c r="EC40" i="30"/>
  <c r="EB40" i="30"/>
  <c r="DW40" i="30"/>
  <c r="DT40" i="30"/>
  <c r="EM40" i="30" s="1"/>
  <c r="DQ40" i="30"/>
  <c r="DN40" i="30"/>
  <c r="DK40" i="30"/>
  <c r="DH40" i="30"/>
  <c r="DE40" i="30"/>
  <c r="DB40" i="30"/>
  <c r="CY40" i="30"/>
  <c r="CV40" i="30"/>
  <c r="CS40" i="30"/>
  <c r="CP40" i="30"/>
  <c r="CM40" i="30"/>
  <c r="CJ40" i="30"/>
  <c r="CG40" i="30"/>
  <c r="CD40" i="30"/>
  <c r="CA40" i="30"/>
  <c r="BX40" i="30"/>
  <c r="BU40" i="30"/>
  <c r="BR40" i="30"/>
  <c r="BO40" i="30"/>
  <c r="BL40" i="30"/>
  <c r="BI40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V40" i="30"/>
  <c r="EH40" i="30" s="1"/>
  <c r="S40" i="30"/>
  <c r="P40" i="30"/>
  <c r="M40" i="30"/>
  <c r="J40" i="30"/>
  <c r="G40" i="30"/>
  <c r="D40" i="30"/>
  <c r="ED40" i="30" s="1"/>
  <c r="EE40" i="30" s="1"/>
  <c r="EL39" i="30"/>
  <c r="EK39" i="30"/>
  <c r="EG39" i="30"/>
  <c r="EI39" i="30" s="1"/>
  <c r="EB39" i="30"/>
  <c r="DW39" i="30"/>
  <c r="DT39" i="30"/>
  <c r="EM39" i="30" s="1"/>
  <c r="DQ39" i="30"/>
  <c r="DN39" i="30"/>
  <c r="DK39" i="30"/>
  <c r="DH39" i="30"/>
  <c r="DE39" i="30"/>
  <c r="DB39" i="30"/>
  <c r="CY39" i="30"/>
  <c r="CV39" i="30"/>
  <c r="CS39" i="30"/>
  <c r="CP39" i="30"/>
  <c r="CM39" i="30"/>
  <c r="CJ39" i="30"/>
  <c r="CG39" i="30"/>
  <c r="CD39" i="30"/>
  <c r="CA39" i="30"/>
  <c r="BX39" i="30"/>
  <c r="BU39" i="30"/>
  <c r="BR39" i="30"/>
  <c r="BO39" i="30"/>
  <c r="BL39" i="30"/>
  <c r="BI39" i="30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V39" i="30"/>
  <c r="S39" i="30"/>
  <c r="EH39" i="30" s="1"/>
  <c r="P39" i="30"/>
  <c r="M39" i="30"/>
  <c r="J39" i="30"/>
  <c r="G39" i="30"/>
  <c r="D39" i="30"/>
  <c r="ED39" i="30" s="1"/>
  <c r="EE39" i="30" s="1"/>
  <c r="EL38" i="30"/>
  <c r="EK38" i="30"/>
  <c r="EG38" i="30"/>
  <c r="EI38" i="30" s="1"/>
  <c r="EB38" i="30"/>
  <c r="EC38" i="30" s="1"/>
  <c r="DW38" i="30"/>
  <c r="DT38" i="30"/>
  <c r="DQ38" i="30"/>
  <c r="EM38" i="30" s="1"/>
  <c r="EN38" i="30" s="1"/>
  <c r="DN38" i="30"/>
  <c r="DK38" i="30"/>
  <c r="DH38" i="30"/>
  <c r="DE38" i="30"/>
  <c r="DB38" i="30"/>
  <c r="CY38" i="30"/>
  <c r="CV38" i="30"/>
  <c r="CS38" i="30"/>
  <c r="CP38" i="30"/>
  <c r="CM38" i="30"/>
  <c r="CJ38" i="30"/>
  <c r="CG38" i="30"/>
  <c r="CD38" i="30"/>
  <c r="CA38" i="30"/>
  <c r="BX38" i="30"/>
  <c r="BU38" i="30"/>
  <c r="BR38" i="30"/>
  <c r="BO38" i="30"/>
  <c r="BL38" i="30"/>
  <c r="BI38" i="30"/>
  <c r="BF38" i="30"/>
  <c r="BC38" i="30"/>
  <c r="AZ38" i="30"/>
  <c r="AW38" i="30"/>
  <c r="AT38" i="30"/>
  <c r="AQ38" i="30"/>
  <c r="AN38" i="30"/>
  <c r="AK38" i="30"/>
  <c r="AH38" i="30"/>
  <c r="AE38" i="30"/>
  <c r="AB38" i="30"/>
  <c r="Y38" i="30"/>
  <c r="V38" i="30"/>
  <c r="EH38" i="30" s="1"/>
  <c r="S38" i="30"/>
  <c r="P38" i="30"/>
  <c r="ED38" i="30" s="1"/>
  <c r="M38" i="30"/>
  <c r="J38" i="30"/>
  <c r="G38" i="30"/>
  <c r="D38" i="30"/>
  <c r="EL37" i="30"/>
  <c r="EK37" i="30"/>
  <c r="EN37" i="30" s="1"/>
  <c r="EI37" i="30"/>
  <c r="EG37" i="30"/>
  <c r="EB37" i="30"/>
  <c r="DW37" i="30"/>
  <c r="DT37" i="30"/>
  <c r="EM37" i="30" s="1"/>
  <c r="DQ37" i="30"/>
  <c r="DN37" i="30"/>
  <c r="DK37" i="30"/>
  <c r="DH37" i="30"/>
  <c r="DE37" i="30"/>
  <c r="DB37" i="30"/>
  <c r="CY37" i="30"/>
  <c r="CV37" i="30"/>
  <c r="CS37" i="30"/>
  <c r="CP37" i="30"/>
  <c r="CM37" i="30"/>
  <c r="CJ37" i="30"/>
  <c r="CG37" i="30"/>
  <c r="CD37" i="30"/>
  <c r="CA37" i="30"/>
  <c r="BX37" i="30"/>
  <c r="BU37" i="30"/>
  <c r="BR37" i="30"/>
  <c r="BO37" i="30"/>
  <c r="BL37" i="30"/>
  <c r="BI37" i="30"/>
  <c r="BF37" i="30"/>
  <c r="BC37" i="30"/>
  <c r="AZ37" i="30"/>
  <c r="AW37" i="30"/>
  <c r="AT37" i="30"/>
  <c r="AQ37" i="30"/>
  <c r="AN37" i="30"/>
  <c r="AK37" i="30"/>
  <c r="AH37" i="30"/>
  <c r="AE37" i="30"/>
  <c r="AB37" i="30"/>
  <c r="Y37" i="30"/>
  <c r="V37" i="30"/>
  <c r="S37" i="30"/>
  <c r="EH37" i="30" s="1"/>
  <c r="P37" i="30"/>
  <c r="M37" i="30"/>
  <c r="J37" i="30"/>
  <c r="G37" i="30"/>
  <c r="D37" i="30"/>
  <c r="ED37" i="30" s="1"/>
  <c r="EL36" i="30"/>
  <c r="EK36" i="30"/>
  <c r="EN36" i="30" s="1"/>
  <c r="EI36" i="30"/>
  <c r="EG36" i="30"/>
  <c r="EB36" i="30"/>
  <c r="EE36" i="30" s="1"/>
  <c r="DW36" i="30"/>
  <c r="DT36" i="30"/>
  <c r="EM36" i="30" s="1"/>
  <c r="DQ36" i="30"/>
  <c r="DN36" i="30"/>
  <c r="DK36" i="30"/>
  <c r="DH36" i="30"/>
  <c r="DE36" i="30"/>
  <c r="DB36" i="30"/>
  <c r="CY36" i="30"/>
  <c r="CV36" i="30"/>
  <c r="CS36" i="30"/>
  <c r="CP36" i="30"/>
  <c r="CM36" i="30"/>
  <c r="CJ36" i="30"/>
  <c r="CG36" i="30"/>
  <c r="CD36" i="30"/>
  <c r="CA36" i="30"/>
  <c r="BX36" i="30"/>
  <c r="BU36" i="30"/>
  <c r="BR36" i="30"/>
  <c r="BO36" i="30"/>
  <c r="BL36" i="30"/>
  <c r="BI36" i="30"/>
  <c r="BF36" i="30"/>
  <c r="BC36" i="30"/>
  <c r="AZ36" i="30"/>
  <c r="AW36" i="30"/>
  <c r="AT36" i="30"/>
  <c r="AQ36" i="30"/>
  <c r="AN36" i="30"/>
  <c r="AK36" i="30"/>
  <c r="AH36" i="30"/>
  <c r="AE36" i="30"/>
  <c r="AB36" i="30"/>
  <c r="Y36" i="30"/>
  <c r="V36" i="30"/>
  <c r="EH36" i="30" s="1"/>
  <c r="S36" i="30"/>
  <c r="P36" i="30"/>
  <c r="M36" i="30"/>
  <c r="J36" i="30"/>
  <c r="G36" i="30"/>
  <c r="D36" i="30"/>
  <c r="ED36" i="30" s="1"/>
  <c r="EL35" i="30"/>
  <c r="EK35" i="30"/>
  <c r="EN35" i="30" s="1"/>
  <c r="EG35" i="30"/>
  <c r="EI35" i="30" s="1"/>
  <c r="EB35" i="30"/>
  <c r="DW35" i="30"/>
  <c r="DT35" i="30"/>
  <c r="EM35" i="30" s="1"/>
  <c r="DQ35" i="30"/>
  <c r="DN35" i="30"/>
  <c r="DK35" i="30"/>
  <c r="DH35" i="30"/>
  <c r="DE35" i="30"/>
  <c r="DB35" i="30"/>
  <c r="CY35" i="30"/>
  <c r="CV35" i="30"/>
  <c r="CS35" i="30"/>
  <c r="CP35" i="30"/>
  <c r="CM35" i="30"/>
  <c r="CJ35" i="30"/>
  <c r="CG35" i="30"/>
  <c r="CD35" i="30"/>
  <c r="CA35" i="30"/>
  <c r="BX35" i="30"/>
  <c r="BU35" i="30"/>
  <c r="BR35" i="30"/>
  <c r="BO35" i="30"/>
  <c r="BL35" i="30"/>
  <c r="BI35" i="30"/>
  <c r="BF35" i="30"/>
  <c r="BC35" i="30"/>
  <c r="AZ35" i="30"/>
  <c r="AW35" i="30"/>
  <c r="AT35" i="30"/>
  <c r="AQ35" i="30"/>
  <c r="AN35" i="30"/>
  <c r="AK35" i="30"/>
  <c r="AH35" i="30"/>
  <c r="AE35" i="30"/>
  <c r="AB35" i="30"/>
  <c r="Y35" i="30"/>
  <c r="V35" i="30"/>
  <c r="S35" i="30"/>
  <c r="EH35" i="30" s="1"/>
  <c r="P35" i="30"/>
  <c r="M35" i="30"/>
  <c r="J35" i="30"/>
  <c r="G35" i="30"/>
  <c r="D35" i="30"/>
  <c r="ED35" i="30" s="1"/>
  <c r="EE35" i="30" s="1"/>
  <c r="EL34" i="30"/>
  <c r="EK34" i="30"/>
  <c r="EG34" i="30"/>
  <c r="EI34" i="30" s="1"/>
  <c r="EB34" i="30"/>
  <c r="EC34" i="30" s="1"/>
  <c r="DW34" i="30"/>
  <c r="DT34" i="30"/>
  <c r="DQ34" i="30"/>
  <c r="EM34" i="30" s="1"/>
  <c r="EN34" i="30" s="1"/>
  <c r="DN34" i="30"/>
  <c r="DK34" i="30"/>
  <c r="DH34" i="30"/>
  <c r="DE34" i="30"/>
  <c r="DB34" i="30"/>
  <c r="CY34" i="30"/>
  <c r="CV34" i="30"/>
  <c r="CS34" i="30"/>
  <c r="CP34" i="30"/>
  <c r="CM34" i="30"/>
  <c r="CJ34" i="30"/>
  <c r="CG34" i="30"/>
  <c r="CD34" i="30"/>
  <c r="CA34" i="30"/>
  <c r="BX34" i="30"/>
  <c r="BU34" i="30"/>
  <c r="BR34" i="30"/>
  <c r="BO34" i="30"/>
  <c r="BL34" i="30"/>
  <c r="BI34" i="30"/>
  <c r="BF34" i="30"/>
  <c r="BC34" i="30"/>
  <c r="AZ34" i="30"/>
  <c r="AW34" i="30"/>
  <c r="AT34" i="30"/>
  <c r="AQ34" i="30"/>
  <c r="AN34" i="30"/>
  <c r="AK34" i="30"/>
  <c r="AH34" i="30"/>
  <c r="AE34" i="30"/>
  <c r="AB34" i="30"/>
  <c r="Y34" i="30"/>
  <c r="V34" i="30"/>
  <c r="EH34" i="30" s="1"/>
  <c r="S34" i="30"/>
  <c r="P34" i="30"/>
  <c r="ED34" i="30" s="1"/>
  <c r="M34" i="30"/>
  <c r="J34" i="30"/>
  <c r="G34" i="30"/>
  <c r="D34" i="30"/>
  <c r="EL33" i="30"/>
  <c r="EK33" i="30"/>
  <c r="EI33" i="30"/>
  <c r="EG33" i="30"/>
  <c r="EB33" i="30"/>
  <c r="DW33" i="30"/>
  <c r="DT33" i="30"/>
  <c r="EM33" i="30" s="1"/>
  <c r="EN33" i="30" s="1"/>
  <c r="DQ33" i="30"/>
  <c r="DN33" i="30"/>
  <c r="DK33" i="30"/>
  <c r="DH33" i="30"/>
  <c r="DE33" i="30"/>
  <c r="DB33" i="30"/>
  <c r="CY33" i="30"/>
  <c r="CV33" i="30"/>
  <c r="CS33" i="30"/>
  <c r="CP33" i="30"/>
  <c r="CM33" i="30"/>
  <c r="CJ33" i="30"/>
  <c r="CG33" i="30"/>
  <c r="CD33" i="30"/>
  <c r="CA33" i="30"/>
  <c r="BX33" i="30"/>
  <c r="BU33" i="30"/>
  <c r="BR33" i="30"/>
  <c r="BO33" i="30"/>
  <c r="BL33" i="30"/>
  <c r="BI33" i="30"/>
  <c r="BF33" i="30"/>
  <c r="BC33" i="30"/>
  <c r="AZ33" i="30"/>
  <c r="AW33" i="30"/>
  <c r="AT33" i="30"/>
  <c r="AQ33" i="30"/>
  <c r="AN33" i="30"/>
  <c r="AK33" i="30"/>
  <c r="AH33" i="30"/>
  <c r="AE33" i="30"/>
  <c r="AB33" i="30"/>
  <c r="Y33" i="30"/>
  <c r="V33" i="30"/>
  <c r="S33" i="30"/>
  <c r="EH33" i="30" s="1"/>
  <c r="P33" i="30"/>
  <c r="M33" i="30"/>
  <c r="J33" i="30"/>
  <c r="ED33" i="30" s="1"/>
  <c r="G33" i="30"/>
  <c r="D33" i="30"/>
  <c r="EL32" i="30"/>
  <c r="EK32" i="30"/>
  <c r="EI32" i="30"/>
  <c r="EG32" i="30"/>
  <c r="EB32" i="30"/>
  <c r="DW32" i="30"/>
  <c r="DT32" i="30"/>
  <c r="EM32" i="30" s="1"/>
  <c r="DQ32" i="30"/>
  <c r="DN32" i="30"/>
  <c r="DK32" i="30"/>
  <c r="DH32" i="30"/>
  <c r="DE32" i="30"/>
  <c r="DB32" i="30"/>
  <c r="CY32" i="30"/>
  <c r="CV32" i="30"/>
  <c r="CS32" i="30"/>
  <c r="CP32" i="30"/>
  <c r="CM32" i="30"/>
  <c r="CJ32" i="30"/>
  <c r="CG32" i="30"/>
  <c r="CD32" i="30"/>
  <c r="CA32" i="30"/>
  <c r="BX32" i="30"/>
  <c r="BU32" i="30"/>
  <c r="BR32" i="30"/>
  <c r="BO32" i="30"/>
  <c r="BL32" i="30"/>
  <c r="BI32" i="30"/>
  <c r="BF32" i="30"/>
  <c r="BC32" i="30"/>
  <c r="AZ32" i="30"/>
  <c r="AW32" i="30"/>
  <c r="AT32" i="30"/>
  <c r="AQ32" i="30"/>
  <c r="AN32" i="30"/>
  <c r="AK32" i="30"/>
  <c r="AH32" i="30"/>
  <c r="AE32" i="30"/>
  <c r="AB32" i="30"/>
  <c r="Y32" i="30"/>
  <c r="V32" i="30"/>
  <c r="EH32" i="30" s="1"/>
  <c r="S32" i="30"/>
  <c r="P32" i="30"/>
  <c r="M32" i="30"/>
  <c r="J32" i="30"/>
  <c r="G32" i="30"/>
  <c r="D32" i="30"/>
  <c r="ED32" i="30" s="1"/>
  <c r="EL31" i="30"/>
  <c r="EK31" i="30"/>
  <c r="EC31" i="30" s="1"/>
  <c r="EG31" i="30"/>
  <c r="EI31" i="30" s="1"/>
  <c r="EB31" i="30"/>
  <c r="DW31" i="30"/>
  <c r="DT31" i="30"/>
  <c r="EM31" i="30" s="1"/>
  <c r="EN31" i="30" s="1"/>
  <c r="DQ31" i="30"/>
  <c r="DN31" i="30"/>
  <c r="DK31" i="30"/>
  <c r="DH31" i="30"/>
  <c r="DE31" i="30"/>
  <c r="DB31" i="30"/>
  <c r="CY31" i="30"/>
  <c r="CV31" i="30"/>
  <c r="CS31" i="30"/>
  <c r="CP31" i="30"/>
  <c r="CM31" i="30"/>
  <c r="CJ31" i="30"/>
  <c r="CG31" i="30"/>
  <c r="CD31" i="30"/>
  <c r="CA31" i="30"/>
  <c r="BX31" i="30"/>
  <c r="BU31" i="30"/>
  <c r="BR31" i="30"/>
  <c r="BO31" i="30"/>
  <c r="BL31" i="30"/>
  <c r="BI31" i="30"/>
  <c r="BF31" i="30"/>
  <c r="BC31" i="30"/>
  <c r="AZ31" i="30"/>
  <c r="AW31" i="30"/>
  <c r="AT31" i="30"/>
  <c r="AQ31" i="30"/>
  <c r="AN31" i="30"/>
  <c r="AK31" i="30"/>
  <c r="AH31" i="30"/>
  <c r="AE31" i="30"/>
  <c r="AB31" i="30"/>
  <c r="Y31" i="30"/>
  <c r="V31" i="30"/>
  <c r="S31" i="30"/>
  <c r="EH31" i="30" s="1"/>
  <c r="P31" i="30"/>
  <c r="M31" i="30"/>
  <c r="J31" i="30"/>
  <c r="G31" i="30"/>
  <c r="D31" i="30"/>
  <c r="ED31" i="30" s="1"/>
  <c r="EE31" i="30" s="1"/>
  <c r="EL30" i="30"/>
  <c r="EK30" i="30"/>
  <c r="EG30" i="30"/>
  <c r="EI30" i="30" s="1"/>
  <c r="EB30" i="30"/>
  <c r="EC30" i="30" s="1"/>
  <c r="DW30" i="30"/>
  <c r="DT30" i="30"/>
  <c r="DQ30" i="30"/>
  <c r="DN30" i="30"/>
  <c r="EM30" i="30" s="1"/>
  <c r="EN30" i="30" s="1"/>
  <c r="DK30" i="30"/>
  <c r="DH30" i="30"/>
  <c r="DE30" i="30"/>
  <c r="DB30" i="30"/>
  <c r="CY30" i="30"/>
  <c r="CV30" i="30"/>
  <c r="CS30" i="30"/>
  <c r="CP30" i="30"/>
  <c r="CM30" i="30"/>
  <c r="CJ30" i="30"/>
  <c r="CG30" i="30"/>
  <c r="CD30" i="30"/>
  <c r="CA30" i="30"/>
  <c r="BX30" i="30"/>
  <c r="BU30" i="30"/>
  <c r="BR30" i="30"/>
  <c r="BO30" i="30"/>
  <c r="BL30" i="30"/>
  <c r="BI30" i="30"/>
  <c r="BF30" i="30"/>
  <c r="BC30" i="30"/>
  <c r="AZ30" i="30"/>
  <c r="AW30" i="30"/>
  <c r="AT30" i="30"/>
  <c r="AQ30" i="30"/>
  <c r="AN30" i="30"/>
  <c r="AK30" i="30"/>
  <c r="AH30" i="30"/>
  <c r="AE30" i="30"/>
  <c r="AB30" i="30"/>
  <c r="Y30" i="30"/>
  <c r="V30" i="30"/>
  <c r="EH30" i="30" s="1"/>
  <c r="S30" i="30"/>
  <c r="P30" i="30"/>
  <c r="ED30" i="30" s="1"/>
  <c r="M30" i="30"/>
  <c r="J30" i="30"/>
  <c r="G30" i="30"/>
  <c r="D30" i="30"/>
  <c r="EL29" i="30"/>
  <c r="EK29" i="30"/>
  <c r="EI29" i="30"/>
  <c r="EG29" i="30"/>
  <c r="EB29" i="30"/>
  <c r="DW29" i="30"/>
  <c r="DT29" i="30"/>
  <c r="EM29" i="30" s="1"/>
  <c r="EN29" i="30" s="1"/>
  <c r="DQ29" i="30"/>
  <c r="DN29" i="30"/>
  <c r="DK29" i="30"/>
  <c r="DH29" i="30"/>
  <c r="DE29" i="30"/>
  <c r="DB29" i="30"/>
  <c r="CY29" i="30"/>
  <c r="CV29" i="30"/>
  <c r="CS29" i="30"/>
  <c r="CP29" i="30"/>
  <c r="CM29" i="30"/>
  <c r="CJ29" i="30"/>
  <c r="CG29" i="30"/>
  <c r="CD29" i="30"/>
  <c r="CA29" i="30"/>
  <c r="BX29" i="30"/>
  <c r="BU29" i="30"/>
  <c r="BR29" i="30"/>
  <c r="BO29" i="30"/>
  <c r="BL29" i="30"/>
  <c r="BI29" i="30"/>
  <c r="BF29" i="30"/>
  <c r="BC29" i="30"/>
  <c r="AZ29" i="30"/>
  <c r="AW29" i="30"/>
  <c r="AT29" i="30"/>
  <c r="AQ29" i="30"/>
  <c r="AN29" i="30"/>
  <c r="AK29" i="30"/>
  <c r="AH29" i="30"/>
  <c r="AE29" i="30"/>
  <c r="AB29" i="30"/>
  <c r="Y29" i="30"/>
  <c r="V29" i="30"/>
  <c r="S29" i="30"/>
  <c r="EH29" i="30" s="1"/>
  <c r="P29" i="30"/>
  <c r="M29" i="30"/>
  <c r="J29" i="30"/>
  <c r="ED29" i="30" s="1"/>
  <c r="G29" i="30"/>
  <c r="D29" i="30"/>
  <c r="EL28" i="30"/>
  <c r="EK28" i="30"/>
  <c r="EI28" i="30"/>
  <c r="EG28" i="30"/>
  <c r="EB28" i="30"/>
  <c r="EE28" i="30" s="1"/>
  <c r="DW28" i="30"/>
  <c r="DT28" i="30"/>
  <c r="EM28" i="30" s="1"/>
  <c r="DQ28" i="30"/>
  <c r="DN28" i="30"/>
  <c r="DK28" i="30"/>
  <c r="DH28" i="30"/>
  <c r="DE28" i="30"/>
  <c r="DB28" i="30"/>
  <c r="CY28" i="30"/>
  <c r="CV28" i="30"/>
  <c r="CS28" i="30"/>
  <c r="CP28" i="30"/>
  <c r="CM28" i="30"/>
  <c r="CJ28" i="30"/>
  <c r="CG28" i="30"/>
  <c r="CD28" i="30"/>
  <c r="CA28" i="30"/>
  <c r="BX28" i="30"/>
  <c r="BU28" i="30"/>
  <c r="BR28" i="30"/>
  <c r="BO28" i="30"/>
  <c r="BL28" i="30"/>
  <c r="BI2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EH28" i="30" s="1"/>
  <c r="S28" i="30"/>
  <c r="P28" i="30"/>
  <c r="M28" i="30"/>
  <c r="J28" i="30"/>
  <c r="G28" i="30"/>
  <c r="D28" i="30"/>
  <c r="ED28" i="30" s="1"/>
  <c r="EL27" i="30"/>
  <c r="EK27" i="30"/>
  <c r="EC27" i="30" s="1"/>
  <c r="EG27" i="30"/>
  <c r="EI27" i="30" s="1"/>
  <c r="EB27" i="30"/>
  <c r="DW27" i="30"/>
  <c r="DT27" i="30"/>
  <c r="EM27" i="30" s="1"/>
  <c r="EN27" i="30" s="1"/>
  <c r="DQ27" i="30"/>
  <c r="DN27" i="30"/>
  <c r="DK27" i="30"/>
  <c r="DH27" i="30"/>
  <c r="DE27" i="30"/>
  <c r="DB27" i="30"/>
  <c r="CY27" i="30"/>
  <c r="CV27" i="30"/>
  <c r="CS27" i="30"/>
  <c r="CP27" i="30"/>
  <c r="CM27" i="30"/>
  <c r="CJ27" i="30"/>
  <c r="CG27" i="30"/>
  <c r="CD27" i="30"/>
  <c r="CA27" i="30"/>
  <c r="BX27" i="30"/>
  <c r="BU27" i="30"/>
  <c r="BR27" i="30"/>
  <c r="BO27" i="30"/>
  <c r="BL27" i="30"/>
  <c r="BI27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EH27" i="30" s="1"/>
  <c r="P27" i="30"/>
  <c r="M27" i="30"/>
  <c r="J27" i="30"/>
  <c r="G27" i="30"/>
  <c r="D27" i="30"/>
  <c r="ED27" i="30" s="1"/>
  <c r="EE27" i="30" s="1"/>
  <c r="EL26" i="30"/>
  <c r="EK26" i="30"/>
  <c r="EG26" i="30"/>
  <c r="EI26" i="30" s="1"/>
  <c r="EB26" i="30"/>
  <c r="EC26" i="30" s="1"/>
  <c r="DW26" i="30"/>
  <c r="DT26" i="30"/>
  <c r="DQ26" i="30"/>
  <c r="DN26" i="30"/>
  <c r="EM26" i="30" s="1"/>
  <c r="EN26" i="30" s="1"/>
  <c r="DK26" i="30"/>
  <c r="DH26" i="30"/>
  <c r="DE26" i="30"/>
  <c r="DB26" i="30"/>
  <c r="CY26" i="30"/>
  <c r="CV26" i="30"/>
  <c r="CS26" i="30"/>
  <c r="CP26" i="30"/>
  <c r="CM26" i="30"/>
  <c r="CJ26" i="30"/>
  <c r="CG26" i="30"/>
  <c r="CD26" i="30"/>
  <c r="CA26" i="30"/>
  <c r="BX26" i="30"/>
  <c r="BU26" i="30"/>
  <c r="BR26" i="30"/>
  <c r="BO26" i="30"/>
  <c r="BL26" i="30"/>
  <c r="BI26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EH26" i="30" s="1"/>
  <c r="S26" i="30"/>
  <c r="P26" i="30"/>
  <c r="ED26" i="30" s="1"/>
  <c r="M26" i="30"/>
  <c r="J26" i="30"/>
  <c r="G26" i="30"/>
  <c r="D26" i="30"/>
  <c r="EL25" i="30"/>
  <c r="EK25" i="30"/>
  <c r="EI25" i="30"/>
  <c r="EG25" i="30"/>
  <c r="EB25" i="30"/>
  <c r="DW25" i="30"/>
  <c r="DT25" i="30"/>
  <c r="EM25" i="30" s="1"/>
  <c r="EN25" i="30" s="1"/>
  <c r="DQ25" i="30"/>
  <c r="DN25" i="30"/>
  <c r="DK25" i="30"/>
  <c r="DH25" i="30"/>
  <c r="DE25" i="30"/>
  <c r="DB25" i="30"/>
  <c r="CY25" i="30"/>
  <c r="CV25" i="30"/>
  <c r="CS25" i="30"/>
  <c r="CP25" i="30"/>
  <c r="CM25" i="30"/>
  <c r="CJ25" i="30"/>
  <c r="CG25" i="30"/>
  <c r="CD25" i="30"/>
  <c r="CA25" i="30"/>
  <c r="BX25" i="30"/>
  <c r="BU25" i="30"/>
  <c r="BR25" i="30"/>
  <c r="BO25" i="30"/>
  <c r="BL25" i="30"/>
  <c r="BI25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EH25" i="30" s="1"/>
  <c r="P25" i="30"/>
  <c r="M25" i="30"/>
  <c r="J25" i="30"/>
  <c r="ED25" i="30" s="1"/>
  <c r="G25" i="30"/>
  <c r="D25" i="30"/>
  <c r="EL24" i="30"/>
  <c r="EK24" i="30"/>
  <c r="EI24" i="30"/>
  <c r="EG24" i="30"/>
  <c r="EB24" i="30"/>
  <c r="DW24" i="30"/>
  <c r="DT24" i="30"/>
  <c r="EM24" i="30" s="1"/>
  <c r="DQ24" i="30"/>
  <c r="DN24" i="30"/>
  <c r="DK24" i="30"/>
  <c r="DH24" i="30"/>
  <c r="DE24" i="30"/>
  <c r="DB24" i="30"/>
  <c r="CY24" i="30"/>
  <c r="CV24" i="30"/>
  <c r="CS24" i="30"/>
  <c r="CP24" i="30"/>
  <c r="CM24" i="30"/>
  <c r="CJ24" i="30"/>
  <c r="CG24" i="30"/>
  <c r="CD24" i="30"/>
  <c r="CA24" i="30"/>
  <c r="BX24" i="30"/>
  <c r="BU24" i="30"/>
  <c r="BR24" i="30"/>
  <c r="BO24" i="30"/>
  <c r="BL24" i="30"/>
  <c r="BI24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EH24" i="30" s="1"/>
  <c r="S24" i="30"/>
  <c r="P24" i="30"/>
  <c r="M24" i="30"/>
  <c r="J24" i="30"/>
  <c r="G24" i="30"/>
  <c r="D24" i="30"/>
  <c r="ED24" i="30" s="1"/>
  <c r="EL23" i="30"/>
  <c r="EK23" i="30"/>
  <c r="EG23" i="30"/>
  <c r="EI23" i="30" s="1"/>
  <c r="EB23" i="30"/>
  <c r="EC23" i="30" s="1"/>
  <c r="DW23" i="30"/>
  <c r="DT23" i="30"/>
  <c r="EM23" i="30" s="1"/>
  <c r="EN23" i="30" s="1"/>
  <c r="DQ23" i="30"/>
  <c r="DN23" i="30"/>
  <c r="DK23" i="30"/>
  <c r="DH23" i="30"/>
  <c r="DE23" i="30"/>
  <c r="DB23" i="30"/>
  <c r="CY23" i="30"/>
  <c r="CV23" i="30"/>
  <c r="CS23" i="30"/>
  <c r="CP23" i="30"/>
  <c r="CM23" i="30"/>
  <c r="CJ23" i="30"/>
  <c r="CG23" i="30"/>
  <c r="CD23" i="30"/>
  <c r="CA23" i="30"/>
  <c r="BX23" i="30"/>
  <c r="BU23" i="30"/>
  <c r="BR23" i="30"/>
  <c r="BO23" i="30"/>
  <c r="BL23" i="30"/>
  <c r="BI23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EH23" i="30" s="1"/>
  <c r="P23" i="30"/>
  <c r="M23" i="30"/>
  <c r="J23" i="30"/>
  <c r="G23" i="30"/>
  <c r="D23" i="30"/>
  <c r="ED23" i="30" s="1"/>
  <c r="EE23" i="30" s="1"/>
  <c r="EL22" i="30"/>
  <c r="EK22" i="30"/>
  <c r="EG22" i="30"/>
  <c r="EI22" i="30" s="1"/>
  <c r="EB22" i="30"/>
  <c r="EC22" i="30" s="1"/>
  <c r="DW22" i="30"/>
  <c r="DT22" i="30"/>
  <c r="EM22" i="30" s="1"/>
  <c r="EN22" i="30" s="1"/>
  <c r="DQ22" i="30"/>
  <c r="DN22" i="30"/>
  <c r="DK22" i="30"/>
  <c r="DH22" i="30"/>
  <c r="DE22" i="30"/>
  <c r="DB22" i="30"/>
  <c r="CY22" i="30"/>
  <c r="CV22" i="30"/>
  <c r="CS22" i="30"/>
  <c r="CP22" i="30"/>
  <c r="CM22" i="30"/>
  <c r="CJ22" i="30"/>
  <c r="CG22" i="30"/>
  <c r="CD22" i="30"/>
  <c r="CA22" i="30"/>
  <c r="BX22" i="30"/>
  <c r="BU22" i="30"/>
  <c r="BR22" i="30"/>
  <c r="BO22" i="30"/>
  <c r="BL22" i="30"/>
  <c r="BI22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EH22" i="30" s="1"/>
  <c r="S22" i="30"/>
  <c r="P22" i="30"/>
  <c r="ED22" i="30" s="1"/>
  <c r="M22" i="30"/>
  <c r="J22" i="30"/>
  <c r="G22" i="30"/>
  <c r="D22" i="30"/>
  <c r="EL21" i="30"/>
  <c r="EK21" i="30"/>
  <c r="EI21" i="30"/>
  <c r="EG21" i="30"/>
  <c r="EB21" i="30"/>
  <c r="DW21" i="30"/>
  <c r="DT21" i="30"/>
  <c r="EM21" i="30" s="1"/>
  <c r="EN21" i="30" s="1"/>
  <c r="DQ21" i="30"/>
  <c r="DN21" i="30"/>
  <c r="DK21" i="30"/>
  <c r="DH21" i="30"/>
  <c r="DE21" i="30"/>
  <c r="DB21" i="30"/>
  <c r="CY21" i="30"/>
  <c r="CV21" i="30"/>
  <c r="CS21" i="30"/>
  <c r="CP21" i="30"/>
  <c r="CM21" i="30"/>
  <c r="CJ21" i="30"/>
  <c r="CG21" i="30"/>
  <c r="CD21" i="30"/>
  <c r="CA21" i="30"/>
  <c r="BX21" i="30"/>
  <c r="BU21" i="30"/>
  <c r="BR21" i="30"/>
  <c r="BO21" i="30"/>
  <c r="BL21" i="30"/>
  <c r="BI21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EH21" i="30" s="1"/>
  <c r="P21" i="30"/>
  <c r="M21" i="30"/>
  <c r="J21" i="30"/>
  <c r="ED21" i="30" s="1"/>
  <c r="G21" i="30"/>
  <c r="D21" i="30"/>
  <c r="EL20" i="30"/>
  <c r="EK20" i="30"/>
  <c r="EI20" i="30"/>
  <c r="EG20" i="30"/>
  <c r="EB20" i="30"/>
  <c r="EE20" i="30" s="1"/>
  <c r="DW20" i="30"/>
  <c r="DT20" i="30"/>
  <c r="EM20" i="30" s="1"/>
  <c r="EN20" i="30" s="1"/>
  <c r="DQ20" i="30"/>
  <c r="DN20" i="30"/>
  <c r="DK20" i="30"/>
  <c r="DH20" i="30"/>
  <c r="DE20" i="30"/>
  <c r="DB20" i="30"/>
  <c r="CY20" i="30"/>
  <c r="CV20" i="30"/>
  <c r="CS20" i="30"/>
  <c r="CP20" i="30"/>
  <c r="CM20" i="30"/>
  <c r="CJ20" i="30"/>
  <c r="CG20" i="30"/>
  <c r="CD20" i="30"/>
  <c r="CA20" i="30"/>
  <c r="BX20" i="30"/>
  <c r="BU20" i="30"/>
  <c r="BR20" i="30"/>
  <c r="BO20" i="30"/>
  <c r="BL20" i="30"/>
  <c r="BI20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EH20" i="30" s="1"/>
  <c r="P20" i="30"/>
  <c r="M20" i="30"/>
  <c r="J20" i="30"/>
  <c r="G20" i="30"/>
  <c r="D20" i="30"/>
  <c r="ED20" i="30" s="1"/>
  <c r="EL19" i="30"/>
  <c r="EK19" i="30"/>
  <c r="EG19" i="30"/>
  <c r="EI19" i="30" s="1"/>
  <c r="EB19" i="30"/>
  <c r="DW19" i="30"/>
  <c r="DT19" i="30"/>
  <c r="EM19" i="30" s="1"/>
  <c r="EN19" i="30" s="1"/>
  <c r="DQ19" i="30"/>
  <c r="DN19" i="30"/>
  <c r="DK19" i="30"/>
  <c r="DH19" i="30"/>
  <c r="DE19" i="30"/>
  <c r="DB19" i="30"/>
  <c r="CY19" i="30"/>
  <c r="CV19" i="30"/>
  <c r="CS19" i="30"/>
  <c r="CP19" i="30"/>
  <c r="CM19" i="30"/>
  <c r="CJ19" i="30"/>
  <c r="CG19" i="30"/>
  <c r="CD19" i="30"/>
  <c r="CA19" i="30"/>
  <c r="BX19" i="30"/>
  <c r="BU19" i="30"/>
  <c r="BR19" i="30"/>
  <c r="BO19" i="30"/>
  <c r="BL19" i="30"/>
  <c r="BI19" i="30"/>
  <c r="BF19" i="30"/>
  <c r="BC19" i="30"/>
  <c r="AZ19" i="30"/>
  <c r="AW19" i="30"/>
  <c r="AT19" i="30"/>
  <c r="AQ19" i="30"/>
  <c r="AN19" i="30"/>
  <c r="AK19" i="30"/>
  <c r="AH19" i="30"/>
  <c r="AE19" i="30"/>
  <c r="AB19" i="30"/>
  <c r="Y19" i="30"/>
  <c r="V19" i="30"/>
  <c r="S19" i="30"/>
  <c r="EH19" i="30" s="1"/>
  <c r="P19" i="30"/>
  <c r="M19" i="30"/>
  <c r="J19" i="30"/>
  <c r="G19" i="30"/>
  <c r="D19" i="30"/>
  <c r="ED19" i="30" s="1"/>
  <c r="EL18" i="30"/>
  <c r="EK18" i="30"/>
  <c r="EG18" i="30"/>
  <c r="EI18" i="30" s="1"/>
  <c r="EB18" i="30"/>
  <c r="EC18" i="30" s="1"/>
  <c r="DW18" i="30"/>
  <c r="DT18" i="30"/>
  <c r="EM18" i="30" s="1"/>
  <c r="EN18" i="30" s="1"/>
  <c r="DQ18" i="30"/>
  <c r="DN18" i="30"/>
  <c r="DK18" i="30"/>
  <c r="DH18" i="30"/>
  <c r="DE18" i="30"/>
  <c r="DB18" i="30"/>
  <c r="CY18" i="30"/>
  <c r="CV18" i="30"/>
  <c r="CS18" i="30"/>
  <c r="CP18" i="30"/>
  <c r="CM18" i="30"/>
  <c r="CJ18" i="30"/>
  <c r="CG18" i="30"/>
  <c r="CD18" i="30"/>
  <c r="CA18" i="30"/>
  <c r="BX18" i="30"/>
  <c r="BU18" i="30"/>
  <c r="BR18" i="30"/>
  <c r="BO18" i="30"/>
  <c r="BL18" i="30"/>
  <c r="BI18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EH18" i="30" s="1"/>
  <c r="P18" i="30"/>
  <c r="ED18" i="30" s="1"/>
  <c r="M18" i="30"/>
  <c r="J18" i="30"/>
  <c r="G18" i="30"/>
  <c r="D18" i="30"/>
  <c r="EL17" i="30"/>
  <c r="EK17" i="30"/>
  <c r="EI17" i="30"/>
  <c r="EG17" i="30"/>
  <c r="EB17" i="30"/>
  <c r="DW17" i="30"/>
  <c r="DT17" i="30"/>
  <c r="EM17" i="30" s="1"/>
  <c r="EN17" i="30" s="1"/>
  <c r="DQ17" i="30"/>
  <c r="DN17" i="30"/>
  <c r="DK17" i="30"/>
  <c r="DH17" i="30"/>
  <c r="DE17" i="30"/>
  <c r="DB17" i="30"/>
  <c r="CY17" i="30"/>
  <c r="CV17" i="30"/>
  <c r="CS17" i="30"/>
  <c r="CP17" i="30"/>
  <c r="CM17" i="30"/>
  <c r="CJ17" i="30"/>
  <c r="CG17" i="30"/>
  <c r="CD17" i="30"/>
  <c r="CA17" i="30"/>
  <c r="BX17" i="30"/>
  <c r="BU17" i="30"/>
  <c r="BR17" i="30"/>
  <c r="BO17" i="30"/>
  <c r="BL17" i="30"/>
  <c r="BI17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EH17" i="30" s="1"/>
  <c r="P17" i="30"/>
  <c r="M17" i="30"/>
  <c r="J17" i="30"/>
  <c r="ED17" i="30" s="1"/>
  <c r="G17" i="30"/>
  <c r="D17" i="30"/>
  <c r="EL16" i="30"/>
  <c r="EK16" i="30"/>
  <c r="EI16" i="30"/>
  <c r="EG16" i="30"/>
  <c r="EB16" i="30"/>
  <c r="DW16" i="30"/>
  <c r="DT16" i="30"/>
  <c r="EM16" i="30" s="1"/>
  <c r="EN16" i="30" s="1"/>
  <c r="DQ16" i="30"/>
  <c r="DN16" i="30"/>
  <c r="DK16" i="30"/>
  <c r="DH16" i="30"/>
  <c r="DE16" i="30"/>
  <c r="DB16" i="30"/>
  <c r="CY16" i="30"/>
  <c r="CV16" i="30"/>
  <c r="CS16" i="30"/>
  <c r="CP16" i="30"/>
  <c r="CM16" i="30"/>
  <c r="CJ16" i="30"/>
  <c r="CG16" i="30"/>
  <c r="CD16" i="30"/>
  <c r="CA16" i="30"/>
  <c r="BX16" i="30"/>
  <c r="BU16" i="30"/>
  <c r="BR16" i="30"/>
  <c r="BO16" i="30"/>
  <c r="BL16" i="30"/>
  <c r="BI16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EH16" i="30" s="1"/>
  <c r="P16" i="30"/>
  <c r="M16" i="30"/>
  <c r="J16" i="30"/>
  <c r="G16" i="30"/>
  <c r="D16" i="30"/>
  <c r="ED16" i="30" s="1"/>
  <c r="EL15" i="30"/>
  <c r="EK15" i="30"/>
  <c r="EG15" i="30"/>
  <c r="EI15" i="30" s="1"/>
  <c r="EB15" i="30"/>
  <c r="EE15" i="30" s="1"/>
  <c r="DW15" i="30"/>
  <c r="DT15" i="30"/>
  <c r="EM15" i="30" s="1"/>
  <c r="EN15" i="30" s="1"/>
  <c r="DQ15" i="30"/>
  <c r="DN15" i="30"/>
  <c r="DK15" i="30"/>
  <c r="DH15" i="30"/>
  <c r="DE15" i="30"/>
  <c r="DB15" i="30"/>
  <c r="CY15" i="30"/>
  <c r="CV15" i="30"/>
  <c r="CS15" i="30"/>
  <c r="CP15" i="30"/>
  <c r="CM15" i="30"/>
  <c r="CJ15" i="30"/>
  <c r="CG15" i="30"/>
  <c r="CD15" i="30"/>
  <c r="CA15" i="30"/>
  <c r="BX15" i="30"/>
  <c r="BU15" i="30"/>
  <c r="BR15" i="30"/>
  <c r="BO15" i="30"/>
  <c r="BL15" i="30"/>
  <c r="BI15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EH15" i="30" s="1"/>
  <c r="P15" i="30"/>
  <c r="M15" i="30"/>
  <c r="J15" i="30"/>
  <c r="G15" i="30"/>
  <c r="D15" i="30"/>
  <c r="ED15" i="30" s="1"/>
  <c r="EL14" i="30"/>
  <c r="EK14" i="30"/>
  <c r="EG14" i="30"/>
  <c r="EI14" i="30" s="1"/>
  <c r="EB14" i="30"/>
  <c r="EC14" i="30" s="1"/>
  <c r="DW14" i="30"/>
  <c r="DT14" i="30"/>
  <c r="EM14" i="30" s="1"/>
  <c r="EN14" i="30" s="1"/>
  <c r="DQ14" i="30"/>
  <c r="DN14" i="30"/>
  <c r="DK14" i="30"/>
  <c r="DH14" i="30"/>
  <c r="DE14" i="30"/>
  <c r="DB14" i="30"/>
  <c r="CY14" i="30"/>
  <c r="CV14" i="30"/>
  <c r="CS14" i="30"/>
  <c r="CP14" i="30"/>
  <c r="CM14" i="30"/>
  <c r="CJ14" i="30"/>
  <c r="CG14" i="30"/>
  <c r="CD14" i="30"/>
  <c r="CA14" i="30"/>
  <c r="BX14" i="30"/>
  <c r="BU14" i="30"/>
  <c r="BR14" i="30"/>
  <c r="BO14" i="30"/>
  <c r="BL14" i="30"/>
  <c r="BI14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EH14" i="30" s="1"/>
  <c r="P14" i="30"/>
  <c r="ED14" i="30" s="1"/>
  <c r="M14" i="30"/>
  <c r="J14" i="30"/>
  <c r="G14" i="30"/>
  <c r="D14" i="30"/>
  <c r="EL13" i="30"/>
  <c r="EK13" i="30"/>
  <c r="EI13" i="30"/>
  <c r="EG13" i="30"/>
  <c r="EB13" i="30"/>
  <c r="DW13" i="30"/>
  <c r="DT13" i="30"/>
  <c r="EM13" i="30" s="1"/>
  <c r="EN13" i="30" s="1"/>
  <c r="DQ13" i="30"/>
  <c r="DN13" i="30"/>
  <c r="DK13" i="30"/>
  <c r="DH13" i="30"/>
  <c r="DE13" i="30"/>
  <c r="DB13" i="30"/>
  <c r="CY13" i="30"/>
  <c r="CV13" i="30"/>
  <c r="CS13" i="30"/>
  <c r="CP13" i="30"/>
  <c r="CM13" i="30"/>
  <c r="CJ13" i="30"/>
  <c r="CG13" i="30"/>
  <c r="CD13" i="30"/>
  <c r="CA13" i="30"/>
  <c r="BX13" i="30"/>
  <c r="BU13" i="30"/>
  <c r="BR13" i="30"/>
  <c r="BO13" i="30"/>
  <c r="BL13" i="30"/>
  <c r="BI13" i="30"/>
  <c r="BF13" i="30"/>
  <c r="BC13" i="30"/>
  <c r="AZ13" i="30"/>
  <c r="AW13" i="30"/>
  <c r="AT13" i="30"/>
  <c r="AQ13" i="30"/>
  <c r="AN13" i="30"/>
  <c r="AK13" i="30"/>
  <c r="AH13" i="30"/>
  <c r="AE13" i="30"/>
  <c r="AB13" i="30"/>
  <c r="Y13" i="30"/>
  <c r="V13" i="30"/>
  <c r="S13" i="30"/>
  <c r="EH13" i="30" s="1"/>
  <c r="P13" i="30"/>
  <c r="M13" i="30"/>
  <c r="J13" i="30"/>
  <c r="ED13" i="30" s="1"/>
  <c r="G13" i="30"/>
  <c r="D13" i="30"/>
  <c r="EL12" i="30"/>
  <c r="EK12" i="30"/>
  <c r="EI12" i="30"/>
  <c r="EG12" i="30"/>
  <c r="EB12" i="30"/>
  <c r="EE12" i="30" s="1"/>
  <c r="DW12" i="30"/>
  <c r="DT12" i="30"/>
  <c r="EM12" i="30" s="1"/>
  <c r="EN12" i="30" s="1"/>
  <c r="DQ12" i="30"/>
  <c r="DN12" i="30"/>
  <c r="DK12" i="30"/>
  <c r="DH12" i="30"/>
  <c r="DE12" i="30"/>
  <c r="DB12" i="30"/>
  <c r="CY12" i="30"/>
  <c r="CV12" i="30"/>
  <c r="CS12" i="30"/>
  <c r="CP12" i="30"/>
  <c r="CM12" i="30"/>
  <c r="CJ12" i="30"/>
  <c r="CG12" i="30"/>
  <c r="CD12" i="30"/>
  <c r="CA12" i="30"/>
  <c r="BX12" i="30"/>
  <c r="BU12" i="30"/>
  <c r="BR12" i="30"/>
  <c r="BO12" i="30"/>
  <c r="BL12" i="30"/>
  <c r="BI12" i="30"/>
  <c r="BF12" i="30"/>
  <c r="BC12" i="30"/>
  <c r="AZ12" i="30"/>
  <c r="AW12" i="30"/>
  <c r="AT12" i="30"/>
  <c r="AQ12" i="30"/>
  <c r="AN12" i="30"/>
  <c r="AK12" i="30"/>
  <c r="AH12" i="30"/>
  <c r="AE12" i="30"/>
  <c r="AB12" i="30"/>
  <c r="Y12" i="30"/>
  <c r="V12" i="30"/>
  <c r="EH12" i="30" s="1"/>
  <c r="S12" i="30"/>
  <c r="P12" i="30"/>
  <c r="M12" i="30"/>
  <c r="J12" i="30"/>
  <c r="G12" i="30"/>
  <c r="D12" i="30"/>
  <c r="ED12" i="30" s="1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L11" i="30"/>
  <c r="EK11" i="30"/>
  <c r="EG11" i="30"/>
  <c r="EI5" i="30" s="1"/>
  <c r="EB11" i="30"/>
  <c r="DW11" i="30"/>
  <c r="DW42" i="30" s="1"/>
  <c r="DT11" i="30"/>
  <c r="EM11" i="30" s="1"/>
  <c r="DQ11" i="30"/>
  <c r="DQ42" i="30" s="1"/>
  <c r="DN11" i="30"/>
  <c r="DN42" i="30" s="1"/>
  <c r="DK11" i="30"/>
  <c r="DH11" i="30"/>
  <c r="DH42" i="30" s="1"/>
  <c r="DE11" i="30"/>
  <c r="DE42" i="30" s="1"/>
  <c r="DB11" i="30"/>
  <c r="DB42" i="30" s="1"/>
  <c r="CY11" i="30"/>
  <c r="CY42" i="30" s="1"/>
  <c r="CV11" i="30"/>
  <c r="CV42" i="30" s="1"/>
  <c r="CS11" i="30"/>
  <c r="CS42" i="30" s="1"/>
  <c r="CP11" i="30"/>
  <c r="CP42" i="30" s="1"/>
  <c r="CM11" i="30"/>
  <c r="CJ11" i="30"/>
  <c r="CJ42" i="30" s="1"/>
  <c r="CG11" i="30"/>
  <c r="CG42" i="30" s="1"/>
  <c r="CD11" i="30"/>
  <c r="CD42" i="30" s="1"/>
  <c r="CA11" i="30"/>
  <c r="CA42" i="30" s="1"/>
  <c r="BX11" i="30"/>
  <c r="BX42" i="30" s="1"/>
  <c r="BU11" i="30"/>
  <c r="BU42" i="30" s="1"/>
  <c r="BR11" i="30"/>
  <c r="BR42" i="30" s="1"/>
  <c r="BO11" i="30"/>
  <c r="BL11" i="30"/>
  <c r="BL42" i="30" s="1"/>
  <c r="BI11" i="30"/>
  <c r="BI42" i="30" s="1"/>
  <c r="BF11" i="30"/>
  <c r="BF42" i="30" s="1"/>
  <c r="BC11" i="30"/>
  <c r="BC42" i="30" s="1"/>
  <c r="AZ11" i="30"/>
  <c r="AZ42" i="30" s="1"/>
  <c r="AW11" i="30"/>
  <c r="AW42" i="30" s="1"/>
  <c r="AT11" i="30"/>
  <c r="AT42" i="30" s="1"/>
  <c r="AQ11" i="30"/>
  <c r="AN11" i="30"/>
  <c r="AN42" i="30" s="1"/>
  <c r="AK11" i="30"/>
  <c r="AK42" i="30" s="1"/>
  <c r="AH11" i="30"/>
  <c r="AH42" i="30" s="1"/>
  <c r="AE11" i="30"/>
  <c r="AE42" i="30" s="1"/>
  <c r="AB11" i="30"/>
  <c r="AB42" i="30" s="1"/>
  <c r="Y11" i="30"/>
  <c r="Y42" i="30" s="1"/>
  <c r="V11" i="30"/>
  <c r="V42" i="30" s="1"/>
  <c r="S11" i="30"/>
  <c r="EH11" i="30" s="1"/>
  <c r="EH42" i="30" s="1"/>
  <c r="P11" i="30"/>
  <c r="P42" i="30" s="1"/>
  <c r="M11" i="30"/>
  <c r="M42" i="30" s="1"/>
  <c r="J11" i="30"/>
  <c r="J42" i="30" s="1"/>
  <c r="G11" i="30"/>
  <c r="G42" i="30" s="1"/>
  <c r="D11" i="30"/>
  <c r="ED11" i="30" s="1"/>
  <c r="EN5" i="30"/>
  <c r="EN3" i="30"/>
  <c r="EN2" i="30"/>
  <c r="EP2" i="30" s="1"/>
  <c r="EI2" i="30"/>
  <c r="EE2" i="30"/>
  <c r="EQ2" i="30" s="1"/>
  <c r="G4" i="30" s="1"/>
  <c r="EE11" i="30" l="1"/>
  <c r="EE17" i="30"/>
  <c r="EN24" i="30"/>
  <c r="EE33" i="30"/>
  <c r="EN41" i="30"/>
  <c r="EE32" i="30"/>
  <c r="EN39" i="30"/>
  <c r="EN40" i="30"/>
  <c r="EE16" i="30"/>
  <c r="EE21" i="30"/>
  <c r="EN28" i="30"/>
  <c r="EE37" i="30"/>
  <c r="EN4" i="30"/>
  <c r="EE25" i="30"/>
  <c r="EN32" i="30"/>
  <c r="EE19" i="30"/>
  <c r="EE24" i="30"/>
  <c r="EE41" i="30"/>
  <c r="ED42" i="30"/>
  <c r="EM42" i="30"/>
  <c r="EN11" i="30"/>
  <c r="EE13" i="30"/>
  <c r="EE29" i="30"/>
  <c r="EC13" i="30"/>
  <c r="EE14" i="30"/>
  <c r="EC17" i="30"/>
  <c r="EE18" i="30"/>
  <c r="EC21" i="30"/>
  <c r="EE22" i="30"/>
  <c r="EC25" i="30"/>
  <c r="EE26" i="30"/>
  <c r="EC29" i="30"/>
  <c r="EE30" i="30"/>
  <c r="EC33" i="30"/>
  <c r="EE34" i="30"/>
  <c r="EC37" i="30"/>
  <c r="EE38" i="30"/>
  <c r="EC41" i="30"/>
  <c r="EI11" i="30"/>
  <c r="EC12" i="30"/>
  <c r="EC16" i="30"/>
  <c r="EC20" i="30"/>
  <c r="EC24" i="30"/>
  <c r="EC28" i="30"/>
  <c r="EC32" i="30"/>
  <c r="EC36" i="30"/>
  <c r="D42" i="30"/>
  <c r="DT42" i="30"/>
  <c r="EE3" i="30"/>
  <c r="EE5" i="30"/>
  <c r="G7" i="30" s="1"/>
  <c r="EC11" i="30"/>
  <c r="EC15" i="30"/>
  <c r="EC19" i="30"/>
  <c r="EC35" i="30"/>
  <c r="EC39" i="30"/>
  <c r="EI3" i="30"/>
  <c r="EI4" i="30" s="1"/>
  <c r="G5" i="30" l="1"/>
  <c r="EE4" i="30"/>
  <c r="G6" i="30" s="1"/>
  <c r="EL40" i="29" l="1"/>
  <c r="EG40" i="29"/>
  <c r="EI40" i="29" s="1"/>
  <c r="DW40" i="29"/>
  <c r="DT40" i="29"/>
  <c r="DQ40" i="29"/>
  <c r="DN40" i="29"/>
  <c r="DK40" i="29"/>
  <c r="DH40" i="29"/>
  <c r="DE40" i="29"/>
  <c r="DB40" i="29"/>
  <c r="CY40" i="29"/>
  <c r="CV40" i="29"/>
  <c r="CS40" i="29"/>
  <c r="CP40" i="29"/>
  <c r="CM40" i="29"/>
  <c r="CJ40" i="29"/>
  <c r="CG40" i="29"/>
  <c r="CD40" i="29"/>
  <c r="CA40" i="29"/>
  <c r="BX40" i="29"/>
  <c r="BU40" i="29"/>
  <c r="BR40" i="29"/>
  <c r="BO40" i="29"/>
  <c r="BL40" i="29"/>
  <c r="BI40" i="29"/>
  <c r="BF40" i="29"/>
  <c r="BC40" i="29"/>
  <c r="AZ40" i="29"/>
  <c r="AW40" i="29"/>
  <c r="AT40" i="29"/>
  <c r="AQ40" i="29"/>
  <c r="AN40" i="29"/>
  <c r="AI40" i="29"/>
  <c r="EK40" i="29" s="1"/>
  <c r="AH40" i="29"/>
  <c r="AE40" i="29"/>
  <c r="AB40" i="29"/>
  <c r="Y40" i="29"/>
  <c r="EH40" i="29" s="1"/>
  <c r="V40" i="29"/>
  <c r="S40" i="29"/>
  <c r="P40" i="29"/>
  <c r="M40" i="29"/>
  <c r="J40" i="29"/>
  <c r="G40" i="29"/>
  <c r="D40" i="29"/>
  <c r="EL39" i="29"/>
  <c r="EK39" i="29"/>
  <c r="EN39" i="29" s="1"/>
  <c r="EI39" i="29"/>
  <c r="EG39" i="29"/>
  <c r="EB39" i="29"/>
  <c r="EC39" i="29" s="1"/>
  <c r="DW39" i="29"/>
  <c r="DT39" i="29"/>
  <c r="EM39" i="29" s="1"/>
  <c r="DQ39" i="29"/>
  <c r="DN39" i="29"/>
  <c r="DK39" i="29"/>
  <c r="DH39" i="29"/>
  <c r="DE39" i="29"/>
  <c r="DB39" i="29"/>
  <c r="CY39" i="29"/>
  <c r="CV39" i="29"/>
  <c r="CS39" i="29"/>
  <c r="CP39" i="29"/>
  <c r="CM39" i="29"/>
  <c r="CJ39" i="29"/>
  <c r="CG39" i="29"/>
  <c r="CD39" i="29"/>
  <c r="CA39" i="29"/>
  <c r="BX39" i="29"/>
  <c r="BU39" i="29"/>
  <c r="BR39" i="29"/>
  <c r="BO39" i="29"/>
  <c r="BL39" i="29"/>
  <c r="BI39" i="29"/>
  <c r="BF39" i="29"/>
  <c r="BC39" i="29"/>
  <c r="AZ39" i="29"/>
  <c r="AW39" i="29"/>
  <c r="AT39" i="29"/>
  <c r="AQ39" i="29"/>
  <c r="AN39" i="29"/>
  <c r="AK39" i="29"/>
  <c r="AH39" i="29"/>
  <c r="AE39" i="29"/>
  <c r="AB39" i="29"/>
  <c r="Y39" i="29"/>
  <c r="V39" i="29"/>
  <c r="S39" i="29"/>
  <c r="EH39" i="29" s="1"/>
  <c r="P39" i="29"/>
  <c r="M39" i="29"/>
  <c r="J39" i="29"/>
  <c r="G39" i="29"/>
  <c r="D39" i="29"/>
  <c r="ED39" i="29" s="1"/>
  <c r="EE39" i="29" s="1"/>
  <c r="EN38" i="29"/>
  <c r="EL38" i="29"/>
  <c r="EK38" i="29"/>
  <c r="EG38" i="29"/>
  <c r="EI38" i="29" s="1"/>
  <c r="EC38" i="29"/>
  <c r="EB38" i="29"/>
  <c r="EE38" i="29" s="1"/>
  <c r="DW38" i="29"/>
  <c r="DT38" i="29"/>
  <c r="DQ38" i="29"/>
  <c r="EM38" i="29" s="1"/>
  <c r="DN38" i="29"/>
  <c r="DK38" i="29"/>
  <c r="DH38" i="29"/>
  <c r="DE38" i="29"/>
  <c r="DB38" i="29"/>
  <c r="CY38" i="29"/>
  <c r="CV38" i="29"/>
  <c r="CS38" i="29"/>
  <c r="CP38" i="29"/>
  <c r="CM38" i="29"/>
  <c r="CJ38" i="29"/>
  <c r="CG38" i="29"/>
  <c r="CD38" i="29"/>
  <c r="CA38" i="29"/>
  <c r="BX38" i="29"/>
  <c r="BU38" i="29"/>
  <c r="BR38" i="29"/>
  <c r="BO38" i="29"/>
  <c r="BL38" i="29"/>
  <c r="BI38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EH38" i="29" s="1"/>
  <c r="V38" i="29"/>
  <c r="S38" i="29"/>
  <c r="P38" i="29"/>
  <c r="M38" i="29"/>
  <c r="J38" i="29"/>
  <c r="G38" i="29"/>
  <c r="D38" i="29"/>
  <c r="ED38" i="29" s="1"/>
  <c r="EL37" i="29"/>
  <c r="EK37" i="29"/>
  <c r="EN37" i="29" s="1"/>
  <c r="EG37" i="29"/>
  <c r="EI37" i="29" s="1"/>
  <c r="EB37" i="29"/>
  <c r="EC37" i="29" s="1"/>
  <c r="DW37" i="29"/>
  <c r="DT37" i="29"/>
  <c r="EM37" i="29" s="1"/>
  <c r="DQ37" i="29"/>
  <c r="DN37" i="29"/>
  <c r="DK37" i="29"/>
  <c r="DH37" i="29"/>
  <c r="DE37" i="29"/>
  <c r="DB37" i="29"/>
  <c r="CY37" i="29"/>
  <c r="CV37" i="29"/>
  <c r="CS37" i="29"/>
  <c r="CP37" i="29"/>
  <c r="CM37" i="29"/>
  <c r="CJ37" i="29"/>
  <c r="CG37" i="29"/>
  <c r="CD37" i="29"/>
  <c r="CA37" i="29"/>
  <c r="BX37" i="29"/>
  <c r="BU37" i="29"/>
  <c r="BR37" i="29"/>
  <c r="BO37" i="29"/>
  <c r="BL37" i="29"/>
  <c r="BI37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V37" i="29"/>
  <c r="S37" i="29"/>
  <c r="EH37" i="29" s="1"/>
  <c r="P37" i="29"/>
  <c r="M37" i="29"/>
  <c r="J37" i="29"/>
  <c r="G37" i="29"/>
  <c r="ED37" i="29" s="1"/>
  <c r="EE37" i="29" s="1"/>
  <c r="D37" i="29"/>
  <c r="EN36" i="29"/>
  <c r="EL36" i="29"/>
  <c r="EK36" i="29"/>
  <c r="EI36" i="29"/>
  <c r="EG36" i="29"/>
  <c r="EC36" i="29"/>
  <c r="EB36" i="29"/>
  <c r="DW36" i="29"/>
  <c r="DT36" i="29"/>
  <c r="DQ36" i="29"/>
  <c r="DN36" i="29"/>
  <c r="DK36" i="29"/>
  <c r="DH36" i="29"/>
  <c r="DE36" i="29"/>
  <c r="EM36" i="29" s="1"/>
  <c r="DB36" i="29"/>
  <c r="CY36" i="29"/>
  <c r="CV36" i="29"/>
  <c r="CS36" i="29"/>
  <c r="CP36" i="29"/>
  <c r="CM36" i="29"/>
  <c r="CJ36" i="29"/>
  <c r="CG36" i="29"/>
  <c r="CD36" i="29"/>
  <c r="CA36" i="29"/>
  <c r="BX36" i="29"/>
  <c r="BU36" i="29"/>
  <c r="BR36" i="29"/>
  <c r="BO36" i="29"/>
  <c r="BL36" i="29"/>
  <c r="BI36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EH36" i="29" s="1"/>
  <c r="V36" i="29"/>
  <c r="S36" i="29"/>
  <c r="P36" i="29"/>
  <c r="M36" i="29"/>
  <c r="J36" i="29"/>
  <c r="G36" i="29"/>
  <c r="D36" i="29"/>
  <c r="ED36" i="29" s="1"/>
  <c r="EL35" i="29"/>
  <c r="EK35" i="29"/>
  <c r="EN35" i="29" s="1"/>
  <c r="EI35" i="29"/>
  <c r="EG35" i="29"/>
  <c r="EB35" i="29"/>
  <c r="EC35" i="29" s="1"/>
  <c r="DW35" i="29"/>
  <c r="DT35" i="29"/>
  <c r="EM35" i="29" s="1"/>
  <c r="DQ35" i="29"/>
  <c r="DN35" i="29"/>
  <c r="DK35" i="29"/>
  <c r="DH35" i="29"/>
  <c r="DE35" i="29"/>
  <c r="DB35" i="29"/>
  <c r="CY35" i="29"/>
  <c r="CV35" i="29"/>
  <c r="CS35" i="29"/>
  <c r="CP35" i="29"/>
  <c r="CM35" i="29"/>
  <c r="CJ35" i="29"/>
  <c r="CG35" i="29"/>
  <c r="CD35" i="29"/>
  <c r="CA35" i="29"/>
  <c r="BX35" i="29"/>
  <c r="BU35" i="29"/>
  <c r="BR35" i="29"/>
  <c r="BO35" i="29"/>
  <c r="BL35" i="29"/>
  <c r="BI35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V35" i="29"/>
  <c r="S35" i="29"/>
  <c r="EH35" i="29" s="1"/>
  <c r="P35" i="29"/>
  <c r="M35" i="29"/>
  <c r="J35" i="29"/>
  <c r="G35" i="29"/>
  <c r="D35" i="29"/>
  <c r="ED35" i="29" s="1"/>
  <c r="EE35" i="29" s="1"/>
  <c r="EN34" i="29"/>
  <c r="EL34" i="29"/>
  <c r="EK34" i="29"/>
  <c r="EI34" i="29"/>
  <c r="EG34" i="29"/>
  <c r="EC34" i="29"/>
  <c r="EB34" i="29"/>
  <c r="DW34" i="29"/>
  <c r="DT34" i="29"/>
  <c r="EM34" i="29" s="1"/>
  <c r="DQ34" i="29"/>
  <c r="DN34" i="29"/>
  <c r="DK34" i="29"/>
  <c r="DH34" i="29"/>
  <c r="DE34" i="29"/>
  <c r="DB34" i="29"/>
  <c r="CY34" i="29"/>
  <c r="CV34" i="29"/>
  <c r="CS34" i="29"/>
  <c r="CP34" i="29"/>
  <c r="CM34" i="29"/>
  <c r="CJ34" i="29"/>
  <c r="CG34" i="29"/>
  <c r="CD34" i="29"/>
  <c r="CA34" i="29"/>
  <c r="BX34" i="29"/>
  <c r="BU34" i="29"/>
  <c r="BR34" i="29"/>
  <c r="BO34" i="29"/>
  <c r="BL34" i="29"/>
  <c r="BI34" i="29"/>
  <c r="BF34" i="29"/>
  <c r="BC34" i="29"/>
  <c r="AZ34" i="29"/>
  <c r="AW34" i="29"/>
  <c r="AT34" i="29"/>
  <c r="AQ34" i="29"/>
  <c r="AN34" i="29"/>
  <c r="AK34" i="29"/>
  <c r="AH34" i="29"/>
  <c r="AE34" i="29"/>
  <c r="AB34" i="29"/>
  <c r="Y34" i="29"/>
  <c r="EH34" i="29" s="1"/>
  <c r="V34" i="29"/>
  <c r="S34" i="29"/>
  <c r="P34" i="29"/>
  <c r="M34" i="29"/>
  <c r="J34" i="29"/>
  <c r="G34" i="29"/>
  <c r="D34" i="29"/>
  <c r="ED34" i="29" s="1"/>
  <c r="EL33" i="29"/>
  <c r="EK33" i="29"/>
  <c r="EN33" i="29" s="1"/>
  <c r="EG33" i="29"/>
  <c r="EI33" i="29" s="1"/>
  <c r="EB33" i="29"/>
  <c r="EC33" i="29" s="1"/>
  <c r="DW33" i="29"/>
  <c r="DT33" i="29"/>
  <c r="EM33" i="29" s="1"/>
  <c r="DQ33" i="29"/>
  <c r="DN33" i="29"/>
  <c r="DK33" i="29"/>
  <c r="DH33" i="29"/>
  <c r="DE33" i="29"/>
  <c r="DB33" i="29"/>
  <c r="CY33" i="29"/>
  <c r="CV33" i="29"/>
  <c r="CS33" i="29"/>
  <c r="CP33" i="29"/>
  <c r="CM33" i="29"/>
  <c r="CJ33" i="29"/>
  <c r="CG33" i="29"/>
  <c r="CD33" i="29"/>
  <c r="CA33" i="29"/>
  <c r="BX33" i="29"/>
  <c r="BU33" i="29"/>
  <c r="BR33" i="29"/>
  <c r="BO33" i="29"/>
  <c r="BL33" i="29"/>
  <c r="BI33" i="29"/>
  <c r="BF33" i="29"/>
  <c r="BC33" i="29"/>
  <c r="AZ33" i="29"/>
  <c r="AW33" i="29"/>
  <c r="AT33" i="29"/>
  <c r="AQ33" i="29"/>
  <c r="AN33" i="29"/>
  <c r="AK33" i="29"/>
  <c r="AH33" i="29"/>
  <c r="AE33" i="29"/>
  <c r="AB33" i="29"/>
  <c r="Y33" i="29"/>
  <c r="V33" i="29"/>
  <c r="S33" i="29"/>
  <c r="EH33" i="29" s="1"/>
  <c r="P33" i="29"/>
  <c r="M33" i="29"/>
  <c r="J33" i="29"/>
  <c r="G33" i="29"/>
  <c r="ED33" i="29" s="1"/>
  <c r="EE33" i="29" s="1"/>
  <c r="D33" i="29"/>
  <c r="EN32" i="29"/>
  <c r="EL32" i="29"/>
  <c r="EK32" i="29"/>
  <c r="EI32" i="29"/>
  <c r="EG32" i="29"/>
  <c r="EC32" i="29"/>
  <c r="EB32" i="29"/>
  <c r="DW32" i="29"/>
  <c r="DT32" i="29"/>
  <c r="DQ32" i="29"/>
  <c r="DN32" i="29"/>
  <c r="DK32" i="29"/>
  <c r="DH32" i="29"/>
  <c r="DE32" i="29"/>
  <c r="EM32" i="29" s="1"/>
  <c r="DB32" i="29"/>
  <c r="CY32" i="29"/>
  <c r="CV32" i="29"/>
  <c r="CS32" i="29"/>
  <c r="CP32" i="29"/>
  <c r="CM32" i="29"/>
  <c r="CJ32" i="29"/>
  <c r="CG32" i="29"/>
  <c r="CD32" i="29"/>
  <c r="CA32" i="29"/>
  <c r="BX32" i="29"/>
  <c r="BU32" i="29"/>
  <c r="BR32" i="29"/>
  <c r="BO32" i="29"/>
  <c r="BL32" i="29"/>
  <c r="BI32" i="29"/>
  <c r="BF32" i="29"/>
  <c r="BC32" i="29"/>
  <c r="AZ32" i="29"/>
  <c r="AW32" i="29"/>
  <c r="AT32" i="29"/>
  <c r="AQ32" i="29"/>
  <c r="AN32" i="29"/>
  <c r="AK32" i="29"/>
  <c r="AH32" i="29"/>
  <c r="AE32" i="29"/>
  <c r="AB32" i="29"/>
  <c r="Y32" i="29"/>
  <c r="EH32" i="29" s="1"/>
  <c r="V32" i="29"/>
  <c r="S32" i="29"/>
  <c r="P32" i="29"/>
  <c r="M32" i="29"/>
  <c r="J32" i="29"/>
  <c r="G32" i="29"/>
  <c r="D32" i="29"/>
  <c r="ED32" i="29" s="1"/>
  <c r="EL31" i="29"/>
  <c r="EK31" i="29"/>
  <c r="EN31" i="29" s="1"/>
  <c r="EI31" i="29"/>
  <c r="EG31" i="29"/>
  <c r="EB31" i="29"/>
  <c r="DW31" i="29"/>
  <c r="DT31" i="29"/>
  <c r="EM31" i="29" s="1"/>
  <c r="DQ31" i="29"/>
  <c r="DN31" i="29"/>
  <c r="DK31" i="29"/>
  <c r="DH31" i="29"/>
  <c r="DE31" i="29"/>
  <c r="DB31" i="29"/>
  <c r="CY31" i="29"/>
  <c r="CV31" i="29"/>
  <c r="CS31" i="29"/>
  <c r="CP31" i="29"/>
  <c r="CM31" i="29"/>
  <c r="CJ31" i="29"/>
  <c r="CG31" i="29"/>
  <c r="CD31" i="29"/>
  <c r="CA31" i="29"/>
  <c r="BX31" i="29"/>
  <c r="BU31" i="29"/>
  <c r="BR31" i="29"/>
  <c r="BO31" i="29"/>
  <c r="BL31" i="29"/>
  <c r="BI31" i="29"/>
  <c r="BF31" i="29"/>
  <c r="BC31" i="29"/>
  <c r="AZ31" i="29"/>
  <c r="AW31" i="29"/>
  <c r="AT31" i="29"/>
  <c r="AQ31" i="29"/>
  <c r="AN31" i="29"/>
  <c r="AK31" i="29"/>
  <c r="AH31" i="29"/>
  <c r="AE31" i="29"/>
  <c r="AB31" i="29"/>
  <c r="Y31" i="29"/>
  <c r="V31" i="29"/>
  <c r="S31" i="29"/>
  <c r="EH31" i="29" s="1"/>
  <c r="P31" i="29"/>
  <c r="M31" i="29"/>
  <c r="J31" i="29"/>
  <c r="G31" i="29"/>
  <c r="D31" i="29"/>
  <c r="ED31" i="29" s="1"/>
  <c r="EL30" i="29"/>
  <c r="EK30" i="29"/>
  <c r="EN30" i="29" s="1"/>
  <c r="EI30" i="29"/>
  <c r="EG30" i="29"/>
  <c r="EC30" i="29"/>
  <c r="EB30" i="29"/>
  <c r="DW30" i="29"/>
  <c r="DT30" i="29"/>
  <c r="EM30" i="29" s="1"/>
  <c r="DQ30" i="29"/>
  <c r="DN30" i="29"/>
  <c r="DK30" i="29"/>
  <c r="DH30" i="29"/>
  <c r="DE30" i="29"/>
  <c r="DB30" i="29"/>
  <c r="CY30" i="29"/>
  <c r="CV30" i="29"/>
  <c r="CS30" i="29"/>
  <c r="CP30" i="29"/>
  <c r="CM30" i="29"/>
  <c r="CJ30" i="29"/>
  <c r="CG30" i="29"/>
  <c r="CD30" i="29"/>
  <c r="CA30" i="29"/>
  <c r="BX30" i="29"/>
  <c r="BU30" i="29"/>
  <c r="BR30" i="29"/>
  <c r="BO30" i="29"/>
  <c r="BL30" i="29"/>
  <c r="BI30" i="29"/>
  <c r="BF30" i="29"/>
  <c r="BC30" i="29"/>
  <c r="AZ30" i="29"/>
  <c r="AW30" i="29"/>
  <c r="AT30" i="29"/>
  <c r="AQ30" i="29"/>
  <c r="AN30" i="29"/>
  <c r="AK30" i="29"/>
  <c r="AH30" i="29"/>
  <c r="AE30" i="29"/>
  <c r="AB30" i="29"/>
  <c r="Y30" i="29"/>
  <c r="EH30" i="29" s="1"/>
  <c r="V30" i="29"/>
  <c r="S30" i="29"/>
  <c r="P30" i="29"/>
  <c r="M30" i="29"/>
  <c r="J30" i="29"/>
  <c r="G30" i="29"/>
  <c r="D30" i="29"/>
  <c r="ED30" i="29" s="1"/>
  <c r="EL29" i="29"/>
  <c r="EK29" i="29"/>
  <c r="EN29" i="29" s="1"/>
  <c r="EG29" i="29"/>
  <c r="EI29" i="29" s="1"/>
  <c r="EB29" i="29"/>
  <c r="EC29" i="29" s="1"/>
  <c r="DW29" i="29"/>
  <c r="DT29" i="29"/>
  <c r="EM29" i="29" s="1"/>
  <c r="DQ29" i="29"/>
  <c r="DN29" i="29"/>
  <c r="DK29" i="29"/>
  <c r="DH29" i="29"/>
  <c r="DE29" i="29"/>
  <c r="DB29" i="29"/>
  <c r="CY29" i="29"/>
  <c r="CV29" i="29"/>
  <c r="CS29" i="29"/>
  <c r="CP29" i="29"/>
  <c r="CM29" i="29"/>
  <c r="CJ29" i="29"/>
  <c r="CG29" i="29"/>
  <c r="CD29" i="29"/>
  <c r="CA29" i="29"/>
  <c r="BX29" i="29"/>
  <c r="BU29" i="29"/>
  <c r="BR29" i="29"/>
  <c r="BO29" i="29"/>
  <c r="BL29" i="29"/>
  <c r="BI29" i="29"/>
  <c r="BF29" i="29"/>
  <c r="BC29" i="29"/>
  <c r="AZ29" i="29"/>
  <c r="AW29" i="29"/>
  <c r="AT29" i="29"/>
  <c r="AQ29" i="29"/>
  <c r="AN29" i="29"/>
  <c r="AK29" i="29"/>
  <c r="AH29" i="29"/>
  <c r="AE29" i="29"/>
  <c r="AB29" i="29"/>
  <c r="Y29" i="29"/>
  <c r="V29" i="29"/>
  <c r="S29" i="29"/>
  <c r="EH29" i="29" s="1"/>
  <c r="P29" i="29"/>
  <c r="M29" i="29"/>
  <c r="J29" i="29"/>
  <c r="G29" i="29"/>
  <c r="ED29" i="29" s="1"/>
  <c r="EE29" i="29" s="1"/>
  <c r="D29" i="29"/>
  <c r="EN28" i="29"/>
  <c r="EL28" i="29"/>
  <c r="EK28" i="29"/>
  <c r="EI28" i="29"/>
  <c r="EG28" i="29"/>
  <c r="EC28" i="29"/>
  <c r="EB28" i="29"/>
  <c r="DW28" i="29"/>
  <c r="DT28" i="29"/>
  <c r="DQ28" i="29"/>
  <c r="DN28" i="29"/>
  <c r="DK28" i="29"/>
  <c r="DH28" i="29"/>
  <c r="DE28" i="29"/>
  <c r="EM28" i="29" s="1"/>
  <c r="DB28" i="29"/>
  <c r="CY28" i="29"/>
  <c r="CV28" i="29"/>
  <c r="CS28" i="29"/>
  <c r="CP28" i="29"/>
  <c r="CM28" i="29"/>
  <c r="CJ28" i="29"/>
  <c r="CG28" i="29"/>
  <c r="CD28" i="29"/>
  <c r="CA28" i="29"/>
  <c r="BX28" i="29"/>
  <c r="BU28" i="29"/>
  <c r="BR28" i="29"/>
  <c r="BO28" i="29"/>
  <c r="BL28" i="29"/>
  <c r="BI28" i="29"/>
  <c r="BF28" i="29"/>
  <c r="BC28" i="29"/>
  <c r="AZ28" i="29"/>
  <c r="AW28" i="29"/>
  <c r="AT28" i="29"/>
  <c r="AQ28" i="29"/>
  <c r="AN28" i="29"/>
  <c r="AK28" i="29"/>
  <c r="AH28" i="29"/>
  <c r="AE28" i="29"/>
  <c r="AB28" i="29"/>
  <c r="Y28" i="29"/>
  <c r="EH28" i="29" s="1"/>
  <c r="V28" i="29"/>
  <c r="S28" i="29"/>
  <c r="P28" i="29"/>
  <c r="M28" i="29"/>
  <c r="J28" i="29"/>
  <c r="ED28" i="29" s="1"/>
  <c r="G28" i="29"/>
  <c r="D28" i="29"/>
  <c r="EL27" i="29"/>
  <c r="EK27" i="29"/>
  <c r="EN27" i="29" s="1"/>
  <c r="EI27" i="29"/>
  <c r="EG27" i="29"/>
  <c r="EB27" i="29"/>
  <c r="EE27" i="29" s="1"/>
  <c r="DW27" i="29"/>
  <c r="DT27" i="29"/>
  <c r="EM27" i="29" s="1"/>
  <c r="DQ27" i="29"/>
  <c r="DN27" i="29"/>
  <c r="DK27" i="29"/>
  <c r="DH27" i="29"/>
  <c r="DE27" i="29"/>
  <c r="DB27" i="29"/>
  <c r="CY27" i="29"/>
  <c r="CV27" i="29"/>
  <c r="CS27" i="29"/>
  <c r="CP27" i="29"/>
  <c r="CM27" i="29"/>
  <c r="CJ27" i="29"/>
  <c r="CG27" i="29"/>
  <c r="CD27" i="29"/>
  <c r="CA27" i="29"/>
  <c r="BX27" i="29"/>
  <c r="BU27" i="29"/>
  <c r="BR27" i="29"/>
  <c r="BO27" i="29"/>
  <c r="BL27" i="29"/>
  <c r="BI27" i="29"/>
  <c r="BF27" i="29"/>
  <c r="BC27" i="29"/>
  <c r="AZ27" i="29"/>
  <c r="AW27" i="29"/>
  <c r="AT27" i="29"/>
  <c r="AQ27" i="29"/>
  <c r="AN27" i="29"/>
  <c r="AK27" i="29"/>
  <c r="AH27" i="29"/>
  <c r="AE27" i="29"/>
  <c r="AB27" i="29"/>
  <c r="Y27" i="29"/>
  <c r="V27" i="29"/>
  <c r="S27" i="29"/>
  <c r="EH27" i="29" s="1"/>
  <c r="P27" i="29"/>
  <c r="M27" i="29"/>
  <c r="J27" i="29"/>
  <c r="G27" i="29"/>
  <c r="D27" i="29"/>
  <c r="ED27" i="29" s="1"/>
  <c r="EL26" i="29"/>
  <c r="EK26" i="29"/>
  <c r="EN26" i="29" s="1"/>
  <c r="EI26" i="29"/>
  <c r="EG26" i="29"/>
  <c r="EC26" i="29"/>
  <c r="EB26" i="29"/>
  <c r="EE26" i="29" s="1"/>
  <c r="DW26" i="29"/>
  <c r="DT26" i="29"/>
  <c r="EM26" i="29" s="1"/>
  <c r="DQ26" i="29"/>
  <c r="DN26" i="29"/>
  <c r="DK26" i="29"/>
  <c r="DH26" i="29"/>
  <c r="DE26" i="29"/>
  <c r="DB26" i="29"/>
  <c r="CY26" i="29"/>
  <c r="CV26" i="29"/>
  <c r="CS26" i="29"/>
  <c r="CP26" i="29"/>
  <c r="CM26" i="29"/>
  <c r="CJ26" i="29"/>
  <c r="CG26" i="29"/>
  <c r="CD26" i="29"/>
  <c r="CA26" i="29"/>
  <c r="BX26" i="29"/>
  <c r="BU26" i="29"/>
  <c r="BR26" i="29"/>
  <c r="BO26" i="29"/>
  <c r="BL26" i="29"/>
  <c r="BI26" i="29"/>
  <c r="BF26" i="29"/>
  <c r="BC26" i="29"/>
  <c r="AZ26" i="29"/>
  <c r="AW26" i="29"/>
  <c r="AT26" i="29"/>
  <c r="AQ26" i="29"/>
  <c r="AN26" i="29"/>
  <c r="AK26" i="29"/>
  <c r="AH26" i="29"/>
  <c r="AE26" i="29"/>
  <c r="AB26" i="29"/>
  <c r="Y26" i="29"/>
  <c r="EH26" i="29" s="1"/>
  <c r="V26" i="29"/>
  <c r="S26" i="29"/>
  <c r="P26" i="29"/>
  <c r="M26" i="29"/>
  <c r="J26" i="29"/>
  <c r="G26" i="29"/>
  <c r="D26" i="29"/>
  <c r="ED26" i="29" s="1"/>
  <c r="EL25" i="29"/>
  <c r="EK25" i="29"/>
  <c r="EN25" i="29" s="1"/>
  <c r="EG25" i="29"/>
  <c r="EI25" i="29" s="1"/>
  <c r="EB25" i="29"/>
  <c r="EC25" i="29" s="1"/>
  <c r="DW25" i="29"/>
  <c r="DT25" i="29"/>
  <c r="EM25" i="29" s="1"/>
  <c r="DQ25" i="29"/>
  <c r="DN25" i="29"/>
  <c r="DK25" i="29"/>
  <c r="DH25" i="29"/>
  <c r="DE25" i="29"/>
  <c r="DB25" i="29"/>
  <c r="CY25" i="29"/>
  <c r="CV25" i="29"/>
  <c r="CS25" i="29"/>
  <c r="CP25" i="29"/>
  <c r="CM25" i="29"/>
  <c r="CJ25" i="29"/>
  <c r="CG25" i="29"/>
  <c r="CD25" i="29"/>
  <c r="CA25" i="29"/>
  <c r="BX25" i="29"/>
  <c r="BU25" i="29"/>
  <c r="BR25" i="29"/>
  <c r="BO25" i="29"/>
  <c r="BL25" i="29"/>
  <c r="BI25" i="29"/>
  <c r="BF25" i="29"/>
  <c r="BC25" i="29"/>
  <c r="AZ25" i="29"/>
  <c r="AW25" i="29"/>
  <c r="AT25" i="29"/>
  <c r="AQ25" i="29"/>
  <c r="AN25" i="29"/>
  <c r="AK25" i="29"/>
  <c r="AH25" i="29"/>
  <c r="AE25" i="29"/>
  <c r="AB25" i="29"/>
  <c r="Y25" i="29"/>
  <c r="V25" i="29"/>
  <c r="S25" i="29"/>
  <c r="EH25" i="29" s="1"/>
  <c r="P25" i="29"/>
  <c r="M25" i="29"/>
  <c r="J25" i="29"/>
  <c r="G25" i="29"/>
  <c r="ED25" i="29" s="1"/>
  <c r="EE25" i="29" s="1"/>
  <c r="D25" i="29"/>
  <c r="EN24" i="29"/>
  <c r="EL24" i="29"/>
  <c r="EK24" i="29"/>
  <c r="EI24" i="29"/>
  <c r="EG24" i="29"/>
  <c r="EC24" i="29"/>
  <c r="EB24" i="29"/>
  <c r="DW24" i="29"/>
  <c r="DT24" i="29"/>
  <c r="DQ24" i="29"/>
  <c r="DN24" i="29"/>
  <c r="DK24" i="29"/>
  <c r="DH24" i="29"/>
  <c r="DE24" i="29"/>
  <c r="EM24" i="29" s="1"/>
  <c r="DB24" i="29"/>
  <c r="CY24" i="29"/>
  <c r="CV24" i="29"/>
  <c r="CS24" i="29"/>
  <c r="CP24" i="29"/>
  <c r="CM24" i="29"/>
  <c r="CJ24" i="29"/>
  <c r="CG24" i="29"/>
  <c r="CD24" i="29"/>
  <c r="CA24" i="29"/>
  <c r="BX24" i="29"/>
  <c r="BU24" i="29"/>
  <c r="BR24" i="29"/>
  <c r="BO24" i="29"/>
  <c r="BL24" i="29"/>
  <c r="BI24" i="29"/>
  <c r="BF24" i="29"/>
  <c r="BC24" i="29"/>
  <c r="AZ24" i="29"/>
  <c r="AW24" i="29"/>
  <c r="AT24" i="29"/>
  <c r="AQ24" i="29"/>
  <c r="AN24" i="29"/>
  <c r="AK24" i="29"/>
  <c r="AH24" i="29"/>
  <c r="AE24" i="29"/>
  <c r="AB24" i="29"/>
  <c r="Y24" i="29"/>
  <c r="EH24" i="29" s="1"/>
  <c r="V24" i="29"/>
  <c r="S24" i="29"/>
  <c r="P24" i="29"/>
  <c r="M24" i="29"/>
  <c r="J24" i="29"/>
  <c r="ED24" i="29" s="1"/>
  <c r="G24" i="29"/>
  <c r="D24" i="29"/>
  <c r="EL23" i="29"/>
  <c r="EK23" i="29"/>
  <c r="EN23" i="29" s="1"/>
  <c r="EI23" i="29"/>
  <c r="EG23" i="29"/>
  <c r="EB23" i="29"/>
  <c r="EE23" i="29" s="1"/>
  <c r="DW23" i="29"/>
  <c r="DT23" i="29"/>
  <c r="EM23" i="29" s="1"/>
  <c r="DQ23" i="29"/>
  <c r="DN23" i="29"/>
  <c r="DK23" i="29"/>
  <c r="DH23" i="29"/>
  <c r="DE23" i="29"/>
  <c r="DB23" i="29"/>
  <c r="CY23" i="29"/>
  <c r="CV23" i="29"/>
  <c r="CS23" i="29"/>
  <c r="CP23" i="29"/>
  <c r="CM23" i="29"/>
  <c r="CJ23" i="29"/>
  <c r="CG23" i="29"/>
  <c r="CD23" i="29"/>
  <c r="CA23" i="29"/>
  <c r="BX23" i="29"/>
  <c r="BU23" i="29"/>
  <c r="BR23" i="29"/>
  <c r="BO23" i="29"/>
  <c r="BL23" i="29"/>
  <c r="BI23" i="29"/>
  <c r="BF23" i="29"/>
  <c r="BC23" i="29"/>
  <c r="AZ23" i="29"/>
  <c r="AW23" i="29"/>
  <c r="AT23" i="29"/>
  <c r="AQ23" i="29"/>
  <c r="AN23" i="29"/>
  <c r="AK23" i="29"/>
  <c r="AH23" i="29"/>
  <c r="AE23" i="29"/>
  <c r="AB23" i="29"/>
  <c r="Y23" i="29"/>
  <c r="V23" i="29"/>
  <c r="S23" i="29"/>
  <c r="EH23" i="29" s="1"/>
  <c r="P23" i="29"/>
  <c r="M23" i="29"/>
  <c r="J23" i="29"/>
  <c r="G23" i="29"/>
  <c r="D23" i="29"/>
  <c r="ED23" i="29" s="1"/>
  <c r="EL22" i="29"/>
  <c r="EK22" i="29"/>
  <c r="EN22" i="29" s="1"/>
  <c r="EI22" i="29"/>
  <c r="EG22" i="29"/>
  <c r="EC22" i="29"/>
  <c r="EB22" i="29"/>
  <c r="EE22" i="29" s="1"/>
  <c r="DW22" i="29"/>
  <c r="DT22" i="29"/>
  <c r="EM22" i="29" s="1"/>
  <c r="DQ22" i="29"/>
  <c r="DN22" i="29"/>
  <c r="DK22" i="29"/>
  <c r="DH22" i="29"/>
  <c r="DE22" i="29"/>
  <c r="DB22" i="29"/>
  <c r="CY22" i="29"/>
  <c r="CV22" i="29"/>
  <c r="CS22" i="29"/>
  <c r="CP22" i="29"/>
  <c r="CM22" i="29"/>
  <c r="CJ22" i="29"/>
  <c r="CG22" i="29"/>
  <c r="CD22" i="29"/>
  <c r="CA22" i="29"/>
  <c r="BX22" i="29"/>
  <c r="BU22" i="29"/>
  <c r="BR22" i="29"/>
  <c r="BO22" i="29"/>
  <c r="BL22" i="29"/>
  <c r="BI22" i="29"/>
  <c r="BF22" i="29"/>
  <c r="BC22" i="29"/>
  <c r="AZ22" i="29"/>
  <c r="AW22" i="29"/>
  <c r="AT22" i="29"/>
  <c r="AQ22" i="29"/>
  <c r="AN22" i="29"/>
  <c r="AK22" i="29"/>
  <c r="AH22" i="29"/>
  <c r="AE22" i="29"/>
  <c r="AB22" i="29"/>
  <c r="Y22" i="29"/>
  <c r="EH22" i="29" s="1"/>
  <c r="V22" i="29"/>
  <c r="S22" i="29"/>
  <c r="P22" i="29"/>
  <c r="M22" i="29"/>
  <c r="J22" i="29"/>
  <c r="G22" i="29"/>
  <c r="D22" i="29"/>
  <c r="ED22" i="29" s="1"/>
  <c r="EL21" i="29"/>
  <c r="EK21" i="29"/>
  <c r="EN21" i="29" s="1"/>
  <c r="EG21" i="29"/>
  <c r="EI21" i="29" s="1"/>
  <c r="EB21" i="29"/>
  <c r="EC21" i="29" s="1"/>
  <c r="DW21" i="29"/>
  <c r="DT21" i="29"/>
  <c r="EM21" i="29" s="1"/>
  <c r="DQ21" i="29"/>
  <c r="DN21" i="29"/>
  <c r="DK21" i="29"/>
  <c r="DH21" i="29"/>
  <c r="DE21" i="29"/>
  <c r="DB21" i="29"/>
  <c r="CY21" i="29"/>
  <c r="CV21" i="29"/>
  <c r="CS21" i="29"/>
  <c r="CP21" i="29"/>
  <c r="CM21" i="29"/>
  <c r="CJ21" i="29"/>
  <c r="CG21" i="29"/>
  <c r="CD21" i="29"/>
  <c r="CA21" i="29"/>
  <c r="BX21" i="29"/>
  <c r="BU21" i="29"/>
  <c r="BR21" i="29"/>
  <c r="BO21" i="29"/>
  <c r="BL21" i="29"/>
  <c r="BI21" i="29"/>
  <c r="BF21" i="29"/>
  <c r="BC21" i="29"/>
  <c r="AZ21" i="29"/>
  <c r="AW21" i="29"/>
  <c r="AT21" i="29"/>
  <c r="AQ21" i="29"/>
  <c r="AN21" i="29"/>
  <c r="AK21" i="29"/>
  <c r="AH21" i="29"/>
  <c r="AE21" i="29"/>
  <c r="AB21" i="29"/>
  <c r="Y21" i="29"/>
  <c r="V21" i="29"/>
  <c r="S21" i="29"/>
  <c r="EH21" i="29" s="1"/>
  <c r="P21" i="29"/>
  <c r="M21" i="29"/>
  <c r="J21" i="29"/>
  <c r="G21" i="29"/>
  <c r="ED21" i="29" s="1"/>
  <c r="EE21" i="29" s="1"/>
  <c r="D21" i="29"/>
  <c r="EN20" i="29"/>
  <c r="EL20" i="29"/>
  <c r="EK20" i="29"/>
  <c r="EI20" i="29"/>
  <c r="EG20" i="29"/>
  <c r="EC20" i="29"/>
  <c r="EB20" i="29"/>
  <c r="DW20" i="29"/>
  <c r="DT20" i="29"/>
  <c r="DQ20" i="29"/>
  <c r="DN20" i="29"/>
  <c r="DK20" i="29"/>
  <c r="DH20" i="29"/>
  <c r="DE20" i="29"/>
  <c r="EM20" i="29" s="1"/>
  <c r="DB20" i="29"/>
  <c r="CY20" i="29"/>
  <c r="CV20" i="29"/>
  <c r="CS20" i="29"/>
  <c r="CP20" i="29"/>
  <c r="CM20" i="29"/>
  <c r="CJ20" i="29"/>
  <c r="CG20" i="29"/>
  <c r="CD20" i="29"/>
  <c r="CA20" i="29"/>
  <c r="BX20" i="29"/>
  <c r="BU20" i="29"/>
  <c r="BR20" i="29"/>
  <c r="BO20" i="29"/>
  <c r="BL20" i="29"/>
  <c r="BI20" i="29"/>
  <c r="BF20" i="29"/>
  <c r="BC20" i="29"/>
  <c r="AZ20" i="29"/>
  <c r="AW20" i="29"/>
  <c r="AT20" i="29"/>
  <c r="AQ20" i="29"/>
  <c r="AN20" i="29"/>
  <c r="AK20" i="29"/>
  <c r="AH20" i="29"/>
  <c r="AE20" i="29"/>
  <c r="AB20" i="29"/>
  <c r="Y20" i="29"/>
  <c r="EH20" i="29" s="1"/>
  <c r="V20" i="29"/>
  <c r="S20" i="29"/>
  <c r="P20" i="29"/>
  <c r="M20" i="29"/>
  <c r="J20" i="29"/>
  <c r="ED20" i="29" s="1"/>
  <c r="G20" i="29"/>
  <c r="D20" i="29"/>
  <c r="EL19" i="29"/>
  <c r="EK19" i="29"/>
  <c r="EN19" i="29" s="1"/>
  <c r="EI19" i="29"/>
  <c r="EG19" i="29"/>
  <c r="EB19" i="29"/>
  <c r="DW19" i="29"/>
  <c r="DT19" i="29"/>
  <c r="EM19" i="29" s="1"/>
  <c r="DQ19" i="29"/>
  <c r="DN19" i="29"/>
  <c r="DK19" i="29"/>
  <c r="DH19" i="29"/>
  <c r="DE19" i="29"/>
  <c r="DB19" i="29"/>
  <c r="CY19" i="29"/>
  <c r="CV19" i="29"/>
  <c r="CS19" i="29"/>
  <c r="CP19" i="29"/>
  <c r="CM19" i="29"/>
  <c r="CJ19" i="29"/>
  <c r="CG19" i="29"/>
  <c r="CD19" i="29"/>
  <c r="CA19" i="29"/>
  <c r="BX19" i="29"/>
  <c r="BU19" i="29"/>
  <c r="BR19" i="29"/>
  <c r="BO19" i="29"/>
  <c r="BL19" i="29"/>
  <c r="BI19" i="29"/>
  <c r="BF19" i="29"/>
  <c r="BC19" i="29"/>
  <c r="AZ19" i="29"/>
  <c r="AW19" i="29"/>
  <c r="AT19" i="29"/>
  <c r="AQ19" i="29"/>
  <c r="AN19" i="29"/>
  <c r="AK19" i="29"/>
  <c r="AH19" i="29"/>
  <c r="AE19" i="29"/>
  <c r="AB19" i="29"/>
  <c r="Y19" i="29"/>
  <c r="V19" i="29"/>
  <c r="S19" i="29"/>
  <c r="EH19" i="29" s="1"/>
  <c r="P19" i="29"/>
  <c r="M19" i="29"/>
  <c r="J19" i="29"/>
  <c r="G19" i="29"/>
  <c r="D19" i="29"/>
  <c r="ED19" i="29" s="1"/>
  <c r="EL18" i="29"/>
  <c r="EK18" i="29"/>
  <c r="EN18" i="29" s="1"/>
  <c r="EI18" i="29"/>
  <c r="EG18" i="29"/>
  <c r="EC18" i="29"/>
  <c r="EB18" i="29"/>
  <c r="DW18" i="29"/>
  <c r="DT18" i="29"/>
  <c r="EM18" i="29" s="1"/>
  <c r="DQ18" i="29"/>
  <c r="DN18" i="29"/>
  <c r="DK18" i="29"/>
  <c r="DH18" i="29"/>
  <c r="DE18" i="29"/>
  <c r="DB18" i="29"/>
  <c r="CY18" i="29"/>
  <c r="CV18" i="29"/>
  <c r="CS18" i="29"/>
  <c r="CP18" i="29"/>
  <c r="CM18" i="29"/>
  <c r="CJ18" i="29"/>
  <c r="CG18" i="29"/>
  <c r="CD18" i="29"/>
  <c r="CA18" i="29"/>
  <c r="BX18" i="29"/>
  <c r="BU18" i="29"/>
  <c r="BR18" i="29"/>
  <c r="BO18" i="29"/>
  <c r="BL18" i="29"/>
  <c r="BI18" i="29"/>
  <c r="BF18" i="29"/>
  <c r="BC18" i="29"/>
  <c r="AZ18" i="29"/>
  <c r="AW18" i="29"/>
  <c r="AT18" i="29"/>
  <c r="AQ18" i="29"/>
  <c r="AN18" i="29"/>
  <c r="AK18" i="29"/>
  <c r="AH18" i="29"/>
  <c r="AE18" i="29"/>
  <c r="AB18" i="29"/>
  <c r="Y18" i="29"/>
  <c r="EH18" i="29" s="1"/>
  <c r="V18" i="29"/>
  <c r="S18" i="29"/>
  <c r="P18" i="29"/>
  <c r="M18" i="29"/>
  <c r="J18" i="29"/>
  <c r="G18" i="29"/>
  <c r="D18" i="29"/>
  <c r="ED18" i="29" s="1"/>
  <c r="EL17" i="29"/>
  <c r="EK17" i="29"/>
  <c r="EN17" i="29" s="1"/>
  <c r="EG17" i="29"/>
  <c r="EI17" i="29" s="1"/>
  <c r="EB17" i="29"/>
  <c r="EC17" i="29" s="1"/>
  <c r="DW17" i="29"/>
  <c r="DT17" i="29"/>
  <c r="EM17" i="29" s="1"/>
  <c r="DQ17" i="29"/>
  <c r="DN17" i="29"/>
  <c r="DK17" i="29"/>
  <c r="DH17" i="29"/>
  <c r="DE17" i="29"/>
  <c r="DB17" i="29"/>
  <c r="CY17" i="29"/>
  <c r="CV17" i="29"/>
  <c r="CS17" i="29"/>
  <c r="CP17" i="29"/>
  <c r="CM17" i="29"/>
  <c r="CJ17" i="29"/>
  <c r="CG17" i="29"/>
  <c r="CD17" i="29"/>
  <c r="CA17" i="29"/>
  <c r="BX17" i="29"/>
  <c r="BU17" i="29"/>
  <c r="BR17" i="29"/>
  <c r="BO17" i="29"/>
  <c r="BL17" i="29"/>
  <c r="BI17" i="29"/>
  <c r="BF17" i="29"/>
  <c r="BC17" i="29"/>
  <c r="AZ17" i="29"/>
  <c r="AW17" i="29"/>
  <c r="AT17" i="29"/>
  <c r="AQ17" i="29"/>
  <c r="AN17" i="29"/>
  <c r="AK17" i="29"/>
  <c r="AH17" i="29"/>
  <c r="AE17" i="29"/>
  <c r="AB17" i="29"/>
  <c r="Y17" i="29"/>
  <c r="V17" i="29"/>
  <c r="S17" i="29"/>
  <c r="EH17" i="29" s="1"/>
  <c r="P17" i="29"/>
  <c r="M17" i="29"/>
  <c r="J17" i="29"/>
  <c r="G17" i="29"/>
  <c r="ED17" i="29" s="1"/>
  <c r="EE17" i="29" s="1"/>
  <c r="D17" i="29"/>
  <c r="EN16" i="29"/>
  <c r="EM16" i="29"/>
  <c r="EL16" i="29"/>
  <c r="EK16" i="29"/>
  <c r="EI16" i="29"/>
  <c r="EG16" i="29"/>
  <c r="EC16" i="29"/>
  <c r="EB16" i="29"/>
  <c r="DW16" i="29"/>
  <c r="DT16" i="29"/>
  <c r="DQ16" i="29"/>
  <c r="DN16" i="29"/>
  <c r="DK16" i="29"/>
  <c r="DH16" i="29"/>
  <c r="DE16" i="29"/>
  <c r="DB16" i="29"/>
  <c r="CY16" i="29"/>
  <c r="CV16" i="29"/>
  <c r="CS16" i="29"/>
  <c r="CP16" i="29"/>
  <c r="CM16" i="29"/>
  <c r="CJ16" i="29"/>
  <c r="CG16" i="29"/>
  <c r="CD16" i="29"/>
  <c r="CA16" i="29"/>
  <c r="BX16" i="29"/>
  <c r="BU16" i="29"/>
  <c r="BR16" i="29"/>
  <c r="BO16" i="29"/>
  <c r="BL16" i="29"/>
  <c r="BI16" i="29"/>
  <c r="BF16" i="29"/>
  <c r="BC16" i="29"/>
  <c r="AZ16" i="29"/>
  <c r="AW16" i="29"/>
  <c r="AT16" i="29"/>
  <c r="AQ16" i="29"/>
  <c r="AN16" i="29"/>
  <c r="AK16" i="29"/>
  <c r="AH16" i="29"/>
  <c r="AE16" i="29"/>
  <c r="AB16" i="29"/>
  <c r="Y16" i="29"/>
  <c r="V16" i="29"/>
  <c r="S16" i="29"/>
  <c r="EH16" i="29" s="1"/>
  <c r="P16" i="29"/>
  <c r="M16" i="29"/>
  <c r="J16" i="29"/>
  <c r="ED16" i="29" s="1"/>
  <c r="G16" i="29"/>
  <c r="D16" i="29"/>
  <c r="EL15" i="29"/>
  <c r="EK15" i="29"/>
  <c r="EN15" i="29" s="1"/>
  <c r="EI15" i="29"/>
  <c r="EG15" i="29"/>
  <c r="EB15" i="29"/>
  <c r="DW15" i="29"/>
  <c r="DT15" i="29"/>
  <c r="EM15" i="29" s="1"/>
  <c r="DQ15" i="29"/>
  <c r="DN15" i="29"/>
  <c r="DK15" i="29"/>
  <c r="DH15" i="29"/>
  <c r="DE15" i="29"/>
  <c r="DB15" i="29"/>
  <c r="CY15" i="29"/>
  <c r="CV15" i="29"/>
  <c r="CS15" i="29"/>
  <c r="CP15" i="29"/>
  <c r="CM15" i="29"/>
  <c r="CJ15" i="29"/>
  <c r="CG15" i="29"/>
  <c r="CD15" i="29"/>
  <c r="CA15" i="29"/>
  <c r="BX15" i="29"/>
  <c r="BU15" i="29"/>
  <c r="BR15" i="29"/>
  <c r="BO15" i="29"/>
  <c r="BL15" i="29"/>
  <c r="BI15" i="29"/>
  <c r="BF15" i="29"/>
  <c r="BC15" i="29"/>
  <c r="AZ15" i="29"/>
  <c r="AW15" i="29"/>
  <c r="AT15" i="29"/>
  <c r="AQ15" i="29"/>
  <c r="AN15" i="29"/>
  <c r="AK15" i="29"/>
  <c r="AH15" i="29"/>
  <c r="AE15" i="29"/>
  <c r="AB15" i="29"/>
  <c r="Y15" i="29"/>
  <c r="V15" i="29"/>
  <c r="S15" i="29"/>
  <c r="EH15" i="29" s="1"/>
  <c r="P15" i="29"/>
  <c r="M15" i="29"/>
  <c r="J15" i="29"/>
  <c r="G15" i="29"/>
  <c r="D15" i="29"/>
  <c r="ED15" i="29" s="1"/>
  <c r="EL14" i="29"/>
  <c r="EK14" i="29"/>
  <c r="EN14" i="29" s="1"/>
  <c r="EI14" i="29"/>
  <c r="EG14" i="29"/>
  <c r="EB14" i="29"/>
  <c r="DW14" i="29"/>
  <c r="DT14" i="29"/>
  <c r="EM14" i="29" s="1"/>
  <c r="DQ14" i="29"/>
  <c r="DN14" i="29"/>
  <c r="DK14" i="29"/>
  <c r="DH14" i="29"/>
  <c r="DE14" i="29"/>
  <c r="DB14" i="29"/>
  <c r="CY14" i="29"/>
  <c r="CV14" i="29"/>
  <c r="CS14" i="29"/>
  <c r="CP14" i="29"/>
  <c r="CM14" i="29"/>
  <c r="CJ14" i="29"/>
  <c r="CG14" i="29"/>
  <c r="CD14" i="29"/>
  <c r="CA14" i="29"/>
  <c r="BX14" i="29"/>
  <c r="BU14" i="29"/>
  <c r="BR14" i="29"/>
  <c r="BO14" i="29"/>
  <c r="BL14" i="29"/>
  <c r="BI14" i="29"/>
  <c r="BF14" i="29"/>
  <c r="BC14" i="29"/>
  <c r="AZ14" i="29"/>
  <c r="AW14" i="29"/>
  <c r="AT14" i="29"/>
  <c r="AQ14" i="29"/>
  <c r="AN14" i="29"/>
  <c r="AK14" i="29"/>
  <c r="AH14" i="29"/>
  <c r="AE14" i="29"/>
  <c r="AB14" i="29"/>
  <c r="Y14" i="29"/>
  <c r="EH14" i="29" s="1"/>
  <c r="V14" i="29"/>
  <c r="S14" i="29"/>
  <c r="P14" i="29"/>
  <c r="M14" i="29"/>
  <c r="J14" i="29"/>
  <c r="G14" i="29"/>
  <c r="D14" i="29"/>
  <c r="ED14" i="29" s="1"/>
  <c r="EN13" i="29"/>
  <c r="EL13" i="29"/>
  <c r="EK13" i="29"/>
  <c r="EG13" i="29"/>
  <c r="EI13" i="29" s="1"/>
  <c r="EB13" i="29"/>
  <c r="EC13" i="29" s="1"/>
  <c r="DW13" i="29"/>
  <c r="DT13" i="29"/>
  <c r="EM13" i="29" s="1"/>
  <c r="DQ13" i="29"/>
  <c r="DN13" i="29"/>
  <c r="DK13" i="29"/>
  <c r="DK41" i="29" s="1"/>
  <c r="DH13" i="29"/>
  <c r="DE13" i="29"/>
  <c r="DB13" i="29"/>
  <c r="CY13" i="29"/>
  <c r="CV13" i="29"/>
  <c r="CS13" i="29"/>
  <c r="CP13" i="29"/>
  <c r="CM13" i="29"/>
  <c r="CM41" i="29" s="1"/>
  <c r="CJ13" i="29"/>
  <c r="CG13" i="29"/>
  <c r="CD13" i="29"/>
  <c r="CA13" i="29"/>
  <c r="BX13" i="29"/>
  <c r="BU13" i="29"/>
  <c r="BR13" i="29"/>
  <c r="BO13" i="29"/>
  <c r="BO41" i="29" s="1"/>
  <c r="BL13" i="29"/>
  <c r="BI13" i="29"/>
  <c r="BF13" i="29"/>
  <c r="BC13" i="29"/>
  <c r="AZ13" i="29"/>
  <c r="AW13" i="29"/>
  <c r="AT13" i="29"/>
  <c r="AQ13" i="29"/>
  <c r="AQ41" i="29" s="1"/>
  <c r="AN13" i="29"/>
  <c r="AK13" i="29"/>
  <c r="AH13" i="29"/>
  <c r="AE13" i="29"/>
  <c r="AB13" i="29"/>
  <c r="Y13" i="29"/>
  <c r="V13" i="29"/>
  <c r="S13" i="29"/>
  <c r="EH13" i="29" s="1"/>
  <c r="P13" i="29"/>
  <c r="M13" i="29"/>
  <c r="J13" i="29"/>
  <c r="G13" i="29"/>
  <c r="ED13" i="29" s="1"/>
  <c r="EE13" i="29" s="1"/>
  <c r="D13" i="29"/>
  <c r="EN12" i="29"/>
  <c r="EL12" i="29"/>
  <c r="EK12" i="29"/>
  <c r="EI12" i="29"/>
  <c r="EG12" i="29"/>
  <c r="EC12" i="29"/>
  <c r="EB12" i="29"/>
  <c r="DW12" i="29"/>
  <c r="DT12" i="29"/>
  <c r="DQ12" i="29"/>
  <c r="DN12" i="29"/>
  <c r="DK12" i="29"/>
  <c r="DH12" i="29"/>
  <c r="DE12" i="29"/>
  <c r="DB12" i="29"/>
  <c r="CY12" i="29"/>
  <c r="CV12" i="29"/>
  <c r="CS12" i="29"/>
  <c r="CP12" i="29"/>
  <c r="CM12" i="29"/>
  <c r="CJ12" i="29"/>
  <c r="CG12" i="29"/>
  <c r="EM12" i="29" s="1"/>
  <c r="CD12" i="29"/>
  <c r="CA12" i="29"/>
  <c r="BX12" i="29"/>
  <c r="BU12" i="29"/>
  <c r="BR12" i="29"/>
  <c r="BO12" i="29"/>
  <c r="BL12" i="29"/>
  <c r="BI12" i="29"/>
  <c r="BF12" i="29"/>
  <c r="BC12" i="29"/>
  <c r="AZ12" i="29"/>
  <c r="AW12" i="29"/>
  <c r="AT12" i="29"/>
  <c r="AQ12" i="29"/>
  <c r="AN12" i="29"/>
  <c r="AK12" i="29"/>
  <c r="AH12" i="29"/>
  <c r="AE12" i="29"/>
  <c r="AB12" i="29"/>
  <c r="Y12" i="29"/>
  <c r="V12" i="29"/>
  <c r="S12" i="29"/>
  <c r="EH12" i="29" s="1"/>
  <c r="P12" i="29"/>
  <c r="M12" i="29"/>
  <c r="ED12" i="29" s="1"/>
  <c r="J12" i="29"/>
  <c r="G12" i="29"/>
  <c r="D12" i="29"/>
  <c r="A12" i="29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EL11" i="29"/>
  <c r="EK11" i="29"/>
  <c r="EI11" i="29"/>
  <c r="EG11" i="29"/>
  <c r="EB11" i="29"/>
  <c r="DW11" i="29"/>
  <c r="DW41" i="29" s="1"/>
  <c r="DT11" i="29"/>
  <c r="DT41" i="29" s="1"/>
  <c r="DQ11" i="29"/>
  <c r="DQ41" i="29" s="1"/>
  <c r="DN11" i="29"/>
  <c r="DN41" i="29" s="1"/>
  <c r="DK11" i="29"/>
  <c r="DH11" i="29"/>
  <c r="DH41" i="29" s="1"/>
  <c r="DE11" i="29"/>
  <c r="DE41" i="29" s="1"/>
  <c r="DB11" i="29"/>
  <c r="DB41" i="29" s="1"/>
  <c r="CY11" i="29"/>
  <c r="CY41" i="29" s="1"/>
  <c r="CV11" i="29"/>
  <c r="CV41" i="29" s="1"/>
  <c r="CS11" i="29"/>
  <c r="CS41" i="29" s="1"/>
  <c r="CP11" i="29"/>
  <c r="CP41" i="29" s="1"/>
  <c r="CM11" i="29"/>
  <c r="CJ11" i="29"/>
  <c r="CJ41" i="29" s="1"/>
  <c r="CG11" i="29"/>
  <c r="CG41" i="29" s="1"/>
  <c r="CD11" i="29"/>
  <c r="CD41" i="29" s="1"/>
  <c r="CA11" i="29"/>
  <c r="CA41" i="29" s="1"/>
  <c r="BX11" i="29"/>
  <c r="BX41" i="29" s="1"/>
  <c r="BU11" i="29"/>
  <c r="BU41" i="29" s="1"/>
  <c r="BR11" i="29"/>
  <c r="BR41" i="29" s="1"/>
  <c r="BO11" i="29"/>
  <c r="BL11" i="29"/>
  <c r="BL41" i="29" s="1"/>
  <c r="BI11" i="29"/>
  <c r="BI41" i="29" s="1"/>
  <c r="BF11" i="29"/>
  <c r="BF41" i="29" s="1"/>
  <c r="BC11" i="29"/>
  <c r="BC41" i="29" s="1"/>
  <c r="AZ11" i="29"/>
  <c r="AZ41" i="29" s="1"/>
  <c r="AW11" i="29"/>
  <c r="AW41" i="29" s="1"/>
  <c r="AT11" i="29"/>
  <c r="AT41" i="29" s="1"/>
  <c r="AQ11" i="29"/>
  <c r="AN11" i="29"/>
  <c r="AN41" i="29" s="1"/>
  <c r="AK11" i="29"/>
  <c r="AH11" i="29"/>
  <c r="AH41" i="29" s="1"/>
  <c r="AE11" i="29"/>
  <c r="AE41" i="29" s="1"/>
  <c r="AB11" i="29"/>
  <c r="AB41" i="29" s="1"/>
  <c r="Y11" i="29"/>
  <c r="Y41" i="29" s="1"/>
  <c r="V11" i="29"/>
  <c r="V41" i="29" s="1"/>
  <c r="S11" i="29"/>
  <c r="EH11" i="29" s="1"/>
  <c r="P11" i="29"/>
  <c r="P41" i="29" s="1"/>
  <c r="M11" i="29"/>
  <c r="M41" i="29" s="1"/>
  <c r="J11" i="29"/>
  <c r="J41" i="29" s="1"/>
  <c r="G11" i="29"/>
  <c r="G41" i="29" s="1"/>
  <c r="D11" i="29"/>
  <c r="D41" i="29" s="1"/>
  <c r="EI5" i="29"/>
  <c r="EI3" i="29"/>
  <c r="EI4" i="29" s="1"/>
  <c r="EI2" i="29"/>
  <c r="EE16" i="29" l="1"/>
  <c r="EE34" i="29"/>
  <c r="EE36" i="29"/>
  <c r="EE15" i="29"/>
  <c r="EE32" i="29"/>
  <c r="EE20" i="29"/>
  <c r="EE18" i="29"/>
  <c r="EE19" i="29"/>
  <c r="EE3" i="29"/>
  <c r="EE12" i="29"/>
  <c r="EE14" i="29"/>
  <c r="EE30" i="29"/>
  <c r="EE31" i="29"/>
  <c r="EE28" i="29"/>
  <c r="ED40" i="29"/>
  <c r="EH41" i="29"/>
  <c r="EN3" i="29"/>
  <c r="EE24" i="29"/>
  <c r="EN2" i="29"/>
  <c r="EP2" i="29" s="1"/>
  <c r="S41" i="29"/>
  <c r="AK40" i="29"/>
  <c r="AK41" i="29" s="1"/>
  <c r="EE5" i="29"/>
  <c r="G7" i="29" s="1"/>
  <c r="EC11" i="29"/>
  <c r="EM11" i="29"/>
  <c r="EC15" i="29"/>
  <c r="EC19" i="29"/>
  <c r="EC23" i="29"/>
  <c r="EC27" i="29"/>
  <c r="EC31" i="29"/>
  <c r="ED11" i="29"/>
  <c r="ED41" i="29" s="1"/>
  <c r="EN11" i="29"/>
  <c r="EN5" i="29"/>
  <c r="EE11" i="29"/>
  <c r="EC14" i="29"/>
  <c r="EB40" i="29"/>
  <c r="EM40" i="29" l="1"/>
  <c r="EN40" i="29" s="1"/>
  <c r="EE2" i="29"/>
  <c r="EQ2" i="29" s="1"/>
  <c r="G4" i="29" s="1"/>
  <c r="EE40" i="29"/>
  <c r="EC40" i="29"/>
  <c r="G5" i="29"/>
  <c r="EE4" i="29"/>
  <c r="G6" i="29" s="1"/>
  <c r="EM41" i="29" l="1"/>
  <c r="EN4" i="29"/>
  <c r="DK42" i="28" l="1"/>
  <c r="CM42" i="28"/>
  <c r="BO42" i="28"/>
  <c r="AQ42" i="28"/>
  <c r="S42" i="28"/>
  <c r="EL41" i="28"/>
  <c r="EK41" i="28"/>
  <c r="EN41" i="28" s="1"/>
  <c r="EG41" i="28"/>
  <c r="EI41" i="28" s="1"/>
  <c r="EB41" i="28"/>
  <c r="EE41" i="28" s="1"/>
  <c r="DW41" i="28"/>
  <c r="DT41" i="28"/>
  <c r="EM41" i="28" s="1"/>
  <c r="DQ41" i="28"/>
  <c r="DN41" i="28"/>
  <c r="DK41" i="28"/>
  <c r="DH41" i="28"/>
  <c r="DE41" i="28"/>
  <c r="DB41" i="28"/>
  <c r="CY41" i="28"/>
  <c r="CV41" i="28"/>
  <c r="CS41" i="28"/>
  <c r="CP41" i="28"/>
  <c r="CM41" i="28"/>
  <c r="CJ41" i="28"/>
  <c r="CG41" i="28"/>
  <c r="CD41" i="28"/>
  <c r="CA41" i="28"/>
  <c r="BX41" i="28"/>
  <c r="BU41" i="28"/>
  <c r="BR41" i="28"/>
  <c r="BO41" i="28"/>
  <c r="BL41" i="28"/>
  <c r="BI41" i="28"/>
  <c r="BF41" i="28"/>
  <c r="BC41" i="28"/>
  <c r="AZ41" i="28"/>
  <c r="AW41" i="28"/>
  <c r="AT41" i="28"/>
  <c r="AQ41" i="28"/>
  <c r="AN41" i="28"/>
  <c r="AK41" i="28"/>
  <c r="AH41" i="28"/>
  <c r="AE41" i="28"/>
  <c r="AB41" i="28"/>
  <c r="Y41" i="28"/>
  <c r="V41" i="28"/>
  <c r="S41" i="28"/>
  <c r="EH41" i="28" s="1"/>
  <c r="P41" i="28"/>
  <c r="M41" i="28"/>
  <c r="J41" i="28"/>
  <c r="G41" i="28"/>
  <c r="D41" i="28"/>
  <c r="ED41" i="28" s="1"/>
  <c r="EN40" i="28"/>
  <c r="EL40" i="28"/>
  <c r="EK40" i="28"/>
  <c r="EI40" i="28"/>
  <c r="EG40" i="28"/>
  <c r="EB40" i="28"/>
  <c r="EE40" i="28" s="1"/>
  <c r="DW40" i="28"/>
  <c r="DT40" i="28"/>
  <c r="EM40" i="28" s="1"/>
  <c r="DQ40" i="28"/>
  <c r="DN40" i="28"/>
  <c r="DK40" i="28"/>
  <c r="DH40" i="28"/>
  <c r="DE40" i="28"/>
  <c r="DB40" i="28"/>
  <c r="CY40" i="28"/>
  <c r="CV40" i="28"/>
  <c r="CS40" i="28"/>
  <c r="CP40" i="28"/>
  <c r="CM40" i="28"/>
  <c r="CJ40" i="28"/>
  <c r="CG40" i="28"/>
  <c r="CD40" i="28"/>
  <c r="CA40" i="28"/>
  <c r="BX40" i="28"/>
  <c r="BU40" i="28"/>
  <c r="BR40" i="28"/>
  <c r="BO40" i="28"/>
  <c r="BL40" i="28"/>
  <c r="BI40" i="28"/>
  <c r="BF40" i="28"/>
  <c r="BC40" i="28"/>
  <c r="AZ40" i="28"/>
  <c r="AW40" i="28"/>
  <c r="AT40" i="28"/>
  <c r="AQ40" i="28"/>
  <c r="AN40" i="28"/>
  <c r="AK40" i="28"/>
  <c r="AH40" i="28"/>
  <c r="AE40" i="28"/>
  <c r="AB40" i="28"/>
  <c r="Y40" i="28"/>
  <c r="V40" i="28"/>
  <c r="EH40" i="28" s="1"/>
  <c r="S40" i="28"/>
  <c r="P40" i="28"/>
  <c r="M40" i="28"/>
  <c r="J40" i="28"/>
  <c r="G40" i="28"/>
  <c r="D40" i="28"/>
  <c r="ED40" i="28" s="1"/>
  <c r="EN39" i="28"/>
  <c r="EL39" i="28"/>
  <c r="EK39" i="28"/>
  <c r="EG39" i="28"/>
  <c r="EI39" i="28" s="1"/>
  <c r="EB39" i="28"/>
  <c r="EE39" i="28" s="1"/>
  <c r="DW39" i="28"/>
  <c r="DT39" i="28"/>
  <c r="EM39" i="28" s="1"/>
  <c r="DQ39" i="28"/>
  <c r="DN39" i="28"/>
  <c r="DK39" i="28"/>
  <c r="DH39" i="28"/>
  <c r="DE39" i="28"/>
  <c r="DB39" i="28"/>
  <c r="CY39" i="28"/>
  <c r="CV39" i="28"/>
  <c r="CS39" i="28"/>
  <c r="CP39" i="28"/>
  <c r="CM39" i="28"/>
  <c r="CJ39" i="28"/>
  <c r="CG39" i="28"/>
  <c r="CD39" i="28"/>
  <c r="CA39" i="28"/>
  <c r="BX39" i="28"/>
  <c r="BU39" i="28"/>
  <c r="BR39" i="28"/>
  <c r="BO39" i="28"/>
  <c r="BL39" i="28"/>
  <c r="BI39" i="28"/>
  <c r="BF39" i="28"/>
  <c r="BC39" i="28"/>
  <c r="AZ39" i="28"/>
  <c r="AW39" i="28"/>
  <c r="AT39" i="28"/>
  <c r="AQ39" i="28"/>
  <c r="AN39" i="28"/>
  <c r="AK39" i="28"/>
  <c r="AH39" i="28"/>
  <c r="AE39" i="28"/>
  <c r="AB39" i="28"/>
  <c r="Y39" i="28"/>
  <c r="V39" i="28"/>
  <c r="S39" i="28"/>
  <c r="EH39" i="28" s="1"/>
  <c r="P39" i="28"/>
  <c r="M39" i="28"/>
  <c r="J39" i="28"/>
  <c r="G39" i="28"/>
  <c r="D39" i="28"/>
  <c r="ED39" i="28" s="1"/>
  <c r="EN38" i="28"/>
  <c r="EL38" i="28"/>
  <c r="EK38" i="28"/>
  <c r="EI38" i="28"/>
  <c r="EG38" i="28"/>
  <c r="EB38" i="28"/>
  <c r="EC38" i="28" s="1"/>
  <c r="DW38" i="28"/>
  <c r="DT38" i="28"/>
  <c r="EM38" i="28" s="1"/>
  <c r="DQ38" i="28"/>
  <c r="DN38" i="28"/>
  <c r="DK38" i="28"/>
  <c r="DH38" i="28"/>
  <c r="DE38" i="28"/>
  <c r="DB38" i="28"/>
  <c r="CY38" i="28"/>
  <c r="CV38" i="28"/>
  <c r="CS38" i="28"/>
  <c r="CP38" i="28"/>
  <c r="CM38" i="28"/>
  <c r="CJ38" i="28"/>
  <c r="CG38" i="28"/>
  <c r="CD38" i="28"/>
  <c r="CA38" i="28"/>
  <c r="BX38" i="28"/>
  <c r="BU38" i="28"/>
  <c r="BR38" i="28"/>
  <c r="BO38" i="28"/>
  <c r="BL38" i="28"/>
  <c r="BI38" i="28"/>
  <c r="BF38" i="28"/>
  <c r="BC38" i="28"/>
  <c r="AZ38" i="28"/>
  <c r="AW38" i="28"/>
  <c r="AT38" i="28"/>
  <c r="AQ38" i="28"/>
  <c r="AN38" i="28"/>
  <c r="AK38" i="28"/>
  <c r="AH38" i="28"/>
  <c r="AE38" i="28"/>
  <c r="AB38" i="28"/>
  <c r="Y38" i="28"/>
  <c r="V38" i="28"/>
  <c r="S38" i="28"/>
  <c r="EH38" i="28" s="1"/>
  <c r="P38" i="28"/>
  <c r="ED38" i="28" s="1"/>
  <c r="M38" i="28"/>
  <c r="J38" i="28"/>
  <c r="G38" i="28"/>
  <c r="D38" i="28"/>
  <c r="EN37" i="28"/>
  <c r="EL37" i="28"/>
  <c r="EK37" i="28"/>
  <c r="EG37" i="28"/>
  <c r="EI37" i="28" s="1"/>
  <c r="EB37" i="28"/>
  <c r="DW37" i="28"/>
  <c r="DT37" i="28"/>
  <c r="EM37" i="28" s="1"/>
  <c r="DQ37" i="28"/>
  <c r="DN37" i="28"/>
  <c r="DK37" i="28"/>
  <c r="DH37" i="28"/>
  <c r="DE37" i="28"/>
  <c r="DB37" i="28"/>
  <c r="CY37" i="28"/>
  <c r="CV37" i="28"/>
  <c r="CS37" i="28"/>
  <c r="CP37" i="28"/>
  <c r="CM37" i="28"/>
  <c r="CJ37" i="28"/>
  <c r="CG37" i="28"/>
  <c r="CD37" i="28"/>
  <c r="CA37" i="28"/>
  <c r="BX37" i="28"/>
  <c r="BU37" i="28"/>
  <c r="BR37" i="28"/>
  <c r="BO37" i="28"/>
  <c r="BL37" i="28"/>
  <c r="BI37" i="28"/>
  <c r="BF37" i="28"/>
  <c r="BC37" i="28"/>
  <c r="AZ37" i="28"/>
  <c r="AW37" i="28"/>
  <c r="AT37" i="28"/>
  <c r="AQ37" i="28"/>
  <c r="AN37" i="28"/>
  <c r="AK37" i="28"/>
  <c r="AH37" i="28"/>
  <c r="AE37" i="28"/>
  <c r="AB37" i="28"/>
  <c r="Y37" i="28"/>
  <c r="V37" i="28"/>
  <c r="S37" i="28"/>
  <c r="EH37" i="28" s="1"/>
  <c r="P37" i="28"/>
  <c r="M37" i="28"/>
  <c r="J37" i="28"/>
  <c r="G37" i="28"/>
  <c r="D37" i="28"/>
  <c r="ED37" i="28" s="1"/>
  <c r="EN36" i="28"/>
  <c r="EL36" i="28"/>
  <c r="EK36" i="28"/>
  <c r="EI36" i="28"/>
  <c r="EG36" i="28"/>
  <c r="EB36" i="28"/>
  <c r="DW36" i="28"/>
  <c r="DT36" i="28"/>
  <c r="EM36" i="28" s="1"/>
  <c r="DQ36" i="28"/>
  <c r="DN36" i="28"/>
  <c r="DK36" i="28"/>
  <c r="DH36" i="28"/>
  <c r="DE36" i="28"/>
  <c r="DB36" i="28"/>
  <c r="CY36" i="28"/>
  <c r="CV36" i="28"/>
  <c r="CS36" i="28"/>
  <c r="CP36" i="28"/>
  <c r="CM36" i="28"/>
  <c r="CJ36" i="28"/>
  <c r="CG36" i="28"/>
  <c r="CD36" i="28"/>
  <c r="CA36" i="28"/>
  <c r="BX36" i="28"/>
  <c r="BU36" i="28"/>
  <c r="BR36" i="28"/>
  <c r="BO36" i="28"/>
  <c r="BL36" i="28"/>
  <c r="BI36" i="28"/>
  <c r="BF36" i="28"/>
  <c r="BC36" i="28"/>
  <c r="AZ36" i="28"/>
  <c r="AW36" i="28"/>
  <c r="AT36" i="28"/>
  <c r="AQ36" i="28"/>
  <c r="AN36" i="28"/>
  <c r="AK36" i="28"/>
  <c r="AH36" i="28"/>
  <c r="AE36" i="28"/>
  <c r="AB36" i="28"/>
  <c r="Y36" i="28"/>
  <c r="V36" i="28"/>
  <c r="EH36" i="28" s="1"/>
  <c r="S36" i="28"/>
  <c r="P36" i="28"/>
  <c r="M36" i="28"/>
  <c r="J36" i="28"/>
  <c r="G36" i="28"/>
  <c r="D36" i="28"/>
  <c r="ED36" i="28" s="1"/>
  <c r="EN35" i="28"/>
  <c r="EL35" i="28"/>
  <c r="EK35" i="28"/>
  <c r="EG35" i="28"/>
  <c r="EI35" i="28" s="1"/>
  <c r="EB35" i="28"/>
  <c r="DW35" i="28"/>
  <c r="DT35" i="28"/>
  <c r="EM35" i="28" s="1"/>
  <c r="DQ35" i="28"/>
  <c r="DN35" i="28"/>
  <c r="DK35" i="28"/>
  <c r="DH35" i="28"/>
  <c r="DE35" i="28"/>
  <c r="DB35" i="28"/>
  <c r="CY35" i="28"/>
  <c r="CV35" i="28"/>
  <c r="CS35" i="28"/>
  <c r="CP35" i="28"/>
  <c r="CM35" i="28"/>
  <c r="CJ35" i="28"/>
  <c r="CG35" i="28"/>
  <c r="CD35" i="28"/>
  <c r="CA35" i="28"/>
  <c r="BX35" i="28"/>
  <c r="BU35" i="28"/>
  <c r="BR35" i="28"/>
  <c r="BO35" i="28"/>
  <c r="BL35" i="28"/>
  <c r="BI35" i="28"/>
  <c r="BF35" i="28"/>
  <c r="BC35" i="28"/>
  <c r="AZ35" i="28"/>
  <c r="AW35" i="28"/>
  <c r="AT35" i="28"/>
  <c r="AQ35" i="28"/>
  <c r="AN35" i="28"/>
  <c r="AK35" i="28"/>
  <c r="AH35" i="28"/>
  <c r="AE35" i="28"/>
  <c r="AB35" i="28"/>
  <c r="Y35" i="28"/>
  <c r="V35" i="28"/>
  <c r="S35" i="28"/>
  <c r="EH35" i="28" s="1"/>
  <c r="P35" i="28"/>
  <c r="M35" i="28"/>
  <c r="J35" i="28"/>
  <c r="ED35" i="28" s="1"/>
  <c r="G35" i="28"/>
  <c r="D35" i="28"/>
  <c r="EN34" i="28"/>
  <c r="EL34" i="28"/>
  <c r="EK34" i="28"/>
  <c r="EI34" i="28"/>
  <c r="EG34" i="28"/>
  <c r="EB34" i="28"/>
  <c r="EC34" i="28" s="1"/>
  <c r="DW34" i="28"/>
  <c r="DT34" i="28"/>
  <c r="EM34" i="28" s="1"/>
  <c r="DQ34" i="28"/>
  <c r="DN34" i="28"/>
  <c r="DK34" i="28"/>
  <c r="DH34" i="28"/>
  <c r="DE34" i="28"/>
  <c r="DB34" i="28"/>
  <c r="CY34" i="28"/>
  <c r="CV34" i="28"/>
  <c r="CS34" i="28"/>
  <c r="CP34" i="28"/>
  <c r="CM34" i="28"/>
  <c r="CJ34" i="28"/>
  <c r="CG34" i="28"/>
  <c r="CD34" i="28"/>
  <c r="CA34" i="28"/>
  <c r="BX34" i="28"/>
  <c r="BU34" i="28"/>
  <c r="BR34" i="28"/>
  <c r="BO34" i="28"/>
  <c r="BL34" i="28"/>
  <c r="BI34" i="28"/>
  <c r="BF34" i="28"/>
  <c r="BC34" i="28"/>
  <c r="AZ34" i="28"/>
  <c r="AW34" i="28"/>
  <c r="AT34" i="28"/>
  <c r="AQ34" i="28"/>
  <c r="AN34" i="28"/>
  <c r="AK34" i="28"/>
  <c r="AH34" i="28"/>
  <c r="AE34" i="28"/>
  <c r="AB34" i="28"/>
  <c r="Y34" i="28"/>
  <c r="V34" i="28"/>
  <c r="S34" i="28"/>
  <c r="EH34" i="28" s="1"/>
  <c r="P34" i="28"/>
  <c r="ED34" i="28" s="1"/>
  <c r="M34" i="28"/>
  <c r="J34" i="28"/>
  <c r="G34" i="28"/>
  <c r="D34" i="28"/>
  <c r="EN33" i="28"/>
  <c r="EL33" i="28"/>
  <c r="EK33" i="28"/>
  <c r="EG33" i="28"/>
  <c r="EI33" i="28" s="1"/>
  <c r="EB33" i="28"/>
  <c r="EE33" i="28" s="1"/>
  <c r="DW33" i="28"/>
  <c r="DT33" i="28"/>
  <c r="EM33" i="28" s="1"/>
  <c r="DQ33" i="28"/>
  <c r="DN33" i="28"/>
  <c r="DK33" i="28"/>
  <c r="DH33" i="28"/>
  <c r="DE33" i="28"/>
  <c r="DB33" i="28"/>
  <c r="CY33" i="28"/>
  <c r="CV33" i="28"/>
  <c r="CS33" i="28"/>
  <c r="CP33" i="28"/>
  <c r="CM33" i="28"/>
  <c r="CJ33" i="28"/>
  <c r="CG33" i="28"/>
  <c r="CD33" i="28"/>
  <c r="CA33" i="28"/>
  <c r="BX33" i="28"/>
  <c r="BU33" i="28"/>
  <c r="BR33" i="28"/>
  <c r="BO33" i="28"/>
  <c r="BL33" i="28"/>
  <c r="BI33" i="28"/>
  <c r="BF33" i="28"/>
  <c r="BC33" i="28"/>
  <c r="AZ33" i="28"/>
  <c r="AW33" i="28"/>
  <c r="AT33" i="28"/>
  <c r="AQ33" i="28"/>
  <c r="AN33" i="28"/>
  <c r="AK33" i="28"/>
  <c r="AH33" i="28"/>
  <c r="AE33" i="28"/>
  <c r="AB33" i="28"/>
  <c r="Y33" i="28"/>
  <c r="V33" i="28"/>
  <c r="S33" i="28"/>
  <c r="EH33" i="28" s="1"/>
  <c r="P33" i="28"/>
  <c r="M33" i="28"/>
  <c r="J33" i="28"/>
  <c r="G33" i="28"/>
  <c r="D33" i="28"/>
  <c r="ED33" i="28" s="1"/>
  <c r="EN32" i="28"/>
  <c r="EL32" i="28"/>
  <c r="EK32" i="28"/>
  <c r="EI32" i="28"/>
  <c r="EG32" i="28"/>
  <c r="EB32" i="28"/>
  <c r="DW32" i="28"/>
  <c r="DT32" i="28"/>
  <c r="EM32" i="28" s="1"/>
  <c r="DQ32" i="28"/>
  <c r="DN32" i="28"/>
  <c r="DK32" i="28"/>
  <c r="DH32" i="28"/>
  <c r="DE32" i="28"/>
  <c r="DB32" i="28"/>
  <c r="CY32" i="28"/>
  <c r="CV32" i="28"/>
  <c r="CS32" i="28"/>
  <c r="CP32" i="28"/>
  <c r="CM32" i="28"/>
  <c r="CJ32" i="28"/>
  <c r="CG32" i="28"/>
  <c r="CD32" i="28"/>
  <c r="CA32" i="28"/>
  <c r="BX32" i="28"/>
  <c r="BU32" i="28"/>
  <c r="BR32" i="28"/>
  <c r="BO32" i="28"/>
  <c r="BL32" i="28"/>
  <c r="BI32" i="28"/>
  <c r="BF32" i="28"/>
  <c r="BC32" i="28"/>
  <c r="AZ32" i="28"/>
  <c r="AW32" i="28"/>
  <c r="AT32" i="28"/>
  <c r="AQ32" i="28"/>
  <c r="AN32" i="28"/>
  <c r="AK32" i="28"/>
  <c r="AH32" i="28"/>
  <c r="AE32" i="28"/>
  <c r="AB32" i="28"/>
  <c r="Y32" i="28"/>
  <c r="V32" i="28"/>
  <c r="EH32" i="28" s="1"/>
  <c r="S32" i="28"/>
  <c r="P32" i="28"/>
  <c r="M32" i="28"/>
  <c r="J32" i="28"/>
  <c r="G32" i="28"/>
  <c r="D32" i="28"/>
  <c r="ED32" i="28" s="1"/>
  <c r="EN31" i="28"/>
  <c r="EL31" i="28"/>
  <c r="EK31" i="28"/>
  <c r="EG31" i="28"/>
  <c r="EI31" i="28" s="1"/>
  <c r="EB31" i="28"/>
  <c r="DW31" i="28"/>
  <c r="DT31" i="28"/>
  <c r="EM31" i="28" s="1"/>
  <c r="DQ31" i="28"/>
  <c r="DN31" i="28"/>
  <c r="DK31" i="28"/>
  <c r="DH31" i="28"/>
  <c r="DE31" i="28"/>
  <c r="DB31" i="28"/>
  <c r="CY31" i="28"/>
  <c r="CV31" i="28"/>
  <c r="CS31" i="28"/>
  <c r="CP31" i="28"/>
  <c r="CM31" i="28"/>
  <c r="CJ31" i="28"/>
  <c r="CG31" i="28"/>
  <c r="CD31" i="28"/>
  <c r="CA31" i="28"/>
  <c r="BX31" i="28"/>
  <c r="BU31" i="28"/>
  <c r="BR31" i="28"/>
  <c r="BO31" i="28"/>
  <c r="BL31" i="28"/>
  <c r="BI31" i="28"/>
  <c r="BF31" i="28"/>
  <c r="BC31" i="28"/>
  <c r="AZ31" i="28"/>
  <c r="AW31" i="28"/>
  <c r="AT31" i="28"/>
  <c r="AQ31" i="28"/>
  <c r="AN31" i="28"/>
  <c r="AK31" i="28"/>
  <c r="AH31" i="28"/>
  <c r="AE31" i="28"/>
  <c r="AB31" i="28"/>
  <c r="Y31" i="28"/>
  <c r="V31" i="28"/>
  <c r="S31" i="28"/>
  <c r="EH31" i="28" s="1"/>
  <c r="P31" i="28"/>
  <c r="M31" i="28"/>
  <c r="J31" i="28"/>
  <c r="ED31" i="28" s="1"/>
  <c r="G31" i="28"/>
  <c r="D31" i="28"/>
  <c r="EN30" i="28"/>
  <c r="EL30" i="28"/>
  <c r="EK30" i="28"/>
  <c r="EI30" i="28"/>
  <c r="EG30" i="28"/>
  <c r="EB30" i="28"/>
  <c r="EC30" i="28" s="1"/>
  <c r="DW30" i="28"/>
  <c r="DT30" i="28"/>
  <c r="EM30" i="28" s="1"/>
  <c r="DQ30" i="28"/>
  <c r="DN30" i="28"/>
  <c r="DK30" i="28"/>
  <c r="DH30" i="28"/>
  <c r="DE30" i="28"/>
  <c r="DB30" i="28"/>
  <c r="CY30" i="28"/>
  <c r="CV30" i="28"/>
  <c r="CS30" i="28"/>
  <c r="CP30" i="28"/>
  <c r="CM30" i="28"/>
  <c r="CJ30" i="28"/>
  <c r="CG30" i="28"/>
  <c r="CD30" i="28"/>
  <c r="CA30" i="28"/>
  <c r="BX30" i="28"/>
  <c r="BU30" i="28"/>
  <c r="BR30" i="28"/>
  <c r="BO30" i="28"/>
  <c r="BL30" i="28"/>
  <c r="BI30" i="28"/>
  <c r="BF30" i="28"/>
  <c r="BC30" i="28"/>
  <c r="AZ30" i="28"/>
  <c r="AW30" i="28"/>
  <c r="AT30" i="28"/>
  <c r="AQ30" i="28"/>
  <c r="AN30" i="28"/>
  <c r="AK30" i="28"/>
  <c r="AH30" i="28"/>
  <c r="AE30" i="28"/>
  <c r="AB30" i="28"/>
  <c r="Y30" i="28"/>
  <c r="V30" i="28"/>
  <c r="S30" i="28"/>
  <c r="EH30" i="28" s="1"/>
  <c r="P30" i="28"/>
  <c r="ED30" i="28" s="1"/>
  <c r="M30" i="28"/>
  <c r="J30" i="28"/>
  <c r="G30" i="28"/>
  <c r="D30" i="28"/>
  <c r="EN29" i="28"/>
  <c r="EL29" i="28"/>
  <c r="EK29" i="28"/>
  <c r="EG29" i="28"/>
  <c r="EI29" i="28" s="1"/>
  <c r="EB29" i="28"/>
  <c r="DW29" i="28"/>
  <c r="DT29" i="28"/>
  <c r="EM29" i="28" s="1"/>
  <c r="DQ29" i="28"/>
  <c r="DN29" i="28"/>
  <c r="DK29" i="28"/>
  <c r="DH29" i="28"/>
  <c r="DE29" i="28"/>
  <c r="DB29" i="28"/>
  <c r="CY29" i="28"/>
  <c r="CV29" i="28"/>
  <c r="CS29" i="28"/>
  <c r="CP29" i="28"/>
  <c r="CM29" i="28"/>
  <c r="CJ29" i="28"/>
  <c r="CG29" i="28"/>
  <c r="CD29" i="28"/>
  <c r="CA29" i="28"/>
  <c r="BX29" i="28"/>
  <c r="BU29" i="28"/>
  <c r="BR29" i="28"/>
  <c r="BO29" i="28"/>
  <c r="BL29" i="28"/>
  <c r="BI29" i="28"/>
  <c r="BF29" i="28"/>
  <c r="BC29" i="28"/>
  <c r="AZ29" i="28"/>
  <c r="AW29" i="28"/>
  <c r="AT29" i="28"/>
  <c r="AQ29" i="28"/>
  <c r="AN29" i="28"/>
  <c r="AK29" i="28"/>
  <c r="AH29" i="28"/>
  <c r="AE29" i="28"/>
  <c r="AB29" i="28"/>
  <c r="Y29" i="28"/>
  <c r="V29" i="28"/>
  <c r="S29" i="28"/>
  <c r="EH29" i="28" s="1"/>
  <c r="P29" i="28"/>
  <c r="M29" i="28"/>
  <c r="J29" i="28"/>
  <c r="G29" i="28"/>
  <c r="D29" i="28"/>
  <c r="ED29" i="28" s="1"/>
  <c r="EN28" i="28"/>
  <c r="EL28" i="28"/>
  <c r="EK28" i="28"/>
  <c r="EI28" i="28"/>
  <c r="EG28" i="28"/>
  <c r="EB28" i="28"/>
  <c r="DW28" i="28"/>
  <c r="DT28" i="28"/>
  <c r="EM28" i="28" s="1"/>
  <c r="DQ28" i="28"/>
  <c r="DN28" i="28"/>
  <c r="DK28" i="28"/>
  <c r="DH28" i="28"/>
  <c r="DE28" i="28"/>
  <c r="DB28" i="28"/>
  <c r="CY28" i="28"/>
  <c r="CV28" i="28"/>
  <c r="CS28" i="28"/>
  <c r="CP28" i="28"/>
  <c r="CM28" i="28"/>
  <c r="CJ28" i="28"/>
  <c r="CG28" i="28"/>
  <c r="CD28" i="28"/>
  <c r="CA28" i="28"/>
  <c r="BX28" i="28"/>
  <c r="BU28" i="28"/>
  <c r="BR28" i="28"/>
  <c r="BO28" i="28"/>
  <c r="BL28" i="28"/>
  <c r="BI28" i="28"/>
  <c r="BF28" i="28"/>
  <c r="BC28" i="28"/>
  <c r="AZ28" i="28"/>
  <c r="AW28" i="28"/>
  <c r="AT28" i="28"/>
  <c r="AQ28" i="28"/>
  <c r="AN28" i="28"/>
  <c r="AK28" i="28"/>
  <c r="AH28" i="28"/>
  <c r="AE28" i="28"/>
  <c r="AB28" i="28"/>
  <c r="Y28" i="28"/>
  <c r="V28" i="28"/>
  <c r="EH28" i="28" s="1"/>
  <c r="S28" i="28"/>
  <c r="P28" i="28"/>
  <c r="M28" i="28"/>
  <c r="J28" i="28"/>
  <c r="G28" i="28"/>
  <c r="D28" i="28"/>
  <c r="ED28" i="28" s="1"/>
  <c r="EN27" i="28"/>
  <c r="EL27" i="28"/>
  <c r="EK27" i="28"/>
  <c r="EG27" i="28"/>
  <c r="EI27" i="28" s="1"/>
  <c r="EB27" i="28"/>
  <c r="DW27" i="28"/>
  <c r="DT27" i="28"/>
  <c r="EM27" i="28" s="1"/>
  <c r="DQ27" i="28"/>
  <c r="DN27" i="28"/>
  <c r="DK27" i="28"/>
  <c r="DH27" i="28"/>
  <c r="DE27" i="28"/>
  <c r="DB27" i="28"/>
  <c r="CY27" i="28"/>
  <c r="CV27" i="28"/>
  <c r="CS27" i="28"/>
  <c r="CP27" i="28"/>
  <c r="CM27" i="28"/>
  <c r="CJ27" i="28"/>
  <c r="CG27" i="28"/>
  <c r="CD27" i="28"/>
  <c r="CA27" i="28"/>
  <c r="BX27" i="28"/>
  <c r="BU27" i="28"/>
  <c r="BR27" i="28"/>
  <c r="BO27" i="28"/>
  <c r="BL27" i="28"/>
  <c r="BI27" i="28"/>
  <c r="BF27" i="28"/>
  <c r="BC27" i="28"/>
  <c r="AZ27" i="28"/>
  <c r="AW27" i="28"/>
  <c r="AT27" i="28"/>
  <c r="AQ27" i="28"/>
  <c r="AN27" i="28"/>
  <c r="AK27" i="28"/>
  <c r="AH27" i="28"/>
  <c r="AE27" i="28"/>
  <c r="AB27" i="28"/>
  <c r="Y27" i="28"/>
  <c r="V27" i="28"/>
  <c r="S27" i="28"/>
  <c r="EH27" i="28" s="1"/>
  <c r="P27" i="28"/>
  <c r="M27" i="28"/>
  <c r="J27" i="28"/>
  <c r="ED27" i="28" s="1"/>
  <c r="G27" i="28"/>
  <c r="D27" i="28"/>
  <c r="EN26" i="28"/>
  <c r="EL26" i="28"/>
  <c r="EK26" i="28"/>
  <c r="EI26" i="28"/>
  <c r="EG26" i="28"/>
  <c r="EB26" i="28"/>
  <c r="EC26" i="28" s="1"/>
  <c r="DW26" i="28"/>
  <c r="DT26" i="28"/>
  <c r="EM26" i="28" s="1"/>
  <c r="DQ26" i="28"/>
  <c r="DN26" i="28"/>
  <c r="DK26" i="28"/>
  <c r="DH26" i="28"/>
  <c r="DE26" i="28"/>
  <c r="DB26" i="28"/>
  <c r="CY26" i="28"/>
  <c r="CV26" i="28"/>
  <c r="CS26" i="28"/>
  <c r="CP26" i="28"/>
  <c r="CM26" i="28"/>
  <c r="CJ26" i="28"/>
  <c r="CG26" i="28"/>
  <c r="CD26" i="28"/>
  <c r="CA26" i="28"/>
  <c r="BX26" i="28"/>
  <c r="BU26" i="28"/>
  <c r="BR26" i="28"/>
  <c r="BO26" i="28"/>
  <c r="BL26" i="28"/>
  <c r="BI26" i="28"/>
  <c r="BF26" i="28"/>
  <c r="BC26" i="28"/>
  <c r="AZ26" i="28"/>
  <c r="AW26" i="28"/>
  <c r="AT26" i="28"/>
  <c r="AQ26" i="28"/>
  <c r="AN26" i="28"/>
  <c r="AK26" i="28"/>
  <c r="AH26" i="28"/>
  <c r="AE26" i="28"/>
  <c r="AB26" i="28"/>
  <c r="Y26" i="28"/>
  <c r="V26" i="28"/>
  <c r="S26" i="28"/>
  <c r="EH26" i="28" s="1"/>
  <c r="P26" i="28"/>
  <c r="ED26" i="28" s="1"/>
  <c r="M26" i="28"/>
  <c r="J26" i="28"/>
  <c r="G26" i="28"/>
  <c r="D26" i="28"/>
  <c r="EN25" i="28"/>
  <c r="EL25" i="28"/>
  <c r="EK25" i="28"/>
  <c r="EI25" i="28"/>
  <c r="EG25" i="28"/>
  <c r="EB25" i="28"/>
  <c r="DW25" i="28"/>
  <c r="DT25" i="28"/>
  <c r="EM25" i="28" s="1"/>
  <c r="DQ25" i="28"/>
  <c r="DN25" i="28"/>
  <c r="DK25" i="28"/>
  <c r="DH25" i="28"/>
  <c r="DE25" i="28"/>
  <c r="DB25" i="28"/>
  <c r="CY25" i="28"/>
  <c r="CV25" i="28"/>
  <c r="CS25" i="28"/>
  <c r="CP25" i="28"/>
  <c r="CM25" i="28"/>
  <c r="CJ25" i="28"/>
  <c r="CG25" i="28"/>
  <c r="CD25" i="28"/>
  <c r="CA25" i="28"/>
  <c r="BX25" i="28"/>
  <c r="BU25" i="28"/>
  <c r="BR25" i="28"/>
  <c r="BO25" i="28"/>
  <c r="BL25" i="28"/>
  <c r="BI25" i="28"/>
  <c r="BF25" i="28"/>
  <c r="BC25" i="28"/>
  <c r="AZ25" i="28"/>
  <c r="AW25" i="28"/>
  <c r="AT25" i="28"/>
  <c r="AQ25" i="28"/>
  <c r="AN25" i="28"/>
  <c r="AK25" i="28"/>
  <c r="AH25" i="28"/>
  <c r="AE25" i="28"/>
  <c r="AB25" i="28"/>
  <c r="Y25" i="28"/>
  <c r="V25" i="28"/>
  <c r="S25" i="28"/>
  <c r="EH25" i="28" s="1"/>
  <c r="P25" i="28"/>
  <c r="M25" i="28"/>
  <c r="J25" i="28"/>
  <c r="G25" i="28"/>
  <c r="D25" i="28"/>
  <c r="ED25" i="28" s="1"/>
  <c r="EN24" i="28"/>
  <c r="EL24" i="28"/>
  <c r="EK24" i="28"/>
  <c r="EI24" i="28"/>
  <c r="EG24" i="28"/>
  <c r="EB24" i="28"/>
  <c r="DW24" i="28"/>
  <c r="DT24" i="28"/>
  <c r="EM24" i="28" s="1"/>
  <c r="DQ24" i="28"/>
  <c r="DN24" i="28"/>
  <c r="DK24" i="28"/>
  <c r="DH24" i="28"/>
  <c r="DE24" i="28"/>
  <c r="DB24" i="28"/>
  <c r="CY24" i="28"/>
  <c r="CV24" i="28"/>
  <c r="CS24" i="28"/>
  <c r="CP24" i="28"/>
  <c r="CM24" i="28"/>
  <c r="CJ24" i="28"/>
  <c r="CG24" i="28"/>
  <c r="CD24" i="28"/>
  <c r="CA24" i="28"/>
  <c r="BX24" i="28"/>
  <c r="BU24" i="28"/>
  <c r="BR24" i="28"/>
  <c r="BO24" i="28"/>
  <c r="BL24" i="28"/>
  <c r="BI24" i="28"/>
  <c r="BF24" i="28"/>
  <c r="BC24" i="28"/>
  <c r="AZ24" i="28"/>
  <c r="AW24" i="28"/>
  <c r="AT24" i="28"/>
  <c r="AQ24" i="28"/>
  <c r="AN24" i="28"/>
  <c r="AK24" i="28"/>
  <c r="AH24" i="28"/>
  <c r="AE24" i="28"/>
  <c r="AB24" i="28"/>
  <c r="Y24" i="28"/>
  <c r="V24" i="28"/>
  <c r="EH24" i="28" s="1"/>
  <c r="S24" i="28"/>
  <c r="P24" i="28"/>
  <c r="M24" i="28"/>
  <c r="J24" i="28"/>
  <c r="G24" i="28"/>
  <c r="D24" i="28"/>
  <c r="ED24" i="28" s="1"/>
  <c r="EN23" i="28"/>
  <c r="EL23" i="28"/>
  <c r="EK23" i="28"/>
  <c r="EG23" i="28"/>
  <c r="EI23" i="28" s="1"/>
  <c r="EB23" i="28"/>
  <c r="DW23" i="28"/>
  <c r="DT23" i="28"/>
  <c r="EM23" i="28" s="1"/>
  <c r="DQ23" i="28"/>
  <c r="DN23" i="28"/>
  <c r="DK23" i="28"/>
  <c r="DH23" i="28"/>
  <c r="DE23" i="28"/>
  <c r="DB23" i="28"/>
  <c r="CY23" i="28"/>
  <c r="CV23" i="28"/>
  <c r="CS23" i="28"/>
  <c r="CP23" i="28"/>
  <c r="CM23" i="28"/>
  <c r="CJ23" i="28"/>
  <c r="CG23" i="28"/>
  <c r="CD23" i="28"/>
  <c r="CA23" i="28"/>
  <c r="BX23" i="28"/>
  <c r="BU23" i="28"/>
  <c r="BR23" i="28"/>
  <c r="BO23" i="28"/>
  <c r="BL23" i="28"/>
  <c r="BI23" i="28"/>
  <c r="BF23" i="28"/>
  <c r="BC23" i="28"/>
  <c r="AZ23" i="28"/>
  <c r="AW23" i="28"/>
  <c r="AT23" i="28"/>
  <c r="AQ23" i="28"/>
  <c r="AN23" i="28"/>
  <c r="AK23" i="28"/>
  <c r="AH23" i="28"/>
  <c r="AE23" i="28"/>
  <c r="AB23" i="28"/>
  <c r="Y23" i="28"/>
  <c r="V23" i="28"/>
  <c r="S23" i="28"/>
  <c r="EH23" i="28" s="1"/>
  <c r="P23" i="28"/>
  <c r="M23" i="28"/>
  <c r="J23" i="28"/>
  <c r="ED23" i="28" s="1"/>
  <c r="G23" i="28"/>
  <c r="D23" i="28"/>
  <c r="EN22" i="28"/>
  <c r="EL22" i="28"/>
  <c r="EK22" i="28"/>
  <c r="EI22" i="28"/>
  <c r="EG22" i="28"/>
  <c r="EB22" i="28"/>
  <c r="EC22" i="28" s="1"/>
  <c r="DW22" i="28"/>
  <c r="DT22" i="28"/>
  <c r="EM22" i="28" s="1"/>
  <c r="DQ22" i="28"/>
  <c r="DN22" i="28"/>
  <c r="DK22" i="28"/>
  <c r="DH22" i="28"/>
  <c r="DE22" i="28"/>
  <c r="DB22" i="28"/>
  <c r="CY22" i="28"/>
  <c r="CV22" i="28"/>
  <c r="CS22" i="28"/>
  <c r="CP22" i="28"/>
  <c r="CM22" i="28"/>
  <c r="CJ22" i="28"/>
  <c r="CG22" i="28"/>
  <c r="CD22" i="28"/>
  <c r="CA22" i="28"/>
  <c r="BX22" i="28"/>
  <c r="BU22" i="28"/>
  <c r="BR22" i="28"/>
  <c r="BO22" i="28"/>
  <c r="BL22" i="28"/>
  <c r="BI22" i="28"/>
  <c r="BF22" i="28"/>
  <c r="BC22" i="28"/>
  <c r="AZ22" i="28"/>
  <c r="AW22" i="28"/>
  <c r="AT22" i="28"/>
  <c r="AQ22" i="28"/>
  <c r="AN22" i="28"/>
  <c r="AK22" i="28"/>
  <c r="AH22" i="28"/>
  <c r="AE22" i="28"/>
  <c r="AB22" i="28"/>
  <c r="Y22" i="28"/>
  <c r="V22" i="28"/>
  <c r="S22" i="28"/>
  <c r="EH22" i="28" s="1"/>
  <c r="P22" i="28"/>
  <c r="ED22" i="28" s="1"/>
  <c r="M22" i="28"/>
  <c r="J22" i="28"/>
  <c r="G22" i="28"/>
  <c r="D22" i="28"/>
  <c r="EN21" i="28"/>
  <c r="EL21" i="28"/>
  <c r="EK21" i="28"/>
  <c r="EI21" i="28"/>
  <c r="EG21" i="28"/>
  <c r="EB21" i="28"/>
  <c r="EE21" i="28" s="1"/>
  <c r="DW21" i="28"/>
  <c r="DT21" i="28"/>
  <c r="EM21" i="28" s="1"/>
  <c r="DQ21" i="28"/>
  <c r="DN21" i="28"/>
  <c r="DK21" i="28"/>
  <c r="DH21" i="28"/>
  <c r="DE21" i="28"/>
  <c r="DB21" i="28"/>
  <c r="CY21" i="28"/>
  <c r="CV21" i="28"/>
  <c r="CS21" i="28"/>
  <c r="CP21" i="28"/>
  <c r="CM21" i="28"/>
  <c r="CJ21" i="28"/>
  <c r="CG21" i="28"/>
  <c r="CD21" i="28"/>
  <c r="CA21" i="28"/>
  <c r="BX21" i="28"/>
  <c r="BU21" i="28"/>
  <c r="BR21" i="28"/>
  <c r="BO21" i="28"/>
  <c r="BL21" i="28"/>
  <c r="BI21" i="28"/>
  <c r="BF21" i="28"/>
  <c r="BC21" i="28"/>
  <c r="AZ21" i="28"/>
  <c r="AW21" i="28"/>
  <c r="AT21" i="28"/>
  <c r="AQ21" i="28"/>
  <c r="AN21" i="28"/>
  <c r="AK21" i="28"/>
  <c r="AH21" i="28"/>
  <c r="AE21" i="28"/>
  <c r="AB21" i="28"/>
  <c r="Y21" i="28"/>
  <c r="V21" i="28"/>
  <c r="S21" i="28"/>
  <c r="EH21" i="28" s="1"/>
  <c r="P21" i="28"/>
  <c r="M21" i="28"/>
  <c r="J21" i="28"/>
  <c r="G21" i="28"/>
  <c r="D21" i="28"/>
  <c r="ED21" i="28" s="1"/>
  <c r="EN20" i="28"/>
  <c r="EL20" i="28"/>
  <c r="EK20" i="28"/>
  <c r="EI20" i="28"/>
  <c r="EG20" i="28"/>
  <c r="EB20" i="28"/>
  <c r="EE20" i="28" s="1"/>
  <c r="DW20" i="28"/>
  <c r="DT20" i="28"/>
  <c r="EM20" i="28" s="1"/>
  <c r="DQ20" i="28"/>
  <c r="DN20" i="28"/>
  <c r="DK20" i="28"/>
  <c r="DH20" i="28"/>
  <c r="DE20" i="28"/>
  <c r="DB20" i="28"/>
  <c r="CY20" i="28"/>
  <c r="CV20" i="28"/>
  <c r="CS20" i="28"/>
  <c r="CP20" i="28"/>
  <c r="CM20" i="28"/>
  <c r="CJ20" i="28"/>
  <c r="CG20" i="28"/>
  <c r="CD20" i="28"/>
  <c r="CA20" i="28"/>
  <c r="BX20" i="28"/>
  <c r="BU20" i="28"/>
  <c r="BR20" i="28"/>
  <c r="BO20" i="28"/>
  <c r="BL20" i="28"/>
  <c r="BI20" i="28"/>
  <c r="BF20" i="28"/>
  <c r="BC20" i="28"/>
  <c r="AZ20" i="28"/>
  <c r="AW20" i="28"/>
  <c r="AT20" i="28"/>
  <c r="AQ20" i="28"/>
  <c r="AN20" i="28"/>
  <c r="AK20" i="28"/>
  <c r="AH20" i="28"/>
  <c r="AE20" i="28"/>
  <c r="AB20" i="28"/>
  <c r="Y20" i="28"/>
  <c r="V20" i="28"/>
  <c r="S20" i="28"/>
  <c r="EH20" i="28" s="1"/>
  <c r="P20" i="28"/>
  <c r="M20" i="28"/>
  <c r="J20" i="28"/>
  <c r="G20" i="28"/>
  <c r="D20" i="28"/>
  <c r="ED20" i="28" s="1"/>
  <c r="EN19" i="28"/>
  <c r="EL19" i="28"/>
  <c r="EK19" i="28"/>
  <c r="EG19" i="28"/>
  <c r="EI19" i="28" s="1"/>
  <c r="EB19" i="28"/>
  <c r="DW19" i="28"/>
  <c r="DT19" i="28"/>
  <c r="EM19" i="28" s="1"/>
  <c r="DQ19" i="28"/>
  <c r="DN19" i="28"/>
  <c r="DK19" i="28"/>
  <c r="DH19" i="28"/>
  <c r="DE19" i="28"/>
  <c r="DB19" i="28"/>
  <c r="CY19" i="28"/>
  <c r="CV19" i="28"/>
  <c r="CS19" i="28"/>
  <c r="CP19" i="28"/>
  <c r="CM19" i="28"/>
  <c r="CJ19" i="28"/>
  <c r="CG19" i="28"/>
  <c r="CD19" i="28"/>
  <c r="CA19" i="28"/>
  <c r="BX19" i="28"/>
  <c r="BU19" i="28"/>
  <c r="BR19" i="28"/>
  <c r="BO19" i="28"/>
  <c r="BL19" i="28"/>
  <c r="BI19" i="28"/>
  <c r="BF19" i="28"/>
  <c r="BC19" i="28"/>
  <c r="AZ19" i="28"/>
  <c r="AW19" i="28"/>
  <c r="AT19" i="28"/>
  <c r="AQ19" i="28"/>
  <c r="AN19" i="28"/>
  <c r="AK19" i="28"/>
  <c r="AH19" i="28"/>
  <c r="AE19" i="28"/>
  <c r="AB19" i="28"/>
  <c r="Y19" i="28"/>
  <c r="V19" i="28"/>
  <c r="S19" i="28"/>
  <c r="EH19" i="28" s="1"/>
  <c r="P19" i="28"/>
  <c r="M19" i="28"/>
  <c r="J19" i="28"/>
  <c r="ED19" i="28" s="1"/>
  <c r="G19" i="28"/>
  <c r="D19" i="28"/>
  <c r="EN18" i="28"/>
  <c r="EL18" i="28"/>
  <c r="EK18" i="28"/>
  <c r="EI18" i="28"/>
  <c r="EG18" i="28"/>
  <c r="EB18" i="28"/>
  <c r="EC18" i="28" s="1"/>
  <c r="DW18" i="28"/>
  <c r="DT18" i="28"/>
  <c r="EM18" i="28" s="1"/>
  <c r="DQ18" i="28"/>
  <c r="DN18" i="28"/>
  <c r="DK18" i="28"/>
  <c r="DH18" i="28"/>
  <c r="DE18" i="28"/>
  <c r="DB18" i="28"/>
  <c r="CY18" i="28"/>
  <c r="CV18" i="28"/>
  <c r="CS18" i="28"/>
  <c r="CP18" i="28"/>
  <c r="CM18" i="28"/>
  <c r="CJ18" i="28"/>
  <c r="CG18" i="28"/>
  <c r="CD18" i="28"/>
  <c r="CA18" i="28"/>
  <c r="BX18" i="28"/>
  <c r="BU18" i="28"/>
  <c r="BR18" i="28"/>
  <c r="BO18" i="28"/>
  <c r="BL18" i="28"/>
  <c r="BI18" i="28"/>
  <c r="BF18" i="28"/>
  <c r="BC18" i="28"/>
  <c r="AZ18" i="28"/>
  <c r="AW18" i="28"/>
  <c r="AT18" i="28"/>
  <c r="AQ18" i="28"/>
  <c r="AN18" i="28"/>
  <c r="AK18" i="28"/>
  <c r="AH18" i="28"/>
  <c r="AE18" i="28"/>
  <c r="AB18" i="28"/>
  <c r="Y18" i="28"/>
  <c r="V18" i="28"/>
  <c r="S18" i="28"/>
  <c r="EH18" i="28" s="1"/>
  <c r="P18" i="28"/>
  <c r="ED18" i="28" s="1"/>
  <c r="M18" i="28"/>
  <c r="J18" i="28"/>
  <c r="G18" i="28"/>
  <c r="D18" i="28"/>
  <c r="EN17" i="28"/>
  <c r="EL17" i="28"/>
  <c r="EK17" i="28"/>
  <c r="EI17" i="28"/>
  <c r="EG17" i="28"/>
  <c r="EB17" i="28"/>
  <c r="EE17" i="28" s="1"/>
  <c r="DW17" i="28"/>
  <c r="DT17" i="28"/>
  <c r="EM17" i="28" s="1"/>
  <c r="DQ17" i="28"/>
  <c r="DN17" i="28"/>
  <c r="DK17" i="28"/>
  <c r="DH17" i="28"/>
  <c r="DE17" i="28"/>
  <c r="DB17" i="28"/>
  <c r="CY17" i="28"/>
  <c r="CV17" i="28"/>
  <c r="CS17" i="28"/>
  <c r="CP17" i="28"/>
  <c r="CM17" i="28"/>
  <c r="CJ17" i="28"/>
  <c r="CG17" i="28"/>
  <c r="CD17" i="28"/>
  <c r="CA17" i="28"/>
  <c r="BX17" i="28"/>
  <c r="BU17" i="28"/>
  <c r="BR17" i="28"/>
  <c r="BO17" i="28"/>
  <c r="BL17" i="28"/>
  <c r="BI17" i="28"/>
  <c r="BF17" i="28"/>
  <c r="BC17" i="28"/>
  <c r="AZ17" i="28"/>
  <c r="AW17" i="28"/>
  <c r="AT17" i="28"/>
  <c r="AQ17" i="28"/>
  <c r="AN17" i="28"/>
  <c r="AK17" i="28"/>
  <c r="AH17" i="28"/>
  <c r="AE17" i="28"/>
  <c r="AB17" i="28"/>
  <c r="Y17" i="28"/>
  <c r="V17" i="28"/>
  <c r="S17" i="28"/>
  <c r="EH17" i="28" s="1"/>
  <c r="P17" i="28"/>
  <c r="M17" i="28"/>
  <c r="J17" i="28"/>
  <c r="G17" i="28"/>
  <c r="D17" i="28"/>
  <c r="ED17" i="28" s="1"/>
  <c r="EN16" i="28"/>
  <c r="EL16" i="28"/>
  <c r="EK16" i="28"/>
  <c r="EI16" i="28"/>
  <c r="EG16" i="28"/>
  <c r="EB16" i="28"/>
  <c r="DW16" i="28"/>
  <c r="DT16" i="28"/>
  <c r="EM16" i="28" s="1"/>
  <c r="DQ16" i="28"/>
  <c r="DN16" i="28"/>
  <c r="DK16" i="28"/>
  <c r="DH16" i="28"/>
  <c r="DE16" i="28"/>
  <c r="DB16" i="28"/>
  <c r="CY16" i="28"/>
  <c r="CV16" i="28"/>
  <c r="CS16" i="28"/>
  <c r="CP16" i="28"/>
  <c r="CM16" i="28"/>
  <c r="CJ16" i="28"/>
  <c r="CG16" i="28"/>
  <c r="CD16" i="28"/>
  <c r="CA16" i="28"/>
  <c r="BX16" i="28"/>
  <c r="BU16" i="28"/>
  <c r="BR16" i="28"/>
  <c r="BO16" i="28"/>
  <c r="BL16" i="28"/>
  <c r="BI16" i="28"/>
  <c r="BF16" i="28"/>
  <c r="BC16" i="28"/>
  <c r="AZ16" i="28"/>
  <c r="AW16" i="28"/>
  <c r="AT16" i="28"/>
  <c r="AQ16" i="28"/>
  <c r="AN16" i="28"/>
  <c r="AK16" i="28"/>
  <c r="AH16" i="28"/>
  <c r="AE16" i="28"/>
  <c r="AB16" i="28"/>
  <c r="Y16" i="28"/>
  <c r="V16" i="28"/>
  <c r="S16" i="28"/>
  <c r="EH16" i="28" s="1"/>
  <c r="P16" i="28"/>
  <c r="M16" i="28"/>
  <c r="J16" i="28"/>
  <c r="G16" i="28"/>
  <c r="D16" i="28"/>
  <c r="ED16" i="28" s="1"/>
  <c r="EN15" i="28"/>
  <c r="EL15" i="28"/>
  <c r="EK15" i="28"/>
  <c r="EG15" i="28"/>
  <c r="EI15" i="28" s="1"/>
  <c r="EB15" i="28"/>
  <c r="DW15" i="28"/>
  <c r="DT15" i="28"/>
  <c r="EM15" i="28" s="1"/>
  <c r="DQ15" i="28"/>
  <c r="DN15" i="28"/>
  <c r="DK15" i="28"/>
  <c r="DH15" i="28"/>
  <c r="DE15" i="28"/>
  <c r="DB15" i="28"/>
  <c r="CY15" i="28"/>
  <c r="CV15" i="28"/>
  <c r="CS15" i="28"/>
  <c r="CP15" i="28"/>
  <c r="CM15" i="28"/>
  <c r="CJ15" i="28"/>
  <c r="CG15" i="28"/>
  <c r="CD15" i="28"/>
  <c r="CA15" i="28"/>
  <c r="BX15" i="28"/>
  <c r="BU15" i="28"/>
  <c r="BR15" i="28"/>
  <c r="BO15" i="28"/>
  <c r="BL15" i="28"/>
  <c r="BI15" i="28"/>
  <c r="BF15" i="28"/>
  <c r="BC15" i="28"/>
  <c r="AZ15" i="28"/>
  <c r="AW15" i="28"/>
  <c r="AT15" i="28"/>
  <c r="AQ15" i="28"/>
  <c r="AN15" i="28"/>
  <c r="AK15" i="28"/>
  <c r="AH15" i="28"/>
  <c r="AE15" i="28"/>
  <c r="AB15" i="28"/>
  <c r="Y15" i="28"/>
  <c r="V15" i="28"/>
  <c r="S15" i="28"/>
  <c r="EH15" i="28" s="1"/>
  <c r="P15" i="28"/>
  <c r="M15" i="28"/>
  <c r="J15" i="28"/>
  <c r="ED15" i="28" s="1"/>
  <c r="G15" i="28"/>
  <c r="D15" i="28"/>
  <c r="EN14" i="28"/>
  <c r="EL14" i="28"/>
  <c r="EK14" i="28"/>
  <c r="EI14" i="28"/>
  <c r="EG14" i="28"/>
  <c r="EB14" i="28"/>
  <c r="EC14" i="28" s="1"/>
  <c r="DW14" i="28"/>
  <c r="DT14" i="28"/>
  <c r="EM14" i="28" s="1"/>
  <c r="DQ14" i="28"/>
  <c r="DN14" i="28"/>
  <c r="DK14" i="28"/>
  <c r="DH14" i="28"/>
  <c r="DE14" i="28"/>
  <c r="DB14" i="28"/>
  <c r="CY14" i="28"/>
  <c r="CV14" i="28"/>
  <c r="CS14" i="28"/>
  <c r="CP14" i="28"/>
  <c r="CM14" i="28"/>
  <c r="CJ14" i="28"/>
  <c r="CG14" i="28"/>
  <c r="CD14" i="28"/>
  <c r="CA14" i="28"/>
  <c r="BX14" i="28"/>
  <c r="BU14" i="28"/>
  <c r="BR14" i="28"/>
  <c r="BO14" i="28"/>
  <c r="BL14" i="28"/>
  <c r="BI14" i="28"/>
  <c r="BF14" i="28"/>
  <c r="BC14" i="28"/>
  <c r="AZ14" i="28"/>
  <c r="AW14" i="28"/>
  <c r="AT14" i="28"/>
  <c r="AQ14" i="28"/>
  <c r="AN14" i="28"/>
  <c r="AK14" i="28"/>
  <c r="AH14" i="28"/>
  <c r="AE14" i="28"/>
  <c r="AB14" i="28"/>
  <c r="Y14" i="28"/>
  <c r="V14" i="28"/>
  <c r="S14" i="28"/>
  <c r="EH14" i="28" s="1"/>
  <c r="P14" i="28"/>
  <c r="ED14" i="28" s="1"/>
  <c r="M14" i="28"/>
  <c r="J14" i="28"/>
  <c r="G14" i="28"/>
  <c r="D14" i="28"/>
  <c r="EN13" i="28"/>
  <c r="EL13" i="28"/>
  <c r="EK13" i="28"/>
  <c r="EI13" i="28"/>
  <c r="EG13" i="28"/>
  <c r="EB13" i="28"/>
  <c r="DW13" i="28"/>
  <c r="DT13" i="28"/>
  <c r="EM13" i="28" s="1"/>
  <c r="DQ13" i="28"/>
  <c r="DN13" i="28"/>
  <c r="DK13" i="28"/>
  <c r="DH13" i="28"/>
  <c r="DE13" i="28"/>
  <c r="DB13" i="28"/>
  <c r="CY13" i="28"/>
  <c r="CV13" i="28"/>
  <c r="CS13" i="28"/>
  <c r="CP13" i="28"/>
  <c r="CM13" i="28"/>
  <c r="CJ13" i="28"/>
  <c r="CG13" i="28"/>
  <c r="CD13" i="28"/>
  <c r="CA13" i="28"/>
  <c r="BX13" i="28"/>
  <c r="BU13" i="28"/>
  <c r="BR13" i="28"/>
  <c r="BO13" i="28"/>
  <c r="BL13" i="28"/>
  <c r="BI13" i="28"/>
  <c r="BF13" i="28"/>
  <c r="BC13" i="28"/>
  <c r="AZ13" i="28"/>
  <c r="AW13" i="28"/>
  <c r="AT13" i="28"/>
  <c r="AQ13" i="28"/>
  <c r="AN13" i="28"/>
  <c r="AK13" i="28"/>
  <c r="AH13" i="28"/>
  <c r="AE13" i="28"/>
  <c r="AB13" i="28"/>
  <c r="Y13" i="28"/>
  <c r="V13" i="28"/>
  <c r="S13" i="28"/>
  <c r="EH13" i="28" s="1"/>
  <c r="P13" i="28"/>
  <c r="M13" i="28"/>
  <c r="J13" i="28"/>
  <c r="G13" i="28"/>
  <c r="D13" i="28"/>
  <c r="ED13" i="28" s="1"/>
  <c r="EN12" i="28"/>
  <c r="EL12" i="28"/>
  <c r="EK12" i="28"/>
  <c r="EI12" i="28"/>
  <c r="EG12" i="28"/>
  <c r="EB12" i="28"/>
  <c r="DW12" i="28"/>
  <c r="DT12" i="28"/>
  <c r="EM12" i="28" s="1"/>
  <c r="DQ12" i="28"/>
  <c r="DN12" i="28"/>
  <c r="DK12" i="28"/>
  <c r="DH12" i="28"/>
  <c r="DE12" i="28"/>
  <c r="DB12" i="28"/>
  <c r="CY12" i="28"/>
  <c r="CV12" i="28"/>
  <c r="CS12" i="28"/>
  <c r="CP12" i="28"/>
  <c r="CM12" i="28"/>
  <c r="CJ12" i="28"/>
  <c r="CG12" i="28"/>
  <c r="CD12" i="28"/>
  <c r="CA12" i="28"/>
  <c r="BX12" i="28"/>
  <c r="BU12" i="28"/>
  <c r="BR12" i="28"/>
  <c r="BO12" i="28"/>
  <c r="BL12" i="28"/>
  <c r="BI12" i="28"/>
  <c r="BF12" i="28"/>
  <c r="BC12" i="28"/>
  <c r="AZ12" i="28"/>
  <c r="AW12" i="28"/>
  <c r="AT12" i="28"/>
  <c r="AQ12" i="28"/>
  <c r="AN12" i="28"/>
  <c r="AK12" i="28"/>
  <c r="AH12" i="28"/>
  <c r="AE12" i="28"/>
  <c r="AB12" i="28"/>
  <c r="Y12" i="28"/>
  <c r="V12" i="28"/>
  <c r="S12" i="28"/>
  <c r="EH12" i="28" s="1"/>
  <c r="P12" i="28"/>
  <c r="M12" i="28"/>
  <c r="J12" i="28"/>
  <c r="G12" i="28"/>
  <c r="D12" i="28"/>
  <c r="ED12" i="28" s="1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N11" i="28"/>
  <c r="EL11" i="28"/>
  <c r="EK11" i="28"/>
  <c r="EG11" i="28"/>
  <c r="EI3" i="28" s="1"/>
  <c r="EI4" i="28" s="1"/>
  <c r="EB11" i="28"/>
  <c r="DW11" i="28"/>
  <c r="DW42" i="28" s="1"/>
  <c r="DT11" i="28"/>
  <c r="EM11" i="28" s="1"/>
  <c r="DQ11" i="28"/>
  <c r="DQ42" i="28" s="1"/>
  <c r="DN11" i="28"/>
  <c r="DN42" i="28" s="1"/>
  <c r="DK11" i="28"/>
  <c r="DH11" i="28"/>
  <c r="DH42" i="28" s="1"/>
  <c r="DE11" i="28"/>
  <c r="DE42" i="28" s="1"/>
  <c r="DB11" i="28"/>
  <c r="DB42" i="28" s="1"/>
  <c r="CY11" i="28"/>
  <c r="CY42" i="28" s="1"/>
  <c r="CV11" i="28"/>
  <c r="CV42" i="28" s="1"/>
  <c r="CS11" i="28"/>
  <c r="CS42" i="28" s="1"/>
  <c r="CP11" i="28"/>
  <c r="CP42" i="28" s="1"/>
  <c r="CM11" i="28"/>
  <c r="CJ11" i="28"/>
  <c r="CJ42" i="28" s="1"/>
  <c r="CG11" i="28"/>
  <c r="CG42" i="28" s="1"/>
  <c r="CD11" i="28"/>
  <c r="CD42" i="28" s="1"/>
  <c r="CA11" i="28"/>
  <c r="CA42" i="28" s="1"/>
  <c r="BX11" i="28"/>
  <c r="BX42" i="28" s="1"/>
  <c r="BU11" i="28"/>
  <c r="BU42" i="28" s="1"/>
  <c r="BR11" i="28"/>
  <c r="BR42" i="28" s="1"/>
  <c r="BO11" i="28"/>
  <c r="BL11" i="28"/>
  <c r="BL42" i="28" s="1"/>
  <c r="BI11" i="28"/>
  <c r="BI42" i="28" s="1"/>
  <c r="BF11" i="28"/>
  <c r="BF42" i="28" s="1"/>
  <c r="BC11" i="28"/>
  <c r="BC42" i="28" s="1"/>
  <c r="AZ11" i="28"/>
  <c r="AZ42" i="28" s="1"/>
  <c r="AW11" i="28"/>
  <c r="AW42" i="28" s="1"/>
  <c r="AT11" i="28"/>
  <c r="AT42" i="28" s="1"/>
  <c r="AQ11" i="28"/>
  <c r="AN11" i="28"/>
  <c r="AN42" i="28" s="1"/>
  <c r="AK11" i="28"/>
  <c r="AK42" i="28" s="1"/>
  <c r="AH11" i="28"/>
  <c r="AH42" i="28" s="1"/>
  <c r="AE11" i="28"/>
  <c r="AE42" i="28" s="1"/>
  <c r="AB11" i="28"/>
  <c r="AB42" i="28" s="1"/>
  <c r="Y11" i="28"/>
  <c r="Y42" i="28" s="1"/>
  <c r="V11" i="28"/>
  <c r="V42" i="28" s="1"/>
  <c r="S11" i="28"/>
  <c r="EH11" i="28" s="1"/>
  <c r="EH42" i="28" s="1"/>
  <c r="P11" i="28"/>
  <c r="P42" i="28" s="1"/>
  <c r="M11" i="28"/>
  <c r="M42" i="28" s="1"/>
  <c r="J11" i="28"/>
  <c r="J42" i="28" s="1"/>
  <c r="G11" i="28"/>
  <c r="G42" i="28" s="1"/>
  <c r="D11" i="28"/>
  <c r="D42" i="28" s="1"/>
  <c r="EN5" i="28"/>
  <c r="EN3" i="28"/>
  <c r="EN4" i="28" s="1"/>
  <c r="EN2" i="28"/>
  <c r="EP2" i="28" s="1"/>
  <c r="EI2" i="28"/>
  <c r="EE2" i="28"/>
  <c r="EQ2" i="28" s="1"/>
  <c r="G4" i="28" s="1"/>
  <c r="EE16" i="28" l="1"/>
  <c r="EE11" i="28"/>
  <c r="EE12" i="28"/>
  <c r="EE13" i="28"/>
  <c r="EE15" i="28"/>
  <c r="EE36" i="28"/>
  <c r="EE37" i="28"/>
  <c r="EE19" i="28"/>
  <c r="EE35" i="28"/>
  <c r="EE32" i="28"/>
  <c r="EE31" i="28"/>
  <c r="EE28" i="28"/>
  <c r="EE29" i="28"/>
  <c r="EE24" i="28"/>
  <c r="EE25" i="28"/>
  <c r="EE27" i="28"/>
  <c r="EM42" i="28"/>
  <c r="EE23" i="28"/>
  <c r="EC13" i="28"/>
  <c r="EE14" i="28"/>
  <c r="EC17" i="28"/>
  <c r="EE18" i="28"/>
  <c r="EC21" i="28"/>
  <c r="EE22" i="28"/>
  <c r="EC25" i="28"/>
  <c r="EE26" i="28"/>
  <c r="EC29" i="28"/>
  <c r="EE30" i="28"/>
  <c r="EC33" i="28"/>
  <c r="EE34" i="28"/>
  <c r="EC37" i="28"/>
  <c r="EE38" i="28"/>
  <c r="EC41" i="28"/>
  <c r="EI11" i="28"/>
  <c r="EC12" i="28"/>
  <c r="EC16" i="28"/>
  <c r="EC20" i="28"/>
  <c r="EC24" i="28"/>
  <c r="EC28" i="28"/>
  <c r="EC32" i="28"/>
  <c r="EC36" i="28"/>
  <c r="EC40" i="28"/>
  <c r="DT42" i="28"/>
  <c r="EE3" i="28"/>
  <c r="EE5" i="28"/>
  <c r="G7" i="28" s="1"/>
  <c r="EC11" i="28"/>
  <c r="EC15" i="28"/>
  <c r="EC19" i="28"/>
  <c r="EC23" i="28"/>
  <c r="EC27" i="28"/>
  <c r="EC31" i="28"/>
  <c r="EC35" i="28"/>
  <c r="EC39" i="28"/>
  <c r="EI5" i="28"/>
  <c r="ED11" i="28"/>
  <c r="ED42" i="28" s="1"/>
  <c r="G5" i="28" l="1"/>
  <c r="EE4" i="28"/>
  <c r="G6" i="28" s="1"/>
  <c r="EL40" i="27" l="1"/>
  <c r="EK40" i="27"/>
  <c r="EN40" i="27" s="1"/>
  <c r="EG40" i="27"/>
  <c r="EI40" i="27" s="1"/>
  <c r="EB40" i="27"/>
  <c r="EE40" i="27" s="1"/>
  <c r="DW40" i="27"/>
  <c r="DT40" i="27"/>
  <c r="EM40" i="27" s="1"/>
  <c r="DQ40" i="27"/>
  <c r="DN40" i="27"/>
  <c r="DK40" i="27"/>
  <c r="DH40" i="27"/>
  <c r="DE40" i="27"/>
  <c r="DB40" i="27"/>
  <c r="CY40" i="27"/>
  <c r="CV40" i="27"/>
  <c r="CS40" i="27"/>
  <c r="CP40" i="27"/>
  <c r="CM40" i="27"/>
  <c r="CJ40" i="27"/>
  <c r="CG40" i="27"/>
  <c r="CD40" i="27"/>
  <c r="CA40" i="27"/>
  <c r="BX40" i="27"/>
  <c r="BU40" i="27"/>
  <c r="BR40" i="27"/>
  <c r="BO40" i="27"/>
  <c r="BL40" i="27"/>
  <c r="BI40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V40" i="27"/>
  <c r="EH40" i="27" s="1"/>
  <c r="S40" i="27"/>
  <c r="P40" i="27"/>
  <c r="M40" i="27"/>
  <c r="J40" i="27"/>
  <c r="G40" i="27"/>
  <c r="D40" i="27"/>
  <c r="ED40" i="27" s="1"/>
  <c r="EN39" i="27"/>
  <c r="EL39" i="27"/>
  <c r="EK39" i="27"/>
  <c r="EI39" i="27"/>
  <c r="EG39" i="27"/>
  <c r="EB39" i="27"/>
  <c r="EC39" i="27" s="1"/>
  <c r="DW39" i="27"/>
  <c r="DT39" i="27"/>
  <c r="EM39" i="27" s="1"/>
  <c r="DQ39" i="27"/>
  <c r="DN39" i="27"/>
  <c r="DK39" i="27"/>
  <c r="DH39" i="27"/>
  <c r="DE39" i="27"/>
  <c r="DB39" i="27"/>
  <c r="CY39" i="27"/>
  <c r="CV39" i="27"/>
  <c r="CS39" i="27"/>
  <c r="CP39" i="27"/>
  <c r="CM39" i="27"/>
  <c r="CJ39" i="27"/>
  <c r="CG39" i="27"/>
  <c r="CD39" i="27"/>
  <c r="CA39" i="27"/>
  <c r="BX39" i="27"/>
  <c r="BU39" i="27"/>
  <c r="BR39" i="27"/>
  <c r="BO39" i="27"/>
  <c r="BL39" i="27"/>
  <c r="BI39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V39" i="27"/>
  <c r="EH39" i="27" s="1"/>
  <c r="S39" i="27"/>
  <c r="P39" i="27"/>
  <c r="M39" i="27"/>
  <c r="J39" i="27"/>
  <c r="G39" i="27"/>
  <c r="D39" i="27"/>
  <c r="ED39" i="27" s="1"/>
  <c r="EE39" i="27" s="1"/>
  <c r="EN38" i="27"/>
  <c r="EL38" i="27"/>
  <c r="EK38" i="27"/>
  <c r="EG38" i="27"/>
  <c r="EI38" i="27" s="1"/>
  <c r="EB38" i="27"/>
  <c r="DW38" i="27"/>
  <c r="DT38" i="27"/>
  <c r="DQ38" i="27"/>
  <c r="DN38" i="27"/>
  <c r="EM38" i="27" s="1"/>
  <c r="DK38" i="27"/>
  <c r="DH38" i="27"/>
  <c r="DE38" i="27"/>
  <c r="DB38" i="27"/>
  <c r="CY38" i="27"/>
  <c r="CV38" i="27"/>
  <c r="CS38" i="27"/>
  <c r="CP38" i="27"/>
  <c r="CM38" i="27"/>
  <c r="CJ38" i="27"/>
  <c r="CG38" i="27"/>
  <c r="CD38" i="27"/>
  <c r="CA38" i="27"/>
  <c r="BX38" i="27"/>
  <c r="BU38" i="27"/>
  <c r="BR38" i="27"/>
  <c r="BO38" i="27"/>
  <c r="BL38" i="27"/>
  <c r="BI38" i="27"/>
  <c r="BF38" i="27"/>
  <c r="BC38" i="27"/>
  <c r="AZ38" i="27"/>
  <c r="AW38" i="27"/>
  <c r="AT38" i="27"/>
  <c r="AQ38" i="27"/>
  <c r="AN38" i="27"/>
  <c r="AK38" i="27"/>
  <c r="AH38" i="27"/>
  <c r="AE38" i="27"/>
  <c r="AB38" i="27"/>
  <c r="Y38" i="27"/>
  <c r="V38" i="27"/>
  <c r="S38" i="27"/>
  <c r="EH38" i="27" s="1"/>
  <c r="P38" i="27"/>
  <c r="M38" i="27"/>
  <c r="J38" i="27"/>
  <c r="ED38" i="27" s="1"/>
  <c r="G38" i="27"/>
  <c r="D38" i="27"/>
  <c r="EN37" i="27"/>
  <c r="EL37" i="27"/>
  <c r="EK37" i="27"/>
  <c r="EI37" i="27"/>
  <c r="EG37" i="27"/>
  <c r="EB37" i="27"/>
  <c r="EC37" i="27" s="1"/>
  <c r="DW37" i="27"/>
  <c r="DT37" i="27"/>
  <c r="EM37" i="27" s="1"/>
  <c r="DQ37" i="27"/>
  <c r="DN37" i="27"/>
  <c r="DK37" i="27"/>
  <c r="DH37" i="27"/>
  <c r="DE37" i="27"/>
  <c r="DB37" i="27"/>
  <c r="CY37" i="27"/>
  <c r="CV37" i="27"/>
  <c r="CS37" i="27"/>
  <c r="CP37" i="27"/>
  <c r="CM37" i="27"/>
  <c r="CJ37" i="27"/>
  <c r="CG37" i="27"/>
  <c r="CD37" i="27"/>
  <c r="CA37" i="27"/>
  <c r="BX37" i="27"/>
  <c r="BU37" i="27"/>
  <c r="BR37" i="27"/>
  <c r="BO37" i="27"/>
  <c r="BL37" i="27"/>
  <c r="BI37" i="27"/>
  <c r="BF37" i="27"/>
  <c r="BC37" i="27"/>
  <c r="AZ37" i="27"/>
  <c r="AW37" i="27"/>
  <c r="AT37" i="27"/>
  <c r="AQ37" i="27"/>
  <c r="AN37" i="27"/>
  <c r="AK37" i="27"/>
  <c r="AH37" i="27"/>
  <c r="AE37" i="27"/>
  <c r="AB37" i="27"/>
  <c r="Y37" i="27"/>
  <c r="V37" i="27"/>
  <c r="S37" i="27"/>
  <c r="EH37" i="27" s="1"/>
  <c r="P37" i="27"/>
  <c r="ED37" i="27" s="1"/>
  <c r="M37" i="27"/>
  <c r="J37" i="27"/>
  <c r="G37" i="27"/>
  <c r="D37" i="27"/>
  <c r="EL36" i="27"/>
  <c r="EK36" i="27"/>
  <c r="EN36" i="27" s="1"/>
  <c r="EG36" i="27"/>
  <c r="EI36" i="27" s="1"/>
  <c r="EB36" i="27"/>
  <c r="DW36" i="27"/>
  <c r="DT36" i="27"/>
  <c r="EM36" i="27" s="1"/>
  <c r="DQ36" i="27"/>
  <c r="DN36" i="27"/>
  <c r="DK36" i="27"/>
  <c r="DH36" i="27"/>
  <c r="DE36" i="27"/>
  <c r="DB36" i="27"/>
  <c r="CY36" i="27"/>
  <c r="CV36" i="27"/>
  <c r="CS36" i="27"/>
  <c r="CP36" i="27"/>
  <c r="CM36" i="27"/>
  <c r="CJ36" i="27"/>
  <c r="CG36" i="27"/>
  <c r="CD36" i="27"/>
  <c r="CA36" i="27"/>
  <c r="BX36" i="27"/>
  <c r="BU36" i="27"/>
  <c r="BR36" i="27"/>
  <c r="BO36" i="27"/>
  <c r="BL36" i="27"/>
  <c r="BI36" i="27"/>
  <c r="BF36" i="27"/>
  <c r="BC36" i="27"/>
  <c r="AZ36" i="27"/>
  <c r="AW36" i="27"/>
  <c r="AT36" i="27"/>
  <c r="AQ36" i="27"/>
  <c r="AN36" i="27"/>
  <c r="AK36" i="27"/>
  <c r="AH36" i="27"/>
  <c r="AE36" i="27"/>
  <c r="AB36" i="27"/>
  <c r="Y36" i="27"/>
  <c r="V36" i="27"/>
  <c r="EH36" i="27" s="1"/>
  <c r="S36" i="27"/>
  <c r="P36" i="27"/>
  <c r="M36" i="27"/>
  <c r="J36" i="27"/>
  <c r="G36" i="27"/>
  <c r="D36" i="27"/>
  <c r="ED36" i="27" s="1"/>
  <c r="EN35" i="27"/>
  <c r="EL35" i="27"/>
  <c r="EK35" i="27"/>
  <c r="EI35" i="27"/>
  <c r="EG35" i="27"/>
  <c r="EB35" i="27"/>
  <c r="EC35" i="27" s="1"/>
  <c r="DW35" i="27"/>
  <c r="DT35" i="27"/>
  <c r="EM35" i="27" s="1"/>
  <c r="DQ35" i="27"/>
  <c r="DN35" i="27"/>
  <c r="DK35" i="27"/>
  <c r="DH35" i="27"/>
  <c r="DE35" i="27"/>
  <c r="DB35" i="27"/>
  <c r="CY35" i="27"/>
  <c r="CV35" i="27"/>
  <c r="CS35" i="27"/>
  <c r="CP35" i="27"/>
  <c r="CM35" i="27"/>
  <c r="CJ35" i="27"/>
  <c r="CG35" i="27"/>
  <c r="CD35" i="27"/>
  <c r="CA35" i="27"/>
  <c r="BX35" i="27"/>
  <c r="BU35" i="27"/>
  <c r="BR35" i="27"/>
  <c r="BO35" i="27"/>
  <c r="BL35" i="27"/>
  <c r="BI35" i="27"/>
  <c r="BF35" i="27"/>
  <c r="BC35" i="27"/>
  <c r="AZ35" i="27"/>
  <c r="AW35" i="27"/>
  <c r="AT35" i="27"/>
  <c r="AQ35" i="27"/>
  <c r="AN35" i="27"/>
  <c r="AK35" i="27"/>
  <c r="AH35" i="27"/>
  <c r="AE35" i="27"/>
  <c r="AB35" i="27"/>
  <c r="Y35" i="27"/>
  <c r="V35" i="27"/>
  <c r="S35" i="27"/>
  <c r="EH35" i="27" s="1"/>
  <c r="P35" i="27"/>
  <c r="M35" i="27"/>
  <c r="J35" i="27"/>
  <c r="G35" i="27"/>
  <c r="D35" i="27"/>
  <c r="ED35" i="27" s="1"/>
  <c r="EE35" i="27" s="1"/>
  <c r="EN34" i="27"/>
  <c r="EL34" i="27"/>
  <c r="EK34" i="27"/>
  <c r="EG34" i="27"/>
  <c r="EI34" i="27" s="1"/>
  <c r="EB34" i="27"/>
  <c r="DW34" i="27"/>
  <c r="DT34" i="27"/>
  <c r="DQ34" i="27"/>
  <c r="DN34" i="27"/>
  <c r="EM34" i="27" s="1"/>
  <c r="DK34" i="27"/>
  <c r="DH34" i="27"/>
  <c r="DE34" i="27"/>
  <c r="DB34" i="27"/>
  <c r="CY34" i="27"/>
  <c r="CV34" i="27"/>
  <c r="CS34" i="27"/>
  <c r="CP34" i="27"/>
  <c r="CM34" i="27"/>
  <c r="CJ34" i="27"/>
  <c r="CG34" i="27"/>
  <c r="CD34" i="27"/>
  <c r="CA34" i="27"/>
  <c r="BX34" i="27"/>
  <c r="BU34" i="27"/>
  <c r="BR34" i="27"/>
  <c r="BO34" i="27"/>
  <c r="BL34" i="27"/>
  <c r="BI34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V34" i="27"/>
  <c r="S34" i="27"/>
  <c r="EH34" i="27" s="1"/>
  <c r="P34" i="27"/>
  <c r="M34" i="27"/>
  <c r="J34" i="27"/>
  <c r="ED34" i="27" s="1"/>
  <c r="G34" i="27"/>
  <c r="D34" i="27"/>
  <c r="EN33" i="27"/>
  <c r="EL33" i="27"/>
  <c r="EK33" i="27"/>
  <c r="EI33" i="27"/>
  <c r="EG33" i="27"/>
  <c r="EB33" i="27"/>
  <c r="EC33" i="27" s="1"/>
  <c r="DW33" i="27"/>
  <c r="DT33" i="27"/>
  <c r="EM33" i="27" s="1"/>
  <c r="DQ33" i="27"/>
  <c r="DN33" i="27"/>
  <c r="DK33" i="27"/>
  <c r="DH33" i="27"/>
  <c r="DE33" i="27"/>
  <c r="DB33" i="27"/>
  <c r="CY33" i="27"/>
  <c r="CV33" i="27"/>
  <c r="CS33" i="27"/>
  <c r="CP33" i="27"/>
  <c r="CM33" i="27"/>
  <c r="CJ33" i="27"/>
  <c r="CG33" i="27"/>
  <c r="CD33" i="27"/>
  <c r="CA33" i="27"/>
  <c r="BX33" i="27"/>
  <c r="BU33" i="27"/>
  <c r="BR33" i="27"/>
  <c r="BO33" i="27"/>
  <c r="BL33" i="27"/>
  <c r="BI33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V33" i="27"/>
  <c r="S33" i="27"/>
  <c r="EH33" i="27" s="1"/>
  <c r="P33" i="27"/>
  <c r="ED33" i="27" s="1"/>
  <c r="M33" i="27"/>
  <c r="J33" i="27"/>
  <c r="G33" i="27"/>
  <c r="D33" i="27"/>
  <c r="EL32" i="27"/>
  <c r="EK32" i="27"/>
  <c r="EN32" i="27" s="1"/>
  <c r="EG32" i="27"/>
  <c r="EI32" i="27" s="1"/>
  <c r="EB32" i="27"/>
  <c r="DW32" i="27"/>
  <c r="DT32" i="27"/>
  <c r="EM32" i="27" s="1"/>
  <c r="DQ32" i="27"/>
  <c r="DN32" i="27"/>
  <c r="DK32" i="27"/>
  <c r="DH32" i="27"/>
  <c r="DE32" i="27"/>
  <c r="DB32" i="27"/>
  <c r="CY32" i="27"/>
  <c r="CV32" i="27"/>
  <c r="CS32" i="27"/>
  <c r="CP32" i="27"/>
  <c r="CM32" i="27"/>
  <c r="CJ32" i="27"/>
  <c r="CG32" i="27"/>
  <c r="CD32" i="27"/>
  <c r="CA32" i="27"/>
  <c r="BX32" i="27"/>
  <c r="BU32" i="27"/>
  <c r="BR32" i="27"/>
  <c r="BO32" i="27"/>
  <c r="BL32" i="27"/>
  <c r="BI32" i="27"/>
  <c r="BF32" i="27"/>
  <c r="BC32" i="27"/>
  <c r="AZ32" i="27"/>
  <c r="AW32" i="27"/>
  <c r="AT32" i="27"/>
  <c r="AQ32" i="27"/>
  <c r="AN32" i="27"/>
  <c r="AK32" i="27"/>
  <c r="AH32" i="27"/>
  <c r="AE32" i="27"/>
  <c r="AB32" i="27"/>
  <c r="Y32" i="27"/>
  <c r="V32" i="27"/>
  <c r="EH32" i="27" s="1"/>
  <c r="S32" i="27"/>
  <c r="P32" i="27"/>
  <c r="M32" i="27"/>
  <c r="J32" i="27"/>
  <c r="G32" i="27"/>
  <c r="D32" i="27"/>
  <c r="ED32" i="27" s="1"/>
  <c r="EN31" i="27"/>
  <c r="EL31" i="27"/>
  <c r="EK31" i="27"/>
  <c r="EI31" i="27"/>
  <c r="EG31" i="27"/>
  <c r="EB31" i="27"/>
  <c r="EC31" i="27" s="1"/>
  <c r="DW31" i="27"/>
  <c r="DT31" i="27"/>
  <c r="EM31" i="27" s="1"/>
  <c r="DQ31" i="27"/>
  <c r="DN31" i="27"/>
  <c r="DK31" i="27"/>
  <c r="DH31" i="27"/>
  <c r="DE31" i="27"/>
  <c r="DB31" i="27"/>
  <c r="CY31" i="27"/>
  <c r="CV31" i="27"/>
  <c r="CS31" i="27"/>
  <c r="CP31" i="27"/>
  <c r="CM31" i="27"/>
  <c r="CJ31" i="27"/>
  <c r="CG31" i="27"/>
  <c r="CD31" i="27"/>
  <c r="CA31" i="27"/>
  <c r="BX31" i="27"/>
  <c r="BU31" i="27"/>
  <c r="BR31" i="27"/>
  <c r="BO31" i="27"/>
  <c r="BL31" i="27"/>
  <c r="BI31" i="27"/>
  <c r="BF31" i="27"/>
  <c r="BC31" i="27"/>
  <c r="AZ31" i="27"/>
  <c r="AW31" i="27"/>
  <c r="AT31" i="27"/>
  <c r="AQ31" i="27"/>
  <c r="AN31" i="27"/>
  <c r="AK31" i="27"/>
  <c r="AH31" i="27"/>
  <c r="AE31" i="27"/>
  <c r="AB31" i="27"/>
  <c r="Y31" i="27"/>
  <c r="V31" i="27"/>
  <c r="S31" i="27"/>
  <c r="EH31" i="27" s="1"/>
  <c r="P31" i="27"/>
  <c r="M31" i="27"/>
  <c r="J31" i="27"/>
  <c r="G31" i="27"/>
  <c r="D31" i="27"/>
  <c r="ED31" i="27" s="1"/>
  <c r="EE31" i="27" s="1"/>
  <c r="EN30" i="27"/>
  <c r="EL30" i="27"/>
  <c r="EK30" i="27"/>
  <c r="EG30" i="27"/>
  <c r="EI30" i="27" s="1"/>
  <c r="EB30" i="27"/>
  <c r="DW30" i="27"/>
  <c r="DT30" i="27"/>
  <c r="DQ30" i="27"/>
  <c r="DN30" i="27"/>
  <c r="EM30" i="27" s="1"/>
  <c r="DK30" i="27"/>
  <c r="DH30" i="27"/>
  <c r="DE30" i="27"/>
  <c r="DB30" i="27"/>
  <c r="CY30" i="27"/>
  <c r="CV30" i="27"/>
  <c r="CS30" i="27"/>
  <c r="CP30" i="27"/>
  <c r="CM30" i="27"/>
  <c r="CJ30" i="27"/>
  <c r="CG30" i="27"/>
  <c r="CD30" i="27"/>
  <c r="CA30" i="27"/>
  <c r="BX30" i="27"/>
  <c r="BU30" i="27"/>
  <c r="BR30" i="27"/>
  <c r="BO30" i="27"/>
  <c r="BL30" i="27"/>
  <c r="BI30" i="27"/>
  <c r="BF30" i="27"/>
  <c r="BC30" i="27"/>
  <c r="AZ30" i="27"/>
  <c r="AW30" i="27"/>
  <c r="AT30" i="27"/>
  <c r="AQ30" i="27"/>
  <c r="AN30" i="27"/>
  <c r="AK30" i="27"/>
  <c r="AH30" i="27"/>
  <c r="AE30" i="27"/>
  <c r="AB30" i="27"/>
  <c r="Y30" i="27"/>
  <c r="V30" i="27"/>
  <c r="S30" i="27"/>
  <c r="EH30" i="27" s="1"/>
  <c r="P30" i="27"/>
  <c r="M30" i="27"/>
  <c r="J30" i="27"/>
  <c r="ED30" i="27" s="1"/>
  <c r="G30" i="27"/>
  <c r="D30" i="27"/>
  <c r="EN29" i="27"/>
  <c r="EL29" i="27"/>
  <c r="EK29" i="27"/>
  <c r="EI29" i="27"/>
  <c r="EG29" i="27"/>
  <c r="EB29" i="27"/>
  <c r="EC29" i="27" s="1"/>
  <c r="DW29" i="27"/>
  <c r="DT29" i="27"/>
  <c r="EM29" i="27" s="1"/>
  <c r="DQ29" i="27"/>
  <c r="DN29" i="27"/>
  <c r="DK29" i="27"/>
  <c r="DH29" i="27"/>
  <c r="DE29" i="27"/>
  <c r="DB29" i="27"/>
  <c r="CY29" i="27"/>
  <c r="CV29" i="27"/>
  <c r="CS29" i="27"/>
  <c r="CP29" i="27"/>
  <c r="CM29" i="27"/>
  <c r="CJ29" i="27"/>
  <c r="CG29" i="27"/>
  <c r="CD29" i="27"/>
  <c r="CA29" i="27"/>
  <c r="BX29" i="27"/>
  <c r="BU29" i="27"/>
  <c r="BR29" i="27"/>
  <c r="BO29" i="27"/>
  <c r="BL29" i="27"/>
  <c r="BI29" i="27"/>
  <c r="BF29" i="27"/>
  <c r="BC29" i="27"/>
  <c r="AZ29" i="27"/>
  <c r="AW29" i="27"/>
  <c r="AT29" i="27"/>
  <c r="AQ29" i="27"/>
  <c r="AN29" i="27"/>
  <c r="AK29" i="27"/>
  <c r="AH29" i="27"/>
  <c r="AE29" i="27"/>
  <c r="AB29" i="27"/>
  <c r="Y29" i="27"/>
  <c r="V29" i="27"/>
  <c r="S29" i="27"/>
  <c r="EH29" i="27" s="1"/>
  <c r="P29" i="27"/>
  <c r="ED29" i="27" s="1"/>
  <c r="M29" i="27"/>
  <c r="J29" i="27"/>
  <c r="G29" i="27"/>
  <c r="D29" i="27"/>
  <c r="EL28" i="27"/>
  <c r="EK28" i="27"/>
  <c r="EN28" i="27" s="1"/>
  <c r="EG28" i="27"/>
  <c r="EI28" i="27" s="1"/>
  <c r="EB28" i="27"/>
  <c r="EE28" i="27" s="1"/>
  <c r="DW28" i="27"/>
  <c r="DT28" i="27"/>
  <c r="EM28" i="27" s="1"/>
  <c r="DQ28" i="27"/>
  <c r="DN28" i="27"/>
  <c r="DK28" i="27"/>
  <c r="DH28" i="27"/>
  <c r="DE28" i="27"/>
  <c r="DB28" i="27"/>
  <c r="CY28" i="27"/>
  <c r="CV28" i="27"/>
  <c r="CS28" i="27"/>
  <c r="CP28" i="27"/>
  <c r="CM28" i="27"/>
  <c r="CJ28" i="27"/>
  <c r="CG28" i="27"/>
  <c r="CD28" i="27"/>
  <c r="CA28" i="27"/>
  <c r="BX28" i="27"/>
  <c r="BU28" i="27"/>
  <c r="BR28" i="27"/>
  <c r="BO28" i="27"/>
  <c r="BL28" i="27"/>
  <c r="BI28" i="27"/>
  <c r="BF28" i="27"/>
  <c r="BC28" i="27"/>
  <c r="AZ28" i="27"/>
  <c r="AW28" i="27"/>
  <c r="AT28" i="27"/>
  <c r="AQ28" i="27"/>
  <c r="AN28" i="27"/>
  <c r="AK28" i="27"/>
  <c r="AH28" i="27"/>
  <c r="AE28" i="27"/>
  <c r="AB28" i="27"/>
  <c r="Y28" i="27"/>
  <c r="V28" i="27"/>
  <c r="EH28" i="27" s="1"/>
  <c r="S28" i="27"/>
  <c r="P28" i="27"/>
  <c r="M28" i="27"/>
  <c r="J28" i="27"/>
  <c r="G28" i="27"/>
  <c r="D28" i="27"/>
  <c r="ED28" i="27" s="1"/>
  <c r="EN27" i="27"/>
  <c r="EL27" i="27"/>
  <c r="EK27" i="27"/>
  <c r="EI27" i="27"/>
  <c r="EG27" i="27"/>
  <c r="EB27" i="27"/>
  <c r="EC27" i="27" s="1"/>
  <c r="DW27" i="27"/>
  <c r="DT27" i="27"/>
  <c r="EM27" i="27" s="1"/>
  <c r="DQ27" i="27"/>
  <c r="DN27" i="27"/>
  <c r="DK27" i="27"/>
  <c r="DH27" i="27"/>
  <c r="DE27" i="27"/>
  <c r="DB27" i="27"/>
  <c r="CY27" i="27"/>
  <c r="CV27" i="27"/>
  <c r="CS27" i="27"/>
  <c r="CP27" i="27"/>
  <c r="CM27" i="27"/>
  <c r="CJ27" i="27"/>
  <c r="CG27" i="27"/>
  <c r="CD27" i="27"/>
  <c r="CA27" i="27"/>
  <c r="BX27" i="27"/>
  <c r="BU27" i="27"/>
  <c r="BR27" i="27"/>
  <c r="BO27" i="27"/>
  <c r="BL27" i="27"/>
  <c r="BI27" i="27"/>
  <c r="BF27" i="27"/>
  <c r="BC27" i="27"/>
  <c r="AZ27" i="27"/>
  <c r="AW27" i="27"/>
  <c r="AT27" i="27"/>
  <c r="AQ27" i="27"/>
  <c r="AN27" i="27"/>
  <c r="AK27" i="27"/>
  <c r="AH27" i="27"/>
  <c r="AE27" i="27"/>
  <c r="AB27" i="27"/>
  <c r="Y27" i="27"/>
  <c r="V27" i="27"/>
  <c r="S27" i="27"/>
  <c r="EH27" i="27" s="1"/>
  <c r="P27" i="27"/>
  <c r="M27" i="27"/>
  <c r="J27" i="27"/>
  <c r="G27" i="27"/>
  <c r="D27" i="27"/>
  <c r="ED27" i="27" s="1"/>
  <c r="EE27" i="27" s="1"/>
  <c r="EN26" i="27"/>
  <c r="EL26" i="27"/>
  <c r="EK26" i="27"/>
  <c r="EG26" i="27"/>
  <c r="EI26" i="27" s="1"/>
  <c r="EB26" i="27"/>
  <c r="DW26" i="27"/>
  <c r="DT26" i="27"/>
  <c r="DQ26" i="27"/>
  <c r="DN26" i="27"/>
  <c r="EM26" i="27" s="1"/>
  <c r="DK26" i="27"/>
  <c r="DH26" i="27"/>
  <c r="DE26" i="27"/>
  <c r="DB26" i="27"/>
  <c r="CY26" i="27"/>
  <c r="CV26" i="27"/>
  <c r="CS26" i="27"/>
  <c r="CP26" i="27"/>
  <c r="CM26" i="27"/>
  <c r="CJ26" i="27"/>
  <c r="CG26" i="27"/>
  <c r="CD26" i="27"/>
  <c r="CA26" i="27"/>
  <c r="BX26" i="27"/>
  <c r="BU26" i="27"/>
  <c r="BR26" i="27"/>
  <c r="BO26" i="27"/>
  <c r="BL26" i="27"/>
  <c r="BI26" i="27"/>
  <c r="BF26" i="27"/>
  <c r="BC26" i="27"/>
  <c r="AZ26" i="27"/>
  <c r="AW26" i="27"/>
  <c r="AT26" i="27"/>
  <c r="AQ26" i="27"/>
  <c r="AN26" i="27"/>
  <c r="AK26" i="27"/>
  <c r="AH26" i="27"/>
  <c r="AE26" i="27"/>
  <c r="AB26" i="27"/>
  <c r="Y26" i="27"/>
  <c r="V26" i="27"/>
  <c r="S26" i="27"/>
  <c r="EH26" i="27" s="1"/>
  <c r="P26" i="27"/>
  <c r="M26" i="27"/>
  <c r="J26" i="27"/>
  <c r="ED26" i="27" s="1"/>
  <c r="G26" i="27"/>
  <c r="D26" i="27"/>
  <c r="EN25" i="27"/>
  <c r="EL25" i="27"/>
  <c r="EK25" i="27"/>
  <c r="EI25" i="27"/>
  <c r="EG25" i="27"/>
  <c r="EB25" i="27"/>
  <c r="EC25" i="27" s="1"/>
  <c r="DW25" i="27"/>
  <c r="DT25" i="27"/>
  <c r="EM25" i="27" s="1"/>
  <c r="DQ25" i="27"/>
  <c r="DN25" i="27"/>
  <c r="DK25" i="27"/>
  <c r="DH25" i="27"/>
  <c r="DE25" i="27"/>
  <c r="DB25" i="27"/>
  <c r="CY25" i="27"/>
  <c r="CV25" i="27"/>
  <c r="CS25" i="27"/>
  <c r="CP25" i="27"/>
  <c r="CM25" i="27"/>
  <c r="CJ25" i="27"/>
  <c r="CG25" i="27"/>
  <c r="CD25" i="27"/>
  <c r="CA25" i="27"/>
  <c r="BX25" i="27"/>
  <c r="BU25" i="27"/>
  <c r="BR25" i="27"/>
  <c r="BO25" i="27"/>
  <c r="BL25" i="27"/>
  <c r="BI25" i="27"/>
  <c r="BF25" i="27"/>
  <c r="BC25" i="27"/>
  <c r="AZ25" i="27"/>
  <c r="AW25" i="27"/>
  <c r="AT25" i="27"/>
  <c r="AQ25" i="27"/>
  <c r="AN25" i="27"/>
  <c r="AK25" i="27"/>
  <c r="AH25" i="27"/>
  <c r="AE25" i="27"/>
  <c r="AB25" i="27"/>
  <c r="Y25" i="27"/>
  <c r="V25" i="27"/>
  <c r="S25" i="27"/>
  <c r="EH25" i="27" s="1"/>
  <c r="P25" i="27"/>
  <c r="ED25" i="27" s="1"/>
  <c r="M25" i="27"/>
  <c r="J25" i="27"/>
  <c r="G25" i="27"/>
  <c r="D25" i="27"/>
  <c r="EL24" i="27"/>
  <c r="EK24" i="27"/>
  <c r="EN24" i="27" s="1"/>
  <c r="EG24" i="27"/>
  <c r="EI24" i="27" s="1"/>
  <c r="EB24" i="27"/>
  <c r="EE24" i="27" s="1"/>
  <c r="DW24" i="27"/>
  <c r="DT24" i="27"/>
  <c r="EM24" i="27" s="1"/>
  <c r="DQ24" i="27"/>
  <c r="DN24" i="27"/>
  <c r="DK24" i="27"/>
  <c r="DH24" i="27"/>
  <c r="DE24" i="27"/>
  <c r="DB24" i="27"/>
  <c r="CY24" i="27"/>
  <c r="CV24" i="27"/>
  <c r="CS24" i="27"/>
  <c r="CP24" i="27"/>
  <c r="CM24" i="27"/>
  <c r="CJ24" i="27"/>
  <c r="CG24" i="27"/>
  <c r="CD24" i="27"/>
  <c r="CA24" i="27"/>
  <c r="BX24" i="27"/>
  <c r="BU24" i="27"/>
  <c r="BR24" i="27"/>
  <c r="BO24" i="27"/>
  <c r="BL24" i="27"/>
  <c r="BI24" i="27"/>
  <c r="BF24" i="27"/>
  <c r="BC24" i="27"/>
  <c r="AZ24" i="27"/>
  <c r="AW24" i="27"/>
  <c r="AT24" i="27"/>
  <c r="AQ24" i="27"/>
  <c r="AN24" i="27"/>
  <c r="AK24" i="27"/>
  <c r="AH24" i="27"/>
  <c r="AE24" i="27"/>
  <c r="AB24" i="27"/>
  <c r="Y24" i="27"/>
  <c r="V24" i="27"/>
  <c r="EH24" i="27" s="1"/>
  <c r="S24" i="27"/>
  <c r="P24" i="27"/>
  <c r="M24" i="27"/>
  <c r="J24" i="27"/>
  <c r="G24" i="27"/>
  <c r="D24" i="27"/>
  <c r="ED24" i="27" s="1"/>
  <c r="EN23" i="27"/>
  <c r="EL23" i="27"/>
  <c r="EK23" i="27"/>
  <c r="EI23" i="27"/>
  <c r="EG23" i="27"/>
  <c r="EB23" i="27"/>
  <c r="EC23" i="27" s="1"/>
  <c r="DW23" i="27"/>
  <c r="DT23" i="27"/>
  <c r="EM23" i="27" s="1"/>
  <c r="DQ23" i="27"/>
  <c r="DN23" i="27"/>
  <c r="DK23" i="27"/>
  <c r="DH23" i="27"/>
  <c r="DE23" i="27"/>
  <c r="DB23" i="27"/>
  <c r="CY23" i="27"/>
  <c r="CV23" i="27"/>
  <c r="CS23" i="27"/>
  <c r="CP23" i="27"/>
  <c r="CM23" i="27"/>
  <c r="CJ23" i="27"/>
  <c r="CG23" i="27"/>
  <c r="CD23" i="27"/>
  <c r="CA23" i="27"/>
  <c r="BX23" i="27"/>
  <c r="BU23" i="27"/>
  <c r="BR23" i="27"/>
  <c r="BO23" i="27"/>
  <c r="BL23" i="27"/>
  <c r="BI23" i="27"/>
  <c r="BF23" i="27"/>
  <c r="BC23" i="27"/>
  <c r="AZ23" i="27"/>
  <c r="AW23" i="27"/>
  <c r="AT23" i="27"/>
  <c r="AQ23" i="27"/>
  <c r="AN23" i="27"/>
  <c r="AK23" i="27"/>
  <c r="AH23" i="27"/>
  <c r="AE23" i="27"/>
  <c r="AB23" i="27"/>
  <c r="Y23" i="27"/>
  <c r="V23" i="27"/>
  <c r="S23" i="27"/>
  <c r="EH23" i="27" s="1"/>
  <c r="P23" i="27"/>
  <c r="M23" i="27"/>
  <c r="J23" i="27"/>
  <c r="G23" i="27"/>
  <c r="D23" i="27"/>
  <c r="ED23" i="27" s="1"/>
  <c r="EE23" i="27" s="1"/>
  <c r="EN22" i="27"/>
  <c r="EL22" i="27"/>
  <c r="EK22" i="27"/>
  <c r="EG22" i="27"/>
  <c r="EI22" i="27" s="1"/>
  <c r="EB22" i="27"/>
  <c r="DW22" i="27"/>
  <c r="DT22" i="27"/>
  <c r="DQ22" i="27"/>
  <c r="DN22" i="27"/>
  <c r="EM22" i="27" s="1"/>
  <c r="DK22" i="27"/>
  <c r="DH22" i="27"/>
  <c r="DE22" i="27"/>
  <c r="DB22" i="27"/>
  <c r="CY22" i="27"/>
  <c r="CV22" i="27"/>
  <c r="CS22" i="27"/>
  <c r="CP22" i="27"/>
  <c r="CM22" i="27"/>
  <c r="CJ22" i="27"/>
  <c r="CG22" i="27"/>
  <c r="CD22" i="27"/>
  <c r="CA22" i="27"/>
  <c r="BX22" i="27"/>
  <c r="BU22" i="27"/>
  <c r="BR22" i="27"/>
  <c r="BO22" i="27"/>
  <c r="BL22" i="27"/>
  <c r="BI22" i="27"/>
  <c r="BF22" i="27"/>
  <c r="BC22" i="27"/>
  <c r="AZ22" i="27"/>
  <c r="AW22" i="27"/>
  <c r="AT22" i="27"/>
  <c r="AQ22" i="27"/>
  <c r="AN22" i="27"/>
  <c r="AK22" i="27"/>
  <c r="AH22" i="27"/>
  <c r="AE22" i="27"/>
  <c r="AB22" i="27"/>
  <c r="Y22" i="27"/>
  <c r="V22" i="27"/>
  <c r="S22" i="27"/>
  <c r="EH22" i="27" s="1"/>
  <c r="P22" i="27"/>
  <c r="M22" i="27"/>
  <c r="J22" i="27"/>
  <c r="ED22" i="27" s="1"/>
  <c r="G22" i="27"/>
  <c r="D22" i="27"/>
  <c r="EN21" i="27"/>
  <c r="EL21" i="27"/>
  <c r="EK21" i="27"/>
  <c r="EI21" i="27"/>
  <c r="EG21" i="27"/>
  <c r="EB21" i="27"/>
  <c r="EC21" i="27" s="1"/>
  <c r="DW21" i="27"/>
  <c r="DT21" i="27"/>
  <c r="EM21" i="27" s="1"/>
  <c r="DQ21" i="27"/>
  <c r="DN21" i="27"/>
  <c r="DK21" i="27"/>
  <c r="DH21" i="27"/>
  <c r="DE21" i="27"/>
  <c r="DB21" i="27"/>
  <c r="CY21" i="27"/>
  <c r="CV21" i="27"/>
  <c r="CS21" i="27"/>
  <c r="CP21" i="27"/>
  <c r="CM21" i="27"/>
  <c r="CJ21" i="27"/>
  <c r="CG21" i="27"/>
  <c r="CD21" i="27"/>
  <c r="CA21" i="27"/>
  <c r="BX21" i="27"/>
  <c r="BU21" i="27"/>
  <c r="BR21" i="27"/>
  <c r="BO21" i="27"/>
  <c r="BL21" i="27"/>
  <c r="BI21" i="27"/>
  <c r="BF21" i="27"/>
  <c r="BC21" i="27"/>
  <c r="AZ21" i="27"/>
  <c r="AW21" i="27"/>
  <c r="AT21" i="27"/>
  <c r="AQ21" i="27"/>
  <c r="AN21" i="27"/>
  <c r="AK21" i="27"/>
  <c r="AH21" i="27"/>
  <c r="AE21" i="27"/>
  <c r="AB21" i="27"/>
  <c r="Y21" i="27"/>
  <c r="V21" i="27"/>
  <c r="S21" i="27"/>
  <c r="EH21" i="27" s="1"/>
  <c r="P21" i="27"/>
  <c r="ED21" i="27" s="1"/>
  <c r="M21" i="27"/>
  <c r="J21" i="27"/>
  <c r="G21" i="27"/>
  <c r="D21" i="27"/>
  <c r="EL20" i="27"/>
  <c r="EK20" i="27"/>
  <c r="EN20" i="27" s="1"/>
  <c r="EG20" i="27"/>
  <c r="EI20" i="27" s="1"/>
  <c r="EB20" i="27"/>
  <c r="EE20" i="27" s="1"/>
  <c r="DW20" i="27"/>
  <c r="DT20" i="27"/>
  <c r="EM20" i="27" s="1"/>
  <c r="DQ20" i="27"/>
  <c r="DN20" i="27"/>
  <c r="DK20" i="27"/>
  <c r="DH20" i="27"/>
  <c r="DE20" i="27"/>
  <c r="DB20" i="27"/>
  <c r="CY20" i="27"/>
  <c r="CV20" i="27"/>
  <c r="CS20" i="27"/>
  <c r="CP20" i="27"/>
  <c r="CM20" i="27"/>
  <c r="CJ20" i="27"/>
  <c r="CG20" i="27"/>
  <c r="CD20" i="27"/>
  <c r="CA20" i="27"/>
  <c r="BX20" i="27"/>
  <c r="BU20" i="27"/>
  <c r="BR20" i="27"/>
  <c r="BO20" i="27"/>
  <c r="BL20" i="27"/>
  <c r="BI20" i="27"/>
  <c r="BF20" i="27"/>
  <c r="BC20" i="27"/>
  <c r="AZ20" i="27"/>
  <c r="AW20" i="27"/>
  <c r="AT20" i="27"/>
  <c r="AQ20" i="27"/>
  <c r="AN20" i="27"/>
  <c r="AK20" i="27"/>
  <c r="AH20" i="27"/>
  <c r="AE20" i="27"/>
  <c r="AB20" i="27"/>
  <c r="Y20" i="27"/>
  <c r="V20" i="27"/>
  <c r="EH20" i="27" s="1"/>
  <c r="S20" i="27"/>
  <c r="P20" i="27"/>
  <c r="M20" i="27"/>
  <c r="J20" i="27"/>
  <c r="G20" i="27"/>
  <c r="D20" i="27"/>
  <c r="ED20" i="27" s="1"/>
  <c r="EN19" i="27"/>
  <c r="EL19" i="27"/>
  <c r="EK19" i="27"/>
  <c r="EI19" i="27"/>
  <c r="EG19" i="27"/>
  <c r="EB19" i="27"/>
  <c r="EC19" i="27" s="1"/>
  <c r="DW19" i="27"/>
  <c r="DT19" i="27"/>
  <c r="EM19" i="27" s="1"/>
  <c r="DQ19" i="27"/>
  <c r="DN19" i="27"/>
  <c r="DK19" i="27"/>
  <c r="DH19" i="27"/>
  <c r="DE19" i="27"/>
  <c r="DB19" i="27"/>
  <c r="CY19" i="27"/>
  <c r="CV19" i="27"/>
  <c r="CS19" i="27"/>
  <c r="CP19" i="27"/>
  <c r="CM19" i="27"/>
  <c r="CJ19" i="27"/>
  <c r="CG19" i="27"/>
  <c r="CD19" i="27"/>
  <c r="CA19" i="27"/>
  <c r="BX19" i="27"/>
  <c r="BU19" i="27"/>
  <c r="BR19" i="27"/>
  <c r="BO19" i="27"/>
  <c r="BL19" i="27"/>
  <c r="BI19" i="27"/>
  <c r="BF19" i="27"/>
  <c r="BC19" i="27"/>
  <c r="AZ19" i="27"/>
  <c r="AW19" i="27"/>
  <c r="AT19" i="27"/>
  <c r="AQ19" i="27"/>
  <c r="AN19" i="27"/>
  <c r="AK19" i="27"/>
  <c r="AH19" i="27"/>
  <c r="AE19" i="27"/>
  <c r="AB19" i="27"/>
  <c r="Y19" i="27"/>
  <c r="V19" i="27"/>
  <c r="S19" i="27"/>
  <c r="EH19" i="27" s="1"/>
  <c r="P19" i="27"/>
  <c r="M19" i="27"/>
  <c r="J19" i="27"/>
  <c r="G19" i="27"/>
  <c r="D19" i="27"/>
  <c r="ED19" i="27" s="1"/>
  <c r="EE19" i="27" s="1"/>
  <c r="EN18" i="27"/>
  <c r="EL18" i="27"/>
  <c r="EK18" i="27"/>
  <c r="EG18" i="27"/>
  <c r="EI18" i="27" s="1"/>
  <c r="EB18" i="27"/>
  <c r="DW18" i="27"/>
  <c r="DT18" i="27"/>
  <c r="DQ18" i="27"/>
  <c r="DN18" i="27"/>
  <c r="EM18" i="27" s="1"/>
  <c r="DK18" i="27"/>
  <c r="DH18" i="27"/>
  <c r="DE18" i="27"/>
  <c r="DB18" i="27"/>
  <c r="CY18" i="27"/>
  <c r="CV18" i="27"/>
  <c r="CS18" i="27"/>
  <c r="CP18" i="27"/>
  <c r="CM18" i="27"/>
  <c r="CJ18" i="27"/>
  <c r="CG18" i="27"/>
  <c r="CD18" i="27"/>
  <c r="CA18" i="27"/>
  <c r="BX18" i="27"/>
  <c r="BU18" i="27"/>
  <c r="BR18" i="27"/>
  <c r="BO18" i="27"/>
  <c r="BL18" i="27"/>
  <c r="BI18" i="27"/>
  <c r="BF18" i="27"/>
  <c r="BC18" i="27"/>
  <c r="AZ18" i="27"/>
  <c r="AW18" i="27"/>
  <c r="AT18" i="27"/>
  <c r="AQ18" i="27"/>
  <c r="AN18" i="27"/>
  <c r="AK18" i="27"/>
  <c r="AH18" i="27"/>
  <c r="AE18" i="27"/>
  <c r="AB18" i="27"/>
  <c r="Y18" i="27"/>
  <c r="V18" i="27"/>
  <c r="S18" i="27"/>
  <c r="EH18" i="27" s="1"/>
  <c r="P18" i="27"/>
  <c r="M18" i="27"/>
  <c r="J18" i="27"/>
  <c r="ED18" i="27" s="1"/>
  <c r="G18" i="27"/>
  <c r="D18" i="27"/>
  <c r="EN17" i="27"/>
  <c r="EL17" i="27"/>
  <c r="EK17" i="27"/>
  <c r="EI17" i="27"/>
  <c r="EG17" i="27"/>
  <c r="EB17" i="27"/>
  <c r="EC17" i="27" s="1"/>
  <c r="DW17" i="27"/>
  <c r="DT17" i="27"/>
  <c r="EM17" i="27" s="1"/>
  <c r="DQ17" i="27"/>
  <c r="DN17" i="27"/>
  <c r="DK17" i="27"/>
  <c r="DH17" i="27"/>
  <c r="DE17" i="27"/>
  <c r="DB17" i="27"/>
  <c r="CY17" i="27"/>
  <c r="CV17" i="27"/>
  <c r="CS17" i="27"/>
  <c r="CP17" i="27"/>
  <c r="CM17" i="27"/>
  <c r="CJ17" i="27"/>
  <c r="CG17" i="27"/>
  <c r="CD17" i="27"/>
  <c r="CA17" i="27"/>
  <c r="BX17" i="27"/>
  <c r="BU17" i="27"/>
  <c r="BR17" i="27"/>
  <c r="BO17" i="27"/>
  <c r="BL17" i="27"/>
  <c r="BI17" i="27"/>
  <c r="BF17" i="27"/>
  <c r="BC17" i="27"/>
  <c r="AZ17" i="27"/>
  <c r="AW17" i="27"/>
  <c r="AT17" i="27"/>
  <c r="AQ17" i="27"/>
  <c r="AN17" i="27"/>
  <c r="AK17" i="27"/>
  <c r="AH17" i="27"/>
  <c r="AE17" i="27"/>
  <c r="AB17" i="27"/>
  <c r="Y17" i="27"/>
  <c r="V17" i="27"/>
  <c r="S17" i="27"/>
  <c r="EH17" i="27" s="1"/>
  <c r="P17" i="27"/>
  <c r="ED17" i="27" s="1"/>
  <c r="M17" i="27"/>
  <c r="J17" i="27"/>
  <c r="G17" i="27"/>
  <c r="D17" i="27"/>
  <c r="EL16" i="27"/>
  <c r="EK16" i="27"/>
  <c r="EN16" i="27" s="1"/>
  <c r="EG16" i="27"/>
  <c r="EI16" i="27" s="1"/>
  <c r="EB16" i="27"/>
  <c r="DW16" i="27"/>
  <c r="DT16" i="27"/>
  <c r="EM16" i="27" s="1"/>
  <c r="DQ16" i="27"/>
  <c r="DN16" i="27"/>
  <c r="DK16" i="27"/>
  <c r="DH16" i="27"/>
  <c r="DE16" i="27"/>
  <c r="DB16" i="27"/>
  <c r="CY16" i="27"/>
  <c r="CV16" i="27"/>
  <c r="CS16" i="27"/>
  <c r="CP16" i="27"/>
  <c r="CM16" i="27"/>
  <c r="CJ16" i="27"/>
  <c r="CG16" i="27"/>
  <c r="CD16" i="27"/>
  <c r="CA16" i="27"/>
  <c r="BX16" i="27"/>
  <c r="BU16" i="27"/>
  <c r="BR16" i="27"/>
  <c r="BO16" i="27"/>
  <c r="BL16" i="27"/>
  <c r="BI16" i="27"/>
  <c r="BF16" i="27"/>
  <c r="BC16" i="27"/>
  <c r="AZ16" i="27"/>
  <c r="AW16" i="27"/>
  <c r="AT16" i="27"/>
  <c r="AQ16" i="27"/>
  <c r="AN16" i="27"/>
  <c r="AK16" i="27"/>
  <c r="AH16" i="27"/>
  <c r="AE16" i="27"/>
  <c r="AB16" i="27"/>
  <c r="Y16" i="27"/>
  <c r="V16" i="27"/>
  <c r="EH16" i="27" s="1"/>
  <c r="S16" i="27"/>
  <c r="P16" i="27"/>
  <c r="M16" i="27"/>
  <c r="J16" i="27"/>
  <c r="G16" i="27"/>
  <c r="D16" i="27"/>
  <c r="ED16" i="27" s="1"/>
  <c r="EN15" i="27"/>
  <c r="EL15" i="27"/>
  <c r="EK15" i="27"/>
  <c r="EG15" i="27"/>
  <c r="EB15" i="27"/>
  <c r="EC15" i="27" s="1"/>
  <c r="DW15" i="27"/>
  <c r="DT15" i="27"/>
  <c r="EM15" i="27" s="1"/>
  <c r="DQ15" i="27"/>
  <c r="DN15" i="27"/>
  <c r="DK15" i="27"/>
  <c r="DH15" i="27"/>
  <c r="DE15" i="27"/>
  <c r="DB15" i="27"/>
  <c r="CY15" i="27"/>
  <c r="CV15" i="27"/>
  <c r="CS15" i="27"/>
  <c r="CP15" i="27"/>
  <c r="CM15" i="27"/>
  <c r="CJ15" i="27"/>
  <c r="CG15" i="27"/>
  <c r="CD15" i="27"/>
  <c r="CA15" i="27"/>
  <c r="BX15" i="27"/>
  <c r="BU15" i="27"/>
  <c r="BR15" i="27"/>
  <c r="BO15" i="27"/>
  <c r="BL15" i="27"/>
  <c r="BI15" i="27"/>
  <c r="BF15" i="27"/>
  <c r="BC15" i="27"/>
  <c r="AZ15" i="27"/>
  <c r="AW15" i="27"/>
  <c r="AT15" i="27"/>
  <c r="AQ15" i="27"/>
  <c r="AN15" i="27"/>
  <c r="AK15" i="27"/>
  <c r="AH15" i="27"/>
  <c r="AE15" i="27"/>
  <c r="AB15" i="27"/>
  <c r="Y15" i="27"/>
  <c r="V15" i="27"/>
  <c r="S15" i="27"/>
  <c r="EH15" i="27" s="1"/>
  <c r="EI15" i="27" s="1"/>
  <c r="P15" i="27"/>
  <c r="M15" i="27"/>
  <c r="J15" i="27"/>
  <c r="G15" i="27"/>
  <c r="D15" i="27"/>
  <c r="ED15" i="27" s="1"/>
  <c r="EE15" i="27" s="1"/>
  <c r="EN14" i="27"/>
  <c r="EL14" i="27"/>
  <c r="EK14" i="27"/>
  <c r="EG14" i="27"/>
  <c r="EI3" i="27" s="1"/>
  <c r="EB14" i="27"/>
  <c r="DW14" i="27"/>
  <c r="DT14" i="27"/>
  <c r="DQ14" i="27"/>
  <c r="DN14" i="27"/>
  <c r="EM14" i="27" s="1"/>
  <c r="DK14" i="27"/>
  <c r="DH14" i="27"/>
  <c r="DE14" i="27"/>
  <c r="DB14" i="27"/>
  <c r="CY14" i="27"/>
  <c r="CV14" i="27"/>
  <c r="CS14" i="27"/>
  <c r="CP14" i="27"/>
  <c r="CM14" i="27"/>
  <c r="CJ14" i="27"/>
  <c r="CG14" i="27"/>
  <c r="CD14" i="27"/>
  <c r="CA14" i="27"/>
  <c r="BX14" i="27"/>
  <c r="BU14" i="27"/>
  <c r="BR14" i="27"/>
  <c r="BO14" i="27"/>
  <c r="BL14" i="27"/>
  <c r="BI14" i="27"/>
  <c r="BF14" i="27"/>
  <c r="BC14" i="27"/>
  <c r="AZ14" i="27"/>
  <c r="AW14" i="27"/>
  <c r="AT14" i="27"/>
  <c r="AQ14" i="27"/>
  <c r="AN14" i="27"/>
  <c r="AK14" i="27"/>
  <c r="AH14" i="27"/>
  <c r="AE14" i="27"/>
  <c r="AB14" i="27"/>
  <c r="Y14" i="27"/>
  <c r="V14" i="27"/>
  <c r="S14" i="27"/>
  <c r="EH14" i="27" s="1"/>
  <c r="P14" i="27"/>
  <c r="M14" i="27"/>
  <c r="J14" i="27"/>
  <c r="ED14" i="27" s="1"/>
  <c r="G14" i="27"/>
  <c r="D14" i="27"/>
  <c r="EN13" i="27"/>
  <c r="EL13" i="27"/>
  <c r="EK13" i="27"/>
  <c r="EG13" i="27"/>
  <c r="EB13" i="27"/>
  <c r="EC13" i="27" s="1"/>
  <c r="DW13" i="27"/>
  <c r="DT13" i="27"/>
  <c r="EM13" i="27" s="1"/>
  <c r="DQ13" i="27"/>
  <c r="DN13" i="27"/>
  <c r="DK13" i="27"/>
  <c r="DH13" i="27"/>
  <c r="DE13" i="27"/>
  <c r="DB13" i="27"/>
  <c r="CY13" i="27"/>
  <c r="CV13" i="27"/>
  <c r="CS13" i="27"/>
  <c r="CP13" i="27"/>
  <c r="CM13" i="27"/>
  <c r="CJ13" i="27"/>
  <c r="CG13" i="27"/>
  <c r="CD13" i="27"/>
  <c r="CA13" i="27"/>
  <c r="BX13" i="27"/>
  <c r="BU13" i="27"/>
  <c r="BR13" i="27"/>
  <c r="BO13" i="27"/>
  <c r="BL13" i="27"/>
  <c r="BI13" i="27"/>
  <c r="BF13" i="27"/>
  <c r="BC13" i="27"/>
  <c r="AZ13" i="27"/>
  <c r="AW13" i="27"/>
  <c r="AT13" i="27"/>
  <c r="AQ13" i="27"/>
  <c r="AN13" i="27"/>
  <c r="AK13" i="27"/>
  <c r="AH13" i="27"/>
  <c r="AE13" i="27"/>
  <c r="AB13" i="27"/>
  <c r="Y13" i="27"/>
  <c r="V13" i="27"/>
  <c r="S13" i="27"/>
  <c r="EH13" i="27" s="1"/>
  <c r="EI13" i="27" s="1"/>
  <c r="P13" i="27"/>
  <c r="ED13" i="27" s="1"/>
  <c r="M13" i="27"/>
  <c r="J13" i="27"/>
  <c r="G13" i="27"/>
  <c r="D13" i="27"/>
  <c r="EL12" i="27"/>
  <c r="EK12" i="27"/>
  <c r="EN12" i="27" s="1"/>
  <c r="EG12" i="27"/>
  <c r="EI12" i="27" s="1"/>
  <c r="EB12" i="27"/>
  <c r="DW12" i="27"/>
  <c r="DT12" i="27"/>
  <c r="EM12" i="27" s="1"/>
  <c r="DQ12" i="27"/>
  <c r="DN12" i="27"/>
  <c r="DK12" i="27"/>
  <c r="DH12" i="27"/>
  <c r="DE12" i="27"/>
  <c r="DB12" i="27"/>
  <c r="CY12" i="27"/>
  <c r="CV12" i="27"/>
  <c r="CS12" i="27"/>
  <c r="CP12" i="27"/>
  <c r="CM12" i="27"/>
  <c r="CJ12" i="27"/>
  <c r="CG12" i="27"/>
  <c r="CD12" i="27"/>
  <c r="CA12" i="27"/>
  <c r="BX12" i="27"/>
  <c r="BU12" i="27"/>
  <c r="BR12" i="27"/>
  <c r="BO12" i="27"/>
  <c r="BL12" i="27"/>
  <c r="BI12" i="27"/>
  <c r="BF12" i="27"/>
  <c r="BC12" i="27"/>
  <c r="AZ12" i="27"/>
  <c r="AW12" i="27"/>
  <c r="AT12" i="27"/>
  <c r="AQ12" i="27"/>
  <c r="AN12" i="27"/>
  <c r="AK12" i="27"/>
  <c r="AH12" i="27"/>
  <c r="AE12" i="27"/>
  <c r="AB12" i="27"/>
  <c r="Y12" i="27"/>
  <c r="V12" i="27"/>
  <c r="EH12" i="27" s="1"/>
  <c r="S12" i="27"/>
  <c r="P12" i="27"/>
  <c r="M12" i="27"/>
  <c r="J12" i="27"/>
  <c r="G12" i="27"/>
  <c r="D12" i="27"/>
  <c r="ED12" i="27" s="1"/>
  <c r="A12" i="27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EL11" i="27"/>
  <c r="EK11" i="27"/>
  <c r="EG11" i="27"/>
  <c r="EB11" i="27"/>
  <c r="EC11" i="27" s="1"/>
  <c r="DW11" i="27"/>
  <c r="DW41" i="27" s="1"/>
  <c r="DT11" i="27"/>
  <c r="DT41" i="27" s="1"/>
  <c r="DQ11" i="27"/>
  <c r="DQ41" i="27" s="1"/>
  <c r="DN11" i="27"/>
  <c r="DN41" i="27" s="1"/>
  <c r="DK11" i="27"/>
  <c r="DK41" i="27" s="1"/>
  <c r="DH11" i="27"/>
  <c r="DH41" i="27" s="1"/>
  <c r="DE11" i="27"/>
  <c r="DE41" i="27" s="1"/>
  <c r="DB11" i="27"/>
  <c r="DB41" i="27" s="1"/>
  <c r="CY11" i="27"/>
  <c r="CY41" i="27" s="1"/>
  <c r="CV11" i="27"/>
  <c r="CV41" i="27" s="1"/>
  <c r="CS11" i="27"/>
  <c r="CS41" i="27" s="1"/>
  <c r="CP11" i="27"/>
  <c r="CP41" i="27" s="1"/>
  <c r="CM11" i="27"/>
  <c r="CM41" i="27" s="1"/>
  <c r="CJ11" i="27"/>
  <c r="CJ41" i="27" s="1"/>
  <c r="CG11" i="27"/>
  <c r="CG41" i="27" s="1"/>
  <c r="CD11" i="27"/>
  <c r="CD41" i="27" s="1"/>
  <c r="CA11" i="27"/>
  <c r="CA41" i="27" s="1"/>
  <c r="BX11" i="27"/>
  <c r="BX41" i="27" s="1"/>
  <c r="BU11" i="27"/>
  <c r="BU41" i="27" s="1"/>
  <c r="BR11" i="27"/>
  <c r="BR41" i="27" s="1"/>
  <c r="BO11" i="27"/>
  <c r="BO41" i="27" s="1"/>
  <c r="BL11" i="27"/>
  <c r="BL41" i="27" s="1"/>
  <c r="BI11" i="27"/>
  <c r="BI41" i="27" s="1"/>
  <c r="BF11" i="27"/>
  <c r="BF41" i="27" s="1"/>
  <c r="BC11" i="27"/>
  <c r="BC41" i="27" s="1"/>
  <c r="AZ11" i="27"/>
  <c r="AZ41" i="27" s="1"/>
  <c r="AW11" i="27"/>
  <c r="AW41" i="27" s="1"/>
  <c r="AT11" i="27"/>
  <c r="AT41" i="27" s="1"/>
  <c r="AQ11" i="27"/>
  <c r="AQ41" i="27" s="1"/>
  <c r="AN11" i="27"/>
  <c r="AN41" i="27" s="1"/>
  <c r="AK11" i="27"/>
  <c r="AK41" i="27" s="1"/>
  <c r="AH11" i="27"/>
  <c r="AH41" i="27" s="1"/>
  <c r="AE11" i="27"/>
  <c r="AE41" i="27" s="1"/>
  <c r="AB11" i="27"/>
  <c r="AB41" i="27" s="1"/>
  <c r="Y11" i="27"/>
  <c r="Y41" i="27" s="1"/>
  <c r="V11" i="27"/>
  <c r="V41" i="27" s="1"/>
  <c r="S11" i="27"/>
  <c r="EH11" i="27" s="1"/>
  <c r="P11" i="27"/>
  <c r="P41" i="27" s="1"/>
  <c r="M11" i="27"/>
  <c r="M41" i="27" s="1"/>
  <c r="J11" i="27"/>
  <c r="J41" i="27" s="1"/>
  <c r="G11" i="27"/>
  <c r="G41" i="27" s="1"/>
  <c r="D11" i="27"/>
  <c r="ED11" i="27" s="1"/>
  <c r="EN5" i="27"/>
  <c r="EN3" i="27"/>
  <c r="EN2" i="27"/>
  <c r="EP2" i="27" s="1"/>
  <c r="EI2" i="27"/>
  <c r="EE2" i="27"/>
  <c r="EQ2" i="27" s="1"/>
  <c r="G4" i="27" s="1"/>
  <c r="EI4" i="27" l="1"/>
  <c r="EE22" i="27"/>
  <c r="EE14" i="27"/>
  <c r="ED41" i="27"/>
  <c r="EE11" i="27"/>
  <c r="EE32" i="27"/>
  <c r="EE34" i="27"/>
  <c r="EE12" i="27"/>
  <c r="EE30" i="27"/>
  <c r="EN4" i="27"/>
  <c r="EE18" i="27"/>
  <c r="EE38" i="27"/>
  <c r="EE16" i="27"/>
  <c r="EE26" i="27"/>
  <c r="EH41" i="27"/>
  <c r="EI11" i="27"/>
  <c r="EE36" i="27"/>
  <c r="S41" i="27"/>
  <c r="EC12" i="27"/>
  <c r="EE13" i="27"/>
  <c r="EC16" i="27"/>
  <c r="EE17" i="27"/>
  <c r="EC20" i="27"/>
  <c r="EE21" i="27"/>
  <c r="EC24" i="27"/>
  <c r="EE25" i="27"/>
  <c r="EC28" i="27"/>
  <c r="EE29" i="27"/>
  <c r="EC32" i="27"/>
  <c r="EE33" i="27"/>
  <c r="EC36" i="27"/>
  <c r="EE37" i="27"/>
  <c r="EC40" i="27"/>
  <c r="EI14" i="27"/>
  <c r="EE3" i="27"/>
  <c r="EE5" i="27"/>
  <c r="G7" i="27" s="1"/>
  <c r="EM11" i="27"/>
  <c r="D41" i="27"/>
  <c r="EI5" i="27"/>
  <c r="EC14" i="27"/>
  <c r="EC18" i="27"/>
  <c r="EC22" i="27"/>
  <c r="EC26" i="27"/>
  <c r="EC30" i="27"/>
  <c r="EC34" i="27"/>
  <c r="EC38" i="27"/>
  <c r="EM41" i="27" l="1"/>
  <c r="EN11" i="27"/>
  <c r="EE4" i="27"/>
  <c r="G6" i="27" s="1"/>
  <c r="G5" i="27"/>
  <c r="EL41" i="26" l="1"/>
  <c r="EK41" i="26"/>
  <c r="EN41" i="26" s="1"/>
  <c r="EG41" i="26"/>
  <c r="EB41" i="26"/>
  <c r="EE2" i="26" s="1"/>
  <c r="EQ2" i="26" s="1"/>
  <c r="G4" i="26" s="1"/>
  <c r="DW41" i="26"/>
  <c r="DT41" i="26"/>
  <c r="EM41" i="26" s="1"/>
  <c r="DQ41" i="26"/>
  <c r="DN41" i="26"/>
  <c r="DK41" i="26"/>
  <c r="DH41" i="26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R41" i="26"/>
  <c r="BO41" i="26"/>
  <c r="BL41" i="26"/>
  <c r="BI41" i="26"/>
  <c r="BF41" i="26"/>
  <c r="BC41" i="26"/>
  <c r="AZ41" i="26"/>
  <c r="AW41" i="26"/>
  <c r="AT41" i="26"/>
  <c r="AQ41" i="26"/>
  <c r="AN41" i="26"/>
  <c r="AK41" i="26"/>
  <c r="AH41" i="26"/>
  <c r="AE41" i="26"/>
  <c r="AB41" i="26"/>
  <c r="Y41" i="26"/>
  <c r="EH41" i="26" s="1"/>
  <c r="EI41" i="26" s="1"/>
  <c r="V41" i="26"/>
  <c r="S41" i="26"/>
  <c r="P41" i="26"/>
  <c r="M41" i="26"/>
  <c r="J41" i="26"/>
  <c r="G41" i="26"/>
  <c r="D41" i="26"/>
  <c r="ED41" i="26" s="1"/>
  <c r="EL40" i="26"/>
  <c r="EK40" i="26"/>
  <c r="EN40" i="26" s="1"/>
  <c r="EG40" i="26"/>
  <c r="EB40" i="26"/>
  <c r="EC40" i="26" s="1"/>
  <c r="DW40" i="26"/>
  <c r="DT40" i="26"/>
  <c r="EM40" i="26" s="1"/>
  <c r="DQ40" i="26"/>
  <c r="DN40" i="26"/>
  <c r="DK40" i="26"/>
  <c r="DH40" i="26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R40" i="26"/>
  <c r="BO40" i="26"/>
  <c r="BL40" i="26"/>
  <c r="BI40" i="26"/>
  <c r="BF40" i="26"/>
  <c r="BC40" i="26"/>
  <c r="AZ40" i="26"/>
  <c r="AW40" i="26"/>
  <c r="AT40" i="26"/>
  <c r="AQ40" i="26"/>
  <c r="AN40" i="26"/>
  <c r="AK40" i="26"/>
  <c r="AH40" i="26"/>
  <c r="AE40" i="26"/>
  <c r="AB40" i="26"/>
  <c r="Y40" i="26"/>
  <c r="V40" i="26"/>
  <c r="S40" i="26"/>
  <c r="EH40" i="26" s="1"/>
  <c r="EI40" i="26" s="1"/>
  <c r="P40" i="26"/>
  <c r="M40" i="26"/>
  <c r="J40" i="26"/>
  <c r="G40" i="26"/>
  <c r="D40" i="26"/>
  <c r="ED40" i="26" s="1"/>
  <c r="EE40" i="26" s="1"/>
  <c r="EN39" i="26"/>
  <c r="EL39" i="26"/>
  <c r="EK39" i="26"/>
  <c r="EG39" i="26"/>
  <c r="EI39" i="26" s="1"/>
  <c r="EC39" i="26"/>
  <c r="EB39" i="26"/>
  <c r="DW39" i="26"/>
  <c r="DT39" i="26"/>
  <c r="DQ39" i="26"/>
  <c r="DN39" i="26"/>
  <c r="EM39" i="26" s="1"/>
  <c r="DK39" i="26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R39" i="26"/>
  <c r="BO39" i="26"/>
  <c r="BL39" i="26"/>
  <c r="BI39" i="26"/>
  <c r="BF39" i="26"/>
  <c r="BC39" i="26"/>
  <c r="AZ39" i="26"/>
  <c r="AW39" i="26"/>
  <c r="AT39" i="26"/>
  <c r="AQ39" i="26"/>
  <c r="AN39" i="26"/>
  <c r="AK39" i="26"/>
  <c r="AH39" i="26"/>
  <c r="AE39" i="26"/>
  <c r="AB39" i="26"/>
  <c r="Y39" i="26"/>
  <c r="V39" i="26"/>
  <c r="S39" i="26"/>
  <c r="EH39" i="26" s="1"/>
  <c r="P39" i="26"/>
  <c r="ED39" i="26" s="1"/>
  <c r="EE39" i="26" s="1"/>
  <c r="M39" i="26"/>
  <c r="J39" i="26"/>
  <c r="G39" i="26"/>
  <c r="D39" i="26"/>
  <c r="EN38" i="26"/>
  <c r="EL38" i="26"/>
  <c r="EK38" i="26"/>
  <c r="EG38" i="26"/>
  <c r="EI38" i="26" s="1"/>
  <c r="EB38" i="26"/>
  <c r="EC38" i="26" s="1"/>
  <c r="DW38" i="26"/>
  <c r="DT38" i="26"/>
  <c r="DQ38" i="26"/>
  <c r="DN38" i="26"/>
  <c r="EM38" i="26" s="1"/>
  <c r="DK38" i="26"/>
  <c r="DH38" i="26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R38" i="26"/>
  <c r="BO38" i="26"/>
  <c r="BL38" i="26"/>
  <c r="BI38" i="26"/>
  <c r="BF38" i="26"/>
  <c r="BC38" i="26"/>
  <c r="AZ38" i="26"/>
  <c r="AW38" i="26"/>
  <c r="AT38" i="26"/>
  <c r="AQ38" i="26"/>
  <c r="AN38" i="26"/>
  <c r="AK38" i="26"/>
  <c r="AH38" i="26"/>
  <c r="AE38" i="26"/>
  <c r="AB38" i="26"/>
  <c r="Y38" i="26"/>
  <c r="V38" i="26"/>
  <c r="S38" i="26"/>
  <c r="EH38" i="26" s="1"/>
  <c r="P38" i="26"/>
  <c r="ED38" i="26" s="1"/>
  <c r="M38" i="26"/>
  <c r="J38" i="26"/>
  <c r="G38" i="26"/>
  <c r="D38" i="26"/>
  <c r="EL37" i="26"/>
  <c r="EK37" i="26"/>
  <c r="EN37" i="26" s="1"/>
  <c r="EG37" i="26"/>
  <c r="EB37" i="26"/>
  <c r="DW37" i="26"/>
  <c r="DT37" i="26"/>
  <c r="EM37" i="26" s="1"/>
  <c r="DQ37" i="26"/>
  <c r="DN37" i="26"/>
  <c r="DK37" i="26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R37" i="26"/>
  <c r="BO37" i="26"/>
  <c r="BL37" i="26"/>
  <c r="BI37" i="26"/>
  <c r="BF37" i="26"/>
  <c r="BC37" i="26"/>
  <c r="AZ37" i="26"/>
  <c r="AW37" i="26"/>
  <c r="AT37" i="26"/>
  <c r="AQ37" i="26"/>
  <c r="AN37" i="26"/>
  <c r="AK37" i="26"/>
  <c r="AH37" i="26"/>
  <c r="AE37" i="26"/>
  <c r="AB37" i="26"/>
  <c r="Y37" i="26"/>
  <c r="EH37" i="26" s="1"/>
  <c r="EI37" i="26" s="1"/>
  <c r="V37" i="26"/>
  <c r="S37" i="26"/>
  <c r="P37" i="26"/>
  <c r="M37" i="26"/>
  <c r="J37" i="26"/>
  <c r="G37" i="26"/>
  <c r="D37" i="26"/>
  <c r="ED37" i="26" s="1"/>
  <c r="EL36" i="26"/>
  <c r="EK36" i="26"/>
  <c r="EN36" i="26" s="1"/>
  <c r="EG36" i="26"/>
  <c r="EB36" i="26"/>
  <c r="EC36" i="26" s="1"/>
  <c r="DW36" i="26"/>
  <c r="DT36" i="26"/>
  <c r="EM36" i="26" s="1"/>
  <c r="DQ36" i="26"/>
  <c r="DN36" i="26"/>
  <c r="DK36" i="26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R36" i="26"/>
  <c r="BO36" i="26"/>
  <c r="BL36" i="26"/>
  <c r="BI36" i="26"/>
  <c r="BF36" i="26"/>
  <c r="BC36" i="26"/>
  <c r="AZ36" i="26"/>
  <c r="AW36" i="26"/>
  <c r="AT36" i="26"/>
  <c r="AQ36" i="26"/>
  <c r="AN36" i="26"/>
  <c r="AK36" i="26"/>
  <c r="AH36" i="26"/>
  <c r="AE36" i="26"/>
  <c r="AB36" i="26"/>
  <c r="Y36" i="26"/>
  <c r="V36" i="26"/>
  <c r="S36" i="26"/>
  <c r="EH36" i="26" s="1"/>
  <c r="EI36" i="26" s="1"/>
  <c r="P36" i="26"/>
  <c r="M36" i="26"/>
  <c r="J36" i="26"/>
  <c r="G36" i="26"/>
  <c r="D36" i="26"/>
  <c r="ED36" i="26" s="1"/>
  <c r="EE36" i="26" s="1"/>
  <c r="EN35" i="26"/>
  <c r="EL35" i="26"/>
  <c r="EK35" i="26"/>
  <c r="EG35" i="26"/>
  <c r="EC35" i="26"/>
  <c r="EB35" i="26"/>
  <c r="DW35" i="26"/>
  <c r="DT35" i="26"/>
  <c r="DQ35" i="26"/>
  <c r="DN35" i="26"/>
  <c r="EM35" i="26" s="1"/>
  <c r="DK35" i="26"/>
  <c r="DH35" i="26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R35" i="26"/>
  <c r="BO35" i="26"/>
  <c r="BL35" i="26"/>
  <c r="BI35" i="26"/>
  <c r="BF35" i="26"/>
  <c r="BC35" i="26"/>
  <c r="AZ35" i="26"/>
  <c r="AW35" i="26"/>
  <c r="AT35" i="26"/>
  <c r="AQ35" i="26"/>
  <c r="AN35" i="26"/>
  <c r="AK35" i="26"/>
  <c r="AH35" i="26"/>
  <c r="AE35" i="26"/>
  <c r="AB35" i="26"/>
  <c r="Y35" i="26"/>
  <c r="V35" i="26"/>
  <c r="S35" i="26"/>
  <c r="EH35" i="26" s="1"/>
  <c r="P35" i="26"/>
  <c r="ED35" i="26" s="1"/>
  <c r="M35" i="26"/>
  <c r="J35" i="26"/>
  <c r="G35" i="26"/>
  <c r="D35" i="26"/>
  <c r="EL34" i="26"/>
  <c r="EG34" i="26"/>
  <c r="EI34" i="26" s="1"/>
  <c r="DW34" i="26"/>
  <c r="DT34" i="26"/>
  <c r="DQ34" i="26"/>
  <c r="DN34" i="26"/>
  <c r="DK34" i="26"/>
  <c r="DH34" i="26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R34" i="26"/>
  <c r="BO34" i="26"/>
  <c r="BL34" i="26"/>
  <c r="BI34" i="26"/>
  <c r="BF34" i="26"/>
  <c r="BC34" i="26"/>
  <c r="AZ34" i="26"/>
  <c r="AW34" i="26"/>
  <c r="AT34" i="26"/>
  <c r="AQ34" i="26"/>
  <c r="AN34" i="26"/>
  <c r="AI34" i="26"/>
  <c r="AK34" i="26" s="1"/>
  <c r="ED34" i="26" s="1"/>
  <c r="AH34" i="26"/>
  <c r="AE34" i="26"/>
  <c r="AB34" i="26"/>
  <c r="Y34" i="26"/>
  <c r="V34" i="26"/>
  <c r="S34" i="26"/>
  <c r="EH34" i="26" s="1"/>
  <c r="P34" i="26"/>
  <c r="M34" i="26"/>
  <c r="J34" i="26"/>
  <c r="G34" i="26"/>
  <c r="D34" i="26"/>
  <c r="EL33" i="26"/>
  <c r="EK33" i="26"/>
  <c r="EI33" i="26"/>
  <c r="EG33" i="26"/>
  <c r="DW33" i="26"/>
  <c r="DT33" i="26"/>
  <c r="DQ33" i="26"/>
  <c r="DN33" i="26"/>
  <c r="DK33" i="26"/>
  <c r="DH33" i="26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R33" i="26"/>
  <c r="BO33" i="26"/>
  <c r="BL33" i="26"/>
  <c r="BI33" i="26"/>
  <c r="EM33" i="26" s="1"/>
  <c r="BF33" i="26"/>
  <c r="BC33" i="26"/>
  <c r="AZ33" i="26"/>
  <c r="AW33" i="26"/>
  <c r="AT33" i="26"/>
  <c r="AQ33" i="26"/>
  <c r="AN33" i="26"/>
  <c r="AK33" i="26"/>
  <c r="AI33" i="26"/>
  <c r="EB33" i="26" s="1"/>
  <c r="AH33" i="26"/>
  <c r="AE33" i="26"/>
  <c r="AB33" i="26"/>
  <c r="Y33" i="26"/>
  <c r="V33" i="26"/>
  <c r="S33" i="26"/>
  <c r="EH33" i="26" s="1"/>
  <c r="P33" i="26"/>
  <c r="M33" i="26"/>
  <c r="J33" i="26"/>
  <c r="G33" i="26"/>
  <c r="D33" i="26"/>
  <c r="ED33" i="26" s="1"/>
  <c r="EL32" i="26"/>
  <c r="EI32" i="26"/>
  <c r="EG32" i="26"/>
  <c r="EB32" i="26"/>
  <c r="DW32" i="26"/>
  <c r="DT32" i="26"/>
  <c r="DQ32" i="26"/>
  <c r="DN32" i="26"/>
  <c r="DK32" i="26"/>
  <c r="DH32" i="26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R32" i="26"/>
  <c r="BO32" i="26"/>
  <c r="BL32" i="26"/>
  <c r="BI32" i="26"/>
  <c r="BF32" i="26"/>
  <c r="BC32" i="26"/>
  <c r="AZ32" i="26"/>
  <c r="AW32" i="26"/>
  <c r="AT32" i="26"/>
  <c r="AQ32" i="26"/>
  <c r="AN32" i="26"/>
  <c r="AI32" i="26"/>
  <c r="EK32" i="26" s="1"/>
  <c r="AH32" i="26"/>
  <c r="AE32" i="26"/>
  <c r="AB32" i="26"/>
  <c r="Y32" i="26"/>
  <c r="V32" i="26"/>
  <c r="S32" i="26"/>
  <c r="EH32" i="26" s="1"/>
  <c r="P32" i="26"/>
  <c r="M32" i="26"/>
  <c r="J32" i="26"/>
  <c r="G32" i="26"/>
  <c r="D32" i="26"/>
  <c r="EL31" i="26"/>
  <c r="EK31" i="26"/>
  <c r="EG31" i="26"/>
  <c r="EI31" i="26" s="1"/>
  <c r="DW31" i="26"/>
  <c r="DT31" i="26"/>
  <c r="DQ31" i="26"/>
  <c r="DN31" i="26"/>
  <c r="DK31" i="26"/>
  <c r="DH31" i="26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R31" i="26"/>
  <c r="BO31" i="26"/>
  <c r="BL31" i="26"/>
  <c r="BI31" i="26"/>
  <c r="BF31" i="26"/>
  <c r="BC31" i="26"/>
  <c r="AZ31" i="26"/>
  <c r="AW31" i="26"/>
  <c r="AT31" i="26"/>
  <c r="AQ31" i="26"/>
  <c r="AN31" i="26"/>
  <c r="AI31" i="26"/>
  <c r="AK31" i="26" s="1"/>
  <c r="AH31" i="26"/>
  <c r="AE31" i="26"/>
  <c r="AB31" i="26"/>
  <c r="Y31" i="26"/>
  <c r="EH31" i="26" s="1"/>
  <c r="V31" i="26"/>
  <c r="S31" i="26"/>
  <c r="P31" i="26"/>
  <c r="M31" i="26"/>
  <c r="J31" i="26"/>
  <c r="G31" i="26"/>
  <c r="D31" i="26"/>
  <c r="EL30" i="26"/>
  <c r="EI30" i="26"/>
  <c r="EG30" i="26"/>
  <c r="DW30" i="26"/>
  <c r="DT30" i="26"/>
  <c r="EM30" i="26" s="1"/>
  <c r="DQ30" i="26"/>
  <c r="DN30" i="26"/>
  <c r="DK30" i="26"/>
  <c r="DH30" i="26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R30" i="26"/>
  <c r="BO30" i="26"/>
  <c r="BL30" i="26"/>
  <c r="BI30" i="26"/>
  <c r="BF30" i="26"/>
  <c r="BC30" i="26"/>
  <c r="AZ30" i="26"/>
  <c r="AW30" i="26"/>
  <c r="AT30" i="26"/>
  <c r="AQ30" i="26"/>
  <c r="AN30" i="26"/>
  <c r="AI30" i="26"/>
  <c r="AK30" i="26" s="1"/>
  <c r="AH30" i="26"/>
  <c r="AE30" i="26"/>
  <c r="AB30" i="26"/>
  <c r="Y30" i="26"/>
  <c r="V30" i="26"/>
  <c r="EH30" i="26" s="1"/>
  <c r="S30" i="26"/>
  <c r="P30" i="26"/>
  <c r="M30" i="26"/>
  <c r="J30" i="26"/>
  <c r="G30" i="26"/>
  <c r="D30" i="26"/>
  <c r="ED30" i="26" s="1"/>
  <c r="EL29" i="26"/>
  <c r="EH29" i="26"/>
  <c r="EG29" i="26"/>
  <c r="EI29" i="26" s="1"/>
  <c r="DW29" i="26"/>
  <c r="DT29" i="26"/>
  <c r="DQ29" i="26"/>
  <c r="DN29" i="26"/>
  <c r="DK29" i="26"/>
  <c r="DH29" i="26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R29" i="26"/>
  <c r="BO29" i="26"/>
  <c r="BL29" i="26"/>
  <c r="BI29" i="26"/>
  <c r="BF29" i="26"/>
  <c r="BC29" i="26"/>
  <c r="AZ29" i="26"/>
  <c r="AW29" i="26"/>
  <c r="AU29" i="26"/>
  <c r="EK29" i="26" s="1"/>
  <c r="AT29" i="26"/>
  <c r="AR29" i="26"/>
  <c r="AQ29" i="26"/>
  <c r="AL29" i="26"/>
  <c r="EB29" i="26" s="1"/>
  <c r="AI29" i="26"/>
  <c r="AK29" i="26" s="1"/>
  <c r="AH29" i="26"/>
  <c r="AB29" i="26"/>
  <c r="Y29" i="26"/>
  <c r="V29" i="26"/>
  <c r="S29" i="26"/>
  <c r="P29" i="26"/>
  <c r="M29" i="26"/>
  <c r="J29" i="26"/>
  <c r="G29" i="26"/>
  <c r="D29" i="26"/>
  <c r="EL28" i="26"/>
  <c r="EG28" i="26"/>
  <c r="DW28" i="26"/>
  <c r="DT28" i="26"/>
  <c r="DQ28" i="26"/>
  <c r="DN28" i="26"/>
  <c r="DK28" i="26"/>
  <c r="DH28" i="26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R28" i="26"/>
  <c r="BO28" i="26"/>
  <c r="BL28" i="26"/>
  <c r="BI28" i="26"/>
  <c r="BF28" i="26"/>
  <c r="BC28" i="26"/>
  <c r="AZ28" i="26"/>
  <c r="AU28" i="26"/>
  <c r="AW28" i="26" s="1"/>
  <c r="AT28" i="26"/>
  <c r="AR28" i="26"/>
  <c r="AQ28" i="26"/>
  <c r="AL28" i="26"/>
  <c r="EB28" i="26" s="1"/>
  <c r="AK28" i="26"/>
  <c r="AI28" i="26"/>
  <c r="AH28" i="26"/>
  <c r="AB28" i="26"/>
  <c r="Y28" i="26"/>
  <c r="V28" i="26"/>
  <c r="S28" i="26"/>
  <c r="EH28" i="26" s="1"/>
  <c r="EI28" i="26" s="1"/>
  <c r="P28" i="26"/>
  <c r="M28" i="26"/>
  <c r="J28" i="26"/>
  <c r="G28" i="26"/>
  <c r="D28" i="26"/>
  <c r="EL27" i="26"/>
  <c r="EK27" i="26"/>
  <c r="EG27" i="26"/>
  <c r="DW27" i="26"/>
  <c r="DT27" i="26"/>
  <c r="DQ27" i="26"/>
  <c r="DN27" i="26"/>
  <c r="DK27" i="26"/>
  <c r="DH27" i="26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R27" i="26"/>
  <c r="BO27" i="26"/>
  <c r="BL27" i="26"/>
  <c r="BI27" i="26"/>
  <c r="BF27" i="26"/>
  <c r="BC27" i="26"/>
  <c r="AZ27" i="26"/>
  <c r="AW27" i="26"/>
  <c r="AU27" i="26"/>
  <c r="AT27" i="26"/>
  <c r="AR27" i="26"/>
  <c r="AQ27" i="26"/>
  <c r="AL27" i="26"/>
  <c r="EB27" i="26" s="1"/>
  <c r="AI27" i="26"/>
  <c r="AK27" i="26" s="1"/>
  <c r="AH27" i="26"/>
  <c r="AB27" i="26"/>
  <c r="Y27" i="26"/>
  <c r="V27" i="26"/>
  <c r="S27" i="26"/>
  <c r="EH27" i="26" s="1"/>
  <c r="EI27" i="26" s="1"/>
  <c r="P27" i="26"/>
  <c r="M27" i="26"/>
  <c r="J27" i="26"/>
  <c r="G27" i="26"/>
  <c r="D27" i="26"/>
  <c r="EL26" i="26"/>
  <c r="EG26" i="26"/>
  <c r="EB26" i="26"/>
  <c r="DW26" i="26"/>
  <c r="DT26" i="26"/>
  <c r="EM26" i="26" s="1"/>
  <c r="DQ26" i="26"/>
  <c r="DN26" i="26"/>
  <c r="DK26" i="26"/>
  <c r="DH26" i="26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R26" i="26"/>
  <c r="BO26" i="26"/>
  <c r="BL26" i="26"/>
  <c r="BI26" i="26"/>
  <c r="BF26" i="26"/>
  <c r="BD26" i="26"/>
  <c r="EK26" i="26" s="1"/>
  <c r="BC26" i="26"/>
  <c r="BA26" i="26"/>
  <c r="AZ26" i="26"/>
  <c r="AX26" i="26"/>
  <c r="AU26" i="26"/>
  <c r="AW26" i="26" s="1"/>
  <c r="AT26" i="26"/>
  <c r="AR26" i="26"/>
  <c r="AQ26" i="26"/>
  <c r="AN26" i="26"/>
  <c r="AL26" i="26"/>
  <c r="AI26" i="26"/>
  <c r="AK26" i="26" s="1"/>
  <c r="AH26" i="26"/>
  <c r="AB26" i="26"/>
  <c r="Y26" i="26"/>
  <c r="V26" i="26"/>
  <c r="S26" i="26"/>
  <c r="EH26" i="26" s="1"/>
  <c r="EI26" i="26" s="1"/>
  <c r="P26" i="26"/>
  <c r="M26" i="26"/>
  <c r="J26" i="26"/>
  <c r="G26" i="26"/>
  <c r="D26" i="26"/>
  <c r="EL25" i="26"/>
  <c r="EG25" i="26"/>
  <c r="EI25" i="26" s="1"/>
  <c r="DW25" i="26"/>
  <c r="DT25" i="26"/>
  <c r="DQ25" i="26"/>
  <c r="DN25" i="26"/>
  <c r="DK25" i="26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R25" i="26"/>
  <c r="BO25" i="26"/>
  <c r="BL25" i="26"/>
  <c r="BI25" i="26"/>
  <c r="BF25" i="26"/>
  <c r="BC25" i="26"/>
  <c r="AZ25" i="26"/>
  <c r="AU25" i="26"/>
  <c r="EK25" i="26" s="1"/>
  <c r="AR25" i="26"/>
  <c r="AT25" i="26" s="1"/>
  <c r="AQ25" i="26"/>
  <c r="AL25" i="26"/>
  <c r="EB25" i="26" s="1"/>
  <c r="AK25" i="26"/>
  <c r="AH25" i="26"/>
  <c r="AE25" i="26"/>
  <c r="AB25" i="26"/>
  <c r="Y25" i="26"/>
  <c r="V25" i="26"/>
  <c r="S25" i="26"/>
  <c r="EH25" i="26" s="1"/>
  <c r="P25" i="26"/>
  <c r="M25" i="26"/>
  <c r="J25" i="26"/>
  <c r="G25" i="26"/>
  <c r="D25" i="26"/>
  <c r="EL24" i="26"/>
  <c r="EG24" i="26"/>
  <c r="EI24" i="26" s="1"/>
  <c r="DW24" i="26"/>
  <c r="DT24" i="26"/>
  <c r="EM24" i="26" s="1"/>
  <c r="DQ24" i="26"/>
  <c r="DN24" i="26"/>
  <c r="DK24" i="26"/>
  <c r="DH24" i="26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R24" i="26"/>
  <c r="BO24" i="26"/>
  <c r="BL24" i="26"/>
  <c r="BI24" i="26"/>
  <c r="BF24" i="26"/>
  <c r="BC24" i="26"/>
  <c r="AZ24" i="26"/>
  <c r="AW24" i="26"/>
  <c r="AU24" i="26"/>
  <c r="EK24" i="26" s="1"/>
  <c r="AT24" i="26"/>
  <c r="AR24" i="26"/>
  <c r="AQ24" i="26"/>
  <c r="AN24" i="26"/>
  <c r="AL24" i="26"/>
  <c r="EB24" i="26" s="1"/>
  <c r="AK24" i="26"/>
  <c r="AH24" i="26"/>
  <c r="EH24" i="26" s="1"/>
  <c r="AE24" i="26"/>
  <c r="AB24" i="26"/>
  <c r="Y24" i="26"/>
  <c r="V24" i="26"/>
  <c r="S24" i="26"/>
  <c r="P24" i="26"/>
  <c r="M24" i="26"/>
  <c r="J24" i="26"/>
  <c r="G24" i="26"/>
  <c r="D24" i="26"/>
  <c r="ED24" i="26" s="1"/>
  <c r="EL23" i="26"/>
  <c r="EI23" i="26"/>
  <c r="EG23" i="26"/>
  <c r="DW23" i="26"/>
  <c r="DT23" i="26"/>
  <c r="DQ23" i="26"/>
  <c r="DN23" i="26"/>
  <c r="DK23" i="26"/>
  <c r="DH23" i="26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R23" i="26"/>
  <c r="BO23" i="26"/>
  <c r="BL23" i="26"/>
  <c r="BI23" i="26"/>
  <c r="BF23" i="26"/>
  <c r="BC23" i="26"/>
  <c r="AZ23" i="26"/>
  <c r="AU23" i="26"/>
  <c r="AW23" i="26" s="1"/>
  <c r="AT23" i="26"/>
  <c r="AR23" i="26"/>
  <c r="AQ23" i="26"/>
  <c r="AL23" i="26"/>
  <c r="EB23" i="26" s="1"/>
  <c r="AK23" i="26"/>
  <c r="AH23" i="26"/>
  <c r="AE23" i="26"/>
  <c r="EH23" i="26" s="1"/>
  <c r="AB23" i="26"/>
  <c r="Y23" i="26"/>
  <c r="V23" i="26"/>
  <c r="S23" i="26"/>
  <c r="P23" i="26"/>
  <c r="M23" i="26"/>
  <c r="J23" i="26"/>
  <c r="G23" i="26"/>
  <c r="D23" i="26"/>
  <c r="EL22" i="26"/>
  <c r="EK22" i="26"/>
  <c r="EI22" i="26"/>
  <c r="EG22" i="26"/>
  <c r="DW22" i="26"/>
  <c r="DT22" i="26"/>
  <c r="DQ22" i="26"/>
  <c r="DN22" i="26"/>
  <c r="DK22" i="26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R22" i="26"/>
  <c r="BO22" i="26"/>
  <c r="BL22" i="26"/>
  <c r="BI22" i="26"/>
  <c r="BF22" i="26"/>
  <c r="BC22" i="26"/>
  <c r="AZ22" i="26"/>
  <c r="AW22" i="26"/>
  <c r="AU22" i="26"/>
  <c r="AR22" i="26"/>
  <c r="AT22" i="26" s="1"/>
  <c r="AQ22" i="26"/>
  <c r="AL22" i="26"/>
  <c r="EB22" i="26" s="1"/>
  <c r="AK22" i="26"/>
  <c r="AI22" i="26"/>
  <c r="AH22" i="26"/>
  <c r="AE22" i="26"/>
  <c r="AB22" i="26"/>
  <c r="Y22" i="26"/>
  <c r="V22" i="26"/>
  <c r="S22" i="26"/>
  <c r="EH22" i="26" s="1"/>
  <c r="P22" i="26"/>
  <c r="M22" i="26"/>
  <c r="J22" i="26"/>
  <c r="G22" i="26"/>
  <c r="D22" i="26"/>
  <c r="EL21" i="26"/>
  <c r="EI21" i="26"/>
  <c r="EG21" i="26"/>
  <c r="DW21" i="26"/>
  <c r="DT21" i="26"/>
  <c r="DQ21" i="26"/>
  <c r="DN21" i="26"/>
  <c r="DK21" i="26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R21" i="26"/>
  <c r="BO21" i="26"/>
  <c r="BL21" i="26"/>
  <c r="BI21" i="26"/>
  <c r="BF21" i="26"/>
  <c r="BC21" i="26"/>
  <c r="AZ21" i="26"/>
  <c r="AU21" i="26"/>
  <c r="AW21" i="26" s="1"/>
  <c r="AR21" i="26"/>
  <c r="AT21" i="26" s="1"/>
  <c r="AQ21" i="26"/>
  <c r="AN21" i="26"/>
  <c r="AL21" i="26"/>
  <c r="EB21" i="26" s="1"/>
  <c r="AK21" i="26"/>
  <c r="AI21" i="26"/>
  <c r="AH21" i="26"/>
  <c r="AE21" i="26"/>
  <c r="AB21" i="26"/>
  <c r="Y21" i="26"/>
  <c r="V21" i="26"/>
  <c r="S21" i="26"/>
  <c r="EH21" i="26" s="1"/>
  <c r="P21" i="26"/>
  <c r="M21" i="26"/>
  <c r="J21" i="26"/>
  <c r="G21" i="26"/>
  <c r="D21" i="26"/>
  <c r="ED21" i="26" s="1"/>
  <c r="EL20" i="26"/>
  <c r="EG20" i="26"/>
  <c r="EI20" i="26" s="1"/>
  <c r="DW20" i="26"/>
  <c r="DT20" i="26"/>
  <c r="DQ20" i="26"/>
  <c r="DN20" i="26"/>
  <c r="DK20" i="26"/>
  <c r="DH20" i="26"/>
  <c r="DE20" i="26"/>
  <c r="DB20" i="26"/>
  <c r="CY20" i="26"/>
  <c r="CV20" i="26"/>
  <c r="CS20" i="26"/>
  <c r="CP20" i="26"/>
  <c r="CM20" i="26"/>
  <c r="CM42" i="26" s="1"/>
  <c r="CJ20" i="26"/>
  <c r="CG20" i="26"/>
  <c r="CD20" i="26"/>
  <c r="CA20" i="26"/>
  <c r="BX20" i="26"/>
  <c r="BU20" i="26"/>
  <c r="BR20" i="26"/>
  <c r="BO20" i="26"/>
  <c r="BO42" i="26" s="1"/>
  <c r="BL20" i="26"/>
  <c r="BI20" i="26"/>
  <c r="BF20" i="26"/>
  <c r="BC20" i="26"/>
  <c r="AZ20" i="26"/>
  <c r="AU20" i="26"/>
  <c r="EK20" i="26" s="1"/>
  <c r="AT20" i="26"/>
  <c r="AR20" i="26"/>
  <c r="AQ20" i="26"/>
  <c r="AO20" i="26"/>
  <c r="AL20" i="26"/>
  <c r="EB20" i="26" s="1"/>
  <c r="AI20" i="26"/>
  <c r="AK20" i="26" s="1"/>
  <c r="AH20" i="26"/>
  <c r="AE20" i="26"/>
  <c r="AB20" i="26"/>
  <c r="Y20" i="26"/>
  <c r="V20" i="26"/>
  <c r="S20" i="26"/>
  <c r="EH20" i="26" s="1"/>
  <c r="P20" i="26"/>
  <c r="M20" i="26"/>
  <c r="J20" i="26"/>
  <c r="G20" i="26"/>
  <c r="D20" i="26"/>
  <c r="EL19" i="26"/>
  <c r="EI19" i="26"/>
  <c r="EG19" i="26"/>
  <c r="DW19" i="26"/>
  <c r="DT19" i="26"/>
  <c r="DQ19" i="26"/>
  <c r="DN19" i="26"/>
  <c r="DK19" i="26"/>
  <c r="DH19" i="26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R19" i="26"/>
  <c r="BO19" i="26"/>
  <c r="BL19" i="26"/>
  <c r="BI19" i="26"/>
  <c r="BF19" i="26"/>
  <c r="BC19" i="26"/>
  <c r="AZ19" i="26"/>
  <c r="AU19" i="26"/>
  <c r="AW19" i="26" s="1"/>
  <c r="AT19" i="26"/>
  <c r="AR19" i="26"/>
  <c r="AO19" i="26"/>
  <c r="AQ19" i="26" s="1"/>
  <c r="AL19" i="26"/>
  <c r="EB19" i="26" s="1"/>
  <c r="AI19" i="26"/>
  <c r="AK19" i="26" s="1"/>
  <c r="AH19" i="26"/>
  <c r="AE19" i="26"/>
  <c r="AB19" i="26"/>
  <c r="Y19" i="26"/>
  <c r="V19" i="26"/>
  <c r="S19" i="26"/>
  <c r="EH19" i="26" s="1"/>
  <c r="P19" i="26"/>
  <c r="M19" i="26"/>
  <c r="J19" i="26"/>
  <c r="G19" i="26"/>
  <c r="D19" i="26"/>
  <c r="EL18" i="26"/>
  <c r="EI18" i="26"/>
  <c r="EG18" i="26"/>
  <c r="DW18" i="26"/>
  <c r="DT18" i="26"/>
  <c r="DQ18" i="26"/>
  <c r="DN18" i="26"/>
  <c r="DK18" i="26"/>
  <c r="DH18" i="26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R18" i="26"/>
  <c r="BO18" i="26"/>
  <c r="BL18" i="26"/>
  <c r="BI18" i="26"/>
  <c r="BF18" i="26"/>
  <c r="BC18" i="26"/>
  <c r="AZ18" i="26"/>
  <c r="AU18" i="26"/>
  <c r="AW18" i="26" s="1"/>
  <c r="EM18" i="26" s="1"/>
  <c r="AT18" i="26"/>
  <c r="AR18" i="26"/>
  <c r="AQ18" i="26"/>
  <c r="AO18" i="26"/>
  <c r="EK18" i="26" s="1"/>
  <c r="EN18" i="26" s="1"/>
  <c r="AN18" i="26"/>
  <c r="AL18" i="26"/>
  <c r="EB18" i="26" s="1"/>
  <c r="AI18" i="26"/>
  <c r="AK18" i="26" s="1"/>
  <c r="AH18" i="26"/>
  <c r="AE18" i="26"/>
  <c r="AB18" i="26"/>
  <c r="Y18" i="26"/>
  <c r="V18" i="26"/>
  <c r="S18" i="26"/>
  <c r="EH18" i="26" s="1"/>
  <c r="P18" i="26"/>
  <c r="M18" i="26"/>
  <c r="J18" i="26"/>
  <c r="G18" i="26"/>
  <c r="D18" i="26"/>
  <c r="ED18" i="26" s="1"/>
  <c r="EL17" i="26"/>
  <c r="EG17" i="26"/>
  <c r="EI17" i="26" s="1"/>
  <c r="DW17" i="26"/>
  <c r="DT17" i="26"/>
  <c r="DQ17" i="26"/>
  <c r="DN17" i="26"/>
  <c r="DK17" i="26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R17" i="26"/>
  <c r="BO17" i="26"/>
  <c r="BL17" i="26"/>
  <c r="BI17" i="26"/>
  <c r="BF17" i="26"/>
  <c r="BC17" i="26"/>
  <c r="AZ17" i="26"/>
  <c r="AU17" i="26"/>
  <c r="EK17" i="26" s="1"/>
  <c r="AR17" i="26"/>
  <c r="AT17" i="26" s="1"/>
  <c r="AQ17" i="26"/>
  <c r="AO17" i="26"/>
  <c r="AL17" i="26"/>
  <c r="EB17" i="26" s="1"/>
  <c r="AI17" i="26"/>
  <c r="AK17" i="26" s="1"/>
  <c r="AH17" i="26"/>
  <c r="AE17" i="26"/>
  <c r="AB17" i="26"/>
  <c r="Y17" i="26"/>
  <c r="V17" i="26"/>
  <c r="S17" i="26"/>
  <c r="EH17" i="26" s="1"/>
  <c r="P17" i="26"/>
  <c r="M17" i="26"/>
  <c r="J17" i="26"/>
  <c r="G17" i="26"/>
  <c r="D17" i="26"/>
  <c r="EL16" i="26"/>
  <c r="EK16" i="26"/>
  <c r="EI16" i="26"/>
  <c r="EG16" i="26"/>
  <c r="DW16" i="26"/>
  <c r="DT16" i="26"/>
  <c r="EM16" i="26" s="1"/>
  <c r="DQ16" i="26"/>
  <c r="DN16" i="26"/>
  <c r="DK16" i="26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R16" i="26"/>
  <c r="BO16" i="26"/>
  <c r="BL16" i="26"/>
  <c r="BI16" i="26"/>
  <c r="BF16" i="26"/>
  <c r="BC16" i="26"/>
  <c r="AZ16" i="26"/>
  <c r="AW16" i="26"/>
  <c r="AU16" i="26"/>
  <c r="AR16" i="26"/>
  <c r="AT16" i="26" s="1"/>
  <c r="AQ16" i="26"/>
  <c r="AO16" i="26"/>
  <c r="AN16" i="26"/>
  <c r="AL16" i="26"/>
  <c r="EB16" i="26" s="1"/>
  <c r="AK16" i="26"/>
  <c r="AI16" i="26"/>
  <c r="AH16" i="26"/>
  <c r="AE16" i="26"/>
  <c r="AB16" i="26"/>
  <c r="Y16" i="26"/>
  <c r="V16" i="26"/>
  <c r="S16" i="26"/>
  <c r="EH16" i="26" s="1"/>
  <c r="P16" i="26"/>
  <c r="M16" i="26"/>
  <c r="J16" i="26"/>
  <c r="G16" i="26"/>
  <c r="D16" i="26"/>
  <c r="ED16" i="26" s="1"/>
  <c r="EL15" i="26"/>
  <c r="EG15" i="26"/>
  <c r="EI15" i="26" s="1"/>
  <c r="DW15" i="26"/>
  <c r="DT15" i="26"/>
  <c r="DQ15" i="26"/>
  <c r="DN15" i="26"/>
  <c r="DK15" i="26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R15" i="26"/>
  <c r="BO15" i="26"/>
  <c r="BL15" i="26"/>
  <c r="BI15" i="26"/>
  <c r="BF15" i="26"/>
  <c r="BC15" i="26"/>
  <c r="AZ15" i="26"/>
  <c r="AW15" i="26"/>
  <c r="AT15" i="26"/>
  <c r="AR15" i="26"/>
  <c r="EK15" i="26" s="1"/>
  <c r="AQ15" i="26"/>
  <c r="AO15" i="26"/>
  <c r="AN15" i="26"/>
  <c r="AL15" i="26"/>
  <c r="EB15" i="26" s="1"/>
  <c r="AI15" i="26"/>
  <c r="AK15" i="26" s="1"/>
  <c r="AH15" i="26"/>
  <c r="AE15" i="26"/>
  <c r="AB15" i="26"/>
  <c r="Y15" i="26"/>
  <c r="V15" i="26"/>
  <c r="S15" i="26"/>
  <c r="EH15" i="26" s="1"/>
  <c r="P15" i="26"/>
  <c r="M15" i="26"/>
  <c r="J15" i="26"/>
  <c r="G15" i="26"/>
  <c r="D15" i="26"/>
  <c r="EL14" i="26"/>
  <c r="EG14" i="26"/>
  <c r="EI3" i="26" s="1"/>
  <c r="EI4" i="26" s="1"/>
  <c r="DW14" i="26"/>
  <c r="DT14" i="26"/>
  <c r="DQ14" i="26"/>
  <c r="DN14" i="26"/>
  <c r="DK14" i="26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R14" i="26"/>
  <c r="BO14" i="26"/>
  <c r="BL14" i="26"/>
  <c r="BI14" i="26"/>
  <c r="BF14" i="26"/>
  <c r="BC14" i="26"/>
  <c r="AZ14" i="26"/>
  <c r="AW14" i="26"/>
  <c r="AT14" i="26"/>
  <c r="AR14" i="26"/>
  <c r="EK14" i="26" s="1"/>
  <c r="AQ14" i="26"/>
  <c r="AO14" i="26"/>
  <c r="AL14" i="26"/>
  <c r="EB14" i="26" s="1"/>
  <c r="AK14" i="26"/>
  <c r="AI14" i="26"/>
  <c r="AH14" i="26"/>
  <c r="AE14" i="26"/>
  <c r="AB14" i="26"/>
  <c r="Y14" i="26"/>
  <c r="V14" i="26"/>
  <c r="S14" i="26"/>
  <c r="EH14" i="26" s="1"/>
  <c r="P14" i="26"/>
  <c r="M14" i="26"/>
  <c r="J14" i="26"/>
  <c r="G14" i="26"/>
  <c r="D14" i="26"/>
  <c r="EL13" i="26"/>
  <c r="EI13" i="26"/>
  <c r="EG13" i="26"/>
  <c r="DW13" i="26"/>
  <c r="DT13" i="26"/>
  <c r="EM13" i="26" s="1"/>
  <c r="DQ13" i="26"/>
  <c r="DN13" i="26"/>
  <c r="DK13" i="26"/>
  <c r="DH13" i="26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R13" i="26"/>
  <c r="BO13" i="26"/>
  <c r="BL13" i="26"/>
  <c r="BI13" i="26"/>
  <c r="BF13" i="26"/>
  <c r="BC13" i="26"/>
  <c r="AZ13" i="26"/>
  <c r="AW13" i="26"/>
  <c r="AT13" i="26"/>
  <c r="AR13" i="26"/>
  <c r="EK13" i="26" s="1"/>
  <c r="AO13" i="26"/>
  <c r="AQ13" i="26" s="1"/>
  <c r="AN13" i="26"/>
  <c r="AL13" i="26"/>
  <c r="EB13" i="26" s="1"/>
  <c r="AK13" i="26"/>
  <c r="AI13" i="26"/>
  <c r="AH13" i="26"/>
  <c r="AE13" i="26"/>
  <c r="AB13" i="26"/>
  <c r="Y13" i="26"/>
  <c r="V13" i="26"/>
  <c r="S13" i="26"/>
  <c r="EH13" i="26" s="1"/>
  <c r="P13" i="26"/>
  <c r="M13" i="26"/>
  <c r="J13" i="26"/>
  <c r="G13" i="26"/>
  <c r="D13" i="26"/>
  <c r="EL12" i="26"/>
  <c r="EI12" i="26"/>
  <c r="EG12" i="26"/>
  <c r="EB12" i="26"/>
  <c r="DW12" i="26"/>
  <c r="DT12" i="26"/>
  <c r="DQ12" i="26"/>
  <c r="DN12" i="26"/>
  <c r="DK12" i="26"/>
  <c r="DH12" i="26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R12" i="26"/>
  <c r="BO12" i="26"/>
  <c r="BL12" i="26"/>
  <c r="BI12" i="26"/>
  <c r="BF12" i="26"/>
  <c r="BC12" i="26"/>
  <c r="AZ12" i="26"/>
  <c r="AW12" i="26"/>
  <c r="AR12" i="26"/>
  <c r="EK12" i="26" s="1"/>
  <c r="AQ12" i="26"/>
  <c r="AO12" i="26"/>
  <c r="AN12" i="26"/>
  <c r="AL12" i="26"/>
  <c r="AK12" i="26"/>
  <c r="AI12" i="26"/>
  <c r="AH12" i="26"/>
  <c r="AE12" i="26"/>
  <c r="AB12" i="26"/>
  <c r="Y12" i="26"/>
  <c r="V12" i="26"/>
  <c r="S12" i="26"/>
  <c r="EH12" i="26" s="1"/>
  <c r="P12" i="26"/>
  <c r="M12" i="26"/>
  <c r="J12" i="26"/>
  <c r="G12" i="26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L11" i="26"/>
  <c r="EG11" i="26"/>
  <c r="EI11" i="26" s="1"/>
  <c r="EB11" i="26"/>
  <c r="EC11" i="26" s="1"/>
  <c r="DW11" i="26"/>
  <c r="DW42" i="26" s="1"/>
  <c r="DT11" i="26"/>
  <c r="DT42" i="26" s="1"/>
  <c r="DQ11" i="26"/>
  <c r="DQ42" i="26" s="1"/>
  <c r="DN11" i="26"/>
  <c r="DK11" i="26"/>
  <c r="DH11" i="26"/>
  <c r="DH42" i="26" s="1"/>
  <c r="DE11" i="26"/>
  <c r="DE42" i="26" s="1"/>
  <c r="DB11" i="26"/>
  <c r="DB42" i="26" s="1"/>
  <c r="CY11" i="26"/>
  <c r="CY42" i="26" s="1"/>
  <c r="CV11" i="26"/>
  <c r="CV42" i="26" s="1"/>
  <c r="CS11" i="26"/>
  <c r="CS42" i="26" s="1"/>
  <c r="CP11" i="26"/>
  <c r="CP42" i="26" s="1"/>
  <c r="CM11" i="26"/>
  <c r="CJ11" i="26"/>
  <c r="CJ42" i="26" s="1"/>
  <c r="CG11" i="26"/>
  <c r="CG42" i="26" s="1"/>
  <c r="CD11" i="26"/>
  <c r="CD42" i="26" s="1"/>
  <c r="CA11" i="26"/>
  <c r="CA42" i="26" s="1"/>
  <c r="BX11" i="26"/>
  <c r="BX42" i="26" s="1"/>
  <c r="BU11" i="26"/>
  <c r="BU42" i="26" s="1"/>
  <c r="BR11" i="26"/>
  <c r="BR42" i="26" s="1"/>
  <c r="BO11" i="26"/>
  <c r="BL11" i="26"/>
  <c r="BL42" i="26" s="1"/>
  <c r="BI11" i="26"/>
  <c r="BI42" i="26" s="1"/>
  <c r="BF11" i="26"/>
  <c r="BF42" i="26" s="1"/>
  <c r="BC11" i="26"/>
  <c r="BC42" i="26" s="1"/>
  <c r="AZ11" i="26"/>
  <c r="AZ42" i="26" s="1"/>
  <c r="AW11" i="26"/>
  <c r="AT11" i="26"/>
  <c r="AR11" i="26"/>
  <c r="EK11" i="26" s="1"/>
  <c r="AQ11" i="26"/>
  <c r="AQ42" i="26" s="1"/>
  <c r="AO11" i="26"/>
  <c r="AN11" i="26"/>
  <c r="AL11" i="26"/>
  <c r="AI11" i="26"/>
  <c r="AK11" i="26" s="1"/>
  <c r="AH11" i="26"/>
  <c r="AH42" i="26" s="1"/>
  <c r="AE11" i="26"/>
  <c r="AE42" i="26" s="1"/>
  <c r="AB11" i="26"/>
  <c r="AB42" i="26" s="1"/>
  <c r="Y11" i="26"/>
  <c r="Y42" i="26" s="1"/>
  <c r="V11" i="26"/>
  <c r="V42" i="26" s="1"/>
  <c r="S11" i="26"/>
  <c r="EH11" i="26" s="1"/>
  <c r="P11" i="26"/>
  <c r="P42" i="26" s="1"/>
  <c r="M11" i="26"/>
  <c r="M42" i="26" s="1"/>
  <c r="J11" i="26"/>
  <c r="J42" i="26" s="1"/>
  <c r="G11" i="26"/>
  <c r="G42" i="26" s="1"/>
  <c r="D11" i="26"/>
  <c r="D42" i="26" s="1"/>
  <c r="EN2" i="26"/>
  <c r="EP2" i="26" s="1"/>
  <c r="EI2" i="26"/>
  <c r="ED29" i="26" l="1"/>
  <c r="EE29" i="26" s="1"/>
  <c r="EN16" i="26"/>
  <c r="EM19" i="26"/>
  <c r="EC21" i="26"/>
  <c r="EE21" i="26"/>
  <c r="EN26" i="26"/>
  <c r="EM29" i="26"/>
  <c r="EE33" i="26"/>
  <c r="EC33" i="26"/>
  <c r="EE37" i="26"/>
  <c r="EC27" i="26"/>
  <c r="EM11" i="26"/>
  <c r="EN11" i="26" s="1"/>
  <c r="ED15" i="26"/>
  <c r="EC20" i="26"/>
  <c r="EN24" i="26"/>
  <c r="EC22" i="26"/>
  <c r="AW42" i="26"/>
  <c r="ED13" i="26"/>
  <c r="EN13" i="26"/>
  <c r="ED14" i="26"/>
  <c r="EE14" i="26" s="1"/>
  <c r="EC29" i="26"/>
  <c r="ED31" i="26"/>
  <c r="EM31" i="26"/>
  <c r="EN33" i="26"/>
  <c r="EE35" i="26"/>
  <c r="EC14" i="26"/>
  <c r="ED17" i="26"/>
  <c r="EE17" i="26" s="1"/>
  <c r="EM17" i="26"/>
  <c r="EN17" i="26" s="1"/>
  <c r="EC18" i="26"/>
  <c r="EE18" i="26"/>
  <c r="EC19" i="26"/>
  <c r="EC25" i="26"/>
  <c r="ED26" i="26"/>
  <c r="EE26" i="26" s="1"/>
  <c r="EE13" i="26"/>
  <c r="EC13" i="26"/>
  <c r="ED19" i="26"/>
  <c r="EE19" i="26" s="1"/>
  <c r="EM15" i="26"/>
  <c r="EN15" i="26" s="1"/>
  <c r="EM20" i="26"/>
  <c r="EN20" i="26" s="1"/>
  <c r="EM21" i="26"/>
  <c r="EE24" i="26"/>
  <c r="EC24" i="26"/>
  <c r="EM34" i="26"/>
  <c r="EI35" i="26"/>
  <c r="EH42" i="26"/>
  <c r="EC15" i="26"/>
  <c r="EE15" i="26"/>
  <c r="EE16" i="26"/>
  <c r="EC16" i="26"/>
  <c r="EN31" i="26"/>
  <c r="EC17" i="26"/>
  <c r="EC28" i="26"/>
  <c r="EN29" i="26"/>
  <c r="ED11" i="26"/>
  <c r="EE11" i="26" s="1"/>
  <c r="DK42" i="26"/>
  <c r="EC12" i="26"/>
  <c r="AW17" i="26"/>
  <c r="AN19" i="26"/>
  <c r="EK19" i="26"/>
  <c r="EN19" i="26" s="1"/>
  <c r="AN22" i="26"/>
  <c r="ED22" i="26" s="1"/>
  <c r="EE22" i="26" s="1"/>
  <c r="EK23" i="26"/>
  <c r="EC23" i="26" s="1"/>
  <c r="AW25" i="26"/>
  <c r="EC26" i="26"/>
  <c r="AN27" i="26"/>
  <c r="ED27" i="26" s="1"/>
  <c r="EE27" i="26" s="1"/>
  <c r="EK28" i="26"/>
  <c r="EK30" i="26"/>
  <c r="EN30" i="26" s="1"/>
  <c r="EB31" i="26"/>
  <c r="AK32" i="26"/>
  <c r="EM32" i="26" s="1"/>
  <c r="EN32" i="26" s="1"/>
  <c r="EC32" i="26"/>
  <c r="EC37" i="26"/>
  <c r="EE38" i="26"/>
  <c r="EC41" i="26"/>
  <c r="DN42" i="26"/>
  <c r="EI14" i="26"/>
  <c r="AW20" i="26"/>
  <c r="AN23" i="26"/>
  <c r="ED23" i="26" s="1"/>
  <c r="EE23" i="26" s="1"/>
  <c r="AN28" i="26"/>
  <c r="ED28" i="26" s="1"/>
  <c r="EE28" i="26" s="1"/>
  <c r="EB30" i="26"/>
  <c r="AN17" i="26"/>
  <c r="AN29" i="26"/>
  <c r="EE41" i="26"/>
  <c r="EI5" i="26"/>
  <c r="AT12" i="26"/>
  <c r="ED12" i="26" s="1"/>
  <c r="EE12" i="26" s="1"/>
  <c r="AN14" i="26"/>
  <c r="AN42" i="26" s="1"/>
  <c r="AN20" i="26"/>
  <c r="ED20" i="26" s="1"/>
  <c r="EE20" i="26" s="1"/>
  <c r="AN25" i="26"/>
  <c r="ED25" i="26" s="1"/>
  <c r="EE25" i="26" s="1"/>
  <c r="S42" i="26"/>
  <c r="EK34" i="26"/>
  <c r="EN34" i="26" s="1"/>
  <c r="EK21" i="26"/>
  <c r="EN21" i="26" s="1"/>
  <c r="EB34" i="26"/>
  <c r="EE3" i="26" s="1"/>
  <c r="G5" i="26" l="1"/>
  <c r="EE31" i="26"/>
  <c r="EC31" i="26"/>
  <c r="EN3" i="26"/>
  <c r="EN4" i="26" s="1"/>
  <c r="EM14" i="26"/>
  <c r="EN14" i="26" s="1"/>
  <c r="EM22" i="26"/>
  <c r="EN22" i="26" s="1"/>
  <c r="EN5" i="26"/>
  <c r="AT42" i="26"/>
  <c r="EM25" i="26"/>
  <c r="EN25" i="26" s="1"/>
  <c r="EM28" i="26"/>
  <c r="EN28" i="26" s="1"/>
  <c r="EE5" i="26"/>
  <c r="G7" i="26" s="1"/>
  <c r="EM27" i="26"/>
  <c r="EN27" i="26" s="1"/>
  <c r="ED32" i="26"/>
  <c r="EE32" i="26" s="1"/>
  <c r="EE30" i="26"/>
  <c r="EC30" i="26"/>
  <c r="EM12" i="26"/>
  <c r="EN12" i="26" s="1"/>
  <c r="ED42" i="26"/>
  <c r="AK42" i="26"/>
  <c r="EM23" i="26"/>
  <c r="EN23" i="26" s="1"/>
  <c r="EC34" i="26"/>
  <c r="EE34" i="26"/>
  <c r="EM42" i="26" l="1"/>
  <c r="EE4" i="26"/>
  <c r="G6" i="26" s="1"/>
  <c r="D40" i="25" l="1"/>
  <c r="EL39" i="25"/>
  <c r="EG39" i="25"/>
  <c r="EI39" i="25" s="1"/>
  <c r="DW39" i="25"/>
  <c r="DT39" i="25"/>
  <c r="DQ39" i="25"/>
  <c r="DN39" i="25"/>
  <c r="DK39" i="25"/>
  <c r="DH39" i="25"/>
  <c r="DE39" i="25"/>
  <c r="DB39" i="25"/>
  <c r="CY39" i="25"/>
  <c r="CV39" i="25"/>
  <c r="CS39" i="25"/>
  <c r="CP39" i="25"/>
  <c r="CM39" i="25"/>
  <c r="CJ39" i="25"/>
  <c r="CG39" i="25"/>
  <c r="CD39" i="25"/>
  <c r="CA39" i="25"/>
  <c r="BX39" i="25"/>
  <c r="BU39" i="25"/>
  <c r="BR39" i="25"/>
  <c r="BO39" i="25"/>
  <c r="BL39" i="25"/>
  <c r="BI39" i="25"/>
  <c r="BF39" i="25"/>
  <c r="BC39" i="25"/>
  <c r="AZ39" i="25"/>
  <c r="AX39" i="25"/>
  <c r="EK39" i="25" s="1"/>
  <c r="AW39" i="25"/>
  <c r="AU39" i="25"/>
  <c r="AT39" i="25"/>
  <c r="AO39" i="25"/>
  <c r="AQ39" i="25" s="1"/>
  <c r="AN39" i="25"/>
  <c r="AL39" i="25"/>
  <c r="AI39" i="25"/>
  <c r="AK39" i="25" s="1"/>
  <c r="AH39" i="25"/>
  <c r="AE39" i="25"/>
  <c r="AB39" i="25"/>
  <c r="Y39" i="25"/>
  <c r="V39" i="25"/>
  <c r="S39" i="25"/>
  <c r="EH39" i="25" s="1"/>
  <c r="P39" i="25"/>
  <c r="M39" i="25"/>
  <c r="J39" i="25"/>
  <c r="G39" i="25"/>
  <c r="EL38" i="25"/>
  <c r="EI38" i="25"/>
  <c r="EG38" i="25"/>
  <c r="DW38" i="25"/>
  <c r="DT38" i="25"/>
  <c r="DQ38" i="25"/>
  <c r="DN38" i="25"/>
  <c r="DK38" i="25"/>
  <c r="DH38" i="25"/>
  <c r="DE38" i="25"/>
  <c r="DB38" i="25"/>
  <c r="CY38" i="25"/>
  <c r="CV38" i="25"/>
  <c r="CS38" i="25"/>
  <c r="CP38" i="25"/>
  <c r="CM38" i="25"/>
  <c r="CJ38" i="25"/>
  <c r="CG38" i="25"/>
  <c r="CD38" i="25"/>
  <c r="CA38" i="25"/>
  <c r="BX38" i="25"/>
  <c r="BU38" i="25"/>
  <c r="BR38" i="25"/>
  <c r="BO38" i="25"/>
  <c r="BL38" i="25"/>
  <c r="BI38" i="25"/>
  <c r="BF38" i="25"/>
  <c r="BC38" i="25"/>
  <c r="AZ38" i="25"/>
  <c r="AX38" i="25"/>
  <c r="EK38" i="25" s="1"/>
  <c r="AW38" i="25"/>
  <c r="AU38" i="25"/>
  <c r="AT38" i="25"/>
  <c r="AO38" i="25"/>
  <c r="AQ38" i="25" s="1"/>
  <c r="AL38" i="25"/>
  <c r="EB38" i="25" s="1"/>
  <c r="AI38" i="25"/>
  <c r="AK38" i="25" s="1"/>
  <c r="AH38" i="25"/>
  <c r="AE38" i="25"/>
  <c r="AB38" i="25"/>
  <c r="Y38" i="25"/>
  <c r="V38" i="25"/>
  <c r="S38" i="25"/>
  <c r="EH38" i="25" s="1"/>
  <c r="P38" i="25"/>
  <c r="M38" i="25"/>
  <c r="J38" i="25"/>
  <c r="G38" i="25"/>
  <c r="EL37" i="25"/>
  <c r="EG37" i="25"/>
  <c r="EI37" i="25" s="1"/>
  <c r="DW37" i="25"/>
  <c r="DT37" i="25"/>
  <c r="DQ37" i="25"/>
  <c r="DN37" i="25"/>
  <c r="DK37" i="25"/>
  <c r="DH37" i="25"/>
  <c r="DE37" i="25"/>
  <c r="DB37" i="25"/>
  <c r="CY37" i="25"/>
  <c r="CV37" i="25"/>
  <c r="CS37" i="25"/>
  <c r="CP37" i="25"/>
  <c r="CM37" i="25"/>
  <c r="CJ37" i="25"/>
  <c r="CG37" i="25"/>
  <c r="CD37" i="25"/>
  <c r="CA37" i="25"/>
  <c r="BX37" i="25"/>
  <c r="BU37" i="25"/>
  <c r="BR37" i="25"/>
  <c r="BO37" i="25"/>
  <c r="BL37" i="25"/>
  <c r="BI37" i="25"/>
  <c r="BF37" i="25"/>
  <c r="BC37" i="25"/>
  <c r="AZ37" i="25"/>
  <c r="AX37" i="25"/>
  <c r="AW37" i="25"/>
  <c r="AU37" i="25"/>
  <c r="EK37" i="25" s="1"/>
  <c r="AT37" i="25"/>
  <c r="AO37" i="25"/>
  <c r="AQ37" i="25" s="1"/>
  <c r="AL37" i="25"/>
  <c r="EB37" i="25" s="1"/>
  <c r="AI37" i="25"/>
  <c r="AK37" i="25" s="1"/>
  <c r="AH37" i="25"/>
  <c r="AE37" i="25"/>
  <c r="AB37" i="25"/>
  <c r="Y37" i="25"/>
  <c r="V37" i="25"/>
  <c r="S37" i="25"/>
  <c r="EH37" i="25" s="1"/>
  <c r="P37" i="25"/>
  <c r="M37" i="25"/>
  <c r="J37" i="25"/>
  <c r="G37" i="25"/>
  <c r="EL36" i="25"/>
  <c r="EI36" i="25"/>
  <c r="EG36" i="25"/>
  <c r="DW36" i="25"/>
  <c r="DT36" i="25"/>
  <c r="DQ36" i="25"/>
  <c r="DN36" i="25"/>
  <c r="DK36" i="25"/>
  <c r="DH36" i="25"/>
  <c r="DE36" i="25"/>
  <c r="DB36" i="25"/>
  <c r="CY36" i="25"/>
  <c r="CV36" i="25"/>
  <c r="CS36" i="25"/>
  <c r="CP36" i="25"/>
  <c r="CM36" i="25"/>
  <c r="CJ36" i="25"/>
  <c r="CG36" i="25"/>
  <c r="CD36" i="25"/>
  <c r="CA36" i="25"/>
  <c r="BX36" i="25"/>
  <c r="BU36" i="25"/>
  <c r="BR36" i="25"/>
  <c r="BO36" i="25"/>
  <c r="BL36" i="25"/>
  <c r="BI36" i="25"/>
  <c r="BF36" i="25"/>
  <c r="BC36" i="25"/>
  <c r="AZ36" i="25"/>
  <c r="AX36" i="25"/>
  <c r="EK36" i="25" s="1"/>
  <c r="AW36" i="25"/>
  <c r="AU36" i="25"/>
  <c r="AT36" i="25"/>
  <c r="AO36" i="25"/>
  <c r="AQ36" i="25" s="1"/>
  <c r="AL36" i="25"/>
  <c r="EB36" i="25" s="1"/>
  <c r="AI36" i="25"/>
  <c r="AK36" i="25" s="1"/>
  <c r="AH36" i="25"/>
  <c r="AE36" i="25"/>
  <c r="AB36" i="25"/>
  <c r="Y36" i="25"/>
  <c r="V36" i="25"/>
  <c r="S36" i="25"/>
  <c r="EH36" i="25" s="1"/>
  <c r="P36" i="25"/>
  <c r="M36" i="25"/>
  <c r="J36" i="25"/>
  <c r="G36" i="25"/>
  <c r="EL35" i="25"/>
  <c r="EG35" i="25"/>
  <c r="EI35" i="25" s="1"/>
  <c r="DW35" i="25"/>
  <c r="DT35" i="25"/>
  <c r="DQ35" i="25"/>
  <c r="DN35" i="25"/>
  <c r="DK35" i="25"/>
  <c r="DH35" i="25"/>
  <c r="DE35" i="25"/>
  <c r="DB35" i="25"/>
  <c r="CY35" i="25"/>
  <c r="CV35" i="25"/>
  <c r="CS35" i="25"/>
  <c r="CP35" i="25"/>
  <c r="CM35" i="25"/>
  <c r="CJ35" i="25"/>
  <c r="CG35" i="25"/>
  <c r="CD35" i="25"/>
  <c r="CA35" i="25"/>
  <c r="BX35" i="25"/>
  <c r="BU35" i="25"/>
  <c r="BR35" i="25"/>
  <c r="BO35" i="25"/>
  <c r="BL35" i="25"/>
  <c r="BI35" i="25"/>
  <c r="BF35" i="25"/>
  <c r="BC35" i="25"/>
  <c r="AZ35" i="25"/>
  <c r="AX35" i="25"/>
  <c r="AW35" i="25"/>
  <c r="AU35" i="25"/>
  <c r="AT35" i="25"/>
  <c r="AO35" i="25"/>
  <c r="EK35" i="25" s="1"/>
  <c r="AL35" i="25"/>
  <c r="AN35" i="25" s="1"/>
  <c r="AI35" i="25"/>
  <c r="AK35" i="25" s="1"/>
  <c r="AH35" i="25"/>
  <c r="AE35" i="25"/>
  <c r="AB35" i="25"/>
  <c r="Y35" i="25"/>
  <c r="V35" i="25"/>
  <c r="S35" i="25"/>
  <c r="EH35" i="25" s="1"/>
  <c r="P35" i="25"/>
  <c r="M35" i="25"/>
  <c r="J35" i="25"/>
  <c r="G35" i="25"/>
  <c r="EL34" i="25"/>
  <c r="EI34" i="25"/>
  <c r="EG34" i="25"/>
  <c r="DW34" i="25"/>
  <c r="DT34" i="25"/>
  <c r="DQ34" i="25"/>
  <c r="DN34" i="25"/>
  <c r="DK34" i="25"/>
  <c r="DH34" i="25"/>
  <c r="DE34" i="25"/>
  <c r="DB34" i="25"/>
  <c r="CY34" i="25"/>
  <c r="CV34" i="25"/>
  <c r="CS34" i="25"/>
  <c r="CP34" i="25"/>
  <c r="CM34" i="25"/>
  <c r="CJ34" i="25"/>
  <c r="CG34" i="25"/>
  <c r="CD34" i="25"/>
  <c r="CA34" i="25"/>
  <c r="BX34" i="25"/>
  <c r="BU34" i="25"/>
  <c r="BR34" i="25"/>
  <c r="BO34" i="25"/>
  <c r="BL34" i="25"/>
  <c r="BI34" i="25"/>
  <c r="BF34" i="25"/>
  <c r="BC34" i="25"/>
  <c r="AZ34" i="25"/>
  <c r="AX34" i="25"/>
  <c r="AW34" i="25"/>
  <c r="AU34" i="25"/>
  <c r="AT34" i="25"/>
  <c r="AO34" i="25"/>
  <c r="AQ34" i="25" s="1"/>
  <c r="AL34" i="25"/>
  <c r="EB34" i="25" s="1"/>
  <c r="AI34" i="25"/>
  <c r="AK34" i="25" s="1"/>
  <c r="AH34" i="25"/>
  <c r="AE34" i="25"/>
  <c r="AB34" i="25"/>
  <c r="Y34" i="25"/>
  <c r="V34" i="25"/>
  <c r="S34" i="25"/>
  <c r="EH34" i="25" s="1"/>
  <c r="P34" i="25"/>
  <c r="M34" i="25"/>
  <c r="J34" i="25"/>
  <c r="G34" i="25"/>
  <c r="EL33" i="25"/>
  <c r="EG33" i="25"/>
  <c r="EI33" i="25" s="1"/>
  <c r="DW33" i="25"/>
  <c r="DT33" i="25"/>
  <c r="DQ33" i="25"/>
  <c r="DN33" i="25"/>
  <c r="DK33" i="25"/>
  <c r="DH33" i="25"/>
  <c r="DE33" i="25"/>
  <c r="DB33" i="25"/>
  <c r="CY33" i="25"/>
  <c r="CV33" i="25"/>
  <c r="CS33" i="25"/>
  <c r="CP33" i="25"/>
  <c r="CM33" i="25"/>
  <c r="CJ33" i="25"/>
  <c r="CG33" i="25"/>
  <c r="CD33" i="25"/>
  <c r="CA33" i="25"/>
  <c r="BX33" i="25"/>
  <c r="BU33" i="25"/>
  <c r="BR33" i="25"/>
  <c r="BO33" i="25"/>
  <c r="BL33" i="25"/>
  <c r="BI33" i="25"/>
  <c r="BF33" i="25"/>
  <c r="BC33" i="25"/>
  <c r="AZ33" i="25"/>
  <c r="AX33" i="25"/>
  <c r="EK33" i="25" s="1"/>
  <c r="AW33" i="25"/>
  <c r="AU33" i="25"/>
  <c r="AT33" i="25"/>
  <c r="AO33" i="25"/>
  <c r="AQ33" i="25" s="1"/>
  <c r="AL33" i="25"/>
  <c r="EB33" i="25" s="1"/>
  <c r="AI33" i="25"/>
  <c r="AK33" i="25" s="1"/>
  <c r="AH33" i="25"/>
  <c r="AE33" i="25"/>
  <c r="AB33" i="25"/>
  <c r="Y33" i="25"/>
  <c r="V33" i="25"/>
  <c r="S33" i="25"/>
  <c r="EH33" i="25" s="1"/>
  <c r="P33" i="25"/>
  <c r="M33" i="25"/>
  <c r="J33" i="25"/>
  <c r="G33" i="25"/>
  <c r="EL32" i="25"/>
  <c r="EI32" i="25"/>
  <c r="EG32" i="25"/>
  <c r="DW32" i="25"/>
  <c r="DT32" i="25"/>
  <c r="DQ32" i="25"/>
  <c r="DN32" i="25"/>
  <c r="DK32" i="25"/>
  <c r="DH32" i="25"/>
  <c r="DE32" i="25"/>
  <c r="DB32" i="25"/>
  <c r="CY32" i="25"/>
  <c r="CV32" i="25"/>
  <c r="CS32" i="25"/>
  <c r="CP32" i="25"/>
  <c r="CM32" i="25"/>
  <c r="CJ32" i="25"/>
  <c r="CG32" i="25"/>
  <c r="CD32" i="25"/>
  <c r="CA32" i="25"/>
  <c r="BX32" i="25"/>
  <c r="BU32" i="25"/>
  <c r="BR32" i="25"/>
  <c r="BO32" i="25"/>
  <c r="BL32" i="25"/>
  <c r="BI32" i="25"/>
  <c r="BF32" i="25"/>
  <c r="BC32" i="25"/>
  <c r="AZ32" i="25"/>
  <c r="AX32" i="25"/>
  <c r="EK32" i="25" s="1"/>
  <c r="AW32" i="25"/>
  <c r="AU32" i="25"/>
  <c r="AT32" i="25"/>
  <c r="AO32" i="25"/>
  <c r="AQ32" i="25" s="1"/>
  <c r="AL32" i="25"/>
  <c r="EB32" i="25" s="1"/>
  <c r="AI32" i="25"/>
  <c r="AK32" i="25" s="1"/>
  <c r="AH32" i="25"/>
  <c r="AE32" i="25"/>
  <c r="AB32" i="25"/>
  <c r="Y32" i="25"/>
  <c r="V32" i="25"/>
  <c r="S32" i="25"/>
  <c r="EH32" i="25" s="1"/>
  <c r="P32" i="25"/>
  <c r="M32" i="25"/>
  <c r="J32" i="25"/>
  <c r="G32" i="25"/>
  <c r="EL31" i="25"/>
  <c r="EG31" i="25"/>
  <c r="EI31" i="25" s="1"/>
  <c r="EB31" i="25"/>
  <c r="DW31" i="25"/>
  <c r="DT31" i="25"/>
  <c r="DQ31" i="25"/>
  <c r="DN31" i="25"/>
  <c r="DK31" i="25"/>
  <c r="DH31" i="25"/>
  <c r="DE31" i="25"/>
  <c r="DB31" i="25"/>
  <c r="CY31" i="25"/>
  <c r="CV31" i="25"/>
  <c r="CS31" i="25"/>
  <c r="CP31" i="25"/>
  <c r="CM31" i="25"/>
  <c r="CJ31" i="25"/>
  <c r="CG31" i="25"/>
  <c r="CD31" i="25"/>
  <c r="CA31" i="25"/>
  <c r="BX31" i="25"/>
  <c r="BU31" i="25"/>
  <c r="BR31" i="25"/>
  <c r="BO31" i="25"/>
  <c r="BL31" i="25"/>
  <c r="BI31" i="25"/>
  <c r="BF31" i="25"/>
  <c r="BC31" i="25"/>
  <c r="AZ31" i="25"/>
  <c r="AX31" i="25"/>
  <c r="AW31" i="25"/>
  <c r="AU31" i="25"/>
  <c r="AT31" i="25"/>
  <c r="AO31" i="25"/>
  <c r="EK31" i="25" s="1"/>
  <c r="AL31" i="25"/>
  <c r="AN31" i="25" s="1"/>
  <c r="AI31" i="25"/>
  <c r="AK31" i="25" s="1"/>
  <c r="AH31" i="25"/>
  <c r="AE31" i="25"/>
  <c r="AB31" i="25"/>
  <c r="Y31" i="25"/>
  <c r="V31" i="25"/>
  <c r="S31" i="25"/>
  <c r="EH31" i="25" s="1"/>
  <c r="P31" i="25"/>
  <c r="M31" i="25"/>
  <c r="J31" i="25"/>
  <c r="G31" i="25"/>
  <c r="EL30" i="25"/>
  <c r="EK30" i="25"/>
  <c r="EG30" i="25"/>
  <c r="EI30" i="25" s="1"/>
  <c r="DW30" i="25"/>
  <c r="DT30" i="25"/>
  <c r="EM30" i="25" s="1"/>
  <c r="EN30" i="25" s="1"/>
  <c r="DQ30" i="25"/>
  <c r="DN30" i="25"/>
  <c r="DK30" i="25"/>
  <c r="DH30" i="25"/>
  <c r="DE30" i="25"/>
  <c r="DB30" i="25"/>
  <c r="CY30" i="25"/>
  <c r="CV30" i="25"/>
  <c r="CS30" i="25"/>
  <c r="CP30" i="25"/>
  <c r="CM30" i="25"/>
  <c r="CJ30" i="25"/>
  <c r="CG30" i="25"/>
  <c r="CD30" i="25"/>
  <c r="CA30" i="25"/>
  <c r="BX30" i="25"/>
  <c r="BU30" i="25"/>
  <c r="BR30" i="25"/>
  <c r="BO30" i="25"/>
  <c r="BL30" i="25"/>
  <c r="BI30" i="25"/>
  <c r="BF30" i="25"/>
  <c r="BC30" i="25"/>
  <c r="AZ30" i="25"/>
  <c r="AX30" i="25"/>
  <c r="AW30" i="25"/>
  <c r="AU30" i="25"/>
  <c r="AT30" i="25"/>
  <c r="AO30" i="25"/>
  <c r="AQ30" i="25" s="1"/>
  <c r="AN30" i="25"/>
  <c r="AL30" i="25"/>
  <c r="EB30" i="25" s="1"/>
  <c r="AK30" i="25"/>
  <c r="AH30" i="25"/>
  <c r="AE30" i="25"/>
  <c r="AB30" i="25"/>
  <c r="ED30" i="25" s="1"/>
  <c r="Y30" i="25"/>
  <c r="V30" i="25"/>
  <c r="S30" i="25"/>
  <c r="EH30" i="25" s="1"/>
  <c r="P30" i="25"/>
  <c r="M30" i="25"/>
  <c r="J30" i="25"/>
  <c r="G30" i="25"/>
  <c r="EL29" i="25"/>
  <c r="EG29" i="25"/>
  <c r="EI29" i="25" s="1"/>
  <c r="DW29" i="25"/>
  <c r="DT29" i="25"/>
  <c r="DQ29" i="25"/>
  <c r="DN29" i="25"/>
  <c r="DK29" i="25"/>
  <c r="DH29" i="25"/>
  <c r="DE29" i="25"/>
  <c r="DB29" i="25"/>
  <c r="CY29" i="25"/>
  <c r="CV29" i="25"/>
  <c r="CS29" i="25"/>
  <c r="CP29" i="25"/>
  <c r="CM29" i="25"/>
  <c r="CJ29" i="25"/>
  <c r="CG29" i="25"/>
  <c r="CD29" i="25"/>
  <c r="CA29" i="25"/>
  <c r="BX29" i="25"/>
  <c r="BU29" i="25"/>
  <c r="BR29" i="25"/>
  <c r="BO29" i="25"/>
  <c r="BL29" i="25"/>
  <c r="BI29" i="25"/>
  <c r="BF29" i="25"/>
  <c r="BC29" i="25"/>
  <c r="AX29" i="25"/>
  <c r="EK29" i="25" s="1"/>
  <c r="AU29" i="25"/>
  <c r="EB29" i="25" s="1"/>
  <c r="AR29" i="25"/>
  <c r="AT29" i="25" s="1"/>
  <c r="AQ29" i="25"/>
  <c r="AO29" i="25"/>
  <c r="AL29" i="25"/>
  <c r="AN29" i="25" s="1"/>
  <c r="AK29" i="25"/>
  <c r="AH29" i="25"/>
  <c r="AE29" i="25"/>
  <c r="AB29" i="25"/>
  <c r="Y29" i="25"/>
  <c r="V29" i="25"/>
  <c r="EH29" i="25" s="1"/>
  <c r="S29" i="25"/>
  <c r="P29" i="25"/>
  <c r="M29" i="25"/>
  <c r="J29" i="25"/>
  <c r="G29" i="25"/>
  <c r="EL28" i="25"/>
  <c r="EH28" i="25"/>
  <c r="EG28" i="25"/>
  <c r="EI28" i="25" s="1"/>
  <c r="DW28" i="25"/>
  <c r="DT28" i="25"/>
  <c r="DQ28" i="25"/>
  <c r="DN28" i="25"/>
  <c r="DK28" i="25"/>
  <c r="DH28" i="25"/>
  <c r="DE28" i="25"/>
  <c r="DB28" i="25"/>
  <c r="CY28" i="25"/>
  <c r="CV28" i="25"/>
  <c r="CS28" i="25"/>
  <c r="CP28" i="25"/>
  <c r="CM28" i="25"/>
  <c r="CJ28" i="25"/>
  <c r="CG28" i="25"/>
  <c r="CD28" i="25"/>
  <c r="CA28" i="25"/>
  <c r="BX28" i="25"/>
  <c r="BU28" i="25"/>
  <c r="BR28" i="25"/>
  <c r="BO28" i="25"/>
  <c r="BL28" i="25"/>
  <c r="BI28" i="25"/>
  <c r="BF28" i="25"/>
  <c r="BC28" i="25"/>
  <c r="AX28" i="25"/>
  <c r="EK28" i="25" s="1"/>
  <c r="AU28" i="25"/>
  <c r="AW28" i="25" s="1"/>
  <c r="AT28" i="25"/>
  <c r="AR28" i="25"/>
  <c r="AO28" i="25"/>
  <c r="AQ28" i="25" s="1"/>
  <c r="AL28" i="25"/>
  <c r="EB28" i="25" s="1"/>
  <c r="AK28" i="25"/>
  <c r="AH28" i="25"/>
  <c r="AE28" i="25"/>
  <c r="AB28" i="25"/>
  <c r="Y28" i="25"/>
  <c r="V28" i="25"/>
  <c r="S28" i="25"/>
  <c r="P28" i="25"/>
  <c r="M28" i="25"/>
  <c r="J28" i="25"/>
  <c r="G28" i="25"/>
  <c r="EL27" i="25"/>
  <c r="EG27" i="25"/>
  <c r="EI27" i="25" s="1"/>
  <c r="DW27" i="25"/>
  <c r="DT27" i="25"/>
  <c r="DQ27" i="25"/>
  <c r="DN27" i="25"/>
  <c r="DK27" i="25"/>
  <c r="DH27" i="25"/>
  <c r="DE27" i="25"/>
  <c r="DB27" i="25"/>
  <c r="CY27" i="25"/>
  <c r="CV27" i="25"/>
  <c r="CS27" i="25"/>
  <c r="CP27" i="25"/>
  <c r="CM27" i="25"/>
  <c r="CJ27" i="25"/>
  <c r="CG27" i="25"/>
  <c r="CD27" i="25"/>
  <c r="CA27" i="25"/>
  <c r="BX27" i="25"/>
  <c r="BU27" i="25"/>
  <c r="BR27" i="25"/>
  <c r="BO27" i="25"/>
  <c r="BL27" i="25"/>
  <c r="BI27" i="25"/>
  <c r="BF27" i="25"/>
  <c r="BC27" i="25"/>
  <c r="AX27" i="25"/>
  <c r="AZ27" i="25" s="1"/>
  <c r="AW27" i="25"/>
  <c r="AU27" i="25"/>
  <c r="AR27" i="25"/>
  <c r="AT27" i="25" s="1"/>
  <c r="AO27" i="25"/>
  <c r="EK27" i="25" s="1"/>
  <c r="AL27" i="25"/>
  <c r="AN27" i="25" s="1"/>
  <c r="AK27" i="25"/>
  <c r="AH27" i="25"/>
  <c r="AE27" i="25"/>
  <c r="AB27" i="25"/>
  <c r="Y27" i="25"/>
  <c r="V27" i="25"/>
  <c r="EH27" i="25" s="1"/>
  <c r="S27" i="25"/>
  <c r="P27" i="25"/>
  <c r="M27" i="25"/>
  <c r="J27" i="25"/>
  <c r="G27" i="25"/>
  <c r="EL26" i="25"/>
  <c r="EI26" i="25"/>
  <c r="EG26" i="25"/>
  <c r="DW26" i="25"/>
  <c r="DT26" i="25"/>
  <c r="DQ26" i="25"/>
  <c r="DN26" i="25"/>
  <c r="DK26" i="25"/>
  <c r="DH26" i="25"/>
  <c r="DE26" i="25"/>
  <c r="DB26" i="25"/>
  <c r="CY26" i="25"/>
  <c r="CV26" i="25"/>
  <c r="CS26" i="25"/>
  <c r="CP26" i="25"/>
  <c r="CM26" i="25"/>
  <c r="CJ26" i="25"/>
  <c r="CG26" i="25"/>
  <c r="CD26" i="25"/>
  <c r="CA26" i="25"/>
  <c r="BX26" i="25"/>
  <c r="BU26" i="25"/>
  <c r="BR26" i="25"/>
  <c r="BO26" i="25"/>
  <c r="BL26" i="25"/>
  <c r="BI26" i="25"/>
  <c r="BF26" i="25"/>
  <c r="BC26" i="25"/>
  <c r="AZ26" i="25"/>
  <c r="AX26" i="25"/>
  <c r="EK26" i="25" s="1"/>
  <c r="AU26" i="25"/>
  <c r="AW26" i="25" s="1"/>
  <c r="AR26" i="25"/>
  <c r="AT26" i="25" s="1"/>
  <c r="AO26" i="25"/>
  <c r="AQ26" i="25" s="1"/>
  <c r="AN26" i="25"/>
  <c r="AL26" i="25"/>
  <c r="EB26" i="25" s="1"/>
  <c r="AK26" i="25"/>
  <c r="AH26" i="25"/>
  <c r="AE26" i="25"/>
  <c r="AB26" i="25"/>
  <c r="Y26" i="25"/>
  <c r="V26" i="25"/>
  <c r="S26" i="25"/>
  <c r="EH26" i="25" s="1"/>
  <c r="P26" i="25"/>
  <c r="M26" i="25"/>
  <c r="J26" i="25"/>
  <c r="G26" i="25"/>
  <c r="EL25" i="25"/>
  <c r="EG25" i="25"/>
  <c r="EI25" i="25" s="1"/>
  <c r="DW25" i="25"/>
  <c r="DT25" i="25"/>
  <c r="DQ25" i="25"/>
  <c r="DN25" i="25"/>
  <c r="DK25" i="25"/>
  <c r="DH25" i="25"/>
  <c r="DE25" i="25"/>
  <c r="DB25" i="25"/>
  <c r="CY25" i="25"/>
  <c r="CV25" i="25"/>
  <c r="CS25" i="25"/>
  <c r="CP25" i="25"/>
  <c r="CM25" i="25"/>
  <c r="CJ25" i="25"/>
  <c r="CG25" i="25"/>
  <c r="CD25" i="25"/>
  <c r="CA25" i="25"/>
  <c r="BX25" i="25"/>
  <c r="BU25" i="25"/>
  <c r="BR25" i="25"/>
  <c r="BO25" i="25"/>
  <c r="BL25" i="25"/>
  <c r="BI25" i="25"/>
  <c r="BF25" i="25"/>
  <c r="BC25" i="25"/>
  <c r="AX25" i="25"/>
  <c r="EK25" i="25" s="1"/>
  <c r="AU25" i="25"/>
  <c r="EB25" i="25" s="1"/>
  <c r="AR25" i="25"/>
  <c r="AT25" i="25" s="1"/>
  <c r="AQ25" i="25"/>
  <c r="AO25" i="25"/>
  <c r="AL25" i="25"/>
  <c r="AN25" i="25" s="1"/>
  <c r="AK25" i="25"/>
  <c r="AH25" i="25"/>
  <c r="AE25" i="25"/>
  <c r="AB25" i="25"/>
  <c r="Y25" i="25"/>
  <c r="V25" i="25"/>
  <c r="EH25" i="25" s="1"/>
  <c r="S25" i="25"/>
  <c r="P25" i="25"/>
  <c r="M25" i="25"/>
  <c r="J25" i="25"/>
  <c r="G25" i="25"/>
  <c r="EL24" i="25"/>
  <c r="EH24" i="25"/>
  <c r="EG24" i="25"/>
  <c r="EI24" i="25" s="1"/>
  <c r="DW24" i="25"/>
  <c r="DT24" i="25"/>
  <c r="DQ24" i="25"/>
  <c r="DN24" i="25"/>
  <c r="DK24" i="25"/>
  <c r="DH24" i="25"/>
  <c r="DE24" i="25"/>
  <c r="DB24" i="25"/>
  <c r="CY24" i="25"/>
  <c r="CV24" i="25"/>
  <c r="CS24" i="25"/>
  <c r="CP24" i="25"/>
  <c r="CM24" i="25"/>
  <c r="CJ24" i="25"/>
  <c r="CG24" i="25"/>
  <c r="CD24" i="25"/>
  <c r="CA24" i="25"/>
  <c r="BX24" i="25"/>
  <c r="BU24" i="25"/>
  <c r="BR24" i="25"/>
  <c r="BO24" i="25"/>
  <c r="BL24" i="25"/>
  <c r="BI24" i="25"/>
  <c r="BF24" i="25"/>
  <c r="BC24" i="25"/>
  <c r="AX24" i="25"/>
  <c r="EK24" i="25" s="1"/>
  <c r="AU24" i="25"/>
  <c r="AW24" i="25" s="1"/>
  <c r="AT24" i="25"/>
  <c r="AR24" i="25"/>
  <c r="AO24" i="25"/>
  <c r="AQ24" i="25" s="1"/>
  <c r="AL24" i="25"/>
  <c r="EB24" i="25" s="1"/>
  <c r="AK24" i="25"/>
  <c r="AH24" i="25"/>
  <c r="AE24" i="25"/>
  <c r="AB24" i="25"/>
  <c r="Y24" i="25"/>
  <c r="V24" i="25"/>
  <c r="S24" i="25"/>
  <c r="P24" i="25"/>
  <c r="M24" i="25"/>
  <c r="J24" i="25"/>
  <c r="G24" i="25"/>
  <c r="EL23" i="25"/>
  <c r="EK23" i="25"/>
  <c r="EG23" i="25"/>
  <c r="EI23" i="25" s="1"/>
  <c r="DW23" i="25"/>
  <c r="DT23" i="25"/>
  <c r="DQ23" i="25"/>
  <c r="DN23" i="25"/>
  <c r="DK23" i="25"/>
  <c r="DH23" i="25"/>
  <c r="DE23" i="25"/>
  <c r="DB23" i="25"/>
  <c r="CY23" i="25"/>
  <c r="CV23" i="25"/>
  <c r="CS23" i="25"/>
  <c r="CP23" i="25"/>
  <c r="CM23" i="25"/>
  <c r="CJ23" i="25"/>
  <c r="CG23" i="25"/>
  <c r="CD23" i="25"/>
  <c r="CA23" i="25"/>
  <c r="BX23" i="25"/>
  <c r="BU23" i="25"/>
  <c r="BR23" i="25"/>
  <c r="BO23" i="25"/>
  <c r="BL23" i="25"/>
  <c r="BI23" i="25"/>
  <c r="BF23" i="25"/>
  <c r="BC23" i="25"/>
  <c r="AX23" i="25"/>
  <c r="AZ23" i="25" s="1"/>
  <c r="AW23" i="25"/>
  <c r="AU23" i="25"/>
  <c r="AR23" i="25"/>
  <c r="AT23" i="25" s="1"/>
  <c r="AO23" i="25"/>
  <c r="AQ23" i="25" s="1"/>
  <c r="AL23" i="25"/>
  <c r="AN23" i="25" s="1"/>
  <c r="AK23" i="25"/>
  <c r="AI23" i="25"/>
  <c r="AH23" i="25"/>
  <c r="AE23" i="25"/>
  <c r="AB23" i="25"/>
  <c r="Y23" i="25"/>
  <c r="V23" i="25"/>
  <c r="S23" i="25"/>
  <c r="EH23" i="25" s="1"/>
  <c r="P23" i="25"/>
  <c r="M23" i="25"/>
  <c r="J23" i="25"/>
  <c r="G23" i="25"/>
  <c r="EL22" i="25"/>
  <c r="EG22" i="25"/>
  <c r="EI22" i="25" s="1"/>
  <c r="DW22" i="25"/>
  <c r="DT22" i="25"/>
  <c r="DQ22" i="25"/>
  <c r="DN22" i="25"/>
  <c r="DK22" i="25"/>
  <c r="DH22" i="25"/>
  <c r="DE22" i="25"/>
  <c r="DB22" i="25"/>
  <c r="CY22" i="25"/>
  <c r="CV22" i="25"/>
  <c r="CS22" i="25"/>
  <c r="CP22" i="25"/>
  <c r="CM22" i="25"/>
  <c r="CJ22" i="25"/>
  <c r="CG22" i="25"/>
  <c r="CD22" i="25"/>
  <c r="CA22" i="25"/>
  <c r="BX22" i="25"/>
  <c r="BU22" i="25"/>
  <c r="BR22" i="25"/>
  <c r="BO22" i="25"/>
  <c r="BL22" i="25"/>
  <c r="BI22" i="25"/>
  <c r="BF22" i="25"/>
  <c r="BC22" i="25"/>
  <c r="AZ22" i="25"/>
  <c r="AX22" i="25"/>
  <c r="AW22" i="25"/>
  <c r="AU22" i="25"/>
  <c r="AT22" i="25"/>
  <c r="AR22" i="25"/>
  <c r="AO22" i="25"/>
  <c r="EB22" i="25" s="1"/>
  <c r="AN22" i="25"/>
  <c r="AL22" i="25"/>
  <c r="AK22" i="25"/>
  <c r="AI22" i="25"/>
  <c r="AH22" i="25"/>
  <c r="AE22" i="25"/>
  <c r="AB22" i="25"/>
  <c r="Y22" i="25"/>
  <c r="V22" i="25"/>
  <c r="S22" i="25"/>
  <c r="EH22" i="25" s="1"/>
  <c r="P22" i="25"/>
  <c r="M22" i="25"/>
  <c r="J22" i="25"/>
  <c r="G22" i="25"/>
  <c r="EL21" i="25"/>
  <c r="EG21" i="25"/>
  <c r="EI21" i="25" s="1"/>
  <c r="DW21" i="25"/>
  <c r="DT21" i="25"/>
  <c r="DQ21" i="25"/>
  <c r="DN21" i="25"/>
  <c r="DK21" i="25"/>
  <c r="DH21" i="25"/>
  <c r="DE21" i="25"/>
  <c r="DB21" i="25"/>
  <c r="CY21" i="25"/>
  <c r="CV21" i="25"/>
  <c r="CS21" i="25"/>
  <c r="CP21" i="25"/>
  <c r="CM21" i="25"/>
  <c r="CJ21" i="25"/>
  <c r="CG21" i="25"/>
  <c r="CD21" i="25"/>
  <c r="CA21" i="25"/>
  <c r="BX21" i="25"/>
  <c r="BU21" i="25"/>
  <c r="BR21" i="25"/>
  <c r="BO21" i="25"/>
  <c r="BL21" i="25"/>
  <c r="BI21" i="25"/>
  <c r="BF21" i="25"/>
  <c r="BC21" i="25"/>
  <c r="AX21" i="25"/>
  <c r="EK21" i="25" s="1"/>
  <c r="AU21" i="25"/>
  <c r="AW21" i="25" s="1"/>
  <c r="AT21" i="25"/>
  <c r="AR21" i="25"/>
  <c r="AO21" i="25"/>
  <c r="AQ21" i="25" s="1"/>
  <c r="AL21" i="25"/>
  <c r="EB21" i="25" s="1"/>
  <c r="AI21" i="25"/>
  <c r="AK21" i="25" s="1"/>
  <c r="AH21" i="25"/>
  <c r="AE21" i="25"/>
  <c r="AB21" i="25"/>
  <c r="Y21" i="25"/>
  <c r="V21" i="25"/>
  <c r="S21" i="25"/>
  <c r="EH21" i="25" s="1"/>
  <c r="P21" i="25"/>
  <c r="M21" i="25"/>
  <c r="J21" i="25"/>
  <c r="G21" i="25"/>
  <c r="EL20" i="25"/>
  <c r="EG20" i="25"/>
  <c r="EI20" i="25" s="1"/>
  <c r="EB20" i="25"/>
  <c r="DW20" i="25"/>
  <c r="DT20" i="25"/>
  <c r="DQ20" i="25"/>
  <c r="DN20" i="25"/>
  <c r="DK20" i="25"/>
  <c r="DH20" i="25"/>
  <c r="DE20" i="25"/>
  <c r="DB20" i="25"/>
  <c r="CY20" i="25"/>
  <c r="CV20" i="25"/>
  <c r="CS20" i="25"/>
  <c r="CP20" i="25"/>
  <c r="CM20" i="25"/>
  <c r="CJ20" i="25"/>
  <c r="CG20" i="25"/>
  <c r="CD20" i="25"/>
  <c r="CA20" i="25"/>
  <c r="BX20" i="25"/>
  <c r="BU20" i="25"/>
  <c r="BR20" i="25"/>
  <c r="BO20" i="25"/>
  <c r="BL20" i="25"/>
  <c r="BI20" i="25"/>
  <c r="BF20" i="25"/>
  <c r="BC20" i="25"/>
  <c r="AX20" i="25"/>
  <c r="EK20" i="25" s="1"/>
  <c r="AW20" i="25"/>
  <c r="AU20" i="25"/>
  <c r="AT20" i="25"/>
  <c r="AR20" i="25"/>
  <c r="AQ20" i="25"/>
  <c r="AO20" i="25"/>
  <c r="AL20" i="25"/>
  <c r="AN20" i="25" s="1"/>
  <c r="AK20" i="25"/>
  <c r="AI20" i="25"/>
  <c r="AH20" i="25"/>
  <c r="AE20" i="25"/>
  <c r="AB20" i="25"/>
  <c r="Y20" i="25"/>
  <c r="V20" i="25"/>
  <c r="S20" i="25"/>
  <c r="EH20" i="25" s="1"/>
  <c r="P20" i="25"/>
  <c r="M20" i="25"/>
  <c r="J20" i="25"/>
  <c r="G20" i="25"/>
  <c r="EL19" i="25"/>
  <c r="EG19" i="25"/>
  <c r="EI19" i="25" s="1"/>
  <c r="DW19" i="25"/>
  <c r="DT19" i="25"/>
  <c r="DQ19" i="25"/>
  <c r="DN19" i="25"/>
  <c r="DK19" i="25"/>
  <c r="DH19" i="25"/>
  <c r="DE19" i="25"/>
  <c r="DB19" i="25"/>
  <c r="CY19" i="25"/>
  <c r="CV19" i="25"/>
  <c r="CS19" i="25"/>
  <c r="CP19" i="25"/>
  <c r="CM19" i="25"/>
  <c r="CJ19" i="25"/>
  <c r="CG19" i="25"/>
  <c r="CD19" i="25"/>
  <c r="CA19" i="25"/>
  <c r="BX19" i="25"/>
  <c r="BU19" i="25"/>
  <c r="BR19" i="25"/>
  <c r="BO19" i="25"/>
  <c r="BL19" i="25"/>
  <c r="BI19" i="25"/>
  <c r="BF19" i="25"/>
  <c r="BC19" i="25"/>
  <c r="BA19" i="25"/>
  <c r="AZ19" i="25"/>
  <c r="AX19" i="25"/>
  <c r="AW19" i="25"/>
  <c r="AR19" i="25"/>
  <c r="AT19" i="25" s="1"/>
  <c r="AQ19" i="25"/>
  <c r="AO19" i="25"/>
  <c r="EK19" i="25" s="1"/>
  <c r="AL19" i="25"/>
  <c r="EB19" i="25" s="1"/>
  <c r="AI19" i="25"/>
  <c r="AK19" i="25" s="1"/>
  <c r="AH19" i="25"/>
  <c r="AE19" i="25"/>
  <c r="AB19" i="25"/>
  <c r="Y19" i="25"/>
  <c r="V19" i="25"/>
  <c r="S19" i="25"/>
  <c r="EH19" i="25" s="1"/>
  <c r="P19" i="25"/>
  <c r="M19" i="25"/>
  <c r="J19" i="25"/>
  <c r="G19" i="25"/>
  <c r="EL18" i="25"/>
  <c r="EI18" i="25"/>
  <c r="EG18" i="25"/>
  <c r="DW18" i="25"/>
  <c r="DT18" i="25"/>
  <c r="DQ18" i="25"/>
  <c r="DN18" i="25"/>
  <c r="DK18" i="25"/>
  <c r="DH18" i="25"/>
  <c r="DE18" i="25"/>
  <c r="DB18" i="25"/>
  <c r="CY18" i="25"/>
  <c r="CV18" i="25"/>
  <c r="CS18" i="25"/>
  <c r="CP18" i="25"/>
  <c r="CM18" i="25"/>
  <c r="CJ18" i="25"/>
  <c r="CG18" i="25"/>
  <c r="CD18" i="25"/>
  <c r="CA18" i="25"/>
  <c r="BX18" i="25"/>
  <c r="BU18" i="25"/>
  <c r="BR18" i="25"/>
  <c r="BO18" i="25"/>
  <c r="BL18" i="25"/>
  <c r="BI18" i="25"/>
  <c r="BF18" i="25"/>
  <c r="BA18" i="25"/>
  <c r="EB18" i="25" s="1"/>
  <c r="AX18" i="25"/>
  <c r="AZ18" i="25" s="1"/>
  <c r="AW18" i="25"/>
  <c r="AT18" i="25"/>
  <c r="AR18" i="25"/>
  <c r="AQ18" i="25"/>
  <c r="AO18" i="25"/>
  <c r="AN18" i="25"/>
  <c r="AL18" i="25"/>
  <c r="AI18" i="25"/>
  <c r="AK18" i="25" s="1"/>
  <c r="AH18" i="25"/>
  <c r="AE18" i="25"/>
  <c r="AB18" i="25"/>
  <c r="Y18" i="25"/>
  <c r="V18" i="25"/>
  <c r="S18" i="25"/>
  <c r="EH18" i="25" s="1"/>
  <c r="P18" i="25"/>
  <c r="M18" i="25"/>
  <c r="J18" i="25"/>
  <c r="G18" i="25"/>
  <c r="EL17" i="25"/>
  <c r="EI17" i="25"/>
  <c r="EG17" i="25"/>
  <c r="DW17" i="25"/>
  <c r="DT17" i="25"/>
  <c r="DQ17" i="25"/>
  <c r="DN17" i="25"/>
  <c r="DK17" i="25"/>
  <c r="DH17" i="25"/>
  <c r="DE17" i="25"/>
  <c r="DB17" i="25"/>
  <c r="CY17" i="25"/>
  <c r="CV17" i="25"/>
  <c r="CS17" i="25"/>
  <c r="CP17" i="25"/>
  <c r="CM17" i="25"/>
  <c r="CJ17" i="25"/>
  <c r="CG17" i="25"/>
  <c r="CD17" i="25"/>
  <c r="CA17" i="25"/>
  <c r="BX17" i="25"/>
  <c r="BU17" i="25"/>
  <c r="BR17" i="25"/>
  <c r="BO17" i="25"/>
  <c r="BL17" i="25"/>
  <c r="BI17" i="25"/>
  <c r="BF17" i="25"/>
  <c r="BA17" i="25"/>
  <c r="EK17" i="25" s="1"/>
  <c r="AZ17" i="25"/>
  <c r="AX17" i="25"/>
  <c r="AW17" i="25"/>
  <c r="AR17" i="25"/>
  <c r="AT17" i="25" s="1"/>
  <c r="AO17" i="25"/>
  <c r="AQ17" i="25" s="1"/>
  <c r="AL17" i="25"/>
  <c r="EB17" i="25" s="1"/>
  <c r="AI17" i="25"/>
  <c r="AK17" i="25" s="1"/>
  <c r="AH17" i="25"/>
  <c r="AE17" i="25"/>
  <c r="AB17" i="25"/>
  <c r="Y17" i="25"/>
  <c r="V17" i="25"/>
  <c r="S17" i="25"/>
  <c r="EH17" i="25" s="1"/>
  <c r="P17" i="25"/>
  <c r="M17" i="25"/>
  <c r="J17" i="25"/>
  <c r="G17" i="25"/>
  <c r="EL16" i="25"/>
  <c r="EG16" i="25"/>
  <c r="DW16" i="25"/>
  <c r="DT16" i="25"/>
  <c r="DQ16" i="25"/>
  <c r="DN16" i="25"/>
  <c r="DK16" i="25"/>
  <c r="DH16" i="25"/>
  <c r="DE16" i="25"/>
  <c r="DB16" i="25"/>
  <c r="CY16" i="25"/>
  <c r="CV16" i="25"/>
  <c r="CS16" i="25"/>
  <c r="CP16" i="25"/>
  <c r="CM16" i="25"/>
  <c r="CJ16" i="25"/>
  <c r="CG16" i="25"/>
  <c r="CD16" i="25"/>
  <c r="CA16" i="25"/>
  <c r="BX16" i="25"/>
  <c r="BU16" i="25"/>
  <c r="BR16" i="25"/>
  <c r="BO16" i="25"/>
  <c r="BL16" i="25"/>
  <c r="BI16" i="25"/>
  <c r="BF16" i="25"/>
  <c r="BA16" i="25"/>
  <c r="EK16" i="25" s="1"/>
  <c r="AX16" i="25"/>
  <c r="AZ16" i="25" s="1"/>
  <c r="AU16" i="25"/>
  <c r="AW16" i="25" s="1"/>
  <c r="AR16" i="25"/>
  <c r="AT16" i="25" s="1"/>
  <c r="AO16" i="25"/>
  <c r="AQ16" i="25" s="1"/>
  <c r="AL16" i="25"/>
  <c r="AI16" i="25"/>
  <c r="AK16" i="25" s="1"/>
  <c r="AH16" i="25"/>
  <c r="AE16" i="25"/>
  <c r="AB16" i="25"/>
  <c r="Y16" i="25"/>
  <c r="V16" i="25"/>
  <c r="S16" i="25"/>
  <c r="EH16" i="25" s="1"/>
  <c r="P16" i="25"/>
  <c r="M16" i="25"/>
  <c r="J16" i="25"/>
  <c r="G16" i="25"/>
  <c r="EL15" i="25"/>
  <c r="EG15" i="25"/>
  <c r="EI15" i="25" s="1"/>
  <c r="EB15" i="25"/>
  <c r="DW15" i="25"/>
  <c r="DT15" i="25"/>
  <c r="DQ15" i="25"/>
  <c r="DN15" i="25"/>
  <c r="DK15" i="25"/>
  <c r="DH15" i="25"/>
  <c r="DE15" i="25"/>
  <c r="DB15" i="25"/>
  <c r="CY15" i="25"/>
  <c r="CV15" i="25"/>
  <c r="CS15" i="25"/>
  <c r="CP15" i="25"/>
  <c r="CM15" i="25"/>
  <c r="CJ15" i="25"/>
  <c r="CG15" i="25"/>
  <c r="CD15" i="25"/>
  <c r="CA15" i="25"/>
  <c r="BX15" i="25"/>
  <c r="BU15" i="25"/>
  <c r="BR15" i="25"/>
  <c r="BO15" i="25"/>
  <c r="BL15" i="25"/>
  <c r="BI15" i="25"/>
  <c r="BF15" i="25"/>
  <c r="BA15" i="25"/>
  <c r="EK15" i="25" s="1"/>
  <c r="AZ15" i="25"/>
  <c r="AW15" i="25"/>
  <c r="AU15" i="25"/>
  <c r="AT15" i="25"/>
  <c r="AR15" i="25"/>
  <c r="AQ15" i="25"/>
  <c r="AO15" i="25"/>
  <c r="AL15" i="25"/>
  <c r="AN15" i="25" s="1"/>
  <c r="AK15" i="25"/>
  <c r="AI15" i="25"/>
  <c r="AH15" i="25"/>
  <c r="AE15" i="25"/>
  <c r="AB15" i="25"/>
  <c r="Y15" i="25"/>
  <c r="V15" i="25"/>
  <c r="S15" i="25"/>
  <c r="EH15" i="25" s="1"/>
  <c r="P15" i="25"/>
  <c r="M15" i="25"/>
  <c r="J15" i="25"/>
  <c r="G15" i="25"/>
  <c r="EL14" i="25"/>
  <c r="EG14" i="25"/>
  <c r="EI14" i="25" s="1"/>
  <c r="DW14" i="25"/>
  <c r="DT14" i="25"/>
  <c r="DQ14" i="25"/>
  <c r="DN14" i="25"/>
  <c r="DK14" i="25"/>
  <c r="DK40" i="25" s="1"/>
  <c r="DH14" i="25"/>
  <c r="DE14" i="25"/>
  <c r="DB14" i="25"/>
  <c r="CY14" i="25"/>
  <c r="CV14" i="25"/>
  <c r="CS14" i="25"/>
  <c r="CP14" i="25"/>
  <c r="CM14" i="25"/>
  <c r="CM40" i="25" s="1"/>
  <c r="CJ14" i="25"/>
  <c r="CG14" i="25"/>
  <c r="CD14" i="25"/>
  <c r="CA14" i="25"/>
  <c r="BX14" i="25"/>
  <c r="BU14" i="25"/>
  <c r="BR14" i="25"/>
  <c r="BO14" i="25"/>
  <c r="BO40" i="25" s="1"/>
  <c r="BL14" i="25"/>
  <c r="BI14" i="25"/>
  <c r="BF14" i="25"/>
  <c r="BC14" i="25"/>
  <c r="BA14" i="25"/>
  <c r="AZ14" i="25"/>
  <c r="AU14" i="25"/>
  <c r="AR14" i="25"/>
  <c r="AT14" i="25" s="1"/>
  <c r="AO14" i="25"/>
  <c r="AQ14" i="25" s="1"/>
  <c r="AL14" i="25"/>
  <c r="AI14" i="25"/>
  <c r="AK14" i="25" s="1"/>
  <c r="AH14" i="25"/>
  <c r="AE14" i="25"/>
  <c r="AB14" i="25"/>
  <c r="Y14" i="25"/>
  <c r="V14" i="25"/>
  <c r="S14" i="25"/>
  <c r="EH14" i="25" s="1"/>
  <c r="P14" i="25"/>
  <c r="M14" i="25"/>
  <c r="J14" i="25"/>
  <c r="G14" i="25"/>
  <c r="EL13" i="25"/>
  <c r="EI13" i="25"/>
  <c r="EG13" i="25"/>
  <c r="DW13" i="25"/>
  <c r="DT13" i="25"/>
  <c r="DQ13" i="25"/>
  <c r="DN13" i="25"/>
  <c r="DK13" i="25"/>
  <c r="DH13" i="25"/>
  <c r="DE13" i="25"/>
  <c r="DB13" i="25"/>
  <c r="CY13" i="25"/>
  <c r="CV13" i="25"/>
  <c r="CS13" i="25"/>
  <c r="CP13" i="25"/>
  <c r="CM13" i="25"/>
  <c r="CJ13" i="25"/>
  <c r="CG13" i="25"/>
  <c r="CD13" i="25"/>
  <c r="CA13" i="25"/>
  <c r="BX13" i="25"/>
  <c r="BU13" i="25"/>
  <c r="BR13" i="25"/>
  <c r="BO13" i="25"/>
  <c r="BL13" i="25"/>
  <c r="BI13" i="25"/>
  <c r="BF13" i="25"/>
  <c r="BA13" i="25"/>
  <c r="AZ13" i="25"/>
  <c r="AW13" i="25"/>
  <c r="AU13" i="25"/>
  <c r="AT13" i="25"/>
  <c r="AR13" i="25"/>
  <c r="AQ13" i="25"/>
  <c r="AO13" i="25"/>
  <c r="AN13" i="25"/>
  <c r="AL13" i="25"/>
  <c r="AK13" i="25"/>
  <c r="AH13" i="25"/>
  <c r="AE13" i="25"/>
  <c r="AB13" i="25"/>
  <c r="Y13" i="25"/>
  <c r="V13" i="25"/>
  <c r="S13" i="25"/>
  <c r="EH13" i="25" s="1"/>
  <c r="P13" i="25"/>
  <c r="M13" i="25"/>
  <c r="J13" i="25"/>
  <c r="G13" i="25"/>
  <c r="EL12" i="25"/>
  <c r="EG12" i="25"/>
  <c r="EI12" i="25" s="1"/>
  <c r="EB12" i="25"/>
  <c r="DW12" i="25"/>
  <c r="DT12" i="25"/>
  <c r="DQ12" i="25"/>
  <c r="DN12" i="25"/>
  <c r="DK12" i="25"/>
  <c r="DH12" i="25"/>
  <c r="DE12" i="25"/>
  <c r="DB12" i="25"/>
  <c r="CY12" i="25"/>
  <c r="CV12" i="25"/>
  <c r="CS12" i="25"/>
  <c r="CP12" i="25"/>
  <c r="CM12" i="25"/>
  <c r="CJ12" i="25"/>
  <c r="CG12" i="25"/>
  <c r="CD12" i="25"/>
  <c r="CA12" i="25"/>
  <c r="BX12" i="25"/>
  <c r="BU12" i="25"/>
  <c r="BR12" i="25"/>
  <c r="BO12" i="25"/>
  <c r="BL12" i="25"/>
  <c r="BI12" i="25"/>
  <c r="BF12" i="25"/>
  <c r="BA12" i="25"/>
  <c r="EK12" i="25" s="1"/>
  <c r="AX12" i="25"/>
  <c r="AZ12" i="25" s="1"/>
  <c r="AU12" i="25"/>
  <c r="AW12" i="25" s="1"/>
  <c r="AR12" i="25"/>
  <c r="AT12" i="25" s="1"/>
  <c r="AO12" i="25"/>
  <c r="AQ12" i="25" s="1"/>
  <c r="AN12" i="25"/>
  <c r="AK12" i="25"/>
  <c r="AH12" i="25"/>
  <c r="AE12" i="25"/>
  <c r="AB12" i="25"/>
  <c r="Y12" i="25"/>
  <c r="V12" i="25"/>
  <c r="S12" i="25"/>
  <c r="P12" i="25"/>
  <c r="M12" i="25"/>
  <c r="J12" i="25"/>
  <c r="G12" i="25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EL11" i="25"/>
  <c r="EI11" i="25"/>
  <c r="EG11" i="25"/>
  <c r="DW11" i="25"/>
  <c r="DW40" i="25" s="1"/>
  <c r="DT11" i="25"/>
  <c r="DQ11" i="25"/>
  <c r="DQ40" i="25" s="1"/>
  <c r="DN11" i="25"/>
  <c r="DN40" i="25" s="1"/>
  <c r="DK11" i="25"/>
  <c r="DH11" i="25"/>
  <c r="DH40" i="25" s="1"/>
  <c r="DE11" i="25"/>
  <c r="DE40" i="25" s="1"/>
  <c r="DB11" i="25"/>
  <c r="CY11" i="25"/>
  <c r="CY40" i="25" s="1"/>
  <c r="CV11" i="25"/>
  <c r="CV40" i="25" s="1"/>
  <c r="CS11" i="25"/>
  <c r="CS40" i="25" s="1"/>
  <c r="CP11" i="25"/>
  <c r="CP40" i="25" s="1"/>
  <c r="CM11" i="25"/>
  <c r="CJ11" i="25"/>
  <c r="CJ40" i="25" s="1"/>
  <c r="CG11" i="25"/>
  <c r="CG40" i="25" s="1"/>
  <c r="CD11" i="25"/>
  <c r="CA11" i="25"/>
  <c r="CA40" i="25" s="1"/>
  <c r="BX11" i="25"/>
  <c r="BX40" i="25" s="1"/>
  <c r="BU11" i="25"/>
  <c r="BU40" i="25" s="1"/>
  <c r="BR11" i="25"/>
  <c r="BR40" i="25" s="1"/>
  <c r="BO11" i="25"/>
  <c r="BL11" i="25"/>
  <c r="BL40" i="25" s="1"/>
  <c r="BI11" i="25"/>
  <c r="BI40" i="25" s="1"/>
  <c r="BF11" i="25"/>
  <c r="BA11" i="25"/>
  <c r="AX11" i="25"/>
  <c r="AZ11" i="25" s="1"/>
  <c r="AU11" i="25"/>
  <c r="AW11" i="25" s="1"/>
  <c r="AR11" i="25"/>
  <c r="AT11" i="25" s="1"/>
  <c r="AT40" i="25" s="1"/>
  <c r="AO11" i="25"/>
  <c r="AN11" i="25"/>
  <c r="AK11" i="25"/>
  <c r="AH11" i="25"/>
  <c r="AH40" i="25" s="1"/>
  <c r="AE11" i="25"/>
  <c r="AE40" i="25" s="1"/>
  <c r="AB11" i="25"/>
  <c r="AB40" i="25" s="1"/>
  <c r="Y11" i="25"/>
  <c r="V11" i="25"/>
  <c r="V40" i="25" s="1"/>
  <c r="S11" i="25"/>
  <c r="P11" i="25"/>
  <c r="P40" i="25" s="1"/>
  <c r="M11" i="25"/>
  <c r="J11" i="25"/>
  <c r="J40" i="25" s="1"/>
  <c r="G11" i="25"/>
  <c r="G40" i="25" s="1"/>
  <c r="EN2" i="25"/>
  <c r="EP2" i="25" s="1"/>
  <c r="EI2" i="25"/>
  <c r="EC17" i="25" l="1"/>
  <c r="ED21" i="25"/>
  <c r="EE21" i="25" s="1"/>
  <c r="EC30" i="25"/>
  <c r="EE30" i="25"/>
  <c r="EK11" i="25"/>
  <c r="EE12" i="25"/>
  <c r="EC12" i="25"/>
  <c r="EC37" i="25"/>
  <c r="ED39" i="25"/>
  <c r="ED12" i="25"/>
  <c r="EC29" i="25"/>
  <c r="BF40" i="25"/>
  <c r="CD40" i="25"/>
  <c r="DB40" i="25"/>
  <c r="EK14" i="25"/>
  <c r="EN14" i="25" s="1"/>
  <c r="AW14" i="25"/>
  <c r="ED16" i="25"/>
  <c r="EM19" i="25"/>
  <c r="EC21" i="25"/>
  <c r="EM23" i="25"/>
  <c r="ED26" i="25"/>
  <c r="M40" i="25"/>
  <c r="AK40" i="25"/>
  <c r="EM14" i="25"/>
  <c r="EI3" i="25"/>
  <c r="EI4" i="25" s="1"/>
  <c r="EI5" i="25"/>
  <c r="EI16" i="25"/>
  <c r="ED23" i="25"/>
  <c r="EM28" i="25"/>
  <c r="EN28" i="25" s="1"/>
  <c r="EC33" i="25"/>
  <c r="EC36" i="25"/>
  <c r="EM39" i="25"/>
  <c r="EN39" i="25" s="1"/>
  <c r="ED20" i="25"/>
  <c r="EH12" i="25"/>
  <c r="ED14" i="25"/>
  <c r="ED22" i="25"/>
  <c r="EE22" i="25" s="1"/>
  <c r="EB13" i="25"/>
  <c r="EK13" i="25"/>
  <c r="EN13" i="25" s="1"/>
  <c r="BC13" i="25"/>
  <c r="ED13" i="25" s="1"/>
  <c r="EC19" i="25"/>
  <c r="EE20" i="25"/>
  <c r="EC24" i="25"/>
  <c r="EM35" i="25"/>
  <c r="EN35" i="25" s="1"/>
  <c r="EH11" i="25"/>
  <c r="EH40" i="25" s="1"/>
  <c r="EB11" i="25"/>
  <c r="EB16" i="25"/>
  <c r="AN16" i="25"/>
  <c r="EN19" i="25"/>
  <c r="EC25" i="25"/>
  <c r="EC26" i="25"/>
  <c r="EE26" i="25"/>
  <c r="EC32" i="25"/>
  <c r="ED34" i="25"/>
  <c r="EE34" i="25" s="1"/>
  <c r="EM26" i="25"/>
  <c r="EN26" i="25" s="1"/>
  <c r="EM34" i="25"/>
  <c r="EC38" i="25"/>
  <c r="Y40" i="25"/>
  <c r="EM12" i="25"/>
  <c r="EN12" i="25" s="1"/>
  <c r="EM13" i="25"/>
  <c r="EB14" i="25"/>
  <c r="EC15" i="25"/>
  <c r="EM22" i="25"/>
  <c r="EN23" i="25"/>
  <c r="EC28" i="25"/>
  <c r="EB35" i="25"/>
  <c r="EB39" i="25"/>
  <c r="S40" i="25"/>
  <c r="BC18" i="25"/>
  <c r="EM18" i="25" s="1"/>
  <c r="EK18" i="25"/>
  <c r="EC20" i="25"/>
  <c r="AN21" i="25"/>
  <c r="AZ21" i="25"/>
  <c r="EM21" i="25" s="1"/>
  <c r="EN21" i="25" s="1"/>
  <c r="EB23" i="25"/>
  <c r="AN24" i="25"/>
  <c r="ED24" i="25" s="1"/>
  <c r="EE24" i="25" s="1"/>
  <c r="AZ24" i="25"/>
  <c r="AZ40" i="25" s="1"/>
  <c r="AW25" i="25"/>
  <c r="AW40" i="25" s="1"/>
  <c r="AQ27" i="25"/>
  <c r="EM27" i="25" s="1"/>
  <c r="EN27" i="25" s="1"/>
  <c r="EB27" i="25"/>
  <c r="AN28" i="25"/>
  <c r="ED28" i="25" s="1"/>
  <c r="EE28" i="25" s="1"/>
  <c r="AZ28" i="25"/>
  <c r="AW29" i="25"/>
  <c r="AQ31" i="25"/>
  <c r="EM31" i="25" s="1"/>
  <c r="EN31" i="25" s="1"/>
  <c r="EC31" i="25"/>
  <c r="AN32" i="25"/>
  <c r="EM32" i="25" s="1"/>
  <c r="EN32" i="25" s="1"/>
  <c r="AQ35" i="25"/>
  <c r="ED35" i="25" s="1"/>
  <c r="AN36" i="25"/>
  <c r="ED36" i="25" s="1"/>
  <c r="EE36" i="25" s="1"/>
  <c r="AN14" i="25"/>
  <c r="AN40" i="25" s="1"/>
  <c r="BC16" i="25"/>
  <c r="EM16" i="25" s="1"/>
  <c r="EN16" i="25" s="1"/>
  <c r="AN19" i="25"/>
  <c r="ED19" i="25" s="1"/>
  <c r="EE19" i="25" s="1"/>
  <c r="AZ25" i="25"/>
  <c r="EM25" i="25" s="1"/>
  <c r="EN25" i="25" s="1"/>
  <c r="AZ29" i="25"/>
  <c r="ED29" i="25" s="1"/>
  <c r="EE29" i="25" s="1"/>
  <c r="AN33" i="25"/>
  <c r="ED33" i="25" s="1"/>
  <c r="EE33" i="25" s="1"/>
  <c r="AN37" i="25"/>
  <c r="ED37" i="25" s="1"/>
  <c r="EE37" i="25" s="1"/>
  <c r="DT40" i="25"/>
  <c r="AQ11" i="25"/>
  <c r="ED11" i="25" s="1"/>
  <c r="BC11" i="25"/>
  <c r="EM11" i="25" s="1"/>
  <c r="AN17" i="25"/>
  <c r="EK22" i="25"/>
  <c r="EN22" i="25" s="1"/>
  <c r="AN34" i="25"/>
  <c r="EK34" i="25"/>
  <c r="EN34" i="25" s="1"/>
  <c r="AN38" i="25"/>
  <c r="ED38" i="25" s="1"/>
  <c r="EE38" i="25" s="1"/>
  <c r="BC17" i="25"/>
  <c r="EM17" i="25" s="1"/>
  <c r="EN17" i="25" s="1"/>
  <c r="AZ20" i="25"/>
  <c r="EM20" i="25" s="1"/>
  <c r="EN20" i="25" s="1"/>
  <c r="AQ22" i="25"/>
  <c r="BC12" i="25"/>
  <c r="BC15" i="25"/>
  <c r="ED15" i="25" s="1"/>
  <c r="EE15" i="25" s="1"/>
  <c r="ED17" i="25" l="1"/>
  <c r="EE17" i="25" s="1"/>
  <c r="EE23" i="25"/>
  <c r="EC23" i="25"/>
  <c r="EE35" i="25"/>
  <c r="EC35" i="25"/>
  <c r="EE13" i="25"/>
  <c r="EC13" i="25"/>
  <c r="EM36" i="25"/>
  <c r="EN36" i="25" s="1"/>
  <c r="ED18" i="25"/>
  <c r="EE18" i="25" s="1"/>
  <c r="BC40" i="25"/>
  <c r="EM37" i="25"/>
  <c r="EN37" i="25" s="1"/>
  <c r="EE16" i="25"/>
  <c r="EC16" i="25"/>
  <c r="EM29" i="25"/>
  <c r="EN29" i="25" s="1"/>
  <c r="EM33" i="25"/>
  <c r="EN33" i="25" s="1"/>
  <c r="ED27" i="25"/>
  <c r="EE2" i="25"/>
  <c r="EQ2" i="25" s="1"/>
  <c r="G4" i="25" s="1"/>
  <c r="EE39" i="25"/>
  <c r="EC39" i="25"/>
  <c r="ED25" i="25"/>
  <c r="EE25" i="25" s="1"/>
  <c r="EC22" i="25"/>
  <c r="AQ40" i="25"/>
  <c r="EM15" i="25"/>
  <c r="EN15" i="25" s="1"/>
  <c r="ED31" i="25"/>
  <c r="EE31" i="25" s="1"/>
  <c r="EM24" i="25"/>
  <c r="EN24" i="25" s="1"/>
  <c r="EE27" i="25"/>
  <c r="EC27" i="25"/>
  <c r="EC14" i="25"/>
  <c r="EE14" i="25"/>
  <c r="EC11" i="25"/>
  <c r="EE5" i="25"/>
  <c r="G7" i="25" s="1"/>
  <c r="EE3" i="25"/>
  <c r="EE11" i="25"/>
  <c r="ED32" i="25"/>
  <c r="EE32" i="25" s="1"/>
  <c r="EN18" i="25"/>
  <c r="EN5" i="25"/>
  <c r="EN3" i="25"/>
  <c r="EN11" i="25"/>
  <c r="EC18" i="25"/>
  <c r="EM38" i="25"/>
  <c r="EN38" i="25" s="1"/>
  <c r="EC34" i="25"/>
  <c r="EN4" i="25" l="1"/>
  <c r="ED40" i="25"/>
  <c r="EE4" i="25"/>
  <c r="G6" i="25" s="1"/>
  <c r="G5" i="25"/>
  <c r="EM40" i="25"/>
  <c r="EL41" i="24" l="1"/>
  <c r="EI41" i="24"/>
  <c r="EG41" i="24"/>
  <c r="EB41" i="24"/>
  <c r="EE2" i="24" s="1"/>
  <c r="EQ2" i="24" s="1"/>
  <c r="G4" i="24" s="1"/>
  <c r="DW41" i="24"/>
  <c r="DT41" i="24"/>
  <c r="DQ41" i="24"/>
  <c r="DN41" i="24"/>
  <c r="DK41" i="24"/>
  <c r="DH41" i="24"/>
  <c r="DE41" i="24"/>
  <c r="DB41" i="24"/>
  <c r="CY41" i="24"/>
  <c r="CV41" i="24"/>
  <c r="CS41" i="24"/>
  <c r="CP41" i="24"/>
  <c r="CM41" i="24"/>
  <c r="CJ41" i="24"/>
  <c r="CG41" i="24"/>
  <c r="CD41" i="24"/>
  <c r="CA41" i="24"/>
  <c r="BX41" i="24"/>
  <c r="BU41" i="24"/>
  <c r="BR41" i="24"/>
  <c r="BO41" i="24"/>
  <c r="BL41" i="24"/>
  <c r="BI41" i="24"/>
  <c r="BF41" i="24"/>
  <c r="BC41" i="24"/>
  <c r="AZ41" i="24"/>
  <c r="AX41" i="24"/>
  <c r="EK41" i="24" s="1"/>
  <c r="AU41" i="24"/>
  <c r="AW41" i="24" s="1"/>
  <c r="AR41" i="24"/>
  <c r="AT41" i="24" s="1"/>
  <c r="AQ41" i="24"/>
  <c r="AO41" i="24"/>
  <c r="AN41" i="24"/>
  <c r="AL41" i="24"/>
  <c r="AK41" i="24"/>
  <c r="AH41" i="24"/>
  <c r="AE41" i="24"/>
  <c r="AB41" i="24"/>
  <c r="Y41" i="24"/>
  <c r="V41" i="24"/>
  <c r="S41" i="24"/>
  <c r="EH41" i="24" s="1"/>
  <c r="P41" i="24"/>
  <c r="M41" i="24"/>
  <c r="J41" i="24"/>
  <c r="G41" i="24"/>
  <c r="D41" i="24"/>
  <c r="EL40" i="24"/>
  <c r="EI40" i="24"/>
  <c r="EG40" i="24"/>
  <c r="DW40" i="24"/>
  <c r="DT40" i="24"/>
  <c r="DQ40" i="24"/>
  <c r="DN40" i="24"/>
  <c r="DK40" i="24"/>
  <c r="DH40" i="24"/>
  <c r="DE40" i="24"/>
  <c r="DB40" i="24"/>
  <c r="CY40" i="24"/>
  <c r="CV40" i="24"/>
  <c r="CS40" i="24"/>
  <c r="CP40" i="24"/>
  <c r="CM40" i="24"/>
  <c r="CJ40" i="24"/>
  <c r="CG40" i="24"/>
  <c r="CD40" i="24"/>
  <c r="CA40" i="24"/>
  <c r="BX40" i="24"/>
  <c r="BU40" i="24"/>
  <c r="BR40" i="24"/>
  <c r="BO40" i="24"/>
  <c r="BL40" i="24"/>
  <c r="BI40" i="24"/>
  <c r="BF40" i="24"/>
  <c r="BC40" i="24"/>
  <c r="AZ40" i="24"/>
  <c r="AX40" i="24"/>
  <c r="EK40" i="24" s="1"/>
  <c r="AU40" i="24"/>
  <c r="AW40" i="24" s="1"/>
  <c r="AR40" i="24"/>
  <c r="AT40" i="24" s="1"/>
  <c r="AQ40" i="24"/>
  <c r="AO40" i="24"/>
  <c r="AN40" i="24"/>
  <c r="AL40" i="24"/>
  <c r="AK40" i="24"/>
  <c r="AH40" i="24"/>
  <c r="AE40" i="24"/>
  <c r="AB40" i="24"/>
  <c r="Y40" i="24"/>
  <c r="V40" i="24"/>
  <c r="S40" i="24"/>
  <c r="EH40" i="24" s="1"/>
  <c r="P40" i="24"/>
  <c r="M40" i="24"/>
  <c r="J40" i="24"/>
  <c r="G40" i="24"/>
  <c r="D40" i="24"/>
  <c r="EL39" i="24"/>
  <c r="EI39" i="24"/>
  <c r="EG39" i="24"/>
  <c r="DW39" i="24"/>
  <c r="DT39" i="24"/>
  <c r="DQ39" i="24"/>
  <c r="DN39" i="24"/>
  <c r="DK39" i="24"/>
  <c r="DH39" i="24"/>
  <c r="DE39" i="24"/>
  <c r="DB39" i="24"/>
  <c r="CY39" i="24"/>
  <c r="CV39" i="24"/>
  <c r="CS39" i="24"/>
  <c r="CP39" i="24"/>
  <c r="CM39" i="24"/>
  <c r="CJ39" i="24"/>
  <c r="CG39" i="24"/>
  <c r="CD39" i="24"/>
  <c r="CA39" i="24"/>
  <c r="BX39" i="24"/>
  <c r="BU39" i="24"/>
  <c r="BR39" i="24"/>
  <c r="BO39" i="24"/>
  <c r="BL39" i="24"/>
  <c r="BI39" i="24"/>
  <c r="BF39" i="24"/>
  <c r="BC39" i="24"/>
  <c r="AZ39" i="24"/>
  <c r="AX39" i="24"/>
  <c r="EK39" i="24" s="1"/>
  <c r="AW39" i="24"/>
  <c r="AU39" i="24"/>
  <c r="AR39" i="24"/>
  <c r="AT39" i="24" s="1"/>
  <c r="AQ39" i="24"/>
  <c r="AO39" i="24"/>
  <c r="AN39" i="24"/>
  <c r="AL39" i="24"/>
  <c r="EB39" i="24" s="1"/>
  <c r="AK39" i="24"/>
  <c r="AH39" i="24"/>
  <c r="AE39" i="24"/>
  <c r="AB39" i="24"/>
  <c r="Y39" i="24"/>
  <c r="V39" i="24"/>
  <c r="S39" i="24"/>
  <c r="EH39" i="24" s="1"/>
  <c r="P39" i="24"/>
  <c r="M39" i="24"/>
  <c r="J39" i="24"/>
  <c r="G39" i="24"/>
  <c r="D39" i="24"/>
  <c r="ED39" i="24" s="1"/>
  <c r="EL38" i="24"/>
  <c r="EI38" i="24"/>
  <c r="EG38" i="24"/>
  <c r="DW38" i="24"/>
  <c r="DT38" i="24"/>
  <c r="DQ38" i="24"/>
  <c r="DN38" i="24"/>
  <c r="DK38" i="24"/>
  <c r="DH38" i="24"/>
  <c r="DE38" i="24"/>
  <c r="DB38" i="24"/>
  <c r="CY38" i="24"/>
  <c r="CV38" i="24"/>
  <c r="CS38" i="24"/>
  <c r="CP38" i="24"/>
  <c r="CM38" i="24"/>
  <c r="CJ38" i="24"/>
  <c r="CG38" i="24"/>
  <c r="CD38" i="24"/>
  <c r="CA38" i="24"/>
  <c r="BX38" i="24"/>
  <c r="BU38" i="24"/>
  <c r="BR38" i="24"/>
  <c r="BO38" i="24"/>
  <c r="BL38" i="24"/>
  <c r="BI38" i="24"/>
  <c r="BF38" i="24"/>
  <c r="BC38" i="24"/>
  <c r="AZ38" i="24"/>
  <c r="AX38" i="24"/>
  <c r="AW38" i="24"/>
  <c r="AU38" i="24"/>
  <c r="AR38" i="24"/>
  <c r="EK38" i="24" s="1"/>
  <c r="AO38" i="24"/>
  <c r="EB38" i="24" s="1"/>
  <c r="AN38" i="24"/>
  <c r="AL38" i="24"/>
  <c r="AK38" i="24"/>
  <c r="AH38" i="24"/>
  <c r="AE38" i="24"/>
  <c r="AB38" i="24"/>
  <c r="Y38" i="24"/>
  <c r="V38" i="24"/>
  <c r="S38" i="24"/>
  <c r="EH38" i="24" s="1"/>
  <c r="P38" i="24"/>
  <c r="M38" i="24"/>
  <c r="J38" i="24"/>
  <c r="G38" i="24"/>
  <c r="D38" i="24"/>
  <c r="EL37" i="24"/>
  <c r="EG37" i="24"/>
  <c r="EI37" i="24" s="1"/>
  <c r="DW37" i="24"/>
  <c r="DT37" i="24"/>
  <c r="DQ37" i="24"/>
  <c r="DN37" i="24"/>
  <c r="DK37" i="24"/>
  <c r="DH37" i="24"/>
  <c r="DE37" i="24"/>
  <c r="DB37" i="24"/>
  <c r="CY37" i="24"/>
  <c r="CV37" i="24"/>
  <c r="CS37" i="24"/>
  <c r="CP37" i="24"/>
  <c r="CM37" i="24"/>
  <c r="CJ37" i="24"/>
  <c r="CG37" i="24"/>
  <c r="CD37" i="24"/>
  <c r="CA37" i="24"/>
  <c r="BX37" i="24"/>
  <c r="BU37" i="24"/>
  <c r="BR37" i="24"/>
  <c r="BO37" i="24"/>
  <c r="BL37" i="24"/>
  <c r="BI37" i="24"/>
  <c r="BF37" i="24"/>
  <c r="BC37" i="24"/>
  <c r="AZ37" i="24"/>
  <c r="AU37" i="24"/>
  <c r="EK37" i="24" s="1"/>
  <c r="AR37" i="24"/>
  <c r="AT37" i="24" s="1"/>
  <c r="AQ37" i="24"/>
  <c r="AO37" i="24"/>
  <c r="AN37" i="24"/>
  <c r="AL37" i="24"/>
  <c r="EB37" i="24" s="1"/>
  <c r="AI37" i="24"/>
  <c r="AK37" i="24" s="1"/>
  <c r="AH37" i="24"/>
  <c r="AE37" i="24"/>
  <c r="AB37" i="24"/>
  <c r="Y37" i="24"/>
  <c r="V37" i="24"/>
  <c r="S37" i="24"/>
  <c r="EH37" i="24" s="1"/>
  <c r="P37" i="24"/>
  <c r="M37" i="24"/>
  <c r="J37" i="24"/>
  <c r="G37" i="24"/>
  <c r="D37" i="24"/>
  <c r="EL36" i="24"/>
  <c r="EK36" i="24"/>
  <c r="EG36" i="24"/>
  <c r="EI36" i="24" s="1"/>
  <c r="DW36" i="24"/>
  <c r="DT36" i="24"/>
  <c r="DQ36" i="24"/>
  <c r="DN36" i="24"/>
  <c r="DK36" i="24"/>
  <c r="DH36" i="24"/>
  <c r="DE36" i="24"/>
  <c r="DB36" i="24"/>
  <c r="CY36" i="24"/>
  <c r="CV36" i="24"/>
  <c r="CS36" i="24"/>
  <c r="CP36" i="24"/>
  <c r="CM36" i="24"/>
  <c r="CJ36" i="24"/>
  <c r="CG36" i="24"/>
  <c r="CD36" i="24"/>
  <c r="CA36" i="24"/>
  <c r="BX36" i="24"/>
  <c r="BU36" i="24"/>
  <c r="BR36" i="24"/>
  <c r="BO36" i="24"/>
  <c r="BL36" i="24"/>
  <c r="BI36" i="24"/>
  <c r="BF36" i="24"/>
  <c r="BC36" i="24"/>
  <c r="AZ36" i="24"/>
  <c r="AW36" i="24"/>
  <c r="AU36" i="24"/>
  <c r="AR36" i="24"/>
  <c r="AT36" i="24" s="1"/>
  <c r="AQ36" i="24"/>
  <c r="AO36" i="24"/>
  <c r="AN36" i="24"/>
  <c r="AL36" i="24"/>
  <c r="EB36" i="24" s="1"/>
  <c r="AK36" i="24"/>
  <c r="AH36" i="24"/>
  <c r="AE36" i="24"/>
  <c r="AB36" i="24"/>
  <c r="Y36" i="24"/>
  <c r="V36" i="24"/>
  <c r="S36" i="24"/>
  <c r="EH36" i="24" s="1"/>
  <c r="P36" i="24"/>
  <c r="M36" i="24"/>
  <c r="J36" i="24"/>
  <c r="G36" i="24"/>
  <c r="D36" i="24"/>
  <c r="ED36" i="24" s="1"/>
  <c r="EL35" i="24"/>
  <c r="EK35" i="24"/>
  <c r="EN35" i="24" s="1"/>
  <c r="EI35" i="24"/>
  <c r="EG35" i="24"/>
  <c r="DW35" i="24"/>
  <c r="DT35" i="24"/>
  <c r="DQ35" i="24"/>
  <c r="DN35" i="24"/>
  <c r="DK35" i="24"/>
  <c r="DH35" i="24"/>
  <c r="DE35" i="24"/>
  <c r="DB35" i="24"/>
  <c r="CY35" i="24"/>
  <c r="CV35" i="24"/>
  <c r="CS35" i="24"/>
  <c r="CP35" i="24"/>
  <c r="CM35" i="24"/>
  <c r="CJ35" i="24"/>
  <c r="CG35" i="24"/>
  <c r="CD35" i="24"/>
  <c r="CA35" i="24"/>
  <c r="BX35" i="24"/>
  <c r="BU35" i="24"/>
  <c r="BR35" i="24"/>
  <c r="BO35" i="24"/>
  <c r="BL35" i="24"/>
  <c r="BI35" i="24"/>
  <c r="BF35" i="24"/>
  <c r="BC35" i="24"/>
  <c r="AZ35" i="24"/>
  <c r="AU35" i="24"/>
  <c r="AW35" i="24" s="1"/>
  <c r="EM35" i="24" s="1"/>
  <c r="AT35" i="24"/>
  <c r="AR35" i="24"/>
  <c r="AQ35" i="24"/>
  <c r="AO35" i="24"/>
  <c r="AN35" i="24"/>
  <c r="AL35" i="24"/>
  <c r="EB35" i="24" s="1"/>
  <c r="AK35" i="24"/>
  <c r="AH35" i="24"/>
  <c r="AE35" i="24"/>
  <c r="AB35" i="24"/>
  <c r="Y35" i="24"/>
  <c r="V35" i="24"/>
  <c r="S35" i="24"/>
  <c r="EH35" i="24" s="1"/>
  <c r="P35" i="24"/>
  <c r="M35" i="24"/>
  <c r="J35" i="24"/>
  <c r="G35" i="24"/>
  <c r="D35" i="24"/>
  <c r="ED35" i="24" s="1"/>
  <c r="EL34" i="24"/>
  <c r="EI34" i="24"/>
  <c r="EG34" i="24"/>
  <c r="DW34" i="24"/>
  <c r="DT34" i="24"/>
  <c r="DQ34" i="24"/>
  <c r="DN34" i="24"/>
  <c r="DK34" i="24"/>
  <c r="EM34" i="24" s="1"/>
  <c r="DH34" i="24"/>
  <c r="DE34" i="24"/>
  <c r="DB34" i="24"/>
  <c r="CY34" i="24"/>
  <c r="CV34" i="24"/>
  <c r="CS34" i="24"/>
  <c r="CP34" i="24"/>
  <c r="CM34" i="24"/>
  <c r="CJ34" i="24"/>
  <c r="CG34" i="24"/>
  <c r="CD34" i="24"/>
  <c r="CA34" i="24"/>
  <c r="BX34" i="24"/>
  <c r="BU34" i="24"/>
  <c r="BR34" i="24"/>
  <c r="BO34" i="24"/>
  <c r="BL34" i="24"/>
  <c r="BI34" i="24"/>
  <c r="BF34" i="24"/>
  <c r="BC34" i="24"/>
  <c r="AZ34" i="24"/>
  <c r="AW34" i="24"/>
  <c r="AU34" i="24"/>
  <c r="EK34" i="24" s="1"/>
  <c r="EN34" i="24" s="1"/>
  <c r="AT34" i="24"/>
  <c r="AR34" i="24"/>
  <c r="AQ34" i="24"/>
  <c r="AO34" i="24"/>
  <c r="EB34" i="24" s="1"/>
  <c r="AL34" i="24"/>
  <c r="AN34" i="24" s="1"/>
  <c r="AK34" i="24"/>
  <c r="AH34" i="24"/>
  <c r="AE34" i="24"/>
  <c r="AB34" i="24"/>
  <c r="Y34" i="24"/>
  <c r="V34" i="24"/>
  <c r="S34" i="24"/>
  <c r="EH34" i="24" s="1"/>
  <c r="P34" i="24"/>
  <c r="M34" i="24"/>
  <c r="J34" i="24"/>
  <c r="G34" i="24"/>
  <c r="D34" i="24"/>
  <c r="ED34" i="24" s="1"/>
  <c r="EL33" i="24"/>
  <c r="EH33" i="24"/>
  <c r="EG33" i="24"/>
  <c r="EI33" i="24" s="1"/>
  <c r="DW33" i="24"/>
  <c r="DT33" i="24"/>
  <c r="DQ33" i="24"/>
  <c r="DN33" i="24"/>
  <c r="DK33" i="24"/>
  <c r="DH33" i="24"/>
  <c r="DE33" i="24"/>
  <c r="DB33" i="24"/>
  <c r="CY33" i="24"/>
  <c r="CV33" i="24"/>
  <c r="CS33" i="24"/>
  <c r="CP33" i="24"/>
  <c r="CM33" i="24"/>
  <c r="CJ33" i="24"/>
  <c r="CG33" i="24"/>
  <c r="CD33" i="24"/>
  <c r="CA33" i="24"/>
  <c r="BX33" i="24"/>
  <c r="BU33" i="24"/>
  <c r="BR33" i="24"/>
  <c r="BO33" i="24"/>
  <c r="BL33" i="24"/>
  <c r="BI33" i="24"/>
  <c r="BF33" i="24"/>
  <c r="BC33" i="24"/>
  <c r="AZ33" i="24"/>
  <c r="AW33" i="24"/>
  <c r="AU33" i="24"/>
  <c r="EK33" i="24" s="1"/>
  <c r="AT33" i="24"/>
  <c r="AR33" i="24"/>
  <c r="AO33" i="24"/>
  <c r="AQ33" i="24" s="1"/>
  <c r="AN33" i="24"/>
  <c r="AL33" i="24"/>
  <c r="AK33" i="24"/>
  <c r="AI33" i="24"/>
  <c r="AH33" i="24"/>
  <c r="AE33" i="24"/>
  <c r="AB33" i="24"/>
  <c r="Y33" i="24"/>
  <c r="V33" i="24"/>
  <c r="S33" i="24"/>
  <c r="P33" i="24"/>
  <c r="M33" i="24"/>
  <c r="J33" i="24"/>
  <c r="G33" i="24"/>
  <c r="ED33" i="24" s="1"/>
  <c r="D33" i="24"/>
  <c r="EL32" i="24"/>
  <c r="EI32" i="24"/>
  <c r="EG32" i="24"/>
  <c r="DW32" i="24"/>
  <c r="DT32" i="24"/>
  <c r="DQ32" i="24"/>
  <c r="DN32" i="24"/>
  <c r="DK32" i="24"/>
  <c r="DH32" i="24"/>
  <c r="DE32" i="24"/>
  <c r="DB32" i="24"/>
  <c r="CY32" i="24"/>
  <c r="CV32" i="24"/>
  <c r="CS32" i="24"/>
  <c r="CP32" i="24"/>
  <c r="CM32" i="24"/>
  <c r="CJ32" i="24"/>
  <c r="CG32" i="24"/>
  <c r="CD32" i="24"/>
  <c r="CA32" i="24"/>
  <c r="BX32" i="24"/>
  <c r="BU32" i="24"/>
  <c r="BR32" i="24"/>
  <c r="BO32" i="24"/>
  <c r="BL32" i="24"/>
  <c r="BI32" i="24"/>
  <c r="BF32" i="24"/>
  <c r="BC32" i="24"/>
  <c r="AZ32" i="24"/>
  <c r="AW32" i="24"/>
  <c r="AU32" i="24"/>
  <c r="AT32" i="24"/>
  <c r="AR32" i="24"/>
  <c r="AO32" i="24"/>
  <c r="EK32" i="24" s="1"/>
  <c r="AL32" i="24"/>
  <c r="AN32" i="24" s="1"/>
  <c r="AK32" i="24"/>
  <c r="AI32" i="24"/>
  <c r="AH32" i="24"/>
  <c r="AE32" i="24"/>
  <c r="AB32" i="24"/>
  <c r="Y32" i="24"/>
  <c r="V32" i="24"/>
  <c r="S32" i="24"/>
  <c r="EH32" i="24" s="1"/>
  <c r="P32" i="24"/>
  <c r="M32" i="24"/>
  <c r="J32" i="24"/>
  <c r="G32" i="24"/>
  <c r="D32" i="24"/>
  <c r="EL31" i="24"/>
  <c r="EI31" i="24"/>
  <c r="EG31" i="24"/>
  <c r="DW31" i="24"/>
  <c r="DT31" i="24"/>
  <c r="DQ31" i="24"/>
  <c r="DN31" i="24"/>
  <c r="DK31" i="24"/>
  <c r="EM31" i="24" s="1"/>
  <c r="DH31" i="24"/>
  <c r="DE31" i="24"/>
  <c r="DB31" i="24"/>
  <c r="CY31" i="24"/>
  <c r="CV31" i="24"/>
  <c r="CS31" i="24"/>
  <c r="CP31" i="24"/>
  <c r="CM31" i="24"/>
  <c r="CJ31" i="24"/>
  <c r="CG31" i="24"/>
  <c r="CD31" i="24"/>
  <c r="CA31" i="24"/>
  <c r="BX31" i="24"/>
  <c r="BU31" i="24"/>
  <c r="BR31" i="24"/>
  <c r="BO31" i="24"/>
  <c r="BL31" i="24"/>
  <c r="BI31" i="24"/>
  <c r="BF31" i="24"/>
  <c r="BC31" i="24"/>
  <c r="AZ31" i="24"/>
  <c r="AW31" i="24"/>
  <c r="AU31" i="24"/>
  <c r="EK31" i="24" s="1"/>
  <c r="AT31" i="24"/>
  <c r="AR31" i="24"/>
  <c r="AQ31" i="24"/>
  <c r="AO31" i="24"/>
  <c r="EB31" i="24" s="1"/>
  <c r="AL31" i="24"/>
  <c r="AN31" i="24" s="1"/>
  <c r="AK31" i="24"/>
  <c r="AI31" i="24"/>
  <c r="AH31" i="24"/>
  <c r="AE31" i="24"/>
  <c r="AB31" i="24"/>
  <c r="Y31" i="24"/>
  <c r="V31" i="24"/>
  <c r="S31" i="24"/>
  <c r="EH31" i="24" s="1"/>
  <c r="P31" i="24"/>
  <c r="M31" i="24"/>
  <c r="J31" i="24"/>
  <c r="G31" i="24"/>
  <c r="D31" i="24"/>
  <c r="ED31" i="24" s="1"/>
  <c r="EL30" i="24"/>
  <c r="EI30" i="24"/>
  <c r="EG30" i="24"/>
  <c r="DW30" i="24"/>
  <c r="DT30" i="24"/>
  <c r="DQ30" i="24"/>
  <c r="DN30" i="24"/>
  <c r="DK30" i="24"/>
  <c r="DH30" i="24"/>
  <c r="DE30" i="24"/>
  <c r="DB30" i="24"/>
  <c r="CY30" i="24"/>
  <c r="CV30" i="24"/>
  <c r="CS30" i="24"/>
  <c r="CP30" i="24"/>
  <c r="CM30" i="24"/>
  <c r="CJ30" i="24"/>
  <c r="CG30" i="24"/>
  <c r="CD30" i="24"/>
  <c r="CA30" i="24"/>
  <c r="BX30" i="24"/>
  <c r="BU30" i="24"/>
  <c r="BR30" i="24"/>
  <c r="BO30" i="24"/>
  <c r="BL30" i="24"/>
  <c r="BI30" i="24"/>
  <c r="BF30" i="24"/>
  <c r="BC30" i="24"/>
  <c r="AZ30" i="24"/>
  <c r="AU30" i="24"/>
  <c r="AW30" i="24" s="1"/>
  <c r="AT30" i="24"/>
  <c r="AR30" i="24"/>
  <c r="AQ30" i="24"/>
  <c r="AO30" i="24"/>
  <c r="AL30" i="24"/>
  <c r="EB30" i="24" s="1"/>
  <c r="AI30" i="24"/>
  <c r="AK30" i="24" s="1"/>
  <c r="AH30" i="24"/>
  <c r="AE30" i="24"/>
  <c r="AB30" i="24"/>
  <c r="Y30" i="24"/>
  <c r="V30" i="24"/>
  <c r="S30" i="24"/>
  <c r="EH30" i="24" s="1"/>
  <c r="P30" i="24"/>
  <c r="M30" i="24"/>
  <c r="J30" i="24"/>
  <c r="G30" i="24"/>
  <c r="D30" i="24"/>
  <c r="EL29" i="24"/>
  <c r="EK29" i="24"/>
  <c r="EI29" i="24"/>
  <c r="EG29" i="24"/>
  <c r="DW29" i="24"/>
  <c r="DT29" i="24"/>
  <c r="DQ29" i="24"/>
  <c r="DN29" i="24"/>
  <c r="DK29" i="24"/>
  <c r="DH29" i="24"/>
  <c r="DE29" i="24"/>
  <c r="DB29" i="24"/>
  <c r="CY29" i="24"/>
  <c r="CV29" i="24"/>
  <c r="CS29" i="24"/>
  <c r="CP29" i="24"/>
  <c r="CM29" i="24"/>
  <c r="CJ29" i="24"/>
  <c r="CG29" i="24"/>
  <c r="CD29" i="24"/>
  <c r="CA29" i="24"/>
  <c r="BX29" i="24"/>
  <c r="BU29" i="24"/>
  <c r="BR29" i="24"/>
  <c r="BO29" i="24"/>
  <c r="BL29" i="24"/>
  <c r="BI29" i="24"/>
  <c r="BF29" i="24"/>
  <c r="BC29" i="24"/>
  <c r="AZ29" i="24"/>
  <c r="AU29" i="24"/>
  <c r="AW29" i="24" s="1"/>
  <c r="AT29" i="24"/>
  <c r="AR29" i="24"/>
  <c r="AQ29" i="24"/>
  <c r="AO29" i="24"/>
  <c r="AN29" i="24"/>
  <c r="AL29" i="24"/>
  <c r="EB29" i="24" s="1"/>
  <c r="AI29" i="24"/>
  <c r="AK29" i="24" s="1"/>
  <c r="AH29" i="24"/>
  <c r="AE29" i="24"/>
  <c r="AB29" i="24"/>
  <c r="Y29" i="24"/>
  <c r="V29" i="24"/>
  <c r="S29" i="24"/>
  <c r="EH29" i="24" s="1"/>
  <c r="P29" i="24"/>
  <c r="M29" i="24"/>
  <c r="J29" i="24"/>
  <c r="G29" i="24"/>
  <c r="D29" i="24"/>
  <c r="EL28" i="24"/>
  <c r="EG28" i="24"/>
  <c r="EI28" i="24" s="1"/>
  <c r="DW28" i="24"/>
  <c r="DT28" i="24"/>
  <c r="DQ28" i="24"/>
  <c r="DN28" i="24"/>
  <c r="DK28" i="24"/>
  <c r="DH28" i="24"/>
  <c r="DE28" i="24"/>
  <c r="DB28" i="24"/>
  <c r="CY28" i="24"/>
  <c r="CV28" i="24"/>
  <c r="CS28" i="24"/>
  <c r="CP28" i="24"/>
  <c r="CM28" i="24"/>
  <c r="CJ28" i="24"/>
  <c r="CG28" i="24"/>
  <c r="CD28" i="24"/>
  <c r="CA28" i="24"/>
  <c r="BX28" i="24"/>
  <c r="BU28" i="24"/>
  <c r="BR28" i="24"/>
  <c r="BO28" i="24"/>
  <c r="BL28" i="24"/>
  <c r="BI28" i="24"/>
  <c r="BF28" i="24"/>
  <c r="BC28" i="24"/>
  <c r="AZ28" i="24"/>
  <c r="AU28" i="24"/>
  <c r="EK28" i="24" s="1"/>
  <c r="AR28" i="24"/>
  <c r="AT28" i="24" s="1"/>
  <c r="AQ28" i="24"/>
  <c r="AO28" i="24"/>
  <c r="AN28" i="24"/>
  <c r="AL28" i="24"/>
  <c r="EB28" i="24" s="1"/>
  <c r="AI28" i="24"/>
  <c r="AK28" i="24" s="1"/>
  <c r="AH28" i="24"/>
  <c r="AE28" i="24"/>
  <c r="AB28" i="24"/>
  <c r="Y28" i="24"/>
  <c r="V28" i="24"/>
  <c r="S28" i="24"/>
  <c r="EH28" i="24" s="1"/>
  <c r="P28" i="24"/>
  <c r="M28" i="24"/>
  <c r="J28" i="24"/>
  <c r="G28" i="24"/>
  <c r="D28" i="24"/>
  <c r="EL27" i="24"/>
  <c r="EK27" i="24"/>
  <c r="EG27" i="24"/>
  <c r="EI27" i="24" s="1"/>
  <c r="DW27" i="24"/>
  <c r="DT27" i="24"/>
  <c r="DQ27" i="24"/>
  <c r="DN27" i="24"/>
  <c r="DK27" i="24"/>
  <c r="DH27" i="24"/>
  <c r="DE27" i="24"/>
  <c r="DB27" i="24"/>
  <c r="CY27" i="24"/>
  <c r="CV27" i="24"/>
  <c r="CS27" i="24"/>
  <c r="CP27" i="24"/>
  <c r="CM27" i="24"/>
  <c r="CJ27" i="24"/>
  <c r="CG27" i="24"/>
  <c r="CD27" i="24"/>
  <c r="CA27" i="24"/>
  <c r="BX27" i="24"/>
  <c r="BU27" i="24"/>
  <c r="BR27" i="24"/>
  <c r="BO27" i="24"/>
  <c r="BL27" i="24"/>
  <c r="BI27" i="24"/>
  <c r="BF27" i="24"/>
  <c r="BC27" i="24"/>
  <c r="AZ27" i="24"/>
  <c r="AW27" i="24"/>
  <c r="AU27" i="24"/>
  <c r="AR27" i="24"/>
  <c r="AT27" i="24" s="1"/>
  <c r="AQ27" i="24"/>
  <c r="AO27" i="24"/>
  <c r="AN27" i="24"/>
  <c r="AL27" i="24"/>
  <c r="EB27" i="24" s="1"/>
  <c r="AK27" i="24"/>
  <c r="AI27" i="24"/>
  <c r="AH27" i="24"/>
  <c r="AE27" i="24"/>
  <c r="AB27" i="24"/>
  <c r="Y27" i="24"/>
  <c r="V27" i="24"/>
  <c r="EH27" i="24" s="1"/>
  <c r="S27" i="24"/>
  <c r="P27" i="24"/>
  <c r="M27" i="24"/>
  <c r="J27" i="24"/>
  <c r="G27" i="24"/>
  <c r="ED27" i="24" s="1"/>
  <c r="D27" i="24"/>
  <c r="EL26" i="24"/>
  <c r="EG26" i="24"/>
  <c r="EI26" i="24" s="1"/>
  <c r="DW26" i="24"/>
  <c r="DT26" i="24"/>
  <c r="DQ26" i="24"/>
  <c r="DN26" i="24"/>
  <c r="DK26" i="24"/>
  <c r="DH26" i="24"/>
  <c r="DE26" i="24"/>
  <c r="DB26" i="24"/>
  <c r="CY26" i="24"/>
  <c r="CV26" i="24"/>
  <c r="CS26" i="24"/>
  <c r="CP26" i="24"/>
  <c r="CM26" i="24"/>
  <c r="CJ26" i="24"/>
  <c r="CG26" i="24"/>
  <c r="CD26" i="24"/>
  <c r="CA26" i="24"/>
  <c r="BX26" i="24"/>
  <c r="BU26" i="24"/>
  <c r="BR26" i="24"/>
  <c r="BO26" i="24"/>
  <c r="BL26" i="24"/>
  <c r="BI26" i="24"/>
  <c r="BF26" i="24"/>
  <c r="BC26" i="24"/>
  <c r="AZ26" i="24"/>
  <c r="AW26" i="24"/>
  <c r="AU26" i="24"/>
  <c r="AR26" i="24"/>
  <c r="EK26" i="24" s="1"/>
  <c r="AO26" i="24"/>
  <c r="AQ26" i="24" s="1"/>
  <c r="AN26" i="24"/>
  <c r="AL26" i="24"/>
  <c r="AK26" i="24"/>
  <c r="AI26" i="24"/>
  <c r="AH26" i="24"/>
  <c r="AE26" i="24"/>
  <c r="AB26" i="24"/>
  <c r="Y26" i="24"/>
  <c r="V26" i="24"/>
  <c r="EH26" i="24" s="1"/>
  <c r="S26" i="24"/>
  <c r="P26" i="24"/>
  <c r="M26" i="24"/>
  <c r="J26" i="24"/>
  <c r="G26" i="24"/>
  <c r="D26" i="24"/>
  <c r="EL25" i="24"/>
  <c r="EH25" i="24"/>
  <c r="EG25" i="24"/>
  <c r="EI25" i="24" s="1"/>
  <c r="DW25" i="24"/>
  <c r="DT25" i="24"/>
  <c r="DQ25" i="24"/>
  <c r="DN25" i="24"/>
  <c r="DK25" i="24"/>
  <c r="DH25" i="24"/>
  <c r="DE25" i="24"/>
  <c r="DB25" i="24"/>
  <c r="CY25" i="24"/>
  <c r="CV25" i="24"/>
  <c r="CS25" i="24"/>
  <c r="CP25" i="24"/>
  <c r="CM25" i="24"/>
  <c r="CJ25" i="24"/>
  <c r="CG25" i="24"/>
  <c r="CD25" i="24"/>
  <c r="CA25" i="24"/>
  <c r="BX25" i="24"/>
  <c r="BU25" i="24"/>
  <c r="BR25" i="24"/>
  <c r="BO25" i="24"/>
  <c r="BL25" i="24"/>
  <c r="BI25" i="24"/>
  <c r="BF25" i="24"/>
  <c r="BC25" i="24"/>
  <c r="AZ25" i="24"/>
  <c r="AW25" i="24"/>
  <c r="AU25" i="24"/>
  <c r="EK25" i="24" s="1"/>
  <c r="AT25" i="24"/>
  <c r="AR25" i="24"/>
  <c r="AO25" i="24"/>
  <c r="AQ25" i="24" s="1"/>
  <c r="AN25" i="24"/>
  <c r="AL25" i="24"/>
  <c r="AK25" i="24"/>
  <c r="AI25" i="24"/>
  <c r="AH25" i="24"/>
  <c r="AE25" i="24"/>
  <c r="AB25" i="24"/>
  <c r="Y25" i="24"/>
  <c r="V25" i="24"/>
  <c r="S25" i="24"/>
  <c r="P25" i="24"/>
  <c r="M25" i="24"/>
  <c r="J25" i="24"/>
  <c r="G25" i="24"/>
  <c r="ED25" i="24" s="1"/>
  <c r="D25" i="24"/>
  <c r="EL24" i="24"/>
  <c r="EI24" i="24"/>
  <c r="EG24" i="24"/>
  <c r="DW24" i="24"/>
  <c r="DT24" i="24"/>
  <c r="DQ24" i="24"/>
  <c r="DN24" i="24"/>
  <c r="DK24" i="24"/>
  <c r="DH24" i="24"/>
  <c r="DE24" i="24"/>
  <c r="DB24" i="24"/>
  <c r="CY24" i="24"/>
  <c r="CV24" i="24"/>
  <c r="CS24" i="24"/>
  <c r="CP24" i="24"/>
  <c r="CM24" i="24"/>
  <c r="CJ24" i="24"/>
  <c r="CG24" i="24"/>
  <c r="CD24" i="24"/>
  <c r="CA24" i="24"/>
  <c r="BX24" i="24"/>
  <c r="BU24" i="24"/>
  <c r="BR24" i="24"/>
  <c r="BO24" i="24"/>
  <c r="BL24" i="24"/>
  <c r="BI24" i="24"/>
  <c r="BF24" i="24"/>
  <c r="BC24" i="24"/>
  <c r="AZ24" i="24"/>
  <c r="AW24" i="24"/>
  <c r="AU24" i="24"/>
  <c r="AT24" i="24"/>
  <c r="AR24" i="24"/>
  <c r="AO24" i="24"/>
  <c r="EK24" i="24" s="1"/>
  <c r="AL24" i="24"/>
  <c r="AN24" i="24" s="1"/>
  <c r="AK24" i="24"/>
  <c r="AI24" i="24"/>
  <c r="AH24" i="24"/>
  <c r="AE24" i="24"/>
  <c r="AB24" i="24"/>
  <c r="Y24" i="24"/>
  <c r="V24" i="24"/>
  <c r="S24" i="24"/>
  <c r="EH24" i="24" s="1"/>
  <c r="P24" i="24"/>
  <c r="M24" i="24"/>
  <c r="J24" i="24"/>
  <c r="G24" i="24"/>
  <c r="D24" i="24"/>
  <c r="EL23" i="24"/>
  <c r="EI23" i="24"/>
  <c r="EG23" i="24"/>
  <c r="DW23" i="24"/>
  <c r="DT23" i="24"/>
  <c r="DQ23" i="24"/>
  <c r="DN23" i="24"/>
  <c r="DK23" i="24"/>
  <c r="EM23" i="24" s="1"/>
  <c r="DH23" i="24"/>
  <c r="DE23" i="24"/>
  <c r="DB23" i="24"/>
  <c r="CY23" i="24"/>
  <c r="CV23" i="24"/>
  <c r="CS23" i="24"/>
  <c r="CP23" i="24"/>
  <c r="CM23" i="24"/>
  <c r="CJ23" i="24"/>
  <c r="CG23" i="24"/>
  <c r="CD23" i="24"/>
  <c r="CA23" i="24"/>
  <c r="BX23" i="24"/>
  <c r="BU23" i="24"/>
  <c r="BR23" i="24"/>
  <c r="BO23" i="24"/>
  <c r="BL23" i="24"/>
  <c r="BI23" i="24"/>
  <c r="BF23" i="24"/>
  <c r="BC23" i="24"/>
  <c r="AZ23" i="24"/>
  <c r="AW23" i="24"/>
  <c r="AU23" i="24"/>
  <c r="EK23" i="24" s="1"/>
  <c r="EN23" i="24" s="1"/>
  <c r="AT23" i="24"/>
  <c r="AR23" i="24"/>
  <c r="AQ23" i="24"/>
  <c r="AO23" i="24"/>
  <c r="EB23" i="24" s="1"/>
  <c r="AN23" i="24"/>
  <c r="AK23" i="24"/>
  <c r="AI23" i="24"/>
  <c r="AH23" i="24"/>
  <c r="AE23" i="24"/>
  <c r="AB23" i="24"/>
  <c r="Y23" i="24"/>
  <c r="V23" i="24"/>
  <c r="EH23" i="24" s="1"/>
  <c r="S23" i="24"/>
  <c r="P23" i="24"/>
  <c r="M23" i="24"/>
  <c r="J23" i="24"/>
  <c r="G23" i="24"/>
  <c r="D23" i="24"/>
  <c r="ED23" i="24" s="1"/>
  <c r="EL22" i="24"/>
  <c r="EH22" i="24"/>
  <c r="EG22" i="24"/>
  <c r="EI22" i="24" s="1"/>
  <c r="DW22" i="24"/>
  <c r="DT22" i="24"/>
  <c r="EM22" i="24" s="1"/>
  <c r="DQ22" i="24"/>
  <c r="DN22" i="24"/>
  <c r="DK22" i="24"/>
  <c r="DH22" i="24"/>
  <c r="DE22" i="24"/>
  <c r="DB22" i="24"/>
  <c r="CY22" i="24"/>
  <c r="CV22" i="24"/>
  <c r="CS22" i="24"/>
  <c r="CP22" i="24"/>
  <c r="CM22" i="24"/>
  <c r="CJ22" i="24"/>
  <c r="CG22" i="24"/>
  <c r="CD22" i="24"/>
  <c r="CA22" i="24"/>
  <c r="BX22" i="24"/>
  <c r="BU22" i="24"/>
  <c r="BR22" i="24"/>
  <c r="BO22" i="24"/>
  <c r="BL22" i="24"/>
  <c r="BI22" i="24"/>
  <c r="BF22" i="24"/>
  <c r="BC22" i="24"/>
  <c r="AZ22" i="24"/>
  <c r="AW22" i="24"/>
  <c r="AU22" i="24"/>
  <c r="EK22" i="24" s="1"/>
  <c r="AT22" i="24"/>
  <c r="AR22" i="24"/>
  <c r="AO22" i="24"/>
  <c r="AQ22" i="24" s="1"/>
  <c r="AN22" i="24"/>
  <c r="AI22" i="24"/>
  <c r="AK22" i="24" s="1"/>
  <c r="AH22" i="24"/>
  <c r="AE22" i="24"/>
  <c r="AB22" i="24"/>
  <c r="Y22" i="24"/>
  <c r="V22" i="24"/>
  <c r="S22" i="24"/>
  <c r="P22" i="24"/>
  <c r="M22" i="24"/>
  <c r="J22" i="24"/>
  <c r="G22" i="24"/>
  <c r="D22" i="24"/>
  <c r="ED22" i="24" s="1"/>
  <c r="EL21" i="24"/>
  <c r="EK21" i="24"/>
  <c r="EG21" i="24"/>
  <c r="EI21" i="24" s="1"/>
  <c r="DW21" i="24"/>
  <c r="DT21" i="24"/>
  <c r="DQ21" i="24"/>
  <c r="DN21" i="24"/>
  <c r="DK21" i="24"/>
  <c r="DH21" i="24"/>
  <c r="DE21" i="24"/>
  <c r="DB21" i="24"/>
  <c r="CY21" i="24"/>
  <c r="CV21" i="24"/>
  <c r="CS21" i="24"/>
  <c r="CP21" i="24"/>
  <c r="CM21" i="24"/>
  <c r="CJ21" i="24"/>
  <c r="CG21" i="24"/>
  <c r="CD21" i="24"/>
  <c r="CA21" i="24"/>
  <c r="BX21" i="24"/>
  <c r="BU21" i="24"/>
  <c r="BR21" i="24"/>
  <c r="BO21" i="24"/>
  <c r="BL21" i="24"/>
  <c r="BI21" i="24"/>
  <c r="BF21" i="24"/>
  <c r="BC21" i="24"/>
  <c r="AZ21" i="24"/>
  <c r="AW21" i="24"/>
  <c r="AU21" i="24"/>
  <c r="AR21" i="24"/>
  <c r="AT21" i="24" s="1"/>
  <c r="AQ21" i="24"/>
  <c r="AO21" i="24"/>
  <c r="EB21" i="24" s="1"/>
  <c r="AN21" i="24"/>
  <c r="AI21" i="24"/>
  <c r="AK21" i="24" s="1"/>
  <c r="AH21" i="24"/>
  <c r="AE21" i="24"/>
  <c r="AB21" i="24"/>
  <c r="Y21" i="24"/>
  <c r="V21" i="24"/>
  <c r="S21" i="24"/>
  <c r="EH21" i="24" s="1"/>
  <c r="P21" i="24"/>
  <c r="M21" i="24"/>
  <c r="J21" i="24"/>
  <c r="G21" i="24"/>
  <c r="D21" i="24"/>
  <c r="ED21" i="24" s="1"/>
  <c r="EL20" i="24"/>
  <c r="EK20" i="24"/>
  <c r="EI20" i="24"/>
  <c r="EG20" i="24"/>
  <c r="DW20" i="24"/>
  <c r="DT20" i="24"/>
  <c r="DQ20" i="24"/>
  <c r="DN20" i="24"/>
  <c r="DK20" i="24"/>
  <c r="DH20" i="24"/>
  <c r="DE20" i="24"/>
  <c r="DB20" i="24"/>
  <c r="CY20" i="24"/>
  <c r="CV20" i="24"/>
  <c r="CS20" i="24"/>
  <c r="CP20" i="24"/>
  <c r="CM20" i="24"/>
  <c r="CJ20" i="24"/>
  <c r="CG20" i="24"/>
  <c r="CD20" i="24"/>
  <c r="CA20" i="24"/>
  <c r="BX20" i="24"/>
  <c r="BU20" i="24"/>
  <c r="BR20" i="24"/>
  <c r="BO20" i="24"/>
  <c r="BL20" i="24"/>
  <c r="BI20" i="24"/>
  <c r="BF20" i="24"/>
  <c r="BC20" i="24"/>
  <c r="AZ20" i="24"/>
  <c r="AU20" i="24"/>
  <c r="AW20" i="24" s="1"/>
  <c r="EM20" i="24" s="1"/>
  <c r="AT20" i="24"/>
  <c r="AR20" i="24"/>
  <c r="AQ20" i="24"/>
  <c r="AO20" i="24"/>
  <c r="EB20" i="24" s="1"/>
  <c r="AN20" i="24"/>
  <c r="AK20" i="24"/>
  <c r="AI20" i="24"/>
  <c r="AH20" i="24"/>
  <c r="AE20" i="24"/>
  <c r="AB20" i="24"/>
  <c r="Y20" i="24"/>
  <c r="V20" i="24"/>
  <c r="S20" i="24"/>
  <c r="EH20" i="24" s="1"/>
  <c r="P20" i="24"/>
  <c r="M20" i="24"/>
  <c r="J20" i="24"/>
  <c r="G20" i="24"/>
  <c r="D20" i="24"/>
  <c r="EL19" i="24"/>
  <c r="EI19" i="24"/>
  <c r="EG19" i="24"/>
  <c r="EB19" i="24"/>
  <c r="DW19" i="24"/>
  <c r="DT19" i="24"/>
  <c r="DQ19" i="24"/>
  <c r="DN19" i="24"/>
  <c r="DK19" i="24"/>
  <c r="EM19" i="24" s="1"/>
  <c r="DH19" i="24"/>
  <c r="DE19" i="24"/>
  <c r="DB19" i="24"/>
  <c r="CY19" i="24"/>
  <c r="CV19" i="24"/>
  <c r="CS19" i="24"/>
  <c r="CP19" i="24"/>
  <c r="CM19" i="24"/>
  <c r="CJ19" i="24"/>
  <c r="CG19" i="24"/>
  <c r="CD19" i="24"/>
  <c r="CA19" i="24"/>
  <c r="BX19" i="24"/>
  <c r="BU19" i="24"/>
  <c r="BR19" i="24"/>
  <c r="BO19" i="24"/>
  <c r="BL19" i="24"/>
  <c r="BI19" i="24"/>
  <c r="BF19" i="24"/>
  <c r="BC19" i="24"/>
  <c r="AZ19" i="24"/>
  <c r="AW19" i="24"/>
  <c r="AU19" i="24"/>
  <c r="EK19" i="24" s="1"/>
  <c r="AT19" i="24"/>
  <c r="AR19" i="24"/>
  <c r="AQ19" i="24"/>
  <c r="AN19" i="24"/>
  <c r="AI19" i="24"/>
  <c r="AK19" i="24" s="1"/>
  <c r="AH19" i="24"/>
  <c r="AE19" i="24"/>
  <c r="AB19" i="24"/>
  <c r="Y19" i="24"/>
  <c r="V19" i="24"/>
  <c r="S19" i="24"/>
  <c r="EH19" i="24" s="1"/>
  <c r="P19" i="24"/>
  <c r="M19" i="24"/>
  <c r="J19" i="24"/>
  <c r="G19" i="24"/>
  <c r="D19" i="24"/>
  <c r="ED19" i="24" s="1"/>
  <c r="EE19" i="24" s="1"/>
  <c r="EL18" i="24"/>
  <c r="EG18" i="24"/>
  <c r="EI18" i="24" s="1"/>
  <c r="DW18" i="24"/>
  <c r="DT18" i="24"/>
  <c r="DQ18" i="24"/>
  <c r="DN18" i="24"/>
  <c r="DK18" i="24"/>
  <c r="DH18" i="24"/>
  <c r="DE18" i="24"/>
  <c r="DB18" i="24"/>
  <c r="CY18" i="24"/>
  <c r="CV18" i="24"/>
  <c r="CS18" i="24"/>
  <c r="CP18" i="24"/>
  <c r="CM18" i="24"/>
  <c r="CJ18" i="24"/>
  <c r="CG18" i="24"/>
  <c r="CD18" i="24"/>
  <c r="CA18" i="24"/>
  <c r="BX18" i="24"/>
  <c r="BU18" i="24"/>
  <c r="BR18" i="24"/>
  <c r="BO18" i="24"/>
  <c r="BL18" i="24"/>
  <c r="BI18" i="24"/>
  <c r="BF18" i="24"/>
  <c r="BC18" i="24"/>
  <c r="AZ18" i="24"/>
  <c r="AU18" i="24"/>
  <c r="EK18" i="24" s="1"/>
  <c r="AR18" i="24"/>
  <c r="AT18" i="24" s="1"/>
  <c r="AQ18" i="24"/>
  <c r="AN18" i="24"/>
  <c r="AK18" i="24"/>
  <c r="AI18" i="24"/>
  <c r="AH18" i="24"/>
  <c r="AE18" i="24"/>
  <c r="AB18" i="24"/>
  <c r="Y18" i="24"/>
  <c r="V18" i="24"/>
  <c r="S18" i="24"/>
  <c r="EH18" i="24" s="1"/>
  <c r="P18" i="24"/>
  <c r="M18" i="24"/>
  <c r="J18" i="24"/>
  <c r="G18" i="24"/>
  <c r="D18" i="24"/>
  <c r="EL17" i="24"/>
  <c r="EG17" i="24"/>
  <c r="EI17" i="24" s="1"/>
  <c r="DW17" i="24"/>
  <c r="DT17" i="24"/>
  <c r="DQ17" i="24"/>
  <c r="DN17" i="24"/>
  <c r="DK17" i="24"/>
  <c r="DH17" i="24"/>
  <c r="DE17" i="24"/>
  <c r="DB17" i="24"/>
  <c r="CY17" i="24"/>
  <c r="CV17" i="24"/>
  <c r="CS17" i="24"/>
  <c r="CP17" i="24"/>
  <c r="CM17" i="24"/>
  <c r="CJ17" i="24"/>
  <c r="CG17" i="24"/>
  <c r="CD17" i="24"/>
  <c r="CA17" i="24"/>
  <c r="BX17" i="24"/>
  <c r="BU17" i="24"/>
  <c r="BR17" i="24"/>
  <c r="BO17" i="24"/>
  <c r="BL17" i="24"/>
  <c r="BI17" i="24"/>
  <c r="BF17" i="24"/>
  <c r="BC17" i="24"/>
  <c r="AZ17" i="24"/>
  <c r="AW17" i="24"/>
  <c r="AU17" i="24"/>
  <c r="EK17" i="24" s="1"/>
  <c r="AT17" i="24"/>
  <c r="AR17" i="24"/>
  <c r="AO17" i="24"/>
  <c r="AQ17" i="24" s="1"/>
  <c r="AN17" i="24"/>
  <c r="AK17" i="24"/>
  <c r="AH17" i="24"/>
  <c r="EH17" i="24" s="1"/>
  <c r="AE17" i="24"/>
  <c r="AB17" i="24"/>
  <c r="Y17" i="24"/>
  <c r="V17" i="24"/>
  <c r="S17" i="24"/>
  <c r="P17" i="24"/>
  <c r="M17" i="24"/>
  <c r="J17" i="24"/>
  <c r="G17" i="24"/>
  <c r="D17" i="24"/>
  <c r="EL16" i="24"/>
  <c r="EI16" i="24"/>
  <c r="EG16" i="24"/>
  <c r="DW16" i="24"/>
  <c r="DT16" i="24"/>
  <c r="DQ16" i="24"/>
  <c r="DN16" i="24"/>
  <c r="DK16" i="24"/>
  <c r="DH16" i="24"/>
  <c r="DE16" i="24"/>
  <c r="DB16" i="24"/>
  <c r="CY16" i="24"/>
  <c r="CV16" i="24"/>
  <c r="CS16" i="24"/>
  <c r="CP16" i="24"/>
  <c r="CM16" i="24"/>
  <c r="CJ16" i="24"/>
  <c r="CG16" i="24"/>
  <c r="CD16" i="24"/>
  <c r="CA16" i="24"/>
  <c r="BX16" i="24"/>
  <c r="BU16" i="24"/>
  <c r="BR16" i="24"/>
  <c r="BO16" i="24"/>
  <c r="BL16" i="24"/>
  <c r="BI16" i="24"/>
  <c r="BF16" i="24"/>
  <c r="BC16" i="24"/>
  <c r="AZ16" i="24"/>
  <c r="AU16" i="24"/>
  <c r="AW16" i="24" s="1"/>
  <c r="AT16" i="24"/>
  <c r="AR16" i="24"/>
  <c r="AQ16" i="24"/>
  <c r="AO16" i="24"/>
  <c r="AL16" i="24"/>
  <c r="EB16" i="24" s="1"/>
  <c r="AI16" i="24"/>
  <c r="AK16" i="24" s="1"/>
  <c r="AH16" i="24"/>
  <c r="AE16" i="24"/>
  <c r="AB16" i="24"/>
  <c r="Y16" i="24"/>
  <c r="V16" i="24"/>
  <c r="S16" i="24"/>
  <c r="EH16" i="24" s="1"/>
  <c r="P16" i="24"/>
  <c r="M16" i="24"/>
  <c r="J16" i="24"/>
  <c r="G16" i="24"/>
  <c r="D16" i="24"/>
  <c r="EL15" i="24"/>
  <c r="EI15" i="24"/>
  <c r="EG15" i="24"/>
  <c r="DW15" i="24"/>
  <c r="DT15" i="24"/>
  <c r="DQ15" i="24"/>
  <c r="DN15" i="24"/>
  <c r="DK15" i="24"/>
  <c r="DH15" i="24"/>
  <c r="DE15" i="24"/>
  <c r="DB15" i="24"/>
  <c r="CY15" i="24"/>
  <c r="CV15" i="24"/>
  <c r="CS15" i="24"/>
  <c r="CP15" i="24"/>
  <c r="CM15" i="24"/>
  <c r="CJ15" i="24"/>
  <c r="CG15" i="24"/>
  <c r="CD15" i="24"/>
  <c r="CA15" i="24"/>
  <c r="BX15" i="24"/>
  <c r="BU15" i="24"/>
  <c r="BR15" i="24"/>
  <c r="BO15" i="24"/>
  <c r="BL15" i="24"/>
  <c r="BI15" i="24"/>
  <c r="BF15" i="24"/>
  <c r="BC15" i="24"/>
  <c r="AZ15" i="24"/>
  <c r="AW15" i="24"/>
  <c r="AT15" i="24"/>
  <c r="AR15" i="24"/>
  <c r="AO15" i="24"/>
  <c r="EK15" i="24" s="1"/>
  <c r="AL15" i="24"/>
  <c r="EB15" i="24" s="1"/>
  <c r="AK15" i="24"/>
  <c r="AH15" i="24"/>
  <c r="AE15" i="24"/>
  <c r="AB15" i="24"/>
  <c r="Y15" i="24"/>
  <c r="V15" i="24"/>
  <c r="S15" i="24"/>
  <c r="EH15" i="24" s="1"/>
  <c r="P15" i="24"/>
  <c r="M15" i="24"/>
  <c r="J15" i="24"/>
  <c r="G15" i="24"/>
  <c r="D15" i="24"/>
  <c r="EL14" i="24"/>
  <c r="EG14" i="24"/>
  <c r="EI14" i="24" s="1"/>
  <c r="EB14" i="24"/>
  <c r="EC14" i="24" s="1"/>
  <c r="DW14" i="24"/>
  <c r="DT14" i="24"/>
  <c r="DQ14" i="24"/>
  <c r="EM14" i="24" s="1"/>
  <c r="DN14" i="24"/>
  <c r="DK14" i="24"/>
  <c r="DH14" i="24"/>
  <c r="DE14" i="24"/>
  <c r="DB14" i="24"/>
  <c r="CY14" i="24"/>
  <c r="CV14" i="24"/>
  <c r="CS14" i="24"/>
  <c r="CP14" i="24"/>
  <c r="CM14" i="24"/>
  <c r="CJ14" i="24"/>
  <c r="CG14" i="24"/>
  <c r="CD14" i="24"/>
  <c r="CA14" i="24"/>
  <c r="BX14" i="24"/>
  <c r="BU14" i="24"/>
  <c r="BR14" i="24"/>
  <c r="BO14" i="24"/>
  <c r="BL14" i="24"/>
  <c r="BI14" i="24"/>
  <c r="BF14" i="24"/>
  <c r="BC14" i="24"/>
  <c r="AZ14" i="24"/>
  <c r="AW14" i="24"/>
  <c r="AT14" i="24"/>
  <c r="AR14" i="24"/>
  <c r="AQ14" i="24"/>
  <c r="AO14" i="24"/>
  <c r="AN14" i="24"/>
  <c r="AL14" i="24"/>
  <c r="EK14" i="24" s="1"/>
  <c r="AK14" i="24"/>
  <c r="AH14" i="24"/>
  <c r="AE14" i="24"/>
  <c r="AB14" i="24"/>
  <c r="Y14" i="24"/>
  <c r="ED14" i="24" s="1"/>
  <c r="V14" i="24"/>
  <c r="S14" i="24"/>
  <c r="EH14" i="24" s="1"/>
  <c r="P14" i="24"/>
  <c r="M14" i="24"/>
  <c r="J14" i="24"/>
  <c r="G14" i="24"/>
  <c r="D14" i="24"/>
  <c r="EL13" i="24"/>
  <c r="EI13" i="24"/>
  <c r="EG13" i="24"/>
  <c r="DW13" i="24"/>
  <c r="DT13" i="24"/>
  <c r="DQ13" i="24"/>
  <c r="DN13" i="24"/>
  <c r="DK13" i="24"/>
  <c r="DH13" i="24"/>
  <c r="DE13" i="24"/>
  <c r="DB13" i="24"/>
  <c r="CY13" i="24"/>
  <c r="CV13" i="24"/>
  <c r="CS13" i="24"/>
  <c r="CP13" i="24"/>
  <c r="CM13" i="24"/>
  <c r="CJ13" i="24"/>
  <c r="CG13" i="24"/>
  <c r="CD13" i="24"/>
  <c r="CA13" i="24"/>
  <c r="BX13" i="24"/>
  <c r="BU13" i="24"/>
  <c r="BR13" i="24"/>
  <c r="BO13" i="24"/>
  <c r="BL13" i="24"/>
  <c r="BI13" i="24"/>
  <c r="BF13" i="24"/>
  <c r="BC13" i="24"/>
  <c r="AZ13" i="24"/>
  <c r="AW13" i="24"/>
  <c r="AR13" i="24"/>
  <c r="EK13" i="24" s="1"/>
  <c r="AO13" i="24"/>
  <c r="AQ13" i="24" s="1"/>
  <c r="AN13" i="24"/>
  <c r="AL13" i="24"/>
  <c r="AK13" i="24"/>
  <c r="AH13" i="24"/>
  <c r="AE13" i="24"/>
  <c r="AB13" i="24"/>
  <c r="Y13" i="24"/>
  <c r="V13" i="24"/>
  <c r="S13" i="24"/>
  <c r="EH13" i="24" s="1"/>
  <c r="P13" i="24"/>
  <c r="M13" i="24"/>
  <c r="J13" i="24"/>
  <c r="G13" i="24"/>
  <c r="D13" i="24"/>
  <c r="EL12" i="24"/>
  <c r="EG12" i="24"/>
  <c r="EI3" i="24" s="1"/>
  <c r="EI4" i="24" s="1"/>
  <c r="DW12" i="24"/>
  <c r="DT12" i="24"/>
  <c r="DQ12" i="24"/>
  <c r="DN12" i="24"/>
  <c r="DK12" i="24"/>
  <c r="DH12" i="24"/>
  <c r="DE12" i="24"/>
  <c r="DB12" i="24"/>
  <c r="CY12" i="24"/>
  <c r="CV12" i="24"/>
  <c r="CS12" i="24"/>
  <c r="CP12" i="24"/>
  <c r="CM12" i="24"/>
  <c r="CJ12" i="24"/>
  <c r="CG12" i="24"/>
  <c r="CD12" i="24"/>
  <c r="CA12" i="24"/>
  <c r="BX12" i="24"/>
  <c r="BU12" i="24"/>
  <c r="BR12" i="24"/>
  <c r="BO12" i="24"/>
  <c r="BL12" i="24"/>
  <c r="BI12" i="24"/>
  <c r="BF12" i="24"/>
  <c r="BC12" i="24"/>
  <c r="AZ12" i="24"/>
  <c r="AW12" i="24"/>
  <c r="AT12" i="24"/>
  <c r="AO12" i="24"/>
  <c r="AQ12" i="24" s="1"/>
  <c r="AN12" i="24"/>
  <c r="AL12" i="24"/>
  <c r="EB12" i="24" s="1"/>
  <c r="AK12" i="24"/>
  <c r="AI12" i="24"/>
  <c r="AH12" i="24"/>
  <c r="AE12" i="24"/>
  <c r="AB12" i="24"/>
  <c r="Y12" i="24"/>
  <c r="V12" i="24"/>
  <c r="S12" i="24"/>
  <c r="EH12" i="24" s="1"/>
  <c r="P12" i="24"/>
  <c r="M12" i="24"/>
  <c r="J12" i="24"/>
  <c r="G12" i="24"/>
  <c r="ED12" i="24" s="1"/>
  <c r="D12" i="24"/>
  <c r="A12" i="24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L11" i="24"/>
  <c r="EG11" i="24"/>
  <c r="EI11" i="24" s="1"/>
  <c r="DW11" i="24"/>
  <c r="DW42" i="24" s="1"/>
  <c r="DT11" i="24"/>
  <c r="DQ11" i="24"/>
  <c r="DQ42" i="24" s="1"/>
  <c r="DN11" i="24"/>
  <c r="DN42" i="24" s="1"/>
  <c r="DK11" i="24"/>
  <c r="DK42" i="24" s="1"/>
  <c r="DH11" i="24"/>
  <c r="DH42" i="24" s="1"/>
  <c r="DE11" i="24"/>
  <c r="DE42" i="24" s="1"/>
  <c r="DB11" i="24"/>
  <c r="DB42" i="24" s="1"/>
  <c r="CY11" i="24"/>
  <c r="CY42" i="24" s="1"/>
  <c r="CV11" i="24"/>
  <c r="CV42" i="24" s="1"/>
  <c r="CS11" i="24"/>
  <c r="CS42" i="24" s="1"/>
  <c r="CP11" i="24"/>
  <c r="CP42" i="24" s="1"/>
  <c r="CM11" i="24"/>
  <c r="CM42" i="24" s="1"/>
  <c r="CJ11" i="24"/>
  <c r="CJ42" i="24" s="1"/>
  <c r="CG11" i="24"/>
  <c r="CG42" i="24" s="1"/>
  <c r="CD11" i="24"/>
  <c r="CD42" i="24" s="1"/>
  <c r="CA11" i="24"/>
  <c r="CA42" i="24" s="1"/>
  <c r="BX11" i="24"/>
  <c r="BX42" i="24" s="1"/>
  <c r="BU11" i="24"/>
  <c r="BU42" i="24" s="1"/>
  <c r="BR11" i="24"/>
  <c r="BR42" i="24" s="1"/>
  <c r="BO11" i="24"/>
  <c r="BO42" i="24" s="1"/>
  <c r="BL11" i="24"/>
  <c r="BL42" i="24" s="1"/>
  <c r="BI11" i="24"/>
  <c r="BI42" i="24" s="1"/>
  <c r="BF11" i="24"/>
  <c r="BF42" i="24" s="1"/>
  <c r="BC11" i="24"/>
  <c r="BC42" i="24" s="1"/>
  <c r="AZ11" i="24"/>
  <c r="AZ42" i="24" s="1"/>
  <c r="AW11" i="24"/>
  <c r="AT11" i="24"/>
  <c r="AQ11" i="24"/>
  <c r="AO11" i="24"/>
  <c r="EK11" i="24" s="1"/>
  <c r="AL11" i="24"/>
  <c r="AN11" i="24" s="1"/>
  <c r="AK11" i="24"/>
  <c r="AK42" i="24" s="1"/>
  <c r="AI11" i="24"/>
  <c r="AH11" i="24"/>
  <c r="EH11" i="24" s="1"/>
  <c r="AE11" i="24"/>
  <c r="AE42" i="24" s="1"/>
  <c r="AB11" i="24"/>
  <c r="AB42" i="24" s="1"/>
  <c r="Y11" i="24"/>
  <c r="Y42" i="24" s="1"/>
  <c r="V11" i="24"/>
  <c r="V42" i="24" s="1"/>
  <c r="S11" i="24"/>
  <c r="P11" i="24"/>
  <c r="P42" i="24" s="1"/>
  <c r="M11" i="24"/>
  <c r="M42" i="24" s="1"/>
  <c r="J11" i="24"/>
  <c r="J42" i="24" s="1"/>
  <c r="G11" i="24"/>
  <c r="G42" i="24" s="1"/>
  <c r="D11" i="24"/>
  <c r="EI2" i="24"/>
  <c r="EN18" i="24" l="1"/>
  <c r="EM21" i="24"/>
  <c r="EN21" i="24" s="1"/>
  <c r="EM24" i="24"/>
  <c r="EC29" i="24"/>
  <c r="EN39" i="24"/>
  <c r="EN40" i="24"/>
  <c r="EN2" i="24"/>
  <c r="EP2" i="24" s="1"/>
  <c r="EN25" i="24"/>
  <c r="EM12" i="24"/>
  <c r="EN14" i="24"/>
  <c r="EC15" i="24"/>
  <c r="EM15" i="24"/>
  <c r="EN15" i="24" s="1"/>
  <c r="ED18" i="24"/>
  <c r="EM25" i="24"/>
  <c r="EM27" i="24"/>
  <c r="EC30" i="24"/>
  <c r="EM33" i="24"/>
  <c r="EN33" i="24" s="1"/>
  <c r="EE39" i="24"/>
  <c r="EC39" i="24"/>
  <c r="EM39" i="24"/>
  <c r="EM41" i="24"/>
  <c r="EN41" i="24" s="1"/>
  <c r="EM18" i="24"/>
  <c r="ED11" i="24"/>
  <c r="ED17" i="24"/>
  <c r="EN17" i="24"/>
  <c r="EC23" i="24"/>
  <c r="EE23" i="24"/>
  <c r="EE27" i="24"/>
  <c r="EC27" i="24"/>
  <c r="EC28" i="24"/>
  <c r="EM29" i="24"/>
  <c r="EC31" i="24"/>
  <c r="EE31" i="24"/>
  <c r="EC35" i="24"/>
  <c r="EE35" i="24"/>
  <c r="EM36" i="24"/>
  <c r="EN36" i="24" s="1"/>
  <c r="EC20" i="24"/>
  <c r="EN24" i="24"/>
  <c r="EN29" i="24"/>
  <c r="EC34" i="24"/>
  <c r="EE34" i="24"/>
  <c r="EE36" i="24"/>
  <c r="EC36" i="24"/>
  <c r="EC37" i="24"/>
  <c r="EC38" i="24"/>
  <c r="EE21" i="24"/>
  <c r="EC21" i="24"/>
  <c r="EH42" i="24"/>
  <c r="EM11" i="24"/>
  <c r="EN11" i="24" s="1"/>
  <c r="EM17" i="24"/>
  <c r="EN20" i="24"/>
  <c r="EN27" i="24"/>
  <c r="ED29" i="24"/>
  <c r="EE29" i="24" s="1"/>
  <c r="ED15" i="24"/>
  <c r="EE15" i="24" s="1"/>
  <c r="EN19" i="24"/>
  <c r="EC19" i="24"/>
  <c r="ED20" i="24"/>
  <c r="EE20" i="24" s="1"/>
  <c r="EN22" i="24"/>
  <c r="ED38" i="24"/>
  <c r="EE38" i="24" s="1"/>
  <c r="EE12" i="24"/>
  <c r="ED24" i="24"/>
  <c r="EN31" i="24"/>
  <c r="ED40" i="24"/>
  <c r="EM40" i="24"/>
  <c r="ED41" i="24"/>
  <c r="EB32" i="24"/>
  <c r="AT13" i="24"/>
  <c r="ED13" i="24" s="1"/>
  <c r="EE14" i="24"/>
  <c r="AQ15" i="24"/>
  <c r="AQ42" i="24" s="1"/>
  <c r="AN16" i="24"/>
  <c r="EM16" i="24" s="1"/>
  <c r="EK16" i="24"/>
  <c r="EC16" i="24" s="1"/>
  <c r="AW18" i="24"/>
  <c r="AW42" i="24" s="1"/>
  <c r="AQ24" i="24"/>
  <c r="AT26" i="24"/>
  <c r="ED26" i="24" s="1"/>
  <c r="AW28" i="24"/>
  <c r="ED28" i="24" s="1"/>
  <c r="EE28" i="24" s="1"/>
  <c r="AN30" i="24"/>
  <c r="EM30" i="24" s="1"/>
  <c r="EK30" i="24"/>
  <c r="AQ32" i="24"/>
  <c r="EM32" i="24" s="1"/>
  <c r="EN32" i="24" s="1"/>
  <c r="AW37" i="24"/>
  <c r="EM37" i="24" s="1"/>
  <c r="EN37" i="24" s="1"/>
  <c r="AT38" i="24"/>
  <c r="EM38" i="24" s="1"/>
  <c r="EN38" i="24" s="1"/>
  <c r="EC41" i="24"/>
  <c r="EB24" i="24"/>
  <c r="EI5" i="24"/>
  <c r="EI12" i="24"/>
  <c r="S42" i="24"/>
  <c r="EB11" i="24"/>
  <c r="EK12" i="24"/>
  <c r="EN12" i="24" s="1"/>
  <c r="EB17" i="24"/>
  <c r="EB22" i="24"/>
  <c r="EB25" i="24"/>
  <c r="EB33" i="24"/>
  <c r="EE41" i="24"/>
  <c r="D42" i="24"/>
  <c r="DT42" i="24"/>
  <c r="EB18" i="24"/>
  <c r="EB13" i="24"/>
  <c r="EB40" i="24"/>
  <c r="AH42" i="24"/>
  <c r="EB26" i="24"/>
  <c r="AN15" i="24"/>
  <c r="AQ38" i="24"/>
  <c r="EE11" i="24" l="1"/>
  <c r="EC11" i="24"/>
  <c r="EE5" i="24"/>
  <c r="G7" i="24" s="1"/>
  <c r="EE3" i="24"/>
  <c r="EN30" i="24"/>
  <c r="EM13" i="24"/>
  <c r="EN13" i="24" s="1"/>
  <c r="EN5" i="24"/>
  <c r="ED32" i="24"/>
  <c r="EE32" i="24" s="1"/>
  <c r="EM28" i="24"/>
  <c r="EN28" i="24" s="1"/>
  <c r="ED30" i="24"/>
  <c r="EE30" i="24" s="1"/>
  <c r="ED37" i="24"/>
  <c r="EE37" i="24" s="1"/>
  <c r="EN3" i="24"/>
  <c r="EN4" i="24" s="1"/>
  <c r="EC26" i="24"/>
  <c r="EE26" i="24"/>
  <c r="EE33" i="24"/>
  <c r="EC33" i="24"/>
  <c r="AN42" i="24"/>
  <c r="AT42" i="24"/>
  <c r="EE25" i="24"/>
  <c r="EC25" i="24"/>
  <c r="EC32" i="24"/>
  <c r="ED16" i="24"/>
  <c r="EE16" i="24" s="1"/>
  <c r="EE24" i="24"/>
  <c r="EC24" i="24"/>
  <c r="EC40" i="24"/>
  <c r="EE40" i="24"/>
  <c r="EE22" i="24"/>
  <c r="EC22" i="24"/>
  <c r="EM26" i="24"/>
  <c r="EN26" i="24" s="1"/>
  <c r="EE13" i="24"/>
  <c r="EC13" i="24"/>
  <c r="EE17" i="24"/>
  <c r="EC17" i="24"/>
  <c r="EC12" i="24"/>
  <c r="EE18" i="24"/>
  <c r="EC18" i="24"/>
  <c r="EN16" i="24"/>
  <c r="ED42" i="24" l="1"/>
  <c r="EM42" i="24"/>
  <c r="EE4" i="24"/>
  <c r="G6" i="24" s="1"/>
  <c r="G5" i="24"/>
  <c r="EL41" i="23" l="1"/>
  <c r="EG41" i="23"/>
  <c r="EI41" i="23" s="1"/>
  <c r="EB41" i="23"/>
  <c r="EE2" i="23" s="1"/>
  <c r="EQ2" i="23" s="1"/>
  <c r="G4" i="23" s="1"/>
  <c r="DW41" i="23"/>
  <c r="DT41" i="23"/>
  <c r="DQ41" i="23"/>
  <c r="DN41" i="23"/>
  <c r="DK41" i="23"/>
  <c r="DH41" i="23"/>
  <c r="DE41" i="23"/>
  <c r="DB41" i="23"/>
  <c r="CY41" i="23"/>
  <c r="CV41" i="23"/>
  <c r="CS41" i="23"/>
  <c r="CP41" i="23"/>
  <c r="CM41" i="23"/>
  <c r="CJ41" i="23"/>
  <c r="CG41" i="23"/>
  <c r="CD41" i="23"/>
  <c r="CA41" i="23"/>
  <c r="BX41" i="23"/>
  <c r="BU41" i="23"/>
  <c r="BR41" i="23"/>
  <c r="BO41" i="23"/>
  <c r="BL41" i="23"/>
  <c r="BI41" i="23"/>
  <c r="BF41" i="23"/>
  <c r="BC41" i="23"/>
  <c r="AZ41" i="23"/>
  <c r="AW41" i="23"/>
  <c r="AT41" i="23"/>
  <c r="AQ41" i="23"/>
  <c r="AO41" i="23"/>
  <c r="EK41" i="23" s="1"/>
  <c r="AL41" i="23"/>
  <c r="AN41" i="23" s="1"/>
  <c r="AI41" i="23"/>
  <c r="AK41" i="23" s="1"/>
  <c r="AH41" i="23"/>
  <c r="AE41" i="23"/>
  <c r="AB41" i="23"/>
  <c r="Y41" i="23"/>
  <c r="V41" i="23"/>
  <c r="S41" i="23"/>
  <c r="EH41" i="23" s="1"/>
  <c r="P41" i="23"/>
  <c r="M41" i="23"/>
  <c r="J41" i="23"/>
  <c r="G41" i="23"/>
  <c r="D41" i="23"/>
  <c r="EL40" i="23"/>
  <c r="EK40" i="23"/>
  <c r="EN40" i="23" s="1"/>
  <c r="EI40" i="23"/>
  <c r="EG40" i="23"/>
  <c r="DW40" i="23"/>
  <c r="DT40" i="23"/>
  <c r="DQ40" i="23"/>
  <c r="DN40" i="23"/>
  <c r="DK40" i="23"/>
  <c r="DH40" i="23"/>
  <c r="DE40" i="23"/>
  <c r="EM40" i="23" s="1"/>
  <c r="DB40" i="23"/>
  <c r="CY40" i="23"/>
  <c r="CV40" i="23"/>
  <c r="CS40" i="23"/>
  <c r="CP40" i="23"/>
  <c r="CM40" i="23"/>
  <c r="CJ40" i="23"/>
  <c r="CG40" i="23"/>
  <c r="CD40" i="23"/>
  <c r="CA40" i="23"/>
  <c r="BX40" i="23"/>
  <c r="BU40" i="23"/>
  <c r="BR40" i="23"/>
  <c r="BO40" i="23"/>
  <c r="BL40" i="23"/>
  <c r="BI40" i="23"/>
  <c r="BF40" i="23"/>
  <c r="BC40" i="23"/>
  <c r="AZ40" i="23"/>
  <c r="AW40" i="23"/>
  <c r="AT40" i="23"/>
  <c r="AO40" i="23"/>
  <c r="AQ40" i="23" s="1"/>
  <c r="AN40" i="23"/>
  <c r="AL40" i="23"/>
  <c r="EB40" i="23" s="1"/>
  <c r="AK40" i="23"/>
  <c r="AI40" i="23"/>
  <c r="AH40" i="23"/>
  <c r="AE40" i="23"/>
  <c r="AB40" i="23"/>
  <c r="Y40" i="23"/>
  <c r="V40" i="23"/>
  <c r="EH40" i="23" s="1"/>
  <c r="S40" i="23"/>
  <c r="P40" i="23"/>
  <c r="M40" i="23"/>
  <c r="J40" i="23"/>
  <c r="G40" i="23"/>
  <c r="D40" i="23"/>
  <c r="ED40" i="23" s="1"/>
  <c r="EL39" i="23"/>
  <c r="EI39" i="23"/>
  <c r="EG39" i="23"/>
  <c r="DW39" i="23"/>
  <c r="DT39" i="23"/>
  <c r="DQ39" i="23"/>
  <c r="DN39" i="23"/>
  <c r="DK39" i="23"/>
  <c r="DH39" i="23"/>
  <c r="DE39" i="23"/>
  <c r="DB39" i="23"/>
  <c r="CY39" i="23"/>
  <c r="CV39" i="23"/>
  <c r="CS39" i="23"/>
  <c r="CP39" i="23"/>
  <c r="CM39" i="23"/>
  <c r="CJ39" i="23"/>
  <c r="CG39" i="23"/>
  <c r="CD39" i="23"/>
  <c r="CA39" i="23"/>
  <c r="BX39" i="23"/>
  <c r="BU39" i="23"/>
  <c r="BR39" i="23"/>
  <c r="BO39" i="23"/>
  <c r="BL39" i="23"/>
  <c r="BI39" i="23"/>
  <c r="BF39" i="23"/>
  <c r="BC39" i="23"/>
  <c r="AZ39" i="23"/>
  <c r="AW39" i="23"/>
  <c r="AT39" i="23"/>
  <c r="AO39" i="23"/>
  <c r="EK39" i="23" s="1"/>
  <c r="AL39" i="23"/>
  <c r="AN39" i="23" s="1"/>
  <c r="AK39" i="23"/>
  <c r="AH39" i="23"/>
  <c r="AE39" i="23"/>
  <c r="AB39" i="23"/>
  <c r="Y39" i="23"/>
  <c r="V39" i="23"/>
  <c r="EH39" i="23" s="1"/>
  <c r="S39" i="23"/>
  <c r="P39" i="23"/>
  <c r="M39" i="23"/>
  <c r="J39" i="23"/>
  <c r="G39" i="23"/>
  <c r="D39" i="23"/>
  <c r="EL38" i="23"/>
  <c r="EI38" i="23"/>
  <c r="EG38" i="23"/>
  <c r="DW38" i="23"/>
  <c r="DT38" i="23"/>
  <c r="DQ38" i="23"/>
  <c r="DN38" i="23"/>
  <c r="DK38" i="23"/>
  <c r="DH38" i="23"/>
  <c r="DE38" i="23"/>
  <c r="DB38" i="23"/>
  <c r="CY38" i="23"/>
  <c r="CV38" i="23"/>
  <c r="CS38" i="23"/>
  <c r="CP38" i="23"/>
  <c r="CM38" i="23"/>
  <c r="CJ38" i="23"/>
  <c r="CG38" i="23"/>
  <c r="CD38" i="23"/>
  <c r="CA38" i="23"/>
  <c r="BX38" i="23"/>
  <c r="BU38" i="23"/>
  <c r="BR38" i="23"/>
  <c r="BO38" i="23"/>
  <c r="BL38" i="23"/>
  <c r="BI38" i="23"/>
  <c r="BF38" i="23"/>
  <c r="BC38" i="23"/>
  <c r="AZ38" i="23"/>
  <c r="AW38" i="23"/>
  <c r="AT38" i="23"/>
  <c r="AO38" i="23"/>
  <c r="EK38" i="23" s="1"/>
  <c r="AL38" i="23"/>
  <c r="AN38" i="23" s="1"/>
  <c r="AK38" i="23"/>
  <c r="AH38" i="23"/>
  <c r="AE38" i="23"/>
  <c r="AB38" i="23"/>
  <c r="Y38" i="23"/>
  <c r="V38" i="23"/>
  <c r="EH38" i="23" s="1"/>
  <c r="S38" i="23"/>
  <c r="P38" i="23"/>
  <c r="M38" i="23"/>
  <c r="J38" i="23"/>
  <c r="G38" i="23"/>
  <c r="D38" i="23"/>
  <c r="EL37" i="23"/>
  <c r="EI37" i="23"/>
  <c r="EG37" i="23"/>
  <c r="DW37" i="23"/>
  <c r="DT37" i="23"/>
  <c r="DQ37" i="23"/>
  <c r="DN37" i="23"/>
  <c r="DK37" i="23"/>
  <c r="DH37" i="23"/>
  <c r="DE37" i="23"/>
  <c r="DB37" i="23"/>
  <c r="CY37" i="23"/>
  <c r="CV37" i="23"/>
  <c r="CS37" i="23"/>
  <c r="CP37" i="23"/>
  <c r="CM37" i="23"/>
  <c r="CJ37" i="23"/>
  <c r="CG37" i="23"/>
  <c r="CD37" i="23"/>
  <c r="CA37" i="23"/>
  <c r="BX37" i="23"/>
  <c r="BU37" i="23"/>
  <c r="BR37" i="23"/>
  <c r="BO37" i="23"/>
  <c r="BL37" i="23"/>
  <c r="BI37" i="23"/>
  <c r="BF37" i="23"/>
  <c r="BC37" i="23"/>
  <c r="AZ37" i="23"/>
  <c r="AW37" i="23"/>
  <c r="AT37" i="23"/>
  <c r="AO37" i="23"/>
  <c r="EK37" i="23" s="1"/>
  <c r="AL37" i="23"/>
  <c r="AN37" i="23" s="1"/>
  <c r="AK37" i="23"/>
  <c r="AH37" i="23"/>
  <c r="AE37" i="23"/>
  <c r="AB37" i="23"/>
  <c r="Y37" i="23"/>
  <c r="V37" i="23"/>
  <c r="EH37" i="23" s="1"/>
  <c r="S37" i="23"/>
  <c r="P37" i="23"/>
  <c r="M37" i="23"/>
  <c r="J37" i="23"/>
  <c r="G37" i="23"/>
  <c r="D37" i="23"/>
  <c r="EL36" i="23"/>
  <c r="EI36" i="23"/>
  <c r="EG36" i="23"/>
  <c r="DW36" i="23"/>
  <c r="DT36" i="23"/>
  <c r="DQ36" i="23"/>
  <c r="DN36" i="23"/>
  <c r="DK36" i="23"/>
  <c r="DH36" i="23"/>
  <c r="DE36" i="23"/>
  <c r="DB36" i="23"/>
  <c r="CY36" i="23"/>
  <c r="CV36" i="23"/>
  <c r="CS36" i="23"/>
  <c r="CP36" i="23"/>
  <c r="CM36" i="23"/>
  <c r="CJ36" i="23"/>
  <c r="CG36" i="23"/>
  <c r="CD36" i="23"/>
  <c r="CA36" i="23"/>
  <c r="BX36" i="23"/>
  <c r="BU36" i="23"/>
  <c r="BR36" i="23"/>
  <c r="BO36" i="23"/>
  <c r="BL36" i="23"/>
  <c r="BI36" i="23"/>
  <c r="BF36" i="23"/>
  <c r="BC36" i="23"/>
  <c r="AZ36" i="23"/>
  <c r="AW36" i="23"/>
  <c r="AT36" i="23"/>
  <c r="AO36" i="23"/>
  <c r="EK36" i="23" s="1"/>
  <c r="AL36" i="23"/>
  <c r="AN36" i="23" s="1"/>
  <c r="AI36" i="23"/>
  <c r="AK36" i="23" s="1"/>
  <c r="AH36" i="23"/>
  <c r="AE36" i="23"/>
  <c r="AB36" i="23"/>
  <c r="Y36" i="23"/>
  <c r="V36" i="23"/>
  <c r="S36" i="23"/>
  <c r="EH36" i="23" s="1"/>
  <c r="P36" i="23"/>
  <c r="M36" i="23"/>
  <c r="J36" i="23"/>
  <c r="G36" i="23"/>
  <c r="D36" i="23"/>
  <c r="EL35" i="23"/>
  <c r="EG35" i="23"/>
  <c r="EI35" i="23" s="1"/>
  <c r="DW35" i="23"/>
  <c r="DT35" i="23"/>
  <c r="DQ35" i="23"/>
  <c r="DN35" i="23"/>
  <c r="DK35" i="23"/>
  <c r="DH35" i="23"/>
  <c r="DE35" i="23"/>
  <c r="DB35" i="23"/>
  <c r="CY35" i="23"/>
  <c r="CV35" i="23"/>
  <c r="CS35" i="23"/>
  <c r="CP35" i="23"/>
  <c r="CM35" i="23"/>
  <c r="CJ35" i="23"/>
  <c r="CG35" i="23"/>
  <c r="CD35" i="23"/>
  <c r="CA35" i="23"/>
  <c r="BX35" i="23"/>
  <c r="BU35" i="23"/>
  <c r="BR35" i="23"/>
  <c r="BO35" i="23"/>
  <c r="BL35" i="23"/>
  <c r="BI35" i="23"/>
  <c r="BF35" i="23"/>
  <c r="BC35" i="23"/>
  <c r="AZ35" i="23"/>
  <c r="AW35" i="23"/>
  <c r="AR35" i="23"/>
  <c r="EK35" i="23" s="1"/>
  <c r="AO35" i="23"/>
  <c r="AQ35" i="23" s="1"/>
  <c r="AL35" i="23"/>
  <c r="AN35" i="23" s="1"/>
  <c r="AK35" i="23"/>
  <c r="AH35" i="23"/>
  <c r="AE35" i="23"/>
  <c r="AB35" i="23"/>
  <c r="Y35" i="23"/>
  <c r="V35" i="23"/>
  <c r="S35" i="23"/>
  <c r="EH35" i="23" s="1"/>
  <c r="P35" i="23"/>
  <c r="M35" i="23"/>
  <c r="J35" i="23"/>
  <c r="G35" i="23"/>
  <c r="D35" i="23"/>
  <c r="C35" i="23"/>
  <c r="B35" i="23"/>
  <c r="EB35" i="23" s="1"/>
  <c r="EL34" i="23"/>
  <c r="EI34" i="23"/>
  <c r="EG34" i="23"/>
  <c r="DW34" i="23"/>
  <c r="DT34" i="23"/>
  <c r="EM34" i="23" s="1"/>
  <c r="DQ34" i="23"/>
  <c r="DN34" i="23"/>
  <c r="DK34" i="23"/>
  <c r="DH34" i="23"/>
  <c r="DE34" i="23"/>
  <c r="DB34" i="23"/>
  <c r="CY34" i="23"/>
  <c r="CV34" i="23"/>
  <c r="CS34" i="23"/>
  <c r="CP34" i="23"/>
  <c r="CM34" i="23"/>
  <c r="CJ34" i="23"/>
  <c r="CG34" i="23"/>
  <c r="CD34" i="23"/>
  <c r="CA34" i="23"/>
  <c r="BX34" i="23"/>
  <c r="BU34" i="23"/>
  <c r="BR34" i="23"/>
  <c r="BO34" i="23"/>
  <c r="BL34" i="23"/>
  <c r="BI34" i="23"/>
  <c r="BF34" i="23"/>
  <c r="BC34" i="23"/>
  <c r="AZ34" i="23"/>
  <c r="AW34" i="23"/>
  <c r="AT34" i="23"/>
  <c r="AR34" i="23"/>
  <c r="EK34" i="23" s="1"/>
  <c r="EN34" i="23" s="1"/>
  <c r="AQ34" i="23"/>
  <c r="AO34" i="23"/>
  <c r="AL34" i="23"/>
  <c r="AN34" i="23" s="1"/>
  <c r="AK34" i="23"/>
  <c r="AH34" i="23"/>
  <c r="AE34" i="23"/>
  <c r="AB34" i="23"/>
  <c r="Y34" i="23"/>
  <c r="V34" i="23"/>
  <c r="S34" i="23"/>
  <c r="EH34" i="23" s="1"/>
  <c r="P34" i="23"/>
  <c r="M34" i="23"/>
  <c r="J34" i="23"/>
  <c r="G34" i="23"/>
  <c r="C34" i="23"/>
  <c r="B34" i="23"/>
  <c r="D34" i="23" s="1"/>
  <c r="ED34" i="23" s="1"/>
  <c r="EL33" i="23"/>
  <c r="EG33" i="23"/>
  <c r="EI33" i="23" s="1"/>
  <c r="DW33" i="23"/>
  <c r="DT33" i="23"/>
  <c r="DQ33" i="23"/>
  <c r="DN33" i="23"/>
  <c r="DK33" i="23"/>
  <c r="DH33" i="23"/>
  <c r="DE33" i="23"/>
  <c r="DB33" i="23"/>
  <c r="CY33" i="23"/>
  <c r="CV33" i="23"/>
  <c r="CS33" i="23"/>
  <c r="CP33" i="23"/>
  <c r="CM33" i="23"/>
  <c r="CJ33" i="23"/>
  <c r="CG33" i="23"/>
  <c r="CD33" i="23"/>
  <c r="CA33" i="23"/>
  <c r="BX33" i="23"/>
  <c r="BU33" i="23"/>
  <c r="BR33" i="23"/>
  <c r="BO33" i="23"/>
  <c r="BL33" i="23"/>
  <c r="BI33" i="23"/>
  <c r="BF33" i="23"/>
  <c r="BC33" i="23"/>
  <c r="AZ33" i="23"/>
  <c r="AW33" i="23"/>
  <c r="AT33" i="23"/>
  <c r="AR33" i="23"/>
  <c r="AO33" i="23"/>
  <c r="EK33" i="23" s="1"/>
  <c r="AL33" i="23"/>
  <c r="EB33" i="23" s="1"/>
  <c r="AI33" i="23"/>
  <c r="AK33" i="23" s="1"/>
  <c r="AH33" i="23"/>
  <c r="AE33" i="23"/>
  <c r="AB33" i="23"/>
  <c r="Y33" i="23"/>
  <c r="V33" i="23"/>
  <c r="S33" i="23"/>
  <c r="EH33" i="23" s="1"/>
  <c r="P33" i="23"/>
  <c r="M33" i="23"/>
  <c r="J33" i="23"/>
  <c r="G33" i="23"/>
  <c r="D33" i="23"/>
  <c r="EL32" i="23"/>
  <c r="EI32" i="23"/>
  <c r="EG32" i="23"/>
  <c r="DW32" i="23"/>
  <c r="DT32" i="23"/>
  <c r="DQ32" i="23"/>
  <c r="DN32" i="23"/>
  <c r="DK32" i="23"/>
  <c r="EM32" i="23" s="1"/>
  <c r="DH32" i="23"/>
  <c r="DE32" i="23"/>
  <c r="DB32" i="23"/>
  <c r="CY32" i="23"/>
  <c r="CV32" i="23"/>
  <c r="CS32" i="23"/>
  <c r="CP32" i="23"/>
  <c r="CM32" i="23"/>
  <c r="CJ32" i="23"/>
  <c r="CG32" i="23"/>
  <c r="CD32" i="23"/>
  <c r="CA32" i="23"/>
  <c r="BX32" i="23"/>
  <c r="BU32" i="23"/>
  <c r="BR32" i="23"/>
  <c r="BO32" i="23"/>
  <c r="BL32" i="23"/>
  <c r="BI32" i="23"/>
  <c r="BF32" i="23"/>
  <c r="BC32" i="23"/>
  <c r="AZ32" i="23"/>
  <c r="AW32" i="23"/>
  <c r="AT32" i="23"/>
  <c r="AQ32" i="23"/>
  <c r="AO32" i="23"/>
  <c r="AN32" i="23"/>
  <c r="AL32" i="23"/>
  <c r="EB32" i="23" s="1"/>
  <c r="AK32" i="23"/>
  <c r="AI32" i="23"/>
  <c r="EK32" i="23" s="1"/>
  <c r="EN32" i="23" s="1"/>
  <c r="AH32" i="23"/>
  <c r="AE32" i="23"/>
  <c r="AB32" i="23"/>
  <c r="Y32" i="23"/>
  <c r="V32" i="23"/>
  <c r="S32" i="23"/>
  <c r="EH32" i="23" s="1"/>
  <c r="P32" i="23"/>
  <c r="M32" i="23"/>
  <c r="J32" i="23"/>
  <c r="G32" i="23"/>
  <c r="D32" i="23"/>
  <c r="ED32" i="23" s="1"/>
  <c r="EL31" i="23"/>
  <c r="EG31" i="23"/>
  <c r="EI31" i="23" s="1"/>
  <c r="DW31" i="23"/>
  <c r="DT31" i="23"/>
  <c r="DQ31" i="23"/>
  <c r="DN31" i="23"/>
  <c r="DK31" i="23"/>
  <c r="DH31" i="23"/>
  <c r="DE31" i="23"/>
  <c r="DB31" i="23"/>
  <c r="CY31" i="23"/>
  <c r="CV31" i="23"/>
  <c r="CS31" i="23"/>
  <c r="CP31" i="23"/>
  <c r="CM31" i="23"/>
  <c r="CJ31" i="23"/>
  <c r="CG31" i="23"/>
  <c r="CD31" i="23"/>
  <c r="CA31" i="23"/>
  <c r="BX31" i="23"/>
  <c r="BU31" i="23"/>
  <c r="BR31" i="23"/>
  <c r="BO31" i="23"/>
  <c r="BL31" i="23"/>
  <c r="BI31" i="23"/>
  <c r="BF31" i="23"/>
  <c r="BC31" i="23"/>
  <c r="AZ31" i="23"/>
  <c r="AW31" i="23"/>
  <c r="AT31" i="23"/>
  <c r="AO31" i="23"/>
  <c r="AQ31" i="23" s="1"/>
  <c r="AL31" i="23"/>
  <c r="AN31" i="23" s="1"/>
  <c r="AK31" i="23"/>
  <c r="AI31" i="23"/>
  <c r="AH31" i="23"/>
  <c r="AE31" i="23"/>
  <c r="AB31" i="23"/>
  <c r="Y31" i="23"/>
  <c r="V31" i="23"/>
  <c r="S31" i="23"/>
  <c r="EH31" i="23" s="1"/>
  <c r="P31" i="23"/>
  <c r="M31" i="23"/>
  <c r="J31" i="23"/>
  <c r="G31" i="23"/>
  <c r="ED31" i="23" s="1"/>
  <c r="D31" i="23"/>
  <c r="EL30" i="23"/>
  <c r="EI30" i="23"/>
  <c r="EG30" i="23"/>
  <c r="DW30" i="23"/>
  <c r="DT30" i="23"/>
  <c r="DQ30" i="23"/>
  <c r="EM30" i="23" s="1"/>
  <c r="DN30" i="23"/>
  <c r="DK30" i="23"/>
  <c r="DH30" i="23"/>
  <c r="DE30" i="23"/>
  <c r="DB30" i="23"/>
  <c r="CY30" i="23"/>
  <c r="CV30" i="23"/>
  <c r="CS30" i="23"/>
  <c r="CP30" i="23"/>
  <c r="CM30" i="23"/>
  <c r="CJ30" i="23"/>
  <c r="CG30" i="23"/>
  <c r="CD30" i="23"/>
  <c r="CA30" i="23"/>
  <c r="BX30" i="23"/>
  <c r="BU30" i="23"/>
  <c r="BR30" i="23"/>
  <c r="BO30" i="23"/>
  <c r="BL30" i="23"/>
  <c r="BI30" i="23"/>
  <c r="BF30" i="23"/>
  <c r="BC30" i="23"/>
  <c r="AZ30" i="23"/>
  <c r="AW30" i="23"/>
  <c r="AT30" i="23"/>
  <c r="AQ30" i="23"/>
  <c r="AO30" i="23"/>
  <c r="EK30" i="23" s="1"/>
  <c r="AN30" i="23"/>
  <c r="AL30" i="23"/>
  <c r="EB30" i="23" s="1"/>
  <c r="AI30" i="23"/>
  <c r="AK30" i="23" s="1"/>
  <c r="AH30" i="23"/>
  <c r="EH30" i="23" s="1"/>
  <c r="AE30" i="23"/>
  <c r="AB30" i="23"/>
  <c r="Y30" i="23"/>
  <c r="V30" i="23"/>
  <c r="S30" i="23"/>
  <c r="P30" i="23"/>
  <c r="M30" i="23"/>
  <c r="J30" i="23"/>
  <c r="G30" i="23"/>
  <c r="D30" i="23"/>
  <c r="ED30" i="23" s="1"/>
  <c r="EL29" i="23"/>
  <c r="EI29" i="23"/>
  <c r="EG29" i="23"/>
  <c r="DW29" i="23"/>
  <c r="DT29" i="23"/>
  <c r="EM29" i="23" s="1"/>
  <c r="DQ29" i="23"/>
  <c r="DN29" i="23"/>
  <c r="DK29" i="23"/>
  <c r="DH29" i="23"/>
  <c r="DE29" i="23"/>
  <c r="DB29" i="23"/>
  <c r="CY29" i="23"/>
  <c r="CV29" i="23"/>
  <c r="CS29" i="23"/>
  <c r="CP29" i="23"/>
  <c r="CM29" i="23"/>
  <c r="CJ29" i="23"/>
  <c r="CG29" i="23"/>
  <c r="CD29" i="23"/>
  <c r="CA29" i="23"/>
  <c r="BX29" i="23"/>
  <c r="BU29" i="23"/>
  <c r="BR29" i="23"/>
  <c r="BO29" i="23"/>
  <c r="BL29" i="23"/>
  <c r="BI29" i="23"/>
  <c r="BF29" i="23"/>
  <c r="BC29" i="23"/>
  <c r="AZ29" i="23"/>
  <c r="AW29" i="23"/>
  <c r="AT29" i="23"/>
  <c r="AQ29" i="23"/>
  <c r="AN29" i="23"/>
  <c r="AL29" i="23"/>
  <c r="EB29" i="23" s="1"/>
  <c r="AI29" i="23"/>
  <c r="AK29" i="23" s="1"/>
  <c r="AH29" i="23"/>
  <c r="AE29" i="23"/>
  <c r="AB29" i="23"/>
  <c r="Y29" i="23"/>
  <c r="V29" i="23"/>
  <c r="S29" i="23"/>
  <c r="EH29" i="23" s="1"/>
  <c r="P29" i="23"/>
  <c r="M29" i="23"/>
  <c r="J29" i="23"/>
  <c r="G29" i="23"/>
  <c r="D29" i="23"/>
  <c r="EL28" i="23"/>
  <c r="EI28" i="23"/>
  <c r="EG28" i="23"/>
  <c r="DW28" i="23"/>
  <c r="DT28" i="23"/>
  <c r="DQ28" i="23"/>
  <c r="DN28" i="23"/>
  <c r="DK28" i="23"/>
  <c r="DH28" i="23"/>
  <c r="DE28" i="23"/>
  <c r="DB28" i="23"/>
  <c r="CY28" i="23"/>
  <c r="CV28" i="23"/>
  <c r="CS28" i="23"/>
  <c r="CP28" i="23"/>
  <c r="CM28" i="23"/>
  <c r="CJ28" i="23"/>
  <c r="CG28" i="23"/>
  <c r="CD28" i="23"/>
  <c r="CA28" i="23"/>
  <c r="BX28" i="23"/>
  <c r="BU28" i="23"/>
  <c r="BR28" i="23"/>
  <c r="BO28" i="23"/>
  <c r="BL28" i="23"/>
  <c r="BI28" i="23"/>
  <c r="BF28" i="23"/>
  <c r="BC28" i="23"/>
  <c r="AZ28" i="23"/>
  <c r="AW28" i="23"/>
  <c r="AT28" i="23"/>
  <c r="AQ28" i="23"/>
  <c r="AN28" i="23"/>
  <c r="AL28" i="23"/>
  <c r="EB28" i="23" s="1"/>
  <c r="AI28" i="23"/>
  <c r="AK28" i="23" s="1"/>
  <c r="AH28" i="23"/>
  <c r="AE28" i="23"/>
  <c r="AB28" i="23"/>
  <c r="Y28" i="23"/>
  <c r="V28" i="23"/>
  <c r="S28" i="23"/>
  <c r="EH28" i="23" s="1"/>
  <c r="P28" i="23"/>
  <c r="M28" i="23"/>
  <c r="J28" i="23"/>
  <c r="G28" i="23"/>
  <c r="D28" i="23"/>
  <c r="EL27" i="23"/>
  <c r="EK27" i="23"/>
  <c r="EI27" i="23"/>
  <c r="EG27" i="23"/>
  <c r="DW27" i="23"/>
  <c r="DT27" i="23"/>
  <c r="EM27" i="23" s="1"/>
  <c r="EN27" i="23" s="1"/>
  <c r="DQ27" i="23"/>
  <c r="DN27" i="23"/>
  <c r="DK27" i="23"/>
  <c r="DH27" i="23"/>
  <c r="DE27" i="23"/>
  <c r="DB27" i="23"/>
  <c r="CY27" i="23"/>
  <c r="CV27" i="23"/>
  <c r="CS27" i="23"/>
  <c r="CP27" i="23"/>
  <c r="CM27" i="23"/>
  <c r="CJ27" i="23"/>
  <c r="CG27" i="23"/>
  <c r="CD27" i="23"/>
  <c r="CA27" i="23"/>
  <c r="BX27" i="23"/>
  <c r="BU27" i="23"/>
  <c r="BR27" i="23"/>
  <c r="BO27" i="23"/>
  <c r="BL27" i="23"/>
  <c r="BI27" i="23"/>
  <c r="BF27" i="23"/>
  <c r="BC27" i="23"/>
  <c r="AZ27" i="23"/>
  <c r="AW27" i="23"/>
  <c r="AT27" i="23"/>
  <c r="AQ27" i="23"/>
  <c r="AN27" i="23"/>
  <c r="AK27" i="23"/>
  <c r="AI27" i="23"/>
  <c r="EB27" i="23" s="1"/>
  <c r="AH27" i="23"/>
  <c r="AE27" i="23"/>
  <c r="AB27" i="23"/>
  <c r="Y27" i="23"/>
  <c r="V27" i="23"/>
  <c r="S27" i="23"/>
  <c r="EH27" i="23" s="1"/>
  <c r="P27" i="23"/>
  <c r="M27" i="23"/>
  <c r="J27" i="23"/>
  <c r="G27" i="23"/>
  <c r="ED27" i="23" s="1"/>
  <c r="D27" i="23"/>
  <c r="EL26" i="23"/>
  <c r="EI26" i="23"/>
  <c r="EG26" i="23"/>
  <c r="DW26" i="23"/>
  <c r="DT26" i="23"/>
  <c r="DQ26" i="23"/>
  <c r="EM26" i="23" s="1"/>
  <c r="DN26" i="23"/>
  <c r="DK26" i="23"/>
  <c r="DH26" i="23"/>
  <c r="DE26" i="23"/>
  <c r="DB26" i="23"/>
  <c r="CY26" i="23"/>
  <c r="CV26" i="23"/>
  <c r="CS26" i="23"/>
  <c r="CP26" i="23"/>
  <c r="CM26" i="23"/>
  <c r="CJ26" i="23"/>
  <c r="CG26" i="23"/>
  <c r="CD26" i="23"/>
  <c r="CA26" i="23"/>
  <c r="BX26" i="23"/>
  <c r="BU26" i="23"/>
  <c r="BR26" i="23"/>
  <c r="BO26" i="23"/>
  <c r="BL26" i="23"/>
  <c r="BI26" i="23"/>
  <c r="BF26" i="23"/>
  <c r="BC26" i="23"/>
  <c r="AZ26" i="23"/>
  <c r="AW26" i="23"/>
  <c r="AT26" i="23"/>
  <c r="AQ26" i="23"/>
  <c r="AN26" i="23"/>
  <c r="AK26" i="23"/>
  <c r="AI26" i="23"/>
  <c r="EB26" i="23" s="1"/>
  <c r="AH26" i="23"/>
  <c r="AE26" i="23"/>
  <c r="AB26" i="23"/>
  <c r="EH26" i="23" s="1"/>
  <c r="Y26" i="23"/>
  <c r="V26" i="23"/>
  <c r="S26" i="23"/>
  <c r="P26" i="23"/>
  <c r="M26" i="23"/>
  <c r="J26" i="23"/>
  <c r="G26" i="23"/>
  <c r="D26" i="23"/>
  <c r="ED26" i="23" s="1"/>
  <c r="EL25" i="23"/>
  <c r="EG25" i="23"/>
  <c r="EI25" i="23" s="1"/>
  <c r="DW25" i="23"/>
  <c r="DT25" i="23"/>
  <c r="DQ25" i="23"/>
  <c r="DN25" i="23"/>
  <c r="DK25" i="23"/>
  <c r="DH25" i="23"/>
  <c r="DE25" i="23"/>
  <c r="DB25" i="23"/>
  <c r="CY25" i="23"/>
  <c r="CV25" i="23"/>
  <c r="CS25" i="23"/>
  <c r="CP25" i="23"/>
  <c r="CM25" i="23"/>
  <c r="CJ25" i="23"/>
  <c r="CG25" i="23"/>
  <c r="CD25" i="23"/>
  <c r="CA25" i="23"/>
  <c r="BX25" i="23"/>
  <c r="BU25" i="23"/>
  <c r="BR25" i="23"/>
  <c r="BO25" i="23"/>
  <c r="BL25" i="23"/>
  <c r="BI25" i="23"/>
  <c r="BF25" i="23"/>
  <c r="BC25" i="23"/>
  <c r="AZ25" i="23"/>
  <c r="AW25" i="23"/>
  <c r="AT25" i="23"/>
  <c r="AQ25" i="23"/>
  <c r="AN25" i="23"/>
  <c r="AI25" i="23"/>
  <c r="AK25" i="23" s="1"/>
  <c r="AH25" i="23"/>
  <c r="AE25" i="23"/>
  <c r="AB25" i="23"/>
  <c r="Y25" i="23"/>
  <c r="V25" i="23"/>
  <c r="S25" i="23"/>
  <c r="ED25" i="23" s="1"/>
  <c r="P25" i="23"/>
  <c r="M25" i="23"/>
  <c r="J25" i="23"/>
  <c r="G25" i="23"/>
  <c r="D25" i="23"/>
  <c r="EL24" i="23"/>
  <c r="EK24" i="23"/>
  <c r="EN24" i="23" s="1"/>
  <c r="EG24" i="23"/>
  <c r="EI24" i="23" s="1"/>
  <c r="DW24" i="23"/>
  <c r="DT24" i="23"/>
  <c r="DQ24" i="23"/>
  <c r="DN24" i="23"/>
  <c r="DK24" i="23"/>
  <c r="EM24" i="23" s="1"/>
  <c r="DH24" i="23"/>
  <c r="DE24" i="23"/>
  <c r="DB24" i="23"/>
  <c r="CY24" i="23"/>
  <c r="CV24" i="23"/>
  <c r="CS24" i="23"/>
  <c r="CP24" i="23"/>
  <c r="CM24" i="23"/>
  <c r="CJ24" i="23"/>
  <c r="CG24" i="23"/>
  <c r="CD24" i="23"/>
  <c r="CA24" i="23"/>
  <c r="BX24" i="23"/>
  <c r="BU24" i="23"/>
  <c r="BR24" i="23"/>
  <c r="BO24" i="23"/>
  <c r="BL24" i="23"/>
  <c r="BI24" i="23"/>
  <c r="BF24" i="23"/>
  <c r="BC24" i="23"/>
  <c r="AZ24" i="23"/>
  <c r="AW24" i="23"/>
  <c r="AT24" i="23"/>
  <c r="AQ24" i="23"/>
  <c r="AN24" i="23"/>
  <c r="AK24" i="23"/>
  <c r="AI24" i="23"/>
  <c r="EB24" i="23" s="1"/>
  <c r="AH24" i="23"/>
  <c r="AE24" i="23"/>
  <c r="AB24" i="23"/>
  <c r="Y24" i="23"/>
  <c r="V24" i="23"/>
  <c r="S24" i="23"/>
  <c r="EH24" i="23" s="1"/>
  <c r="P24" i="23"/>
  <c r="M24" i="23"/>
  <c r="J24" i="23"/>
  <c r="G24" i="23"/>
  <c r="D24" i="23"/>
  <c r="ED24" i="23" s="1"/>
  <c r="EL23" i="23"/>
  <c r="EI23" i="23"/>
  <c r="EG23" i="23"/>
  <c r="DW23" i="23"/>
  <c r="DT23" i="23"/>
  <c r="EM23" i="23" s="1"/>
  <c r="DQ23" i="23"/>
  <c r="DN23" i="23"/>
  <c r="DK23" i="23"/>
  <c r="DH23" i="23"/>
  <c r="DE23" i="23"/>
  <c r="DB23" i="23"/>
  <c r="CY23" i="23"/>
  <c r="CV23" i="23"/>
  <c r="CS23" i="23"/>
  <c r="CP23" i="23"/>
  <c r="CM23" i="23"/>
  <c r="CJ23" i="23"/>
  <c r="CG23" i="23"/>
  <c r="CD23" i="23"/>
  <c r="CA23" i="23"/>
  <c r="BX23" i="23"/>
  <c r="BU23" i="23"/>
  <c r="BR23" i="23"/>
  <c r="BO23" i="23"/>
  <c r="BL23" i="23"/>
  <c r="BI23" i="23"/>
  <c r="BF23" i="23"/>
  <c r="BC23" i="23"/>
  <c r="AZ23" i="23"/>
  <c r="AW23" i="23"/>
  <c r="AT23" i="23"/>
  <c r="AQ23" i="23"/>
  <c r="AN23" i="23"/>
  <c r="AI23" i="23"/>
  <c r="AK23" i="23" s="1"/>
  <c r="AH23" i="23"/>
  <c r="AE23" i="23"/>
  <c r="AB23" i="23"/>
  <c r="Y23" i="23"/>
  <c r="V23" i="23"/>
  <c r="S23" i="23"/>
  <c r="EH23" i="23" s="1"/>
  <c r="P23" i="23"/>
  <c r="M23" i="23"/>
  <c r="J23" i="23"/>
  <c r="G23" i="23"/>
  <c r="D23" i="23"/>
  <c r="EM22" i="23"/>
  <c r="EL22" i="23"/>
  <c r="EK22" i="23"/>
  <c r="EN22" i="23" s="1"/>
  <c r="EG22" i="23"/>
  <c r="EI22" i="23" s="1"/>
  <c r="DW22" i="23"/>
  <c r="DT22" i="23"/>
  <c r="DQ22" i="23"/>
  <c r="DN22" i="23"/>
  <c r="DK22" i="23"/>
  <c r="DH22" i="23"/>
  <c r="DE22" i="23"/>
  <c r="DB22" i="23"/>
  <c r="CY22" i="23"/>
  <c r="CV22" i="23"/>
  <c r="CS22" i="23"/>
  <c r="CP22" i="23"/>
  <c r="CM22" i="23"/>
  <c r="CJ22" i="23"/>
  <c r="CG22" i="23"/>
  <c r="CD22" i="23"/>
  <c r="CA22" i="23"/>
  <c r="BX22" i="23"/>
  <c r="BU22" i="23"/>
  <c r="BR22" i="23"/>
  <c r="BO22" i="23"/>
  <c r="BL22" i="23"/>
  <c r="BI22" i="23"/>
  <c r="BF22" i="23"/>
  <c r="BC22" i="23"/>
  <c r="AZ22" i="23"/>
  <c r="AW22" i="23"/>
  <c r="AT22" i="23"/>
  <c r="AQ22" i="23"/>
  <c r="AN22" i="23"/>
  <c r="AK22" i="23"/>
  <c r="AI22" i="23"/>
  <c r="EB22" i="23" s="1"/>
  <c r="AH22" i="23"/>
  <c r="AE22" i="23"/>
  <c r="AB22" i="23"/>
  <c r="EH22" i="23" s="1"/>
  <c r="Y22" i="23"/>
  <c r="V22" i="23"/>
  <c r="S22" i="23"/>
  <c r="P22" i="23"/>
  <c r="M22" i="23"/>
  <c r="J22" i="23"/>
  <c r="G22" i="23"/>
  <c r="D22" i="23"/>
  <c r="ED22" i="23" s="1"/>
  <c r="EL21" i="23"/>
  <c r="EI21" i="23"/>
  <c r="EG21" i="23"/>
  <c r="EB21" i="23"/>
  <c r="DW21" i="23"/>
  <c r="DT21" i="23"/>
  <c r="DQ21" i="23"/>
  <c r="DN21" i="23"/>
  <c r="DK21" i="23"/>
  <c r="DH21" i="23"/>
  <c r="DE21" i="23"/>
  <c r="DB21" i="23"/>
  <c r="CY21" i="23"/>
  <c r="CV21" i="23"/>
  <c r="CS21" i="23"/>
  <c r="CP21" i="23"/>
  <c r="CM21" i="23"/>
  <c r="CJ21" i="23"/>
  <c r="CG21" i="23"/>
  <c r="CD21" i="23"/>
  <c r="CA21" i="23"/>
  <c r="BX21" i="23"/>
  <c r="BU21" i="23"/>
  <c r="BR21" i="23"/>
  <c r="BO21" i="23"/>
  <c r="BL21" i="23"/>
  <c r="BI21" i="23"/>
  <c r="BF21" i="23"/>
  <c r="BC21" i="23"/>
  <c r="AZ21" i="23"/>
  <c r="AW21" i="23"/>
  <c r="AT21" i="23"/>
  <c r="AQ21" i="23"/>
  <c r="AN21" i="23"/>
  <c r="AI21" i="23"/>
  <c r="EK21" i="23" s="1"/>
  <c r="AH21" i="23"/>
  <c r="AE21" i="23"/>
  <c r="AB21" i="23"/>
  <c r="Y21" i="23"/>
  <c r="V21" i="23"/>
  <c r="EH21" i="23" s="1"/>
  <c r="S21" i="23"/>
  <c r="P21" i="23"/>
  <c r="M21" i="23"/>
  <c r="J21" i="23"/>
  <c r="G21" i="23"/>
  <c r="D21" i="23"/>
  <c r="EL20" i="23"/>
  <c r="EK20" i="23"/>
  <c r="EG20" i="23"/>
  <c r="EI20" i="23" s="1"/>
  <c r="DW20" i="23"/>
  <c r="DT20" i="23"/>
  <c r="DQ20" i="23"/>
  <c r="DN20" i="23"/>
  <c r="DK20" i="23"/>
  <c r="DH20" i="23"/>
  <c r="DE20" i="23"/>
  <c r="DB20" i="23"/>
  <c r="CY20" i="23"/>
  <c r="CV20" i="23"/>
  <c r="CS20" i="23"/>
  <c r="CP20" i="23"/>
  <c r="CM20" i="23"/>
  <c r="CJ20" i="23"/>
  <c r="CG20" i="23"/>
  <c r="CD20" i="23"/>
  <c r="CA20" i="23"/>
  <c r="BX20" i="23"/>
  <c r="BU20" i="23"/>
  <c r="BR20" i="23"/>
  <c r="BO20" i="23"/>
  <c r="BL20" i="23"/>
  <c r="BI20" i="23"/>
  <c r="BF20" i="23"/>
  <c r="BC20" i="23"/>
  <c r="AZ20" i="23"/>
  <c r="AW20" i="23"/>
  <c r="AT20" i="23"/>
  <c r="AQ20" i="23"/>
  <c r="AN20" i="23"/>
  <c r="AI20" i="23"/>
  <c r="AK20" i="23" s="1"/>
  <c r="AH20" i="23"/>
  <c r="AE20" i="23"/>
  <c r="AB20" i="23"/>
  <c r="Y20" i="23"/>
  <c r="V20" i="23"/>
  <c r="EH20" i="23" s="1"/>
  <c r="S20" i="23"/>
  <c r="P20" i="23"/>
  <c r="M20" i="23"/>
  <c r="J20" i="23"/>
  <c r="G20" i="23"/>
  <c r="D20" i="23"/>
  <c r="EL19" i="23"/>
  <c r="EK19" i="23"/>
  <c r="EI19" i="23"/>
  <c r="EG19" i="23"/>
  <c r="DW19" i="23"/>
  <c r="DT19" i="23"/>
  <c r="EM19" i="23" s="1"/>
  <c r="EN19" i="23" s="1"/>
  <c r="DQ19" i="23"/>
  <c r="DN19" i="23"/>
  <c r="DK19" i="23"/>
  <c r="DH19" i="23"/>
  <c r="DE19" i="23"/>
  <c r="DB19" i="23"/>
  <c r="CY19" i="23"/>
  <c r="CV19" i="23"/>
  <c r="CS19" i="23"/>
  <c r="CP19" i="23"/>
  <c r="CM19" i="23"/>
  <c r="CJ19" i="23"/>
  <c r="CG19" i="23"/>
  <c r="CD19" i="23"/>
  <c r="CA19" i="23"/>
  <c r="BX19" i="23"/>
  <c r="BU19" i="23"/>
  <c r="BR19" i="23"/>
  <c r="BO19" i="23"/>
  <c r="BL19" i="23"/>
  <c r="BI19" i="23"/>
  <c r="BF19" i="23"/>
  <c r="BC19" i="23"/>
  <c r="AZ19" i="23"/>
  <c r="AW19" i="23"/>
  <c r="AT19" i="23"/>
  <c r="AQ19" i="23"/>
  <c r="AN19" i="23"/>
  <c r="AK19" i="23"/>
  <c r="AI19" i="23"/>
  <c r="EB19" i="23" s="1"/>
  <c r="AH19" i="23"/>
  <c r="AE19" i="23"/>
  <c r="AB19" i="23"/>
  <c r="Y19" i="23"/>
  <c r="V19" i="23"/>
  <c r="S19" i="23"/>
  <c r="EH19" i="23" s="1"/>
  <c r="P19" i="23"/>
  <c r="M19" i="23"/>
  <c r="J19" i="23"/>
  <c r="G19" i="23"/>
  <c r="ED19" i="23" s="1"/>
  <c r="D19" i="23"/>
  <c r="EL18" i="23"/>
  <c r="EI18" i="23"/>
  <c r="EG18" i="23"/>
  <c r="DW18" i="23"/>
  <c r="DT18" i="23"/>
  <c r="DQ18" i="23"/>
  <c r="EM18" i="23" s="1"/>
  <c r="DN18" i="23"/>
  <c r="DK18" i="23"/>
  <c r="DH18" i="23"/>
  <c r="DE18" i="23"/>
  <c r="DB18" i="23"/>
  <c r="CY18" i="23"/>
  <c r="CV18" i="23"/>
  <c r="CS18" i="23"/>
  <c r="CP18" i="23"/>
  <c r="CM18" i="23"/>
  <c r="CJ18" i="23"/>
  <c r="CG18" i="23"/>
  <c r="CD18" i="23"/>
  <c r="CA18" i="23"/>
  <c r="BX18" i="23"/>
  <c r="BU18" i="23"/>
  <c r="BR18" i="23"/>
  <c r="BO18" i="23"/>
  <c r="BL18" i="23"/>
  <c r="BI18" i="23"/>
  <c r="BF18" i="23"/>
  <c r="BC18" i="23"/>
  <c r="AZ18" i="23"/>
  <c r="AW18" i="23"/>
  <c r="AT18" i="23"/>
  <c r="AQ18" i="23"/>
  <c r="AN18" i="23"/>
  <c r="AK18" i="23"/>
  <c r="AI18" i="23"/>
  <c r="EB18" i="23" s="1"/>
  <c r="AH18" i="23"/>
  <c r="AE18" i="23"/>
  <c r="AB18" i="23"/>
  <c r="EH18" i="23" s="1"/>
  <c r="Y18" i="23"/>
  <c r="V18" i="23"/>
  <c r="S18" i="23"/>
  <c r="P18" i="23"/>
  <c r="M18" i="23"/>
  <c r="J18" i="23"/>
  <c r="G18" i="23"/>
  <c r="D18" i="23"/>
  <c r="ED18" i="23" s="1"/>
  <c r="EL17" i="23"/>
  <c r="EG17" i="23"/>
  <c r="EI17" i="23" s="1"/>
  <c r="DW17" i="23"/>
  <c r="DT17" i="23"/>
  <c r="DQ17" i="23"/>
  <c r="DN17" i="23"/>
  <c r="DK17" i="23"/>
  <c r="DH17" i="23"/>
  <c r="DE17" i="23"/>
  <c r="DB17" i="23"/>
  <c r="CY17" i="23"/>
  <c r="CV17" i="23"/>
  <c r="CS17" i="23"/>
  <c r="CP17" i="23"/>
  <c r="CM17" i="23"/>
  <c r="CJ17" i="23"/>
  <c r="CG17" i="23"/>
  <c r="CD17" i="23"/>
  <c r="CA17" i="23"/>
  <c r="BX17" i="23"/>
  <c r="BU17" i="23"/>
  <c r="BR17" i="23"/>
  <c r="BO17" i="23"/>
  <c r="BL17" i="23"/>
  <c r="BI17" i="23"/>
  <c r="BF17" i="23"/>
  <c r="BC17" i="23"/>
  <c r="AZ17" i="23"/>
  <c r="AW17" i="23"/>
  <c r="AT17" i="23"/>
  <c r="AQ17" i="23"/>
  <c r="AN17" i="23"/>
  <c r="AI17" i="23"/>
  <c r="AK17" i="23" s="1"/>
  <c r="AH17" i="23"/>
  <c r="AE17" i="23"/>
  <c r="AB17" i="23"/>
  <c r="Y17" i="23"/>
  <c r="V17" i="23"/>
  <c r="S17" i="23"/>
  <c r="EH17" i="23" s="1"/>
  <c r="P17" i="23"/>
  <c r="M17" i="23"/>
  <c r="J17" i="23"/>
  <c r="G17" i="23"/>
  <c r="D17" i="23"/>
  <c r="EL16" i="23"/>
  <c r="EK16" i="23"/>
  <c r="EN16" i="23" s="1"/>
  <c r="EG16" i="23"/>
  <c r="EI16" i="23" s="1"/>
  <c r="DW16" i="23"/>
  <c r="DT16" i="23"/>
  <c r="DQ16" i="23"/>
  <c r="DN16" i="23"/>
  <c r="DK16" i="23"/>
  <c r="EM16" i="23" s="1"/>
  <c r="DH16" i="23"/>
  <c r="DE16" i="23"/>
  <c r="DB16" i="23"/>
  <c r="CY16" i="23"/>
  <c r="CV16" i="23"/>
  <c r="CS16" i="23"/>
  <c r="CP16" i="23"/>
  <c r="CM16" i="23"/>
  <c r="CM42" i="23" s="1"/>
  <c r="CJ16" i="23"/>
  <c r="CG16" i="23"/>
  <c r="CD16" i="23"/>
  <c r="CA16" i="23"/>
  <c r="BX16" i="23"/>
  <c r="BU16" i="23"/>
  <c r="BR16" i="23"/>
  <c r="BO16" i="23"/>
  <c r="BO42" i="23" s="1"/>
  <c r="BL16" i="23"/>
  <c r="BI16" i="23"/>
  <c r="BF16" i="23"/>
  <c r="BC16" i="23"/>
  <c r="AZ16" i="23"/>
  <c r="AW16" i="23"/>
  <c r="AT16" i="23"/>
  <c r="AQ16" i="23"/>
  <c r="AN16" i="23"/>
  <c r="AK16" i="23"/>
  <c r="AI16" i="23"/>
  <c r="EB16" i="23" s="1"/>
  <c r="AH16" i="23"/>
  <c r="AE16" i="23"/>
  <c r="AB16" i="23"/>
  <c r="Y16" i="23"/>
  <c r="V16" i="23"/>
  <c r="S16" i="23"/>
  <c r="EH16" i="23" s="1"/>
  <c r="P16" i="23"/>
  <c r="M16" i="23"/>
  <c r="J16" i="23"/>
  <c r="G16" i="23"/>
  <c r="D16" i="23"/>
  <c r="ED16" i="23" s="1"/>
  <c r="EL15" i="23"/>
  <c r="EI15" i="23"/>
  <c r="EG15" i="23"/>
  <c r="DW15" i="23"/>
  <c r="DT15" i="23"/>
  <c r="DQ15" i="23"/>
  <c r="DN15" i="23"/>
  <c r="DK15" i="23"/>
  <c r="DH15" i="23"/>
  <c r="DE15" i="23"/>
  <c r="DB15" i="23"/>
  <c r="CY15" i="23"/>
  <c r="CV15" i="23"/>
  <c r="CS15" i="23"/>
  <c r="CP15" i="23"/>
  <c r="CM15" i="23"/>
  <c r="CJ15" i="23"/>
  <c r="CG15" i="23"/>
  <c r="CD15" i="23"/>
  <c r="CA15" i="23"/>
  <c r="BX15" i="23"/>
  <c r="BU15" i="23"/>
  <c r="BR15" i="23"/>
  <c r="BO15" i="23"/>
  <c r="BL15" i="23"/>
  <c r="BI15" i="23"/>
  <c r="BF15" i="23"/>
  <c r="BC15" i="23"/>
  <c r="AZ15" i="23"/>
  <c r="AW15" i="23"/>
  <c r="AT15" i="23"/>
  <c r="AQ15" i="23"/>
  <c r="AN15" i="23"/>
  <c r="AI15" i="23"/>
  <c r="AK15" i="23" s="1"/>
  <c r="AH15" i="23"/>
  <c r="AE15" i="23"/>
  <c r="AB15" i="23"/>
  <c r="Y15" i="23"/>
  <c r="V15" i="23"/>
  <c r="S15" i="23"/>
  <c r="S42" i="23" s="1"/>
  <c r="P15" i="23"/>
  <c r="M15" i="23"/>
  <c r="J15" i="23"/>
  <c r="G15" i="23"/>
  <c r="D15" i="23"/>
  <c r="EL14" i="23"/>
  <c r="EK14" i="23"/>
  <c r="EG14" i="23"/>
  <c r="EI14" i="23" s="1"/>
  <c r="DW14" i="23"/>
  <c r="DT14" i="23"/>
  <c r="DQ14" i="23"/>
  <c r="DN14" i="23"/>
  <c r="DK14" i="23"/>
  <c r="DH14" i="23"/>
  <c r="DE14" i="23"/>
  <c r="EM14" i="23" s="1"/>
  <c r="DB14" i="23"/>
  <c r="CY14" i="23"/>
  <c r="CV14" i="23"/>
  <c r="CS14" i="23"/>
  <c r="CP14" i="23"/>
  <c r="CM14" i="23"/>
  <c r="CJ14" i="23"/>
  <c r="CG14" i="23"/>
  <c r="CD14" i="23"/>
  <c r="CA14" i="23"/>
  <c r="BX14" i="23"/>
  <c r="BU14" i="23"/>
  <c r="BR14" i="23"/>
  <c r="BO14" i="23"/>
  <c r="BL14" i="23"/>
  <c r="BI14" i="23"/>
  <c r="BF14" i="23"/>
  <c r="BC14" i="23"/>
  <c r="AZ14" i="23"/>
  <c r="AW14" i="23"/>
  <c r="AT14" i="23"/>
  <c r="AQ14" i="23"/>
  <c r="AN14" i="23"/>
  <c r="AK14" i="23"/>
  <c r="AI14" i="23"/>
  <c r="EB14" i="23" s="1"/>
  <c r="AH14" i="23"/>
  <c r="AE14" i="23"/>
  <c r="AB14" i="23"/>
  <c r="EH14" i="23" s="1"/>
  <c r="Y14" i="23"/>
  <c r="V14" i="23"/>
  <c r="S14" i="23"/>
  <c r="P14" i="23"/>
  <c r="M14" i="23"/>
  <c r="J14" i="23"/>
  <c r="G14" i="23"/>
  <c r="D14" i="23"/>
  <c r="ED14" i="23" s="1"/>
  <c r="EL13" i="23"/>
  <c r="EG13" i="23"/>
  <c r="EI13" i="23" s="1"/>
  <c r="EB13" i="23"/>
  <c r="DW13" i="23"/>
  <c r="DT13" i="23"/>
  <c r="DQ13" i="23"/>
  <c r="DN13" i="23"/>
  <c r="DK13" i="23"/>
  <c r="DH13" i="23"/>
  <c r="DE13" i="23"/>
  <c r="DB13" i="23"/>
  <c r="CY13" i="23"/>
  <c r="CV13" i="23"/>
  <c r="CS13" i="23"/>
  <c r="CP13" i="23"/>
  <c r="CM13" i="23"/>
  <c r="CJ13" i="23"/>
  <c r="CG13" i="23"/>
  <c r="CD13" i="23"/>
  <c r="CA13" i="23"/>
  <c r="BX13" i="23"/>
  <c r="BU13" i="23"/>
  <c r="BR13" i="23"/>
  <c r="BO13" i="23"/>
  <c r="BL13" i="23"/>
  <c r="BI13" i="23"/>
  <c r="BF13" i="23"/>
  <c r="BC13" i="23"/>
  <c r="AZ13" i="23"/>
  <c r="AW13" i="23"/>
  <c r="AT13" i="23"/>
  <c r="AQ13" i="23"/>
  <c r="AN13" i="23"/>
  <c r="AI13" i="23"/>
  <c r="EK13" i="23" s="1"/>
  <c r="AH13" i="23"/>
  <c r="AE13" i="23"/>
  <c r="AB13" i="23"/>
  <c r="Y13" i="23"/>
  <c r="V13" i="23"/>
  <c r="S13" i="23"/>
  <c r="EH13" i="23" s="1"/>
  <c r="P13" i="23"/>
  <c r="M13" i="23"/>
  <c r="J13" i="23"/>
  <c r="G13" i="23"/>
  <c r="D13" i="23"/>
  <c r="A13" i="23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EL12" i="23"/>
  <c r="EK12" i="23"/>
  <c r="EG12" i="23"/>
  <c r="EI12" i="23" s="1"/>
  <c r="DW12" i="23"/>
  <c r="DT12" i="23"/>
  <c r="EM12" i="23" s="1"/>
  <c r="DQ12" i="23"/>
  <c r="DN12" i="23"/>
  <c r="DK12" i="23"/>
  <c r="DH12" i="23"/>
  <c r="DE12" i="23"/>
  <c r="DB12" i="23"/>
  <c r="CY12" i="23"/>
  <c r="CV12" i="23"/>
  <c r="CS12" i="23"/>
  <c r="CP12" i="23"/>
  <c r="CM12" i="23"/>
  <c r="CJ12" i="23"/>
  <c r="CG12" i="23"/>
  <c r="CD12" i="23"/>
  <c r="CA12" i="23"/>
  <c r="BX12" i="23"/>
  <c r="BU12" i="23"/>
  <c r="BR12" i="23"/>
  <c r="BO12" i="23"/>
  <c r="BL12" i="23"/>
  <c r="BI12" i="23"/>
  <c r="BF12" i="23"/>
  <c r="BC12" i="23"/>
  <c r="AZ12" i="23"/>
  <c r="AW12" i="23"/>
  <c r="AT12" i="23"/>
  <c r="AQ12" i="23"/>
  <c r="AN12" i="23"/>
  <c r="AI12" i="23"/>
  <c r="AK12" i="23" s="1"/>
  <c r="AH12" i="23"/>
  <c r="AE12" i="23"/>
  <c r="AB12" i="23"/>
  <c r="Y12" i="23"/>
  <c r="V12" i="23"/>
  <c r="EH12" i="23" s="1"/>
  <c r="S12" i="23"/>
  <c r="P12" i="23"/>
  <c r="M12" i="23"/>
  <c r="J12" i="23"/>
  <c r="G12" i="23"/>
  <c r="D12" i="23"/>
  <c r="ED12" i="23" s="1"/>
  <c r="A12" i="23"/>
  <c r="EL11" i="23"/>
  <c r="EI11" i="23"/>
  <c r="EG11" i="23"/>
  <c r="EI5" i="23" s="1"/>
  <c r="DW11" i="23"/>
  <c r="DW42" i="23" s="1"/>
  <c r="DT11" i="23"/>
  <c r="DT42" i="23" s="1"/>
  <c r="DQ11" i="23"/>
  <c r="DQ42" i="23" s="1"/>
  <c r="DN11" i="23"/>
  <c r="DN42" i="23" s="1"/>
  <c r="DK11" i="23"/>
  <c r="DH11" i="23"/>
  <c r="DH42" i="23" s="1"/>
  <c r="DE11" i="23"/>
  <c r="DE42" i="23" s="1"/>
  <c r="DB11" i="23"/>
  <c r="DB42" i="23" s="1"/>
  <c r="CY11" i="23"/>
  <c r="CY42" i="23" s="1"/>
  <c r="CV11" i="23"/>
  <c r="CV42" i="23" s="1"/>
  <c r="CS11" i="23"/>
  <c r="CS42" i="23" s="1"/>
  <c r="CP11" i="23"/>
  <c r="CP42" i="23" s="1"/>
  <c r="CM11" i="23"/>
  <c r="CJ11" i="23"/>
  <c r="CJ42" i="23" s="1"/>
  <c r="CG11" i="23"/>
  <c r="CG42" i="23" s="1"/>
  <c r="CD11" i="23"/>
  <c r="CD42" i="23" s="1"/>
  <c r="CA11" i="23"/>
  <c r="CA42" i="23" s="1"/>
  <c r="BX11" i="23"/>
  <c r="BX42" i="23" s="1"/>
  <c r="BU11" i="23"/>
  <c r="BU42" i="23" s="1"/>
  <c r="BR11" i="23"/>
  <c r="BR42" i="23" s="1"/>
  <c r="BO11" i="23"/>
  <c r="BL11" i="23"/>
  <c r="BL42" i="23" s="1"/>
  <c r="BI11" i="23"/>
  <c r="BI42" i="23" s="1"/>
  <c r="BF11" i="23"/>
  <c r="BF42" i="23" s="1"/>
  <c r="BC11" i="23"/>
  <c r="BC42" i="23" s="1"/>
  <c r="AZ11" i="23"/>
  <c r="AZ42" i="23" s="1"/>
  <c r="AW11" i="23"/>
  <c r="AW42" i="23" s="1"/>
  <c r="AT11" i="23"/>
  <c r="AQ11" i="23"/>
  <c r="AN11" i="23"/>
  <c r="AL11" i="23"/>
  <c r="EB11" i="23" s="1"/>
  <c r="AI11" i="23"/>
  <c r="AK11" i="23" s="1"/>
  <c r="AH11" i="23"/>
  <c r="AH42" i="23" s="1"/>
  <c r="AE11" i="23"/>
  <c r="AE42" i="23" s="1"/>
  <c r="AB11" i="23"/>
  <c r="AB42" i="23" s="1"/>
  <c r="Y11" i="23"/>
  <c r="Y42" i="23" s="1"/>
  <c r="V11" i="23"/>
  <c r="V42" i="23" s="1"/>
  <c r="S11" i="23"/>
  <c r="EH11" i="23" s="1"/>
  <c r="P11" i="23"/>
  <c r="P42" i="23" s="1"/>
  <c r="M11" i="23"/>
  <c r="M42" i="23" s="1"/>
  <c r="J11" i="23"/>
  <c r="J42" i="23" s="1"/>
  <c r="G11" i="23"/>
  <c r="G42" i="23" s="1"/>
  <c r="D11" i="23"/>
  <c r="EI2" i="23"/>
  <c r="EC32" i="23" l="1"/>
  <c r="EE32" i="23"/>
  <c r="ED11" i="23"/>
  <c r="EM15" i="23"/>
  <c r="EC16" i="23"/>
  <c r="EE16" i="23"/>
  <c r="EE19" i="23"/>
  <c r="EC19" i="23"/>
  <c r="EM25" i="23"/>
  <c r="EE26" i="23"/>
  <c r="ED29" i="23"/>
  <c r="EC35" i="23"/>
  <c r="ED41" i="23"/>
  <c r="EN12" i="23"/>
  <c r="EM17" i="23"/>
  <c r="EE18" i="23"/>
  <c r="EC18" i="23"/>
  <c r="EC22" i="23"/>
  <c r="EE22" i="23"/>
  <c r="ED28" i="23"/>
  <c r="EE30" i="23"/>
  <c r="EC30" i="23"/>
  <c r="ED33" i="23"/>
  <c r="EE33" i="23" s="1"/>
  <c r="EM41" i="23"/>
  <c r="EN41" i="23" s="1"/>
  <c r="ED17" i="23"/>
  <c r="EM28" i="23"/>
  <c r="EE11" i="23"/>
  <c r="ED20" i="23"/>
  <c r="EM20" i="23"/>
  <c r="EN20" i="23" s="1"/>
  <c r="EE29" i="23"/>
  <c r="EC29" i="23"/>
  <c r="EN30" i="23"/>
  <c r="EM31" i="23"/>
  <c r="ED36" i="23"/>
  <c r="EM39" i="23"/>
  <c r="EN39" i="23" s="1"/>
  <c r="EN14" i="23"/>
  <c r="EM13" i="23"/>
  <c r="EN13" i="23" s="1"/>
  <c r="EC14" i="23"/>
  <c r="EE14" i="23"/>
  <c r="EC24" i="23"/>
  <c r="EE24" i="23"/>
  <c r="EE27" i="23"/>
  <c r="EC27" i="23"/>
  <c r="EE28" i="23"/>
  <c r="EC33" i="23"/>
  <c r="EM33" i="23"/>
  <c r="EN33" i="23" s="1"/>
  <c r="EE40" i="23"/>
  <c r="EC40" i="23"/>
  <c r="EN2" i="23"/>
  <c r="EP2" i="23" s="1"/>
  <c r="ED15" i="23"/>
  <c r="EK11" i="23"/>
  <c r="EC11" i="23" s="1"/>
  <c r="EB12" i="23"/>
  <c r="EE5" i="23" s="1"/>
  <c r="G7" i="23" s="1"/>
  <c r="AK13" i="23"/>
  <c r="AK42" i="23" s="1"/>
  <c r="EC13" i="23"/>
  <c r="EB20" i="23"/>
  <c r="AK21" i="23"/>
  <c r="ED21" i="23" s="1"/>
  <c r="EE21" i="23" s="1"/>
  <c r="EC21" i="23"/>
  <c r="EH25" i="23"/>
  <c r="EH42" i="23" s="1"/>
  <c r="EK28" i="23"/>
  <c r="EK29" i="23"/>
  <c r="EN29" i="23" s="1"/>
  <c r="AQ33" i="23"/>
  <c r="AQ42" i="23" s="1"/>
  <c r="AT35" i="23"/>
  <c r="AT42" i="23" s="1"/>
  <c r="AQ36" i="23"/>
  <c r="EM36" i="23" s="1"/>
  <c r="EN36" i="23" s="1"/>
  <c r="AQ37" i="23"/>
  <c r="ED37" i="23" s="1"/>
  <c r="AQ38" i="23"/>
  <c r="EM38" i="23" s="1"/>
  <c r="EN38" i="23" s="1"/>
  <c r="AQ39" i="23"/>
  <c r="ED39" i="23" s="1"/>
  <c r="EC41" i="23"/>
  <c r="ED23" i="23"/>
  <c r="DK42" i="23"/>
  <c r="EI3" i="23"/>
  <c r="EI4" i="23" s="1"/>
  <c r="EK18" i="23"/>
  <c r="EN18" i="23" s="1"/>
  <c r="EK26" i="23"/>
  <c r="EN26" i="23" s="1"/>
  <c r="EB34" i="23"/>
  <c r="ED38" i="23"/>
  <c r="EM11" i="23"/>
  <c r="EH15" i="23"/>
  <c r="EK17" i="23"/>
  <c r="EK25" i="23"/>
  <c r="EN25" i="23" s="1"/>
  <c r="EK31" i="23"/>
  <c r="EN31" i="23" s="1"/>
  <c r="EE41" i="23"/>
  <c r="D42" i="23"/>
  <c r="EB17" i="23"/>
  <c r="EE3" i="23" s="1"/>
  <c r="EB25" i="23"/>
  <c r="EB31" i="23"/>
  <c r="EK15" i="23"/>
  <c r="EN15" i="23" s="1"/>
  <c r="EK23" i="23"/>
  <c r="EN23" i="23" s="1"/>
  <c r="EB15" i="23"/>
  <c r="EB23" i="23"/>
  <c r="EB36" i="23"/>
  <c r="EB37" i="23"/>
  <c r="EB38" i="23"/>
  <c r="EB39" i="23"/>
  <c r="AN33" i="23"/>
  <c r="AN42" i="23" s="1"/>
  <c r="G5" i="23" l="1"/>
  <c r="EN17" i="23"/>
  <c r="ED13" i="23"/>
  <c r="EE13" i="23" s="1"/>
  <c r="EC26" i="23"/>
  <c r="EC39" i="23"/>
  <c r="EE39" i="23"/>
  <c r="EE31" i="23"/>
  <c r="EC31" i="23"/>
  <c r="EE12" i="23"/>
  <c r="EC12" i="23"/>
  <c r="ED35" i="23"/>
  <c r="EE35" i="23" s="1"/>
  <c r="EC38" i="23"/>
  <c r="EE38" i="23"/>
  <c r="EE25" i="23"/>
  <c r="EC25" i="23"/>
  <c r="EN28" i="23"/>
  <c r="EN11" i="23"/>
  <c r="EN5" i="23"/>
  <c r="EN3" i="23"/>
  <c r="EM35" i="23"/>
  <c r="EN35" i="23" s="1"/>
  <c r="EM21" i="23"/>
  <c r="EN21" i="23" s="1"/>
  <c r="EE17" i="23"/>
  <c r="EC17" i="23"/>
  <c r="EC37" i="23"/>
  <c r="EE37" i="23"/>
  <c r="EM37" i="23"/>
  <c r="EN37" i="23" s="1"/>
  <c r="EC36" i="23"/>
  <c r="EE36" i="23"/>
  <c r="EE34" i="23"/>
  <c r="EC34" i="23"/>
  <c r="EC23" i="23"/>
  <c r="EE23" i="23"/>
  <c r="EC15" i="23"/>
  <c r="EE15" i="23"/>
  <c r="EE20" i="23"/>
  <c r="EC20" i="23"/>
  <c r="EC28" i="23"/>
  <c r="EE4" i="23" l="1"/>
  <c r="G6" i="23" s="1"/>
  <c r="EM42" i="23"/>
  <c r="EN4" i="23"/>
  <c r="ED42" i="23"/>
  <c r="EL40" i="22" l="1"/>
  <c r="EG40" i="22"/>
  <c r="EI40" i="22" s="1"/>
  <c r="DW40" i="22"/>
  <c r="DT40" i="22"/>
  <c r="DQ40" i="22"/>
  <c r="DN40" i="22"/>
  <c r="DK40" i="22"/>
  <c r="DH40" i="22"/>
  <c r="DE40" i="22"/>
  <c r="DB40" i="22"/>
  <c r="CY40" i="22"/>
  <c r="CV40" i="22"/>
  <c r="CS40" i="22"/>
  <c r="CP40" i="22"/>
  <c r="CM40" i="22"/>
  <c r="CJ40" i="22"/>
  <c r="CG40" i="22"/>
  <c r="CD40" i="22"/>
  <c r="CA40" i="22"/>
  <c r="BX40" i="22"/>
  <c r="BU40" i="22"/>
  <c r="BR40" i="22"/>
  <c r="BO40" i="22"/>
  <c r="BL40" i="22"/>
  <c r="BI40" i="22"/>
  <c r="BF40" i="22"/>
  <c r="BC40" i="22"/>
  <c r="AZ40" i="22"/>
  <c r="AW40" i="22"/>
  <c r="AT40" i="22"/>
  <c r="AQ40" i="22"/>
  <c r="AL40" i="22"/>
  <c r="EB40" i="22" s="1"/>
  <c r="AK40" i="22"/>
  <c r="AI40" i="22"/>
  <c r="AH40" i="22"/>
  <c r="AE40" i="22"/>
  <c r="AB40" i="22"/>
  <c r="Y40" i="22"/>
  <c r="V40" i="22"/>
  <c r="S40" i="22"/>
  <c r="EH40" i="22" s="1"/>
  <c r="P40" i="22"/>
  <c r="M40" i="22"/>
  <c r="J40" i="22"/>
  <c r="G40" i="22"/>
  <c r="D40" i="22"/>
  <c r="EL39" i="22"/>
  <c r="EI39" i="22"/>
  <c r="EG39" i="22"/>
  <c r="DW39" i="22"/>
  <c r="DT39" i="22"/>
  <c r="DQ39" i="22"/>
  <c r="DN39" i="22"/>
  <c r="DK39" i="22"/>
  <c r="DH39" i="22"/>
  <c r="DE39" i="22"/>
  <c r="DB39" i="22"/>
  <c r="CY39" i="22"/>
  <c r="CV39" i="22"/>
  <c r="CS39" i="22"/>
  <c r="CP39" i="22"/>
  <c r="CM39" i="22"/>
  <c r="CJ39" i="22"/>
  <c r="CG39" i="22"/>
  <c r="CD39" i="22"/>
  <c r="CA39" i="22"/>
  <c r="BX39" i="22"/>
  <c r="BU39" i="22"/>
  <c r="BR39" i="22"/>
  <c r="BO39" i="22"/>
  <c r="BL39" i="22"/>
  <c r="BI39" i="22"/>
  <c r="BF39" i="22"/>
  <c r="BC39" i="22"/>
  <c r="AZ39" i="22"/>
  <c r="AW39" i="22"/>
  <c r="AT39" i="22"/>
  <c r="AQ39" i="22"/>
  <c r="AL39" i="22"/>
  <c r="EB39" i="22" s="1"/>
  <c r="AK39" i="22"/>
  <c r="AI39" i="22"/>
  <c r="AH39" i="22"/>
  <c r="AE39" i="22"/>
  <c r="AB39" i="22"/>
  <c r="Y39" i="22"/>
  <c r="V39" i="22"/>
  <c r="S39" i="22"/>
  <c r="EH39" i="22" s="1"/>
  <c r="P39" i="22"/>
  <c r="M39" i="22"/>
  <c r="J39" i="22"/>
  <c r="G39" i="22"/>
  <c r="D39" i="22"/>
  <c r="EL38" i="22"/>
  <c r="EI38" i="22"/>
  <c r="EG38" i="22"/>
  <c r="DW38" i="22"/>
  <c r="DT38" i="22"/>
  <c r="DQ38" i="22"/>
  <c r="DN38" i="22"/>
  <c r="DK38" i="22"/>
  <c r="DH38" i="22"/>
  <c r="DE38" i="22"/>
  <c r="DB38" i="22"/>
  <c r="CY38" i="22"/>
  <c r="CV38" i="22"/>
  <c r="CS38" i="22"/>
  <c r="CP38" i="22"/>
  <c r="CM38" i="22"/>
  <c r="CJ38" i="22"/>
  <c r="CG38" i="22"/>
  <c r="CD38" i="22"/>
  <c r="CA38" i="22"/>
  <c r="BX38" i="22"/>
  <c r="BU38" i="22"/>
  <c r="BR38" i="22"/>
  <c r="BO38" i="22"/>
  <c r="BL38" i="22"/>
  <c r="BI38" i="22"/>
  <c r="BF38" i="22"/>
  <c r="BC38" i="22"/>
  <c r="AZ38" i="22"/>
  <c r="AW38" i="22"/>
  <c r="AT38" i="22"/>
  <c r="AQ38" i="22"/>
  <c r="AL38" i="22"/>
  <c r="EB38" i="22" s="1"/>
  <c r="AK38" i="22"/>
  <c r="AI38" i="22"/>
  <c r="AH38" i="22"/>
  <c r="AE38" i="22"/>
  <c r="AB38" i="22"/>
  <c r="Y38" i="22"/>
  <c r="V38" i="22"/>
  <c r="S38" i="22"/>
  <c r="EH38" i="22" s="1"/>
  <c r="P38" i="22"/>
  <c r="M38" i="22"/>
  <c r="J38" i="22"/>
  <c r="G38" i="22"/>
  <c r="D38" i="22"/>
  <c r="EL37" i="22"/>
  <c r="EI37" i="22"/>
  <c r="EG37" i="22"/>
  <c r="DW37" i="22"/>
  <c r="DT37" i="22"/>
  <c r="DQ37" i="22"/>
  <c r="DN37" i="22"/>
  <c r="DK37" i="22"/>
  <c r="DH37" i="22"/>
  <c r="DE37" i="22"/>
  <c r="DB37" i="22"/>
  <c r="CY37" i="22"/>
  <c r="CV37" i="22"/>
  <c r="CS37" i="22"/>
  <c r="CP37" i="22"/>
  <c r="CM37" i="22"/>
  <c r="CJ37" i="22"/>
  <c r="CG37" i="22"/>
  <c r="CD37" i="22"/>
  <c r="CA37" i="22"/>
  <c r="BX37" i="22"/>
  <c r="BU37" i="22"/>
  <c r="BR37" i="22"/>
  <c r="BO37" i="22"/>
  <c r="BL37" i="22"/>
  <c r="BI37" i="22"/>
  <c r="BF37" i="22"/>
  <c r="BC37" i="22"/>
  <c r="AZ37" i="22"/>
  <c r="AW37" i="22"/>
  <c r="AT37" i="22"/>
  <c r="AQ37" i="22"/>
  <c r="AL37" i="22"/>
  <c r="EB37" i="22" s="1"/>
  <c r="AK37" i="22"/>
  <c r="AI37" i="22"/>
  <c r="AH37" i="22"/>
  <c r="AE37" i="22"/>
  <c r="AB37" i="22"/>
  <c r="Y37" i="22"/>
  <c r="V37" i="22"/>
  <c r="S37" i="22"/>
  <c r="EH37" i="22" s="1"/>
  <c r="P37" i="22"/>
  <c r="M37" i="22"/>
  <c r="J37" i="22"/>
  <c r="G37" i="22"/>
  <c r="D37" i="22"/>
  <c r="EL36" i="22"/>
  <c r="EI36" i="22"/>
  <c r="EG36" i="22"/>
  <c r="DW36" i="22"/>
  <c r="DT36" i="22"/>
  <c r="DQ36" i="22"/>
  <c r="DN36" i="22"/>
  <c r="DK36" i="22"/>
  <c r="DH36" i="22"/>
  <c r="DE36" i="22"/>
  <c r="EM36" i="22" s="1"/>
  <c r="DB36" i="22"/>
  <c r="CY36" i="22"/>
  <c r="CV36" i="22"/>
  <c r="CS36" i="22"/>
  <c r="CP36" i="22"/>
  <c r="CM36" i="22"/>
  <c r="CJ36" i="22"/>
  <c r="CG36" i="22"/>
  <c r="CD36" i="22"/>
  <c r="CA36" i="22"/>
  <c r="BX36" i="22"/>
  <c r="BU36" i="22"/>
  <c r="BR36" i="22"/>
  <c r="BO36" i="22"/>
  <c r="BL36" i="22"/>
  <c r="BI36" i="22"/>
  <c r="BF36" i="22"/>
  <c r="BC36" i="22"/>
  <c r="AZ36" i="22"/>
  <c r="AW36" i="22"/>
  <c r="AT36" i="22"/>
  <c r="AQ36" i="22"/>
  <c r="AN36" i="22"/>
  <c r="AK36" i="22"/>
  <c r="AI36" i="22"/>
  <c r="EB36" i="22" s="1"/>
  <c r="AH36" i="22"/>
  <c r="AE36" i="22"/>
  <c r="AB36" i="22"/>
  <c r="Y36" i="22"/>
  <c r="V36" i="22"/>
  <c r="S36" i="22"/>
  <c r="EH36" i="22" s="1"/>
  <c r="P36" i="22"/>
  <c r="M36" i="22"/>
  <c r="J36" i="22"/>
  <c r="G36" i="22"/>
  <c r="D36" i="22"/>
  <c r="ED36" i="22" s="1"/>
  <c r="EL35" i="22"/>
  <c r="EG35" i="22"/>
  <c r="EI35" i="22" s="1"/>
  <c r="DW35" i="22"/>
  <c r="DT35" i="22"/>
  <c r="DQ35" i="22"/>
  <c r="DN35" i="22"/>
  <c r="DK35" i="22"/>
  <c r="DH35" i="22"/>
  <c r="DE35" i="22"/>
  <c r="DB35" i="22"/>
  <c r="CY35" i="22"/>
  <c r="CV35" i="22"/>
  <c r="CS35" i="22"/>
  <c r="CP35" i="22"/>
  <c r="CM35" i="22"/>
  <c r="CJ35" i="22"/>
  <c r="CG35" i="22"/>
  <c r="CD35" i="22"/>
  <c r="CA35" i="22"/>
  <c r="BX35" i="22"/>
  <c r="BU35" i="22"/>
  <c r="BR35" i="22"/>
  <c r="BO35" i="22"/>
  <c r="BL35" i="22"/>
  <c r="BI35" i="22"/>
  <c r="BF35" i="22"/>
  <c r="BC35" i="22"/>
  <c r="AZ35" i="22"/>
  <c r="AW35" i="22"/>
  <c r="AT35" i="22"/>
  <c r="AQ35" i="22"/>
  <c r="AN35" i="22"/>
  <c r="AI35" i="22"/>
  <c r="EK35" i="22" s="1"/>
  <c r="AH35" i="22"/>
  <c r="AE35" i="22"/>
  <c r="AB35" i="22"/>
  <c r="Y35" i="22"/>
  <c r="V35" i="22"/>
  <c r="S35" i="22"/>
  <c r="EH35" i="22" s="1"/>
  <c r="P35" i="22"/>
  <c r="M35" i="22"/>
  <c r="J35" i="22"/>
  <c r="G35" i="22"/>
  <c r="D35" i="22"/>
  <c r="EL34" i="22"/>
  <c r="EK34" i="22"/>
  <c r="EI34" i="22"/>
  <c r="EG34" i="22"/>
  <c r="DW34" i="22"/>
  <c r="DT34" i="22"/>
  <c r="DQ34" i="22"/>
  <c r="DN34" i="22"/>
  <c r="DK34" i="22"/>
  <c r="DH34" i="22"/>
  <c r="DE34" i="22"/>
  <c r="DB34" i="22"/>
  <c r="CY34" i="22"/>
  <c r="CV34" i="22"/>
  <c r="CS34" i="22"/>
  <c r="CP34" i="22"/>
  <c r="CM34" i="22"/>
  <c r="CJ34" i="22"/>
  <c r="CG34" i="22"/>
  <c r="CD34" i="22"/>
  <c r="CA34" i="22"/>
  <c r="BX34" i="22"/>
  <c r="BU34" i="22"/>
  <c r="BR34" i="22"/>
  <c r="BO34" i="22"/>
  <c r="BL34" i="22"/>
  <c r="BI34" i="22"/>
  <c r="BF34" i="22"/>
  <c r="BC34" i="22"/>
  <c r="AZ34" i="22"/>
  <c r="AW34" i="22"/>
  <c r="AT34" i="22"/>
  <c r="AQ34" i="22"/>
  <c r="AN34" i="22"/>
  <c r="AI34" i="22"/>
  <c r="EB34" i="22" s="1"/>
  <c r="AH34" i="22"/>
  <c r="AE34" i="22"/>
  <c r="AB34" i="22"/>
  <c r="Y34" i="22"/>
  <c r="V34" i="22"/>
  <c r="S34" i="22"/>
  <c r="EH34" i="22" s="1"/>
  <c r="P34" i="22"/>
  <c r="M34" i="22"/>
  <c r="J34" i="22"/>
  <c r="G34" i="22"/>
  <c r="D34" i="22"/>
  <c r="EL33" i="22"/>
  <c r="EK33" i="22"/>
  <c r="EI33" i="22"/>
  <c r="EG33" i="22"/>
  <c r="DW33" i="22"/>
  <c r="DT33" i="22"/>
  <c r="EM33" i="22" s="1"/>
  <c r="DQ33" i="22"/>
  <c r="DN33" i="22"/>
  <c r="DK33" i="22"/>
  <c r="DH33" i="22"/>
  <c r="DE33" i="22"/>
  <c r="DB33" i="22"/>
  <c r="CY33" i="22"/>
  <c r="CV33" i="22"/>
  <c r="CS33" i="22"/>
  <c r="CP33" i="22"/>
  <c r="CM33" i="22"/>
  <c r="CJ33" i="22"/>
  <c r="CG33" i="22"/>
  <c r="CD33" i="22"/>
  <c r="CA33" i="22"/>
  <c r="BX33" i="22"/>
  <c r="BU33" i="22"/>
  <c r="BR33" i="22"/>
  <c r="BO33" i="22"/>
  <c r="BL33" i="22"/>
  <c r="BI33" i="22"/>
  <c r="BF33" i="22"/>
  <c r="BC33" i="22"/>
  <c r="AZ33" i="22"/>
  <c r="AW33" i="22"/>
  <c r="AT33" i="22"/>
  <c r="AQ33" i="22"/>
  <c r="AN33" i="22"/>
  <c r="AI33" i="22"/>
  <c r="AK33" i="22" s="1"/>
  <c r="AH33" i="22"/>
  <c r="AE33" i="22"/>
  <c r="AB33" i="22"/>
  <c r="Y33" i="22"/>
  <c r="V33" i="22"/>
  <c r="S33" i="22"/>
  <c r="EH33" i="22" s="1"/>
  <c r="P33" i="22"/>
  <c r="M33" i="22"/>
  <c r="J33" i="22"/>
  <c r="G33" i="22"/>
  <c r="D33" i="22"/>
  <c r="EL32" i="22"/>
  <c r="EI32" i="22"/>
  <c r="EG32" i="22"/>
  <c r="DW32" i="22"/>
  <c r="DT32" i="22"/>
  <c r="EM32" i="22" s="1"/>
  <c r="DQ32" i="22"/>
  <c r="DN32" i="22"/>
  <c r="DK32" i="22"/>
  <c r="DH32" i="22"/>
  <c r="DE32" i="22"/>
  <c r="DB32" i="22"/>
  <c r="CY32" i="22"/>
  <c r="CV32" i="22"/>
  <c r="CS32" i="22"/>
  <c r="CP32" i="22"/>
  <c r="CM32" i="22"/>
  <c r="CJ32" i="22"/>
  <c r="CG32" i="22"/>
  <c r="CD32" i="22"/>
  <c r="CA32" i="22"/>
  <c r="BX32" i="22"/>
  <c r="BU32" i="22"/>
  <c r="BR32" i="22"/>
  <c r="BO32" i="22"/>
  <c r="BL32" i="22"/>
  <c r="BI32" i="22"/>
  <c r="BF32" i="22"/>
  <c r="BC32" i="22"/>
  <c r="AZ32" i="22"/>
  <c r="AW32" i="22"/>
  <c r="AT32" i="22"/>
  <c r="AQ32" i="22"/>
  <c r="AN32" i="22"/>
  <c r="AK32" i="22"/>
  <c r="AI32" i="22"/>
  <c r="EB32" i="22" s="1"/>
  <c r="AH32" i="22"/>
  <c r="AE32" i="22"/>
  <c r="AB32" i="22"/>
  <c r="EH32" i="22" s="1"/>
  <c r="Y32" i="22"/>
  <c r="V32" i="22"/>
  <c r="S32" i="22"/>
  <c r="P32" i="22"/>
  <c r="M32" i="22"/>
  <c r="J32" i="22"/>
  <c r="G32" i="22"/>
  <c r="D32" i="22"/>
  <c r="ED32" i="22" s="1"/>
  <c r="EL31" i="22"/>
  <c r="EG31" i="22"/>
  <c r="EI31" i="22" s="1"/>
  <c r="DW31" i="22"/>
  <c r="DT31" i="22"/>
  <c r="DQ31" i="22"/>
  <c r="DN31" i="22"/>
  <c r="DK31" i="22"/>
  <c r="DH31" i="22"/>
  <c r="DE31" i="22"/>
  <c r="DB31" i="22"/>
  <c r="CY31" i="22"/>
  <c r="CV31" i="22"/>
  <c r="CS31" i="22"/>
  <c r="CP31" i="22"/>
  <c r="CM31" i="22"/>
  <c r="CJ31" i="22"/>
  <c r="CG31" i="22"/>
  <c r="CD31" i="22"/>
  <c r="CA31" i="22"/>
  <c r="BX31" i="22"/>
  <c r="BU31" i="22"/>
  <c r="BR31" i="22"/>
  <c r="BO31" i="22"/>
  <c r="BL31" i="22"/>
  <c r="BI31" i="22"/>
  <c r="BF31" i="22"/>
  <c r="BC31" i="22"/>
  <c r="AZ31" i="22"/>
  <c r="AW31" i="22"/>
  <c r="AT31" i="22"/>
  <c r="AQ31" i="22"/>
  <c r="AN31" i="22"/>
  <c r="AI31" i="22"/>
  <c r="EB31" i="22" s="1"/>
  <c r="AH31" i="22"/>
  <c r="AE31" i="22"/>
  <c r="AB31" i="22"/>
  <c r="Y31" i="22"/>
  <c r="EH31" i="22" s="1"/>
  <c r="V31" i="22"/>
  <c r="S31" i="22"/>
  <c r="P31" i="22"/>
  <c r="M31" i="22"/>
  <c r="J31" i="22"/>
  <c r="G31" i="22"/>
  <c r="D31" i="22"/>
  <c r="EL30" i="22"/>
  <c r="EK30" i="22"/>
  <c r="EG30" i="22"/>
  <c r="EI30" i="22" s="1"/>
  <c r="DW30" i="22"/>
  <c r="DT30" i="22"/>
  <c r="EM30" i="22" s="1"/>
  <c r="DQ30" i="22"/>
  <c r="DN30" i="22"/>
  <c r="DK30" i="22"/>
  <c r="DH30" i="22"/>
  <c r="DE30" i="22"/>
  <c r="DB30" i="22"/>
  <c r="CY30" i="22"/>
  <c r="CV30" i="22"/>
  <c r="CS30" i="22"/>
  <c r="CP30" i="22"/>
  <c r="CM30" i="22"/>
  <c r="CJ30" i="22"/>
  <c r="CG30" i="22"/>
  <c r="CD30" i="22"/>
  <c r="CA30" i="22"/>
  <c r="BX30" i="22"/>
  <c r="BU30" i="22"/>
  <c r="BR30" i="22"/>
  <c r="BO30" i="22"/>
  <c r="BL30" i="22"/>
  <c r="BI30" i="22"/>
  <c r="BF30" i="22"/>
  <c r="BC30" i="22"/>
  <c r="AZ30" i="22"/>
  <c r="AW30" i="22"/>
  <c r="AT30" i="22"/>
  <c r="AQ30" i="22"/>
  <c r="AN30" i="22"/>
  <c r="AI30" i="22"/>
  <c r="AK30" i="22" s="1"/>
  <c r="AH30" i="22"/>
  <c r="AE30" i="22"/>
  <c r="AB30" i="22"/>
  <c r="Y30" i="22"/>
  <c r="V30" i="22"/>
  <c r="S30" i="22"/>
  <c r="EH30" i="22" s="1"/>
  <c r="P30" i="22"/>
  <c r="M30" i="22"/>
  <c r="J30" i="22"/>
  <c r="ED30" i="22" s="1"/>
  <c r="G30" i="22"/>
  <c r="D30" i="22"/>
  <c r="EL29" i="22"/>
  <c r="EI29" i="22"/>
  <c r="EG29" i="22"/>
  <c r="DW29" i="22"/>
  <c r="DT29" i="22"/>
  <c r="EM29" i="22" s="1"/>
  <c r="DQ29" i="22"/>
  <c r="DN29" i="22"/>
  <c r="DK29" i="22"/>
  <c r="DH29" i="22"/>
  <c r="DE29" i="22"/>
  <c r="DB29" i="22"/>
  <c r="CY29" i="22"/>
  <c r="CV29" i="22"/>
  <c r="CS29" i="22"/>
  <c r="CP29" i="22"/>
  <c r="CM29" i="22"/>
  <c r="CJ29" i="22"/>
  <c r="CG29" i="22"/>
  <c r="CD29" i="22"/>
  <c r="CA29" i="22"/>
  <c r="BX29" i="22"/>
  <c r="BU29" i="22"/>
  <c r="BR29" i="22"/>
  <c r="BO29" i="22"/>
  <c r="BL29" i="22"/>
  <c r="BI29" i="22"/>
  <c r="BF29" i="22"/>
  <c r="BC29" i="22"/>
  <c r="AZ29" i="22"/>
  <c r="AW29" i="22"/>
  <c r="AT29" i="22"/>
  <c r="AQ29" i="22"/>
  <c r="AN29" i="22"/>
  <c r="AK29" i="22"/>
  <c r="AI29" i="22"/>
  <c r="EB29" i="22" s="1"/>
  <c r="AH29" i="22"/>
  <c r="AE29" i="22"/>
  <c r="AB29" i="22"/>
  <c r="Y29" i="22"/>
  <c r="V29" i="22"/>
  <c r="S29" i="22"/>
  <c r="ED29" i="22" s="1"/>
  <c r="P29" i="22"/>
  <c r="M29" i="22"/>
  <c r="J29" i="22"/>
  <c r="G29" i="22"/>
  <c r="D29" i="22"/>
  <c r="EL28" i="22"/>
  <c r="EI28" i="22"/>
  <c r="EH28" i="22"/>
  <c r="EG28" i="22"/>
  <c r="DW28" i="22"/>
  <c r="DT28" i="22"/>
  <c r="DQ28" i="22"/>
  <c r="DN28" i="22"/>
  <c r="DK28" i="22"/>
  <c r="DH28" i="22"/>
  <c r="DE28" i="22"/>
  <c r="EM28" i="22" s="1"/>
  <c r="DB28" i="22"/>
  <c r="CY28" i="22"/>
  <c r="CV28" i="22"/>
  <c r="CS28" i="22"/>
  <c r="CP28" i="22"/>
  <c r="CM28" i="22"/>
  <c r="CJ28" i="22"/>
  <c r="CG28" i="22"/>
  <c r="CD28" i="22"/>
  <c r="CA28" i="22"/>
  <c r="BX28" i="22"/>
  <c r="BU28" i="22"/>
  <c r="BR28" i="22"/>
  <c r="BO28" i="22"/>
  <c r="BL28" i="22"/>
  <c r="BI28" i="22"/>
  <c r="BF28" i="22"/>
  <c r="BC28" i="22"/>
  <c r="AZ28" i="22"/>
  <c r="AW28" i="22"/>
  <c r="AT28" i="22"/>
  <c r="AQ28" i="22"/>
  <c r="AN28" i="22"/>
  <c r="AK28" i="22"/>
  <c r="AI28" i="22"/>
  <c r="EB28" i="22" s="1"/>
  <c r="AH28" i="22"/>
  <c r="AE28" i="22"/>
  <c r="AB28" i="22"/>
  <c r="Y28" i="22"/>
  <c r="V28" i="22"/>
  <c r="S28" i="22"/>
  <c r="P28" i="22"/>
  <c r="M28" i="22"/>
  <c r="J28" i="22"/>
  <c r="G28" i="22"/>
  <c r="D28" i="22"/>
  <c r="ED28" i="22" s="1"/>
  <c r="EL27" i="22"/>
  <c r="EG27" i="22"/>
  <c r="EI27" i="22" s="1"/>
  <c r="EB27" i="22"/>
  <c r="DW27" i="22"/>
  <c r="DT27" i="22"/>
  <c r="DQ27" i="22"/>
  <c r="DN27" i="22"/>
  <c r="DK27" i="22"/>
  <c r="DH27" i="22"/>
  <c r="DE27" i="22"/>
  <c r="DB27" i="22"/>
  <c r="CY27" i="22"/>
  <c r="CV27" i="22"/>
  <c r="CS27" i="22"/>
  <c r="CP27" i="22"/>
  <c r="CM27" i="22"/>
  <c r="CJ27" i="22"/>
  <c r="CG27" i="22"/>
  <c r="CD27" i="22"/>
  <c r="CA27" i="22"/>
  <c r="BX27" i="22"/>
  <c r="BU27" i="22"/>
  <c r="BR27" i="22"/>
  <c r="BO27" i="22"/>
  <c r="BL27" i="22"/>
  <c r="BI27" i="22"/>
  <c r="BF27" i="22"/>
  <c r="BC27" i="22"/>
  <c r="AZ27" i="22"/>
  <c r="AW27" i="22"/>
  <c r="AT27" i="22"/>
  <c r="AQ27" i="22"/>
  <c r="AN27" i="22"/>
  <c r="AI27" i="22"/>
  <c r="EK27" i="22" s="1"/>
  <c r="AH27" i="22"/>
  <c r="AE27" i="22"/>
  <c r="AB27" i="22"/>
  <c r="Y27" i="22"/>
  <c r="V27" i="22"/>
  <c r="S27" i="22"/>
  <c r="EH27" i="22" s="1"/>
  <c r="P27" i="22"/>
  <c r="M27" i="22"/>
  <c r="J27" i="22"/>
  <c r="G27" i="22"/>
  <c r="D27" i="22"/>
  <c r="EL26" i="22"/>
  <c r="EK26" i="22"/>
  <c r="EN26" i="22" s="1"/>
  <c r="EI26" i="22"/>
  <c r="EG26" i="22"/>
  <c r="DW26" i="22"/>
  <c r="DT26" i="22"/>
  <c r="EM26" i="22" s="1"/>
  <c r="DQ26" i="22"/>
  <c r="DN26" i="22"/>
  <c r="DK26" i="22"/>
  <c r="DH26" i="22"/>
  <c r="DE26" i="22"/>
  <c r="DB26" i="22"/>
  <c r="CY26" i="22"/>
  <c r="CV26" i="22"/>
  <c r="CS26" i="22"/>
  <c r="CP26" i="22"/>
  <c r="CM26" i="22"/>
  <c r="CJ26" i="22"/>
  <c r="CG26" i="22"/>
  <c r="CD26" i="22"/>
  <c r="CA26" i="22"/>
  <c r="BX26" i="22"/>
  <c r="BU26" i="22"/>
  <c r="BR26" i="22"/>
  <c r="BO26" i="22"/>
  <c r="BL26" i="22"/>
  <c r="BI26" i="22"/>
  <c r="BF26" i="22"/>
  <c r="BC26" i="22"/>
  <c r="AZ26" i="22"/>
  <c r="AW26" i="22"/>
  <c r="AT26" i="22"/>
  <c r="AQ26" i="22"/>
  <c r="AN26" i="22"/>
  <c r="AI26" i="22"/>
  <c r="AK26" i="22" s="1"/>
  <c r="AH26" i="22"/>
  <c r="AE26" i="22"/>
  <c r="AB26" i="22"/>
  <c r="Y26" i="22"/>
  <c r="V26" i="22"/>
  <c r="S26" i="22"/>
  <c r="EH26" i="22" s="1"/>
  <c r="P26" i="22"/>
  <c r="M26" i="22"/>
  <c r="J26" i="22"/>
  <c r="G26" i="22"/>
  <c r="D26" i="22"/>
  <c r="ED26" i="22" s="1"/>
  <c r="EL25" i="22"/>
  <c r="EK25" i="22"/>
  <c r="EI25" i="22"/>
  <c r="EG25" i="22"/>
  <c r="DW25" i="22"/>
  <c r="DT25" i="22"/>
  <c r="DQ25" i="22"/>
  <c r="DN25" i="22"/>
  <c r="DK25" i="22"/>
  <c r="DH25" i="22"/>
  <c r="DE25" i="22"/>
  <c r="DB25" i="22"/>
  <c r="CY25" i="22"/>
  <c r="CV25" i="22"/>
  <c r="CS25" i="22"/>
  <c r="CP25" i="22"/>
  <c r="CM25" i="22"/>
  <c r="CJ25" i="22"/>
  <c r="CG25" i="22"/>
  <c r="CD25" i="22"/>
  <c r="CA25" i="22"/>
  <c r="BX25" i="22"/>
  <c r="BU25" i="22"/>
  <c r="BR25" i="22"/>
  <c r="BO25" i="22"/>
  <c r="BL25" i="22"/>
  <c r="BI25" i="22"/>
  <c r="BF25" i="22"/>
  <c r="BC25" i="22"/>
  <c r="AZ25" i="22"/>
  <c r="AW25" i="22"/>
  <c r="AT25" i="22"/>
  <c r="AQ25" i="22"/>
  <c r="AN25" i="22"/>
  <c r="AI25" i="22"/>
  <c r="AK25" i="22" s="1"/>
  <c r="AH25" i="22"/>
  <c r="AE25" i="22"/>
  <c r="AB25" i="22"/>
  <c r="Y25" i="22"/>
  <c r="V25" i="22"/>
  <c r="S25" i="22"/>
  <c r="EH25" i="22" s="1"/>
  <c r="P25" i="22"/>
  <c r="M25" i="22"/>
  <c r="J25" i="22"/>
  <c r="G25" i="22"/>
  <c r="D25" i="22"/>
  <c r="EL24" i="22"/>
  <c r="EI24" i="22"/>
  <c r="EG24" i="22"/>
  <c r="DW24" i="22"/>
  <c r="DT24" i="22"/>
  <c r="EM24" i="22" s="1"/>
  <c r="DQ24" i="22"/>
  <c r="DN24" i="22"/>
  <c r="DK24" i="22"/>
  <c r="DH24" i="22"/>
  <c r="DE24" i="22"/>
  <c r="DB24" i="22"/>
  <c r="CY24" i="22"/>
  <c r="CV24" i="22"/>
  <c r="CS24" i="22"/>
  <c r="CP24" i="22"/>
  <c r="CM24" i="22"/>
  <c r="CJ24" i="22"/>
  <c r="CG24" i="22"/>
  <c r="CD24" i="22"/>
  <c r="CA24" i="22"/>
  <c r="BX24" i="22"/>
  <c r="BU24" i="22"/>
  <c r="BR24" i="22"/>
  <c r="BO24" i="22"/>
  <c r="BL24" i="22"/>
  <c r="BI24" i="22"/>
  <c r="BF24" i="22"/>
  <c r="BC24" i="22"/>
  <c r="AZ24" i="22"/>
  <c r="AW24" i="22"/>
  <c r="AT24" i="22"/>
  <c r="AQ24" i="22"/>
  <c r="AN24" i="22"/>
  <c r="AK24" i="22"/>
  <c r="AI24" i="22"/>
  <c r="EB24" i="22" s="1"/>
  <c r="AH24" i="22"/>
  <c r="AE24" i="22"/>
  <c r="AB24" i="22"/>
  <c r="EH24" i="22" s="1"/>
  <c r="Y24" i="22"/>
  <c r="V24" i="22"/>
  <c r="S24" i="22"/>
  <c r="P24" i="22"/>
  <c r="M24" i="22"/>
  <c r="J24" i="22"/>
  <c r="G24" i="22"/>
  <c r="D24" i="22"/>
  <c r="ED24" i="22" s="1"/>
  <c r="EL23" i="22"/>
  <c r="EG23" i="22"/>
  <c r="EI23" i="22" s="1"/>
  <c r="DW23" i="22"/>
  <c r="DT23" i="22"/>
  <c r="DQ23" i="22"/>
  <c r="DN23" i="22"/>
  <c r="DK23" i="22"/>
  <c r="DH23" i="22"/>
  <c r="DE23" i="22"/>
  <c r="DB23" i="22"/>
  <c r="CY23" i="22"/>
  <c r="CV23" i="22"/>
  <c r="CS23" i="22"/>
  <c r="CP23" i="22"/>
  <c r="CM23" i="22"/>
  <c r="CJ23" i="22"/>
  <c r="CG23" i="22"/>
  <c r="CD23" i="22"/>
  <c r="CA23" i="22"/>
  <c r="BX23" i="22"/>
  <c r="BU23" i="22"/>
  <c r="BR23" i="22"/>
  <c r="BO23" i="22"/>
  <c r="BL23" i="22"/>
  <c r="BI23" i="22"/>
  <c r="BF23" i="22"/>
  <c r="BC23" i="22"/>
  <c r="AZ23" i="22"/>
  <c r="AW23" i="22"/>
  <c r="AT23" i="22"/>
  <c r="AQ23" i="22"/>
  <c r="AN23" i="22"/>
  <c r="AI23" i="22"/>
  <c r="EB23" i="22" s="1"/>
  <c r="AH23" i="22"/>
  <c r="AE23" i="22"/>
  <c r="AB23" i="22"/>
  <c r="Y23" i="22"/>
  <c r="EH23" i="22" s="1"/>
  <c r="V23" i="22"/>
  <c r="S23" i="22"/>
  <c r="P23" i="22"/>
  <c r="M23" i="22"/>
  <c r="J23" i="22"/>
  <c r="G23" i="22"/>
  <c r="D23" i="22"/>
  <c r="EL22" i="22"/>
  <c r="EK22" i="22"/>
  <c r="EG22" i="22"/>
  <c r="EI22" i="22" s="1"/>
  <c r="DW22" i="22"/>
  <c r="DT22" i="22"/>
  <c r="DQ22" i="22"/>
  <c r="DN22" i="22"/>
  <c r="DK22" i="22"/>
  <c r="DH22" i="22"/>
  <c r="DE22" i="22"/>
  <c r="DB22" i="22"/>
  <c r="CY22" i="22"/>
  <c r="CV22" i="22"/>
  <c r="CS22" i="22"/>
  <c r="CP22" i="22"/>
  <c r="CM22" i="22"/>
  <c r="CJ22" i="22"/>
  <c r="CG22" i="22"/>
  <c r="CD22" i="22"/>
  <c r="CA22" i="22"/>
  <c r="BX22" i="22"/>
  <c r="BU22" i="22"/>
  <c r="BR22" i="22"/>
  <c r="BO22" i="22"/>
  <c r="BL22" i="22"/>
  <c r="BI22" i="22"/>
  <c r="BF22" i="22"/>
  <c r="BC22" i="22"/>
  <c r="AZ22" i="22"/>
  <c r="AW22" i="22"/>
  <c r="AT22" i="22"/>
  <c r="AQ22" i="22"/>
  <c r="AN22" i="22"/>
  <c r="AI22" i="22"/>
  <c r="AK22" i="22" s="1"/>
  <c r="AH22" i="22"/>
  <c r="AE22" i="22"/>
  <c r="AB22" i="22"/>
  <c r="Y22" i="22"/>
  <c r="V22" i="22"/>
  <c r="S22" i="22"/>
  <c r="EH22" i="22" s="1"/>
  <c r="P22" i="22"/>
  <c r="M22" i="22"/>
  <c r="J22" i="22"/>
  <c r="ED22" i="22" s="1"/>
  <c r="G22" i="22"/>
  <c r="D22" i="22"/>
  <c r="EL21" i="22"/>
  <c r="EI21" i="22"/>
  <c r="EG21" i="22"/>
  <c r="DW21" i="22"/>
  <c r="DT21" i="22"/>
  <c r="EM21" i="22" s="1"/>
  <c r="DQ21" i="22"/>
  <c r="DN21" i="22"/>
  <c r="DK21" i="22"/>
  <c r="DH21" i="22"/>
  <c r="DE21" i="22"/>
  <c r="DB21" i="22"/>
  <c r="CY21" i="22"/>
  <c r="CV21" i="22"/>
  <c r="CS21" i="22"/>
  <c r="CP21" i="22"/>
  <c r="CM21" i="22"/>
  <c r="CJ21" i="22"/>
  <c r="CG21" i="22"/>
  <c r="CD21" i="22"/>
  <c r="CA21" i="22"/>
  <c r="BX21" i="22"/>
  <c r="BU21" i="22"/>
  <c r="BR21" i="22"/>
  <c r="BO21" i="22"/>
  <c r="BL21" i="22"/>
  <c r="BI21" i="22"/>
  <c r="BF21" i="22"/>
  <c r="BC21" i="22"/>
  <c r="AZ21" i="22"/>
  <c r="AW21" i="22"/>
  <c r="AT21" i="22"/>
  <c r="AQ21" i="22"/>
  <c r="AN21" i="22"/>
  <c r="AK21" i="22"/>
  <c r="AI21" i="22"/>
  <c r="EB21" i="22" s="1"/>
  <c r="AH21" i="22"/>
  <c r="AE21" i="22"/>
  <c r="AB21" i="22"/>
  <c r="Y21" i="22"/>
  <c r="V21" i="22"/>
  <c r="S21" i="22"/>
  <c r="ED21" i="22" s="1"/>
  <c r="P21" i="22"/>
  <c r="M21" i="22"/>
  <c r="J21" i="22"/>
  <c r="G21" i="22"/>
  <c r="D21" i="22"/>
  <c r="EL20" i="22"/>
  <c r="EI20" i="22"/>
  <c r="EG20" i="22"/>
  <c r="DW20" i="22"/>
  <c r="DT20" i="22"/>
  <c r="DQ20" i="22"/>
  <c r="DN20" i="22"/>
  <c r="DK20" i="22"/>
  <c r="DH20" i="22"/>
  <c r="DE20" i="22"/>
  <c r="EM20" i="22" s="1"/>
  <c r="DB20" i="22"/>
  <c r="CY20" i="22"/>
  <c r="CV20" i="22"/>
  <c r="CS20" i="22"/>
  <c r="CP20" i="22"/>
  <c r="CM20" i="22"/>
  <c r="CJ20" i="22"/>
  <c r="CG20" i="22"/>
  <c r="CD20" i="22"/>
  <c r="CA20" i="22"/>
  <c r="BX20" i="22"/>
  <c r="BU20" i="22"/>
  <c r="BR20" i="22"/>
  <c r="BO20" i="22"/>
  <c r="BL20" i="22"/>
  <c r="BI20" i="22"/>
  <c r="BF20" i="22"/>
  <c r="BC20" i="22"/>
  <c r="AZ20" i="22"/>
  <c r="AW20" i="22"/>
  <c r="AT20" i="22"/>
  <c r="AQ20" i="22"/>
  <c r="AN20" i="22"/>
  <c r="AK20" i="22"/>
  <c r="AI20" i="22"/>
  <c r="EB20" i="22" s="1"/>
  <c r="AH20" i="22"/>
  <c r="AE20" i="22"/>
  <c r="AB20" i="22"/>
  <c r="Y20" i="22"/>
  <c r="V20" i="22"/>
  <c r="S20" i="22"/>
  <c r="EH20" i="22" s="1"/>
  <c r="P20" i="22"/>
  <c r="M20" i="22"/>
  <c r="J20" i="22"/>
  <c r="G20" i="22"/>
  <c r="D20" i="22"/>
  <c r="ED20" i="22" s="1"/>
  <c r="EL19" i="22"/>
  <c r="EG19" i="22"/>
  <c r="EI19" i="22" s="1"/>
  <c r="EB19" i="22"/>
  <c r="DW19" i="22"/>
  <c r="DT19" i="22"/>
  <c r="DQ19" i="22"/>
  <c r="DN19" i="22"/>
  <c r="DK19" i="22"/>
  <c r="DH19" i="22"/>
  <c r="DE19" i="22"/>
  <c r="DB19" i="22"/>
  <c r="CY19" i="22"/>
  <c r="CV19" i="22"/>
  <c r="CS19" i="22"/>
  <c r="CP19" i="22"/>
  <c r="CM19" i="22"/>
  <c r="CJ19" i="22"/>
  <c r="CG19" i="22"/>
  <c r="CD19" i="22"/>
  <c r="CA19" i="22"/>
  <c r="BX19" i="22"/>
  <c r="BU19" i="22"/>
  <c r="BR19" i="22"/>
  <c r="BO19" i="22"/>
  <c r="BL19" i="22"/>
  <c r="BI19" i="22"/>
  <c r="BF19" i="22"/>
  <c r="BC19" i="22"/>
  <c r="AZ19" i="22"/>
  <c r="AW19" i="22"/>
  <c r="AT19" i="22"/>
  <c r="AQ19" i="22"/>
  <c r="AN19" i="22"/>
  <c r="AI19" i="22"/>
  <c r="EK19" i="22" s="1"/>
  <c r="AH19" i="22"/>
  <c r="AE19" i="22"/>
  <c r="AB19" i="22"/>
  <c r="Y19" i="22"/>
  <c r="V19" i="22"/>
  <c r="S19" i="22"/>
  <c r="EH19" i="22" s="1"/>
  <c r="P19" i="22"/>
  <c r="M19" i="22"/>
  <c r="J19" i="22"/>
  <c r="G19" i="22"/>
  <c r="D19" i="22"/>
  <c r="EL18" i="22"/>
  <c r="EK18" i="22"/>
  <c r="EI18" i="22"/>
  <c r="EG18" i="22"/>
  <c r="DW18" i="22"/>
  <c r="DT18" i="22"/>
  <c r="EM18" i="22" s="1"/>
  <c r="DQ18" i="22"/>
  <c r="DN18" i="22"/>
  <c r="DK18" i="22"/>
  <c r="DH18" i="22"/>
  <c r="DE18" i="22"/>
  <c r="DB18" i="22"/>
  <c r="CY18" i="22"/>
  <c r="CV18" i="22"/>
  <c r="CS18" i="22"/>
  <c r="CP18" i="22"/>
  <c r="CM18" i="22"/>
  <c r="CJ18" i="22"/>
  <c r="CG18" i="22"/>
  <c r="CD18" i="22"/>
  <c r="CA18" i="22"/>
  <c r="BX18" i="22"/>
  <c r="BU18" i="22"/>
  <c r="BR18" i="22"/>
  <c r="BO18" i="22"/>
  <c r="BL18" i="22"/>
  <c r="BI18" i="22"/>
  <c r="BF18" i="22"/>
  <c r="BC18" i="22"/>
  <c r="AZ18" i="22"/>
  <c r="AW18" i="22"/>
  <c r="AT18" i="22"/>
  <c r="AQ18" i="22"/>
  <c r="AN18" i="22"/>
  <c r="AI18" i="22"/>
  <c r="AK18" i="22" s="1"/>
  <c r="AH18" i="22"/>
  <c r="AE18" i="22"/>
  <c r="AB18" i="22"/>
  <c r="Y18" i="22"/>
  <c r="V18" i="22"/>
  <c r="S18" i="22"/>
  <c r="EH18" i="22" s="1"/>
  <c r="P18" i="22"/>
  <c r="M18" i="22"/>
  <c r="J18" i="22"/>
  <c r="G18" i="22"/>
  <c r="D18" i="22"/>
  <c r="ED18" i="22" s="1"/>
  <c r="EL17" i="22"/>
  <c r="EK17" i="22"/>
  <c r="EI17" i="22"/>
  <c r="EG17" i="22"/>
  <c r="DW17" i="22"/>
  <c r="DT17" i="22"/>
  <c r="EM17" i="22" s="1"/>
  <c r="DQ17" i="22"/>
  <c r="DN17" i="22"/>
  <c r="DK17" i="22"/>
  <c r="DH17" i="22"/>
  <c r="DE17" i="22"/>
  <c r="DB17" i="22"/>
  <c r="CY17" i="22"/>
  <c r="CV17" i="22"/>
  <c r="CS17" i="22"/>
  <c r="CP17" i="22"/>
  <c r="CM17" i="22"/>
  <c r="CJ17" i="22"/>
  <c r="CG17" i="22"/>
  <c r="CD17" i="22"/>
  <c r="CA17" i="22"/>
  <c r="BX17" i="22"/>
  <c r="BU17" i="22"/>
  <c r="BR17" i="22"/>
  <c r="BO17" i="22"/>
  <c r="BL17" i="22"/>
  <c r="BI17" i="22"/>
  <c r="BF17" i="22"/>
  <c r="BC17" i="22"/>
  <c r="AZ17" i="22"/>
  <c r="AW17" i="22"/>
  <c r="AT17" i="22"/>
  <c r="AQ17" i="22"/>
  <c r="AN17" i="22"/>
  <c r="AI17" i="22"/>
  <c r="AK17" i="22" s="1"/>
  <c r="AH17" i="22"/>
  <c r="AE17" i="22"/>
  <c r="AB17" i="22"/>
  <c r="Y17" i="22"/>
  <c r="V17" i="22"/>
  <c r="S17" i="22"/>
  <c r="EH17" i="22" s="1"/>
  <c r="P17" i="22"/>
  <c r="M17" i="22"/>
  <c r="J17" i="22"/>
  <c r="G17" i="22"/>
  <c r="ED17" i="22" s="1"/>
  <c r="D17" i="22"/>
  <c r="EL16" i="22"/>
  <c r="EI16" i="22"/>
  <c r="EG16" i="22"/>
  <c r="DW16" i="22"/>
  <c r="DT16" i="22"/>
  <c r="EM16" i="22" s="1"/>
  <c r="DQ16" i="22"/>
  <c r="DN16" i="22"/>
  <c r="DK16" i="22"/>
  <c r="DH16" i="22"/>
  <c r="DE16" i="22"/>
  <c r="DB16" i="22"/>
  <c r="CY16" i="22"/>
  <c r="CV16" i="22"/>
  <c r="CS16" i="22"/>
  <c r="CP16" i="22"/>
  <c r="CM16" i="22"/>
  <c r="CJ16" i="22"/>
  <c r="CG16" i="22"/>
  <c r="CD16" i="22"/>
  <c r="CA16" i="22"/>
  <c r="BX16" i="22"/>
  <c r="BU16" i="22"/>
  <c r="BR16" i="22"/>
  <c r="BO16" i="22"/>
  <c r="BL16" i="22"/>
  <c r="BI16" i="22"/>
  <c r="BF16" i="22"/>
  <c r="BC16" i="22"/>
  <c r="AZ16" i="22"/>
  <c r="AW16" i="22"/>
  <c r="AT16" i="22"/>
  <c r="AQ16" i="22"/>
  <c r="AN16" i="22"/>
  <c r="AK16" i="22"/>
  <c r="AI16" i="22"/>
  <c r="EB16" i="22" s="1"/>
  <c r="AH16" i="22"/>
  <c r="AE16" i="22"/>
  <c r="AB16" i="22"/>
  <c r="EH16" i="22" s="1"/>
  <c r="Y16" i="22"/>
  <c r="V16" i="22"/>
  <c r="S16" i="22"/>
  <c r="P16" i="22"/>
  <c r="M16" i="22"/>
  <c r="J16" i="22"/>
  <c r="G16" i="22"/>
  <c r="D16" i="22"/>
  <c r="ED16" i="22" s="1"/>
  <c r="EL15" i="22"/>
  <c r="EG15" i="22"/>
  <c r="EI3" i="22" s="1"/>
  <c r="EI4" i="22" s="1"/>
  <c r="DW15" i="22"/>
  <c r="DT15" i="22"/>
  <c r="EM15" i="22" s="1"/>
  <c r="DQ15" i="22"/>
  <c r="DN15" i="22"/>
  <c r="DN41" i="22" s="1"/>
  <c r="DK15" i="22"/>
  <c r="DH15" i="22"/>
  <c r="DE15" i="22"/>
  <c r="DB15" i="22"/>
  <c r="CY15" i="22"/>
  <c r="CV15" i="22"/>
  <c r="CS15" i="22"/>
  <c r="CP15" i="22"/>
  <c r="CP41" i="22" s="1"/>
  <c r="CM15" i="22"/>
  <c r="CJ15" i="22"/>
  <c r="CG15" i="22"/>
  <c r="CD15" i="22"/>
  <c r="CA15" i="22"/>
  <c r="BX15" i="22"/>
  <c r="BU15" i="22"/>
  <c r="BR15" i="22"/>
  <c r="BR41" i="22" s="1"/>
  <c r="BO15" i="22"/>
  <c r="BL15" i="22"/>
  <c r="BI15" i="22"/>
  <c r="BF15" i="22"/>
  <c r="BC15" i="22"/>
  <c r="AZ15" i="22"/>
  <c r="AW15" i="22"/>
  <c r="AT15" i="22"/>
  <c r="AT41" i="22" s="1"/>
  <c r="AQ15" i="22"/>
  <c r="AN15" i="22"/>
  <c r="AI15" i="22"/>
  <c r="AK15" i="22" s="1"/>
  <c r="AH15" i="22"/>
  <c r="AE15" i="22"/>
  <c r="AB15" i="22"/>
  <c r="Y15" i="22"/>
  <c r="EH15" i="22" s="1"/>
  <c r="V15" i="22"/>
  <c r="S15" i="22"/>
  <c r="P15" i="22"/>
  <c r="M15" i="22"/>
  <c r="J15" i="22"/>
  <c r="G15" i="22"/>
  <c r="D15" i="22"/>
  <c r="ED15" i="22" s="1"/>
  <c r="EL14" i="22"/>
  <c r="EK14" i="22"/>
  <c r="EG14" i="22"/>
  <c r="EI14" i="22" s="1"/>
  <c r="DW14" i="22"/>
  <c r="DT14" i="22"/>
  <c r="EM14" i="22" s="1"/>
  <c r="DQ14" i="22"/>
  <c r="DN14" i="22"/>
  <c r="DK14" i="22"/>
  <c r="DH14" i="22"/>
  <c r="DE14" i="22"/>
  <c r="DB14" i="22"/>
  <c r="CY14" i="22"/>
  <c r="CV14" i="22"/>
  <c r="CS14" i="22"/>
  <c r="CP14" i="22"/>
  <c r="CM14" i="22"/>
  <c r="CJ14" i="22"/>
  <c r="CG14" i="22"/>
  <c r="CD14" i="22"/>
  <c r="CA14" i="22"/>
  <c r="BX14" i="22"/>
  <c r="BU14" i="22"/>
  <c r="BR14" i="22"/>
  <c r="BO14" i="22"/>
  <c r="BL14" i="22"/>
  <c r="BI14" i="22"/>
  <c r="BF14" i="22"/>
  <c r="BC14" i="22"/>
  <c r="AZ14" i="22"/>
  <c r="AW14" i="22"/>
  <c r="AT14" i="22"/>
  <c r="AQ14" i="22"/>
  <c r="AN14" i="22"/>
  <c r="AI14" i="22"/>
  <c r="AK14" i="22" s="1"/>
  <c r="AH14" i="22"/>
  <c r="AE14" i="22"/>
  <c r="AB14" i="22"/>
  <c r="Y14" i="22"/>
  <c r="V14" i="22"/>
  <c r="V41" i="22" s="1"/>
  <c r="S14" i="22"/>
  <c r="EH14" i="22" s="1"/>
  <c r="P14" i="22"/>
  <c r="M14" i="22"/>
  <c r="J14" i="22"/>
  <c r="G14" i="22"/>
  <c r="D14" i="22"/>
  <c r="EL13" i="22"/>
  <c r="EI13" i="22"/>
  <c r="EG13" i="22"/>
  <c r="DW13" i="22"/>
  <c r="DT13" i="22"/>
  <c r="EM13" i="22" s="1"/>
  <c r="DQ13" i="22"/>
  <c r="DN13" i="22"/>
  <c r="DK13" i="22"/>
  <c r="DH13" i="22"/>
  <c r="DE13" i="22"/>
  <c r="DB13" i="22"/>
  <c r="CY13" i="22"/>
  <c r="CV13" i="22"/>
  <c r="CS13" i="22"/>
  <c r="CP13" i="22"/>
  <c r="CM13" i="22"/>
  <c r="CJ13" i="22"/>
  <c r="CG13" i="22"/>
  <c r="CD13" i="22"/>
  <c r="CA13" i="22"/>
  <c r="BX13" i="22"/>
  <c r="BU13" i="22"/>
  <c r="BR13" i="22"/>
  <c r="BO13" i="22"/>
  <c r="BL13" i="22"/>
  <c r="BI13" i="22"/>
  <c r="BF13" i="22"/>
  <c r="BC13" i="22"/>
  <c r="AZ13" i="22"/>
  <c r="AW13" i="22"/>
  <c r="AT13" i="22"/>
  <c r="AQ13" i="22"/>
  <c r="AN13" i="22"/>
  <c r="AK13" i="22"/>
  <c r="AI13" i="22"/>
  <c r="EB13" i="22" s="1"/>
  <c r="AH13" i="22"/>
  <c r="AE13" i="22"/>
  <c r="AB13" i="22"/>
  <c r="Y13" i="22"/>
  <c r="V13" i="22"/>
  <c r="S13" i="22"/>
  <c r="ED13" i="22" s="1"/>
  <c r="P13" i="22"/>
  <c r="M13" i="22"/>
  <c r="J13" i="22"/>
  <c r="G13" i="22"/>
  <c r="D13" i="22"/>
  <c r="EM12" i="22"/>
  <c r="EL12" i="22"/>
  <c r="EG12" i="22"/>
  <c r="EI12" i="22" s="1"/>
  <c r="DW12" i="22"/>
  <c r="DT12" i="22"/>
  <c r="DQ12" i="22"/>
  <c r="DQ41" i="22" s="1"/>
  <c r="DN12" i="22"/>
  <c r="DK12" i="22"/>
  <c r="DH12" i="22"/>
  <c r="DE12" i="22"/>
  <c r="DB12" i="22"/>
  <c r="CY12" i="22"/>
  <c r="CV12" i="22"/>
  <c r="CS12" i="22"/>
  <c r="CS41" i="22" s="1"/>
  <c r="CP12" i="22"/>
  <c r="CM12" i="22"/>
  <c r="CJ12" i="22"/>
  <c r="CG12" i="22"/>
  <c r="CD12" i="22"/>
  <c r="CA12" i="22"/>
  <c r="BX12" i="22"/>
  <c r="BU12" i="22"/>
  <c r="BU41" i="22" s="1"/>
  <c r="BR12" i="22"/>
  <c r="BO12" i="22"/>
  <c r="BL12" i="22"/>
  <c r="BI12" i="22"/>
  <c r="BF12" i="22"/>
  <c r="BC12" i="22"/>
  <c r="AZ12" i="22"/>
  <c r="AW12" i="22"/>
  <c r="AW41" i="22" s="1"/>
  <c r="AT12" i="22"/>
  <c r="AQ12" i="22"/>
  <c r="AN12" i="22"/>
  <c r="AK12" i="22"/>
  <c r="AI12" i="22"/>
  <c r="EB12" i="22" s="1"/>
  <c r="AH12" i="22"/>
  <c r="AE12" i="22"/>
  <c r="AB12" i="22"/>
  <c r="Y12" i="22"/>
  <c r="V12" i="22"/>
  <c r="S12" i="22"/>
  <c r="EH12" i="22" s="1"/>
  <c r="P12" i="22"/>
  <c r="M12" i="22"/>
  <c r="J12" i="22"/>
  <c r="G12" i="22"/>
  <c r="D12" i="22"/>
  <c r="ED12" i="22" s="1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EL11" i="22"/>
  <c r="EG11" i="22"/>
  <c r="EI11" i="22" s="1"/>
  <c r="DW11" i="22"/>
  <c r="DW41" i="22" s="1"/>
  <c r="DT11" i="22"/>
  <c r="DT41" i="22" s="1"/>
  <c r="DQ11" i="22"/>
  <c r="DN11" i="22"/>
  <c r="DK11" i="22"/>
  <c r="DK41" i="22" s="1"/>
  <c r="DH11" i="22"/>
  <c r="DH41" i="22" s="1"/>
  <c r="DE11" i="22"/>
  <c r="DE41" i="22" s="1"/>
  <c r="DB11" i="22"/>
  <c r="DB41" i="22" s="1"/>
  <c r="CY11" i="22"/>
  <c r="CY41" i="22" s="1"/>
  <c r="CV11" i="22"/>
  <c r="CV41" i="22" s="1"/>
  <c r="CS11" i="22"/>
  <c r="CP11" i="22"/>
  <c r="CM11" i="22"/>
  <c r="CM41" i="22" s="1"/>
  <c r="CJ11" i="22"/>
  <c r="CJ41" i="22" s="1"/>
  <c r="CG11" i="22"/>
  <c r="CG41" i="22" s="1"/>
  <c r="CD11" i="22"/>
  <c r="CD41" i="22" s="1"/>
  <c r="CA11" i="22"/>
  <c r="CA41" i="22" s="1"/>
  <c r="BX11" i="22"/>
  <c r="BX41" i="22" s="1"/>
  <c r="BU11" i="22"/>
  <c r="BR11" i="22"/>
  <c r="BO11" i="22"/>
  <c r="BO41" i="22" s="1"/>
  <c r="BL11" i="22"/>
  <c r="BL41" i="22" s="1"/>
  <c r="BI11" i="22"/>
  <c r="BI41" i="22" s="1"/>
  <c r="BF11" i="22"/>
  <c r="BF41" i="22" s="1"/>
  <c r="BC11" i="22"/>
  <c r="BC41" i="22" s="1"/>
  <c r="AZ11" i="22"/>
  <c r="AZ41" i="22" s="1"/>
  <c r="AW11" i="22"/>
  <c r="AT11" i="22"/>
  <c r="AQ11" i="22"/>
  <c r="AQ41" i="22" s="1"/>
  <c r="AN11" i="22"/>
  <c r="AI11" i="22"/>
  <c r="EK11" i="22" s="1"/>
  <c r="AH11" i="22"/>
  <c r="AH41" i="22" s="1"/>
  <c r="AE11" i="22"/>
  <c r="AE41" i="22" s="1"/>
  <c r="AB11" i="22"/>
  <c r="AB41" i="22" s="1"/>
  <c r="Y11" i="22"/>
  <c r="Y41" i="22" s="1"/>
  <c r="V11" i="22"/>
  <c r="S11" i="22"/>
  <c r="S41" i="22" s="1"/>
  <c r="P11" i="22"/>
  <c r="P41" i="22" s="1"/>
  <c r="M11" i="22"/>
  <c r="M41" i="22" s="1"/>
  <c r="J11" i="22"/>
  <c r="J41" i="22" s="1"/>
  <c r="G11" i="22"/>
  <c r="G41" i="22" s="1"/>
  <c r="D11" i="22"/>
  <c r="D41" i="22" s="1"/>
  <c r="EI2" i="22"/>
  <c r="EE2" i="22" l="1"/>
  <c r="EQ2" i="22" s="1"/>
  <c r="G4" i="22" s="1"/>
  <c r="EE29" i="22"/>
  <c r="ED31" i="22"/>
  <c r="EE31" i="22" s="1"/>
  <c r="EM39" i="22"/>
  <c r="EE24" i="22"/>
  <c r="EM19" i="22"/>
  <c r="EN19" i="22" s="1"/>
  <c r="EC21" i="22"/>
  <c r="EE21" i="22"/>
  <c r="ED23" i="22"/>
  <c r="EE23" i="22" s="1"/>
  <c r="ED33" i="22"/>
  <c r="EC34" i="22"/>
  <c r="EC38" i="22"/>
  <c r="EM23" i="22"/>
  <c r="EN18" i="22"/>
  <c r="ED14" i="22"/>
  <c r="EM22" i="22"/>
  <c r="EN22" i="22" s="1"/>
  <c r="EM35" i="22"/>
  <c r="EN35" i="22" s="1"/>
  <c r="EM37" i="22"/>
  <c r="EC13" i="22"/>
  <c r="EE13" i="22"/>
  <c r="EE12" i="22"/>
  <c r="ED27" i="22"/>
  <c r="EE27" i="22" s="1"/>
  <c r="EN14" i="22"/>
  <c r="EN17" i="22"/>
  <c r="ED19" i="22"/>
  <c r="EE19" i="22" s="1"/>
  <c r="EC20" i="22"/>
  <c r="EE20" i="22"/>
  <c r="EM25" i="22"/>
  <c r="EN25" i="22" s="1"/>
  <c r="EE36" i="22"/>
  <c r="ED39" i="22"/>
  <c r="EE39" i="22" s="1"/>
  <c r="EE32" i="22"/>
  <c r="ED38" i="22"/>
  <c r="EE38" i="22" s="1"/>
  <c r="EE28" i="22"/>
  <c r="EE16" i="22"/>
  <c r="EC16" i="22"/>
  <c r="ED25" i="22"/>
  <c r="EN30" i="22"/>
  <c r="EN33" i="22"/>
  <c r="EB11" i="22"/>
  <c r="EI5" i="22"/>
  <c r="EB18" i="22"/>
  <c r="AK19" i="22"/>
  <c r="EC19" i="22"/>
  <c r="EB26" i="22"/>
  <c r="AK27" i="22"/>
  <c r="EM27" i="22" s="1"/>
  <c r="EN27" i="22" s="1"/>
  <c r="EC27" i="22"/>
  <c r="AK35" i="22"/>
  <c r="ED35" i="22" s="1"/>
  <c r="EI15" i="22"/>
  <c r="EK16" i="22"/>
  <c r="EN16" i="22" s="1"/>
  <c r="EB17" i="22"/>
  <c r="EK24" i="22"/>
  <c r="EN24" i="22" s="1"/>
  <c r="EB25" i="22"/>
  <c r="EK32" i="22"/>
  <c r="EN32" i="22" s="1"/>
  <c r="EB33" i="22"/>
  <c r="AK34" i="22"/>
  <c r="ED34" i="22" s="1"/>
  <c r="EE34" i="22" s="1"/>
  <c r="EB35" i="22"/>
  <c r="AN37" i="22"/>
  <c r="ED37" i="22" s="1"/>
  <c r="EE37" i="22" s="1"/>
  <c r="AN38" i="22"/>
  <c r="EM38" i="22" s="1"/>
  <c r="AN39" i="22"/>
  <c r="AN40" i="22"/>
  <c r="ED40" i="22" s="1"/>
  <c r="EE40" i="22" s="1"/>
  <c r="EH13" i="22"/>
  <c r="EK15" i="22"/>
  <c r="EN15" i="22" s="1"/>
  <c r="EH21" i="22"/>
  <c r="EK23" i="22"/>
  <c r="EN23" i="22" s="1"/>
  <c r="EH29" i="22"/>
  <c r="EK31" i="22"/>
  <c r="EC31" i="22" s="1"/>
  <c r="EB15" i="22"/>
  <c r="EH11" i="22"/>
  <c r="EK13" i="22"/>
  <c r="EN13" i="22" s="1"/>
  <c r="EB14" i="22"/>
  <c r="EK21" i="22"/>
  <c r="EN21" i="22" s="1"/>
  <c r="EB22" i="22"/>
  <c r="AK23" i="22"/>
  <c r="EK29" i="22"/>
  <c r="EN29" i="22" s="1"/>
  <c r="EB30" i="22"/>
  <c r="AK31" i="22"/>
  <c r="EM31" i="22" s="1"/>
  <c r="AK11" i="22"/>
  <c r="EM11" i="22" s="1"/>
  <c r="EK12" i="22"/>
  <c r="EN12" i="22" s="1"/>
  <c r="EK20" i="22"/>
  <c r="EN20" i="22" s="1"/>
  <c r="EK28" i="22"/>
  <c r="EN28" i="22" s="1"/>
  <c r="EK36" i="22"/>
  <c r="EN36" i="22" s="1"/>
  <c r="EK37" i="22"/>
  <c r="EC37" i="22" s="1"/>
  <c r="EK38" i="22"/>
  <c r="EN38" i="22" s="1"/>
  <c r="EK39" i="22"/>
  <c r="EK40" i="22"/>
  <c r="EN11" i="22" l="1"/>
  <c r="EE18" i="22"/>
  <c r="EC18" i="22"/>
  <c r="ED11" i="22"/>
  <c r="ED41" i="22" s="1"/>
  <c r="EC23" i="22"/>
  <c r="EC32" i="22"/>
  <c r="EN3" i="22"/>
  <c r="EN4" i="22" s="1"/>
  <c r="EN2" i="22"/>
  <c r="EP2" i="22" s="1"/>
  <c r="AK41" i="22"/>
  <c r="EE5" i="22"/>
  <c r="G7" i="22" s="1"/>
  <c r="EC11" i="22"/>
  <c r="EE3" i="22"/>
  <c r="EC29" i="22"/>
  <c r="EC22" i="22"/>
  <c r="EE22" i="22"/>
  <c r="EN39" i="22"/>
  <c r="EH41" i="22"/>
  <c r="EE25" i="22"/>
  <c r="EC25" i="22"/>
  <c r="EM40" i="22"/>
  <c r="EN40" i="22" s="1"/>
  <c r="EM34" i="22"/>
  <c r="EN34" i="22" s="1"/>
  <c r="EE30" i="22"/>
  <c r="EC30" i="22"/>
  <c r="EE15" i="22"/>
  <c r="EC15" i="22"/>
  <c r="EE26" i="22"/>
  <c r="EC26" i="22"/>
  <c r="EC28" i="22"/>
  <c r="EC39" i="22"/>
  <c r="EC24" i="22"/>
  <c r="EE35" i="22"/>
  <c r="EC35" i="22"/>
  <c r="EE33" i="22"/>
  <c r="EC33" i="22"/>
  <c r="EC12" i="22"/>
  <c r="EN37" i="22"/>
  <c r="EN31" i="22"/>
  <c r="EE17" i="22"/>
  <c r="EC17" i="22"/>
  <c r="AN41" i="22"/>
  <c r="EC40" i="22"/>
  <c r="EC14" i="22"/>
  <c r="EE14" i="22"/>
  <c r="EC36" i="22"/>
  <c r="EN5" i="22"/>
  <c r="G5" i="22" l="1"/>
  <c r="EE4" i="22"/>
  <c r="G6" i="22" s="1"/>
  <c r="EE11" i="22"/>
  <c r="EM41" i="22"/>
  <c r="EM47" i="22" s="1"/>
  <c r="EL41" i="21" l="1"/>
  <c r="EG41" i="21"/>
  <c r="EI41" i="21" s="1"/>
  <c r="DW41" i="21"/>
  <c r="DT41" i="21"/>
  <c r="DQ41" i="21"/>
  <c r="DN41" i="21"/>
  <c r="DK41" i="21"/>
  <c r="DH41" i="21"/>
  <c r="DE41" i="21"/>
  <c r="DB41" i="21"/>
  <c r="CY41" i="21"/>
  <c r="CV41" i="21"/>
  <c r="CS41" i="21"/>
  <c r="CP41" i="21"/>
  <c r="CM41" i="21"/>
  <c r="CJ41" i="21"/>
  <c r="CG41" i="21"/>
  <c r="CD41" i="21"/>
  <c r="CA41" i="21"/>
  <c r="BX41" i="21"/>
  <c r="BU41" i="21"/>
  <c r="BR41" i="21"/>
  <c r="BO41" i="21"/>
  <c r="BL41" i="21"/>
  <c r="BI41" i="21"/>
  <c r="BF41" i="21"/>
  <c r="BC41" i="21"/>
  <c r="AZ41" i="21"/>
  <c r="AW41" i="21"/>
  <c r="AT41" i="21"/>
  <c r="AQ41" i="21"/>
  <c r="AN41" i="21"/>
  <c r="AI41" i="21"/>
  <c r="EK41" i="21" s="1"/>
  <c r="AH41" i="21"/>
  <c r="AE41" i="21"/>
  <c r="AB41" i="21"/>
  <c r="Y41" i="21"/>
  <c r="V41" i="21"/>
  <c r="S41" i="21"/>
  <c r="EH41" i="21" s="1"/>
  <c r="P41" i="21"/>
  <c r="M41" i="21"/>
  <c r="J41" i="21"/>
  <c r="G41" i="21"/>
  <c r="D41" i="21"/>
  <c r="EL40" i="21"/>
  <c r="EK40" i="21"/>
  <c r="EI40" i="21"/>
  <c r="EG40" i="21"/>
  <c r="DW40" i="21"/>
  <c r="DT40" i="21"/>
  <c r="DQ40" i="21"/>
  <c r="DN40" i="21"/>
  <c r="DK40" i="21"/>
  <c r="DH40" i="21"/>
  <c r="DE40" i="21"/>
  <c r="DB40" i="21"/>
  <c r="CY40" i="21"/>
  <c r="CV40" i="21"/>
  <c r="CS40" i="21"/>
  <c r="CP40" i="21"/>
  <c r="CM40" i="21"/>
  <c r="CJ40" i="21"/>
  <c r="CG40" i="21"/>
  <c r="CD40" i="21"/>
  <c r="CA40" i="21"/>
  <c r="BX40" i="21"/>
  <c r="BU40" i="21"/>
  <c r="BR40" i="21"/>
  <c r="BO40" i="21"/>
  <c r="BL40" i="21"/>
  <c r="BI40" i="21"/>
  <c r="BF40" i="21"/>
  <c r="BC40" i="21"/>
  <c r="AZ40" i="21"/>
  <c r="AW40" i="21"/>
  <c r="AT40" i="21"/>
  <c r="AQ40" i="21"/>
  <c r="AN40" i="21"/>
  <c r="AI40" i="21"/>
  <c r="AK40" i="21" s="1"/>
  <c r="AH40" i="21"/>
  <c r="AE40" i="21"/>
  <c r="AB40" i="21"/>
  <c r="Y40" i="21"/>
  <c r="V40" i="21"/>
  <c r="S40" i="21"/>
  <c r="EH40" i="21" s="1"/>
  <c r="P40" i="21"/>
  <c r="M40" i="21"/>
  <c r="J40" i="21"/>
  <c r="G40" i="21"/>
  <c r="D40" i="21"/>
  <c r="EL39" i="21"/>
  <c r="EI39" i="21"/>
  <c r="EG39" i="21"/>
  <c r="DW39" i="21"/>
  <c r="DT39" i="21"/>
  <c r="EM39" i="21" s="1"/>
  <c r="DQ39" i="21"/>
  <c r="DN39" i="21"/>
  <c r="DK39" i="21"/>
  <c r="DH39" i="21"/>
  <c r="DE39" i="21"/>
  <c r="DB39" i="21"/>
  <c r="CY39" i="21"/>
  <c r="CV39" i="21"/>
  <c r="CS39" i="21"/>
  <c r="CP39" i="21"/>
  <c r="CM39" i="21"/>
  <c r="CJ39" i="21"/>
  <c r="CG39" i="21"/>
  <c r="CD39" i="21"/>
  <c r="CA39" i="21"/>
  <c r="BX39" i="21"/>
  <c r="BU39" i="21"/>
  <c r="BR39" i="21"/>
  <c r="BO39" i="21"/>
  <c r="BL39" i="21"/>
  <c r="BI39" i="21"/>
  <c r="BF39" i="21"/>
  <c r="BC39" i="21"/>
  <c r="AZ39" i="21"/>
  <c r="AW39" i="21"/>
  <c r="AT39" i="21"/>
  <c r="AQ39" i="21"/>
  <c r="AN39" i="21"/>
  <c r="AK39" i="21"/>
  <c r="AI39" i="21"/>
  <c r="EB39" i="21" s="1"/>
  <c r="AH39" i="21"/>
  <c r="AE39" i="21"/>
  <c r="AB39" i="21"/>
  <c r="Y39" i="21"/>
  <c r="V39" i="21"/>
  <c r="S39" i="21"/>
  <c r="EH39" i="21" s="1"/>
  <c r="P39" i="21"/>
  <c r="M39" i="21"/>
  <c r="J39" i="21"/>
  <c r="G39" i="21"/>
  <c r="D39" i="21"/>
  <c r="ED39" i="21" s="1"/>
  <c r="EL38" i="21"/>
  <c r="EG38" i="21"/>
  <c r="EI38" i="21" s="1"/>
  <c r="DW38" i="21"/>
  <c r="DT38" i="21"/>
  <c r="DQ38" i="21"/>
  <c r="EM38" i="21" s="1"/>
  <c r="DN38" i="21"/>
  <c r="DK38" i="21"/>
  <c r="DH38" i="21"/>
  <c r="DE38" i="21"/>
  <c r="DB38" i="21"/>
  <c r="CY38" i="21"/>
  <c r="CV38" i="21"/>
  <c r="CS38" i="21"/>
  <c r="CP38" i="21"/>
  <c r="CM38" i="21"/>
  <c r="CJ38" i="21"/>
  <c r="CG38" i="21"/>
  <c r="CD38" i="21"/>
  <c r="CA38" i="21"/>
  <c r="BX38" i="21"/>
  <c r="BU38" i="21"/>
  <c r="BR38" i="21"/>
  <c r="BO38" i="21"/>
  <c r="BL38" i="21"/>
  <c r="BI38" i="21"/>
  <c r="BF38" i="21"/>
  <c r="BC38" i="21"/>
  <c r="AZ38" i="21"/>
  <c r="AW38" i="21"/>
  <c r="AT38" i="21"/>
  <c r="AQ38" i="21"/>
  <c r="AN38" i="21"/>
  <c r="AK38" i="21"/>
  <c r="AI38" i="21"/>
  <c r="EB38" i="21" s="1"/>
  <c r="AH38" i="21"/>
  <c r="AE38" i="21"/>
  <c r="AB38" i="21"/>
  <c r="EH38" i="21" s="1"/>
  <c r="Y38" i="21"/>
  <c r="V38" i="21"/>
  <c r="S38" i="21"/>
  <c r="P38" i="21"/>
  <c r="M38" i="21"/>
  <c r="J38" i="21"/>
  <c r="G38" i="21"/>
  <c r="D38" i="21"/>
  <c r="ED38" i="21" s="1"/>
  <c r="EL37" i="21"/>
  <c r="EG37" i="21"/>
  <c r="EI37" i="21" s="1"/>
  <c r="DW37" i="21"/>
  <c r="DT37" i="21"/>
  <c r="EM37" i="21" s="1"/>
  <c r="DQ37" i="21"/>
  <c r="DN37" i="21"/>
  <c r="DK37" i="21"/>
  <c r="DH37" i="21"/>
  <c r="DE37" i="21"/>
  <c r="DB37" i="21"/>
  <c r="CY37" i="21"/>
  <c r="CV37" i="21"/>
  <c r="CS37" i="21"/>
  <c r="CP37" i="21"/>
  <c r="CM37" i="21"/>
  <c r="CJ37" i="21"/>
  <c r="CG37" i="21"/>
  <c r="CD37" i="21"/>
  <c r="CA37" i="21"/>
  <c r="BX37" i="21"/>
  <c r="BU37" i="21"/>
  <c r="BR37" i="21"/>
  <c r="BO37" i="21"/>
  <c r="BL37" i="21"/>
  <c r="BI37" i="21"/>
  <c r="BF37" i="21"/>
  <c r="BC37" i="21"/>
  <c r="AZ37" i="21"/>
  <c r="AW37" i="21"/>
  <c r="AT37" i="21"/>
  <c r="AQ37" i="21"/>
  <c r="AN37" i="21"/>
  <c r="AI37" i="21"/>
  <c r="AK37" i="21" s="1"/>
  <c r="AH37" i="21"/>
  <c r="AE37" i="21"/>
  <c r="AB37" i="21"/>
  <c r="Y37" i="21"/>
  <c r="V37" i="21"/>
  <c r="S37" i="21"/>
  <c r="EH37" i="21" s="1"/>
  <c r="P37" i="21"/>
  <c r="M37" i="21"/>
  <c r="J37" i="21"/>
  <c r="G37" i="21"/>
  <c r="D37" i="21"/>
  <c r="EL36" i="21"/>
  <c r="EK36" i="21"/>
  <c r="EI36" i="21"/>
  <c r="EG36" i="21"/>
  <c r="DW36" i="21"/>
  <c r="DT36" i="21"/>
  <c r="DQ36" i="21"/>
  <c r="DN36" i="21"/>
  <c r="DK36" i="21"/>
  <c r="EM36" i="21" s="1"/>
  <c r="DH36" i="21"/>
  <c r="DE36" i="21"/>
  <c r="DB36" i="21"/>
  <c r="CY36" i="21"/>
  <c r="CV36" i="21"/>
  <c r="CS36" i="21"/>
  <c r="CP36" i="21"/>
  <c r="CM36" i="21"/>
  <c r="CJ36" i="21"/>
  <c r="CG36" i="21"/>
  <c r="CD36" i="21"/>
  <c r="CA36" i="21"/>
  <c r="BX36" i="21"/>
  <c r="BU36" i="21"/>
  <c r="BR36" i="21"/>
  <c r="BO36" i="21"/>
  <c r="BL36" i="21"/>
  <c r="BI36" i="21"/>
  <c r="BF36" i="21"/>
  <c r="BC36" i="21"/>
  <c r="AZ36" i="21"/>
  <c r="AW36" i="21"/>
  <c r="AT36" i="21"/>
  <c r="AQ36" i="21"/>
  <c r="AN36" i="21"/>
  <c r="AK36" i="21"/>
  <c r="AI36" i="21"/>
  <c r="EB36" i="21" s="1"/>
  <c r="AH36" i="21"/>
  <c r="AE36" i="21"/>
  <c r="AB36" i="21"/>
  <c r="Y36" i="21"/>
  <c r="V36" i="21"/>
  <c r="S36" i="21"/>
  <c r="EH36" i="21" s="1"/>
  <c r="P36" i="21"/>
  <c r="M36" i="21"/>
  <c r="J36" i="21"/>
  <c r="G36" i="21"/>
  <c r="D36" i="21"/>
  <c r="ED36" i="21" s="1"/>
  <c r="EL35" i="21"/>
  <c r="EI35" i="21"/>
  <c r="EG35" i="21"/>
  <c r="DW35" i="21"/>
  <c r="DT35" i="21"/>
  <c r="EM35" i="21" s="1"/>
  <c r="DQ35" i="21"/>
  <c r="DN35" i="21"/>
  <c r="DK35" i="21"/>
  <c r="DH35" i="21"/>
  <c r="DE35" i="21"/>
  <c r="DB35" i="21"/>
  <c r="CY35" i="21"/>
  <c r="CV35" i="21"/>
  <c r="CS35" i="21"/>
  <c r="CP35" i="21"/>
  <c r="CM35" i="21"/>
  <c r="CJ35" i="21"/>
  <c r="CG35" i="21"/>
  <c r="CD35" i="21"/>
  <c r="CA35" i="21"/>
  <c r="BX35" i="21"/>
  <c r="BU35" i="21"/>
  <c r="BR35" i="21"/>
  <c r="BO35" i="21"/>
  <c r="BL35" i="21"/>
  <c r="BI35" i="21"/>
  <c r="BF35" i="21"/>
  <c r="BC35" i="21"/>
  <c r="AZ35" i="21"/>
  <c r="AW35" i="21"/>
  <c r="AT35" i="21"/>
  <c r="AQ35" i="21"/>
  <c r="AN35" i="21"/>
  <c r="AI35" i="21"/>
  <c r="AK35" i="21" s="1"/>
  <c r="AH35" i="21"/>
  <c r="AE35" i="21"/>
  <c r="AB35" i="21"/>
  <c r="Y35" i="21"/>
  <c r="V35" i="21"/>
  <c r="S35" i="21"/>
  <c r="EH35" i="21" s="1"/>
  <c r="P35" i="21"/>
  <c r="M35" i="21"/>
  <c r="J35" i="21"/>
  <c r="G35" i="21"/>
  <c r="D35" i="21"/>
  <c r="EL34" i="21"/>
  <c r="EK34" i="21"/>
  <c r="EG34" i="21"/>
  <c r="EI34" i="21" s="1"/>
  <c r="EC34" i="21"/>
  <c r="EB34" i="21"/>
  <c r="EE34" i="21" s="1"/>
  <c r="DW34" i="21"/>
  <c r="DT34" i="21"/>
  <c r="DQ34" i="21"/>
  <c r="DN34" i="21"/>
  <c r="DK34" i="21"/>
  <c r="DH34" i="21"/>
  <c r="DE34" i="21"/>
  <c r="EM34" i="21" s="1"/>
  <c r="DB34" i="21"/>
  <c r="CY34" i="21"/>
  <c r="CV34" i="21"/>
  <c r="CS34" i="21"/>
  <c r="CP34" i="21"/>
  <c r="CM34" i="21"/>
  <c r="CJ34" i="21"/>
  <c r="CG34" i="21"/>
  <c r="CD34" i="21"/>
  <c r="CA34" i="21"/>
  <c r="BX34" i="21"/>
  <c r="BU34" i="21"/>
  <c r="BR34" i="21"/>
  <c r="BO34" i="21"/>
  <c r="BL34" i="21"/>
  <c r="BI34" i="21"/>
  <c r="BF34" i="21"/>
  <c r="BC34" i="21"/>
  <c r="AZ34" i="21"/>
  <c r="AW34" i="21"/>
  <c r="AT34" i="21"/>
  <c r="AQ34" i="21"/>
  <c r="AN34" i="21"/>
  <c r="AK34" i="21"/>
  <c r="AH34" i="21"/>
  <c r="AE34" i="21"/>
  <c r="AB34" i="21"/>
  <c r="Y34" i="21"/>
  <c r="EH34" i="21" s="1"/>
  <c r="V34" i="21"/>
  <c r="S34" i="21"/>
  <c r="P34" i="21"/>
  <c r="M34" i="21"/>
  <c r="J34" i="21"/>
  <c r="G34" i="21"/>
  <c r="D34" i="21"/>
  <c r="ED34" i="21" s="1"/>
  <c r="EL33" i="21"/>
  <c r="EK33" i="21"/>
  <c r="EN33" i="21" s="1"/>
  <c r="EI33" i="21"/>
  <c r="EG33" i="21"/>
  <c r="DW33" i="21"/>
  <c r="DT33" i="21"/>
  <c r="EM33" i="21" s="1"/>
  <c r="DQ33" i="21"/>
  <c r="DN33" i="21"/>
  <c r="DK33" i="21"/>
  <c r="DH33" i="21"/>
  <c r="DE33" i="21"/>
  <c r="DB33" i="21"/>
  <c r="CY33" i="21"/>
  <c r="CV33" i="21"/>
  <c r="CS33" i="21"/>
  <c r="CP33" i="21"/>
  <c r="CM33" i="21"/>
  <c r="CJ33" i="21"/>
  <c r="CG33" i="21"/>
  <c r="CD33" i="21"/>
  <c r="CA33" i="21"/>
  <c r="BX33" i="21"/>
  <c r="BU33" i="21"/>
  <c r="BR33" i="21"/>
  <c r="BO33" i="21"/>
  <c r="BL33" i="21"/>
  <c r="BI33" i="21"/>
  <c r="BF33" i="21"/>
  <c r="BC33" i="21"/>
  <c r="AZ33" i="21"/>
  <c r="AW33" i="21"/>
  <c r="AT33" i="21"/>
  <c r="AQ33" i="21"/>
  <c r="AN33" i="21"/>
  <c r="AK33" i="21"/>
  <c r="AI33" i="21"/>
  <c r="EB33" i="21" s="1"/>
  <c r="AH33" i="21"/>
  <c r="AE33" i="21"/>
  <c r="AB33" i="21"/>
  <c r="Y33" i="21"/>
  <c r="V33" i="21"/>
  <c r="EH33" i="21" s="1"/>
  <c r="S33" i="21"/>
  <c r="P33" i="21"/>
  <c r="M33" i="21"/>
  <c r="J33" i="21"/>
  <c r="G33" i="21"/>
  <c r="D33" i="21"/>
  <c r="ED33" i="21" s="1"/>
  <c r="EL32" i="21"/>
  <c r="EI32" i="21"/>
  <c r="EG32" i="21"/>
  <c r="DW32" i="21"/>
  <c r="DT32" i="21"/>
  <c r="EM32" i="21" s="1"/>
  <c r="DQ32" i="21"/>
  <c r="DN32" i="21"/>
  <c r="DK32" i="21"/>
  <c r="DH32" i="21"/>
  <c r="DE32" i="21"/>
  <c r="DB32" i="21"/>
  <c r="CY32" i="21"/>
  <c r="CV32" i="21"/>
  <c r="CS32" i="21"/>
  <c r="CP32" i="21"/>
  <c r="CM32" i="21"/>
  <c r="CJ32" i="21"/>
  <c r="CG32" i="21"/>
  <c r="CD32" i="21"/>
  <c r="CA32" i="21"/>
  <c r="BX32" i="21"/>
  <c r="BU32" i="21"/>
  <c r="BR32" i="21"/>
  <c r="BO32" i="21"/>
  <c r="BL32" i="21"/>
  <c r="BI32" i="21"/>
  <c r="BF32" i="21"/>
  <c r="BC32" i="21"/>
  <c r="AZ32" i="21"/>
  <c r="AW32" i="21"/>
  <c r="AT32" i="21"/>
  <c r="AQ32" i="21"/>
  <c r="AN32" i="21"/>
  <c r="AI32" i="21"/>
  <c r="AK32" i="21" s="1"/>
  <c r="AH32" i="21"/>
  <c r="AE32" i="21"/>
  <c r="AB32" i="21"/>
  <c r="Y32" i="21"/>
  <c r="V32" i="21"/>
  <c r="S32" i="21"/>
  <c r="EH32" i="21" s="1"/>
  <c r="P32" i="21"/>
  <c r="M32" i="21"/>
  <c r="J32" i="21"/>
  <c r="G32" i="21"/>
  <c r="D32" i="21"/>
  <c r="EL31" i="21"/>
  <c r="EK31" i="21"/>
  <c r="EG31" i="21"/>
  <c r="EI31" i="21" s="1"/>
  <c r="DW31" i="21"/>
  <c r="DT31" i="21"/>
  <c r="DQ31" i="21"/>
  <c r="EM31" i="21" s="1"/>
  <c r="DN31" i="21"/>
  <c r="DK31" i="21"/>
  <c r="DH31" i="21"/>
  <c r="DE31" i="21"/>
  <c r="DB31" i="21"/>
  <c r="CY31" i="21"/>
  <c r="CV31" i="21"/>
  <c r="CS31" i="21"/>
  <c r="CP31" i="21"/>
  <c r="CM31" i="21"/>
  <c r="CJ31" i="21"/>
  <c r="CG31" i="21"/>
  <c r="CD31" i="21"/>
  <c r="CA31" i="21"/>
  <c r="BX31" i="21"/>
  <c r="BU31" i="21"/>
  <c r="BR31" i="21"/>
  <c r="BO31" i="21"/>
  <c r="BL31" i="21"/>
  <c r="BI31" i="21"/>
  <c r="BF31" i="21"/>
  <c r="BC31" i="21"/>
  <c r="AZ31" i="21"/>
  <c r="AW31" i="21"/>
  <c r="AT31" i="21"/>
  <c r="AQ31" i="21"/>
  <c r="AN31" i="21"/>
  <c r="AK31" i="21"/>
  <c r="AI31" i="21"/>
  <c r="EB31" i="21" s="1"/>
  <c r="AH31" i="21"/>
  <c r="AE31" i="21"/>
  <c r="AB31" i="21"/>
  <c r="EH31" i="21" s="1"/>
  <c r="Y31" i="21"/>
  <c r="V31" i="21"/>
  <c r="S31" i="21"/>
  <c r="P31" i="21"/>
  <c r="M31" i="21"/>
  <c r="J31" i="21"/>
  <c r="G31" i="21"/>
  <c r="D31" i="21"/>
  <c r="ED31" i="21" s="1"/>
  <c r="EL30" i="21"/>
  <c r="EG30" i="21"/>
  <c r="EI30" i="21" s="1"/>
  <c r="DW30" i="21"/>
  <c r="DT30" i="21"/>
  <c r="EM30" i="21" s="1"/>
  <c r="DQ30" i="21"/>
  <c r="DN30" i="21"/>
  <c r="DK30" i="21"/>
  <c r="DH30" i="21"/>
  <c r="DE30" i="21"/>
  <c r="DB30" i="21"/>
  <c r="CY30" i="21"/>
  <c r="CV30" i="21"/>
  <c r="CS30" i="21"/>
  <c r="CP30" i="21"/>
  <c r="CM30" i="21"/>
  <c r="CJ30" i="21"/>
  <c r="CG30" i="21"/>
  <c r="CD30" i="21"/>
  <c r="CA30" i="21"/>
  <c r="BX30" i="21"/>
  <c r="BU30" i="21"/>
  <c r="BR30" i="21"/>
  <c r="BO30" i="21"/>
  <c r="BL30" i="21"/>
  <c r="BI30" i="21"/>
  <c r="BF30" i="21"/>
  <c r="BC30" i="21"/>
  <c r="AZ30" i="21"/>
  <c r="AW30" i="21"/>
  <c r="AT30" i="21"/>
  <c r="AQ30" i="21"/>
  <c r="AN30" i="21"/>
  <c r="AI30" i="21"/>
  <c r="AK30" i="21" s="1"/>
  <c r="AH30" i="21"/>
  <c r="AE30" i="21"/>
  <c r="AB30" i="21"/>
  <c r="Y30" i="21"/>
  <c r="V30" i="21"/>
  <c r="S30" i="21"/>
  <c r="EH30" i="21" s="1"/>
  <c r="P30" i="21"/>
  <c r="M30" i="21"/>
  <c r="J30" i="21"/>
  <c r="G30" i="21"/>
  <c r="ED30" i="21" s="1"/>
  <c r="D30" i="21"/>
  <c r="EL29" i="21"/>
  <c r="EK29" i="21"/>
  <c r="EI29" i="21"/>
  <c r="EG29" i="21"/>
  <c r="DW29" i="21"/>
  <c r="DT29" i="21"/>
  <c r="DQ29" i="21"/>
  <c r="DN29" i="21"/>
  <c r="DK29" i="21"/>
  <c r="EM29" i="21" s="1"/>
  <c r="DH29" i="21"/>
  <c r="DE29" i="21"/>
  <c r="DB29" i="21"/>
  <c r="CY29" i="21"/>
  <c r="CV29" i="21"/>
  <c r="CS29" i="21"/>
  <c r="CP29" i="21"/>
  <c r="CM29" i="21"/>
  <c r="CJ29" i="21"/>
  <c r="CG29" i="21"/>
  <c r="CD29" i="21"/>
  <c r="CA29" i="21"/>
  <c r="BX29" i="21"/>
  <c r="BU29" i="21"/>
  <c r="BR29" i="21"/>
  <c r="BO29" i="21"/>
  <c r="BL29" i="21"/>
  <c r="BI29" i="21"/>
  <c r="BF29" i="21"/>
  <c r="BC29" i="21"/>
  <c r="AZ29" i="21"/>
  <c r="AW29" i="21"/>
  <c r="AT29" i="21"/>
  <c r="AQ29" i="21"/>
  <c r="AN29" i="21"/>
  <c r="AK29" i="21"/>
  <c r="AI29" i="21"/>
  <c r="EB29" i="21" s="1"/>
  <c r="AH29" i="21"/>
  <c r="AE29" i="21"/>
  <c r="AB29" i="21"/>
  <c r="Y29" i="21"/>
  <c r="V29" i="21"/>
  <c r="EH29" i="21" s="1"/>
  <c r="S29" i="21"/>
  <c r="P29" i="21"/>
  <c r="M29" i="21"/>
  <c r="J29" i="21"/>
  <c r="G29" i="21"/>
  <c r="D29" i="21"/>
  <c r="ED29" i="21" s="1"/>
  <c r="EL28" i="21"/>
  <c r="EI28" i="21"/>
  <c r="EG28" i="21"/>
  <c r="DW28" i="21"/>
  <c r="DT28" i="21"/>
  <c r="EM28" i="21" s="1"/>
  <c r="DQ28" i="21"/>
  <c r="DN28" i="21"/>
  <c r="DK28" i="21"/>
  <c r="DH28" i="21"/>
  <c r="DE28" i="21"/>
  <c r="DB28" i="21"/>
  <c r="CY28" i="21"/>
  <c r="CV28" i="21"/>
  <c r="CS28" i="21"/>
  <c r="CP28" i="21"/>
  <c r="CM28" i="21"/>
  <c r="CJ28" i="21"/>
  <c r="CG28" i="21"/>
  <c r="CD28" i="21"/>
  <c r="CA28" i="21"/>
  <c r="BX28" i="21"/>
  <c r="BU28" i="21"/>
  <c r="BR28" i="21"/>
  <c r="BO28" i="21"/>
  <c r="BL28" i="21"/>
  <c r="BI28" i="21"/>
  <c r="BF28" i="21"/>
  <c r="BC28" i="21"/>
  <c r="AZ28" i="21"/>
  <c r="AW28" i="21"/>
  <c r="AT28" i="21"/>
  <c r="AQ28" i="21"/>
  <c r="AN28" i="21"/>
  <c r="AI28" i="21"/>
  <c r="AK28" i="21" s="1"/>
  <c r="AH28" i="21"/>
  <c r="AE28" i="21"/>
  <c r="AB28" i="21"/>
  <c r="Y28" i="21"/>
  <c r="V28" i="21"/>
  <c r="S28" i="21"/>
  <c r="ED28" i="21" s="1"/>
  <c r="P28" i="21"/>
  <c r="M28" i="21"/>
  <c r="J28" i="21"/>
  <c r="G28" i="21"/>
  <c r="D28" i="21"/>
  <c r="EL27" i="21"/>
  <c r="EK27" i="21"/>
  <c r="EI27" i="21"/>
  <c r="EG27" i="21"/>
  <c r="DW27" i="21"/>
  <c r="DT27" i="21"/>
  <c r="DQ27" i="21"/>
  <c r="DN27" i="21"/>
  <c r="DK27" i="21"/>
  <c r="DH27" i="21"/>
  <c r="DE27" i="21"/>
  <c r="EM27" i="21" s="1"/>
  <c r="DB27" i="21"/>
  <c r="CY27" i="21"/>
  <c r="CV27" i="21"/>
  <c r="CS27" i="21"/>
  <c r="CP27" i="21"/>
  <c r="CM27" i="21"/>
  <c r="CJ27" i="21"/>
  <c r="CG27" i="21"/>
  <c r="CD27" i="21"/>
  <c r="CA27" i="21"/>
  <c r="BX27" i="21"/>
  <c r="BU27" i="21"/>
  <c r="BR27" i="21"/>
  <c r="BO27" i="21"/>
  <c r="BL27" i="21"/>
  <c r="BI27" i="21"/>
  <c r="BF27" i="21"/>
  <c r="BC27" i="21"/>
  <c r="AZ27" i="21"/>
  <c r="AW27" i="21"/>
  <c r="AT27" i="21"/>
  <c r="AQ27" i="21"/>
  <c r="AN27" i="21"/>
  <c r="AK27" i="21"/>
  <c r="AI27" i="21"/>
  <c r="EB27" i="21" s="1"/>
  <c r="AH27" i="21"/>
  <c r="AE27" i="21"/>
  <c r="AB27" i="21"/>
  <c r="EH27" i="21" s="1"/>
  <c r="Y27" i="21"/>
  <c r="V27" i="21"/>
  <c r="S27" i="21"/>
  <c r="P27" i="21"/>
  <c r="M27" i="21"/>
  <c r="J27" i="21"/>
  <c r="G27" i="21"/>
  <c r="D27" i="21"/>
  <c r="ED27" i="21" s="1"/>
  <c r="EL26" i="21"/>
  <c r="EI26" i="21"/>
  <c r="EG26" i="21"/>
  <c r="EB26" i="21"/>
  <c r="DW26" i="21"/>
  <c r="DT26" i="21"/>
  <c r="DQ26" i="21"/>
  <c r="DN26" i="21"/>
  <c r="DK26" i="21"/>
  <c r="DH26" i="21"/>
  <c r="DE26" i="21"/>
  <c r="DB26" i="21"/>
  <c r="CY26" i="21"/>
  <c r="CV26" i="21"/>
  <c r="CS26" i="21"/>
  <c r="CP26" i="21"/>
  <c r="CM26" i="21"/>
  <c r="CJ26" i="21"/>
  <c r="CG26" i="21"/>
  <c r="CD26" i="21"/>
  <c r="CA26" i="21"/>
  <c r="BX26" i="21"/>
  <c r="BU26" i="21"/>
  <c r="BR26" i="21"/>
  <c r="BO26" i="21"/>
  <c r="BL26" i="21"/>
  <c r="BI26" i="21"/>
  <c r="BF26" i="21"/>
  <c r="BC26" i="21"/>
  <c r="AZ26" i="21"/>
  <c r="AW26" i="21"/>
  <c r="AT26" i="21"/>
  <c r="AQ26" i="21"/>
  <c r="AN26" i="21"/>
  <c r="AI26" i="21"/>
  <c r="EK26" i="21" s="1"/>
  <c r="AH26" i="21"/>
  <c r="AE26" i="21"/>
  <c r="AB26" i="21"/>
  <c r="Y26" i="21"/>
  <c r="V26" i="21"/>
  <c r="S26" i="21"/>
  <c r="EH26" i="21" s="1"/>
  <c r="P26" i="21"/>
  <c r="M26" i="21"/>
  <c r="J26" i="21"/>
  <c r="G26" i="21"/>
  <c r="D26" i="21"/>
  <c r="EL25" i="21"/>
  <c r="EK25" i="21"/>
  <c r="EI25" i="21"/>
  <c r="EG25" i="21"/>
  <c r="DW25" i="21"/>
  <c r="DT25" i="21"/>
  <c r="DQ25" i="21"/>
  <c r="EM25" i="21" s="1"/>
  <c r="DN25" i="21"/>
  <c r="DK25" i="21"/>
  <c r="DH25" i="21"/>
  <c r="DE25" i="21"/>
  <c r="DB25" i="21"/>
  <c r="CY25" i="21"/>
  <c r="CV25" i="21"/>
  <c r="CS25" i="21"/>
  <c r="CP25" i="21"/>
  <c r="CM25" i="21"/>
  <c r="CJ25" i="21"/>
  <c r="CG25" i="21"/>
  <c r="CD25" i="21"/>
  <c r="CA25" i="21"/>
  <c r="BX25" i="21"/>
  <c r="BU25" i="21"/>
  <c r="BR25" i="21"/>
  <c r="BO25" i="21"/>
  <c r="BL25" i="21"/>
  <c r="BI25" i="21"/>
  <c r="BF25" i="21"/>
  <c r="BC25" i="21"/>
  <c r="AZ25" i="21"/>
  <c r="AW25" i="21"/>
  <c r="AT25" i="21"/>
  <c r="AQ25" i="21"/>
  <c r="AN25" i="21"/>
  <c r="AK25" i="21"/>
  <c r="AI25" i="21"/>
  <c r="EB25" i="21" s="1"/>
  <c r="AH25" i="21"/>
  <c r="AE25" i="21"/>
  <c r="AB25" i="21"/>
  <c r="EH25" i="21" s="1"/>
  <c r="Y25" i="21"/>
  <c r="V25" i="21"/>
  <c r="S25" i="21"/>
  <c r="P25" i="21"/>
  <c r="M25" i="21"/>
  <c r="J25" i="21"/>
  <c r="G25" i="21"/>
  <c r="D25" i="21"/>
  <c r="ED25" i="21" s="1"/>
  <c r="EL24" i="21"/>
  <c r="EI24" i="21"/>
  <c r="EG24" i="21"/>
  <c r="DW24" i="21"/>
  <c r="DT24" i="21"/>
  <c r="EM24" i="21" s="1"/>
  <c r="DQ24" i="21"/>
  <c r="DN24" i="21"/>
  <c r="DK24" i="21"/>
  <c r="DH24" i="21"/>
  <c r="DE24" i="21"/>
  <c r="DB24" i="21"/>
  <c r="CY24" i="21"/>
  <c r="CV24" i="21"/>
  <c r="CS24" i="21"/>
  <c r="CP24" i="21"/>
  <c r="CM24" i="21"/>
  <c r="CJ24" i="21"/>
  <c r="CG24" i="21"/>
  <c r="CD24" i="21"/>
  <c r="CA24" i="21"/>
  <c r="BX24" i="21"/>
  <c r="BU24" i="21"/>
  <c r="BR24" i="21"/>
  <c r="BO24" i="21"/>
  <c r="BL24" i="21"/>
  <c r="BI24" i="21"/>
  <c r="BF24" i="21"/>
  <c r="BC24" i="21"/>
  <c r="AZ24" i="21"/>
  <c r="AW24" i="21"/>
  <c r="AT24" i="21"/>
  <c r="AQ24" i="21"/>
  <c r="AN24" i="21"/>
  <c r="AI24" i="21"/>
  <c r="AK24" i="21" s="1"/>
  <c r="AH24" i="21"/>
  <c r="AE24" i="21"/>
  <c r="AB24" i="21"/>
  <c r="Y24" i="21"/>
  <c r="V24" i="21"/>
  <c r="S24" i="21"/>
  <c r="EH24" i="21" s="1"/>
  <c r="P24" i="21"/>
  <c r="M24" i="21"/>
  <c r="J24" i="21"/>
  <c r="G24" i="21"/>
  <c r="ED24" i="21" s="1"/>
  <c r="D24" i="21"/>
  <c r="EL23" i="21"/>
  <c r="EK23" i="21"/>
  <c r="EN23" i="21" s="1"/>
  <c r="EI23" i="21"/>
  <c r="EG23" i="21"/>
  <c r="DW23" i="21"/>
  <c r="DT23" i="21"/>
  <c r="DQ23" i="21"/>
  <c r="EM23" i="21" s="1"/>
  <c r="DN23" i="21"/>
  <c r="DK23" i="21"/>
  <c r="DH23" i="21"/>
  <c r="DE23" i="21"/>
  <c r="DB23" i="21"/>
  <c r="CY23" i="21"/>
  <c r="CV23" i="21"/>
  <c r="CS23" i="21"/>
  <c r="CP23" i="21"/>
  <c r="CM23" i="21"/>
  <c r="CJ23" i="21"/>
  <c r="CG23" i="21"/>
  <c r="CD23" i="21"/>
  <c r="CA23" i="21"/>
  <c r="BX23" i="21"/>
  <c r="BU23" i="21"/>
  <c r="BR23" i="21"/>
  <c r="BO23" i="21"/>
  <c r="BL23" i="21"/>
  <c r="BI23" i="21"/>
  <c r="BF23" i="21"/>
  <c r="BC23" i="21"/>
  <c r="AZ23" i="21"/>
  <c r="AW23" i="21"/>
  <c r="AT23" i="21"/>
  <c r="AQ23" i="21"/>
  <c r="AN23" i="21"/>
  <c r="AK23" i="21"/>
  <c r="AI23" i="21"/>
  <c r="EB23" i="21" s="1"/>
  <c r="AH23" i="21"/>
  <c r="AE23" i="21"/>
  <c r="AB23" i="21"/>
  <c r="EH23" i="21" s="1"/>
  <c r="Y23" i="21"/>
  <c r="V23" i="21"/>
  <c r="S23" i="21"/>
  <c r="P23" i="21"/>
  <c r="M23" i="21"/>
  <c r="J23" i="21"/>
  <c r="G23" i="21"/>
  <c r="D23" i="21"/>
  <c r="ED23" i="21" s="1"/>
  <c r="EL22" i="21"/>
  <c r="EG22" i="21"/>
  <c r="EI22" i="21" s="1"/>
  <c r="DW22" i="21"/>
  <c r="DT22" i="21"/>
  <c r="EM22" i="21" s="1"/>
  <c r="DQ22" i="21"/>
  <c r="DN22" i="21"/>
  <c r="DK22" i="21"/>
  <c r="DH22" i="21"/>
  <c r="DE22" i="21"/>
  <c r="DB22" i="21"/>
  <c r="CY22" i="21"/>
  <c r="CV22" i="21"/>
  <c r="CS22" i="21"/>
  <c r="CP22" i="21"/>
  <c r="CM22" i="21"/>
  <c r="CJ22" i="21"/>
  <c r="CG22" i="21"/>
  <c r="CD22" i="21"/>
  <c r="CA22" i="21"/>
  <c r="BX22" i="21"/>
  <c r="BU22" i="21"/>
  <c r="BR22" i="21"/>
  <c r="BO22" i="21"/>
  <c r="BL22" i="21"/>
  <c r="BI22" i="21"/>
  <c r="BF22" i="21"/>
  <c r="BC22" i="21"/>
  <c r="AZ22" i="21"/>
  <c r="AW22" i="21"/>
  <c r="AT22" i="21"/>
  <c r="AQ22" i="21"/>
  <c r="AN22" i="21"/>
  <c r="AI22" i="21"/>
  <c r="AK22" i="21" s="1"/>
  <c r="AH22" i="21"/>
  <c r="AE22" i="21"/>
  <c r="AB22" i="21"/>
  <c r="Y22" i="21"/>
  <c r="V22" i="21"/>
  <c r="S22" i="21"/>
  <c r="EH22" i="21" s="1"/>
  <c r="P22" i="21"/>
  <c r="M22" i="21"/>
  <c r="J22" i="21"/>
  <c r="G22" i="21"/>
  <c r="ED22" i="21" s="1"/>
  <c r="D22" i="21"/>
  <c r="EL21" i="21"/>
  <c r="EK21" i="21"/>
  <c r="EG21" i="21"/>
  <c r="EI21" i="21" s="1"/>
  <c r="DW21" i="21"/>
  <c r="DT21" i="21"/>
  <c r="DQ21" i="21"/>
  <c r="DN21" i="21"/>
  <c r="DK21" i="21"/>
  <c r="EM21" i="21" s="1"/>
  <c r="DH21" i="21"/>
  <c r="DE21" i="21"/>
  <c r="DB21" i="21"/>
  <c r="CY21" i="21"/>
  <c r="CV21" i="21"/>
  <c r="CS21" i="21"/>
  <c r="CP21" i="21"/>
  <c r="CM21" i="21"/>
  <c r="CJ21" i="21"/>
  <c r="CG21" i="21"/>
  <c r="CD21" i="21"/>
  <c r="CA21" i="21"/>
  <c r="BX21" i="21"/>
  <c r="BU21" i="21"/>
  <c r="BR21" i="21"/>
  <c r="BO21" i="21"/>
  <c r="BL21" i="21"/>
  <c r="BI21" i="21"/>
  <c r="BF21" i="21"/>
  <c r="BC21" i="21"/>
  <c r="AZ21" i="21"/>
  <c r="AW21" i="21"/>
  <c r="AT21" i="21"/>
  <c r="AQ21" i="21"/>
  <c r="AN21" i="21"/>
  <c r="AK21" i="21"/>
  <c r="AI21" i="21"/>
  <c r="EB21" i="21" s="1"/>
  <c r="AH21" i="21"/>
  <c r="AE21" i="21"/>
  <c r="AB21" i="21"/>
  <c r="Y21" i="21"/>
  <c r="V21" i="21"/>
  <c r="EH21" i="21" s="1"/>
  <c r="S21" i="21"/>
  <c r="P21" i="21"/>
  <c r="M21" i="21"/>
  <c r="J21" i="21"/>
  <c r="G21" i="21"/>
  <c r="D21" i="21"/>
  <c r="ED21" i="21" s="1"/>
  <c r="EN20" i="21"/>
  <c r="EL20" i="21"/>
  <c r="EK20" i="21"/>
  <c r="EI20" i="21"/>
  <c r="EG20" i="21"/>
  <c r="EB20" i="21"/>
  <c r="EC20" i="21" s="1"/>
  <c r="DW20" i="21"/>
  <c r="DT20" i="21"/>
  <c r="EM20" i="21" s="1"/>
  <c r="DQ20" i="21"/>
  <c r="DN20" i="21"/>
  <c r="DK20" i="21"/>
  <c r="DH20" i="21"/>
  <c r="DE20" i="21"/>
  <c r="DB20" i="21"/>
  <c r="CY20" i="21"/>
  <c r="CV20" i="21"/>
  <c r="CS20" i="21"/>
  <c r="CP20" i="21"/>
  <c r="CM20" i="21"/>
  <c r="CJ20" i="21"/>
  <c r="CG20" i="21"/>
  <c r="CD20" i="21"/>
  <c r="CA20" i="21"/>
  <c r="BX20" i="21"/>
  <c r="BU20" i="21"/>
  <c r="BR20" i="21"/>
  <c r="BO20" i="21"/>
  <c r="BL20" i="21"/>
  <c r="BI20" i="21"/>
  <c r="BF20" i="21"/>
  <c r="BC20" i="21"/>
  <c r="AZ20" i="21"/>
  <c r="AW20" i="21"/>
  <c r="AT20" i="21"/>
  <c r="AQ20" i="21"/>
  <c r="AN20" i="21"/>
  <c r="AK20" i="21"/>
  <c r="AH20" i="21"/>
  <c r="AE20" i="21"/>
  <c r="AB20" i="21"/>
  <c r="Y20" i="21"/>
  <c r="V20" i="21"/>
  <c r="S20" i="21"/>
  <c r="EH20" i="21" s="1"/>
  <c r="P20" i="21"/>
  <c r="ED20" i="21" s="1"/>
  <c r="M20" i="21"/>
  <c r="J20" i="21"/>
  <c r="G20" i="21"/>
  <c r="D20" i="21"/>
  <c r="EL19" i="21"/>
  <c r="EI19" i="21"/>
  <c r="EG19" i="21"/>
  <c r="DW19" i="21"/>
  <c r="DT19" i="21"/>
  <c r="DQ19" i="21"/>
  <c r="DN19" i="21"/>
  <c r="DK19" i="21"/>
  <c r="DH19" i="21"/>
  <c r="DE19" i="21"/>
  <c r="DB19" i="21"/>
  <c r="CY19" i="21"/>
  <c r="CV19" i="21"/>
  <c r="CS19" i="21"/>
  <c r="CP19" i="21"/>
  <c r="CM19" i="21"/>
  <c r="CJ19" i="21"/>
  <c r="CG19" i="21"/>
  <c r="CD19" i="21"/>
  <c r="CA19" i="21"/>
  <c r="BX19" i="21"/>
  <c r="BU19" i="21"/>
  <c r="BR19" i="21"/>
  <c r="BO19" i="21"/>
  <c r="BL19" i="21"/>
  <c r="BI19" i="21"/>
  <c r="BF19" i="21"/>
  <c r="BC19" i="21"/>
  <c r="AZ19" i="21"/>
  <c r="AW19" i="21"/>
  <c r="AT19" i="21"/>
  <c r="AQ19" i="21"/>
  <c r="AN19" i="21"/>
  <c r="AI19" i="21"/>
  <c r="EK19" i="21" s="1"/>
  <c r="AH19" i="21"/>
  <c r="AE19" i="21"/>
  <c r="AB19" i="21"/>
  <c r="Y19" i="21"/>
  <c r="V19" i="21"/>
  <c r="S19" i="21"/>
  <c r="EH19" i="21" s="1"/>
  <c r="P19" i="21"/>
  <c r="M19" i="21"/>
  <c r="J19" i="21"/>
  <c r="G19" i="21"/>
  <c r="D19" i="21"/>
  <c r="EL18" i="21"/>
  <c r="EK18" i="21"/>
  <c r="EG18" i="21"/>
  <c r="EI18" i="21" s="1"/>
  <c r="DW18" i="21"/>
  <c r="DT18" i="21"/>
  <c r="DQ18" i="21"/>
  <c r="EM18" i="21" s="1"/>
  <c r="DN18" i="21"/>
  <c r="DK18" i="21"/>
  <c r="DH18" i="21"/>
  <c r="DE18" i="21"/>
  <c r="DB18" i="21"/>
  <c r="CY18" i="21"/>
  <c r="CV18" i="21"/>
  <c r="CS18" i="21"/>
  <c r="CP18" i="21"/>
  <c r="CM18" i="21"/>
  <c r="CJ18" i="21"/>
  <c r="CG18" i="21"/>
  <c r="CD18" i="21"/>
  <c r="CA18" i="21"/>
  <c r="BX18" i="21"/>
  <c r="BU18" i="21"/>
  <c r="BR18" i="21"/>
  <c r="BO18" i="21"/>
  <c r="BL18" i="21"/>
  <c r="BI18" i="21"/>
  <c r="BF18" i="21"/>
  <c r="BC18" i="21"/>
  <c r="AZ18" i="21"/>
  <c r="AW18" i="21"/>
  <c r="AT18" i="21"/>
  <c r="AQ18" i="21"/>
  <c r="AN18" i="21"/>
  <c r="AK18" i="21"/>
  <c r="AI18" i="21"/>
  <c r="EB18" i="21" s="1"/>
  <c r="AH18" i="21"/>
  <c r="AE18" i="21"/>
  <c r="AB18" i="21"/>
  <c r="EH18" i="21" s="1"/>
  <c r="Y18" i="21"/>
  <c r="V18" i="21"/>
  <c r="S18" i="21"/>
  <c r="P18" i="21"/>
  <c r="M18" i="21"/>
  <c r="J18" i="21"/>
  <c r="G18" i="21"/>
  <c r="D18" i="21"/>
  <c r="ED18" i="21" s="1"/>
  <c r="EL17" i="21"/>
  <c r="EI17" i="21"/>
  <c r="EG17" i="21"/>
  <c r="DW17" i="21"/>
  <c r="DT17" i="21"/>
  <c r="EM17" i="21" s="1"/>
  <c r="DQ17" i="21"/>
  <c r="DN17" i="21"/>
  <c r="DK17" i="21"/>
  <c r="DH17" i="21"/>
  <c r="DE17" i="21"/>
  <c r="DB17" i="21"/>
  <c r="CY17" i="21"/>
  <c r="CV17" i="21"/>
  <c r="CS17" i="21"/>
  <c r="CP17" i="21"/>
  <c r="CM17" i="21"/>
  <c r="CJ17" i="21"/>
  <c r="CG17" i="21"/>
  <c r="CD17" i="21"/>
  <c r="CA17" i="21"/>
  <c r="BX17" i="21"/>
  <c r="BU17" i="21"/>
  <c r="BR17" i="21"/>
  <c r="BO17" i="21"/>
  <c r="BL17" i="21"/>
  <c r="BI17" i="21"/>
  <c r="BF17" i="21"/>
  <c r="BC17" i="21"/>
  <c r="AZ17" i="21"/>
  <c r="AW17" i="21"/>
  <c r="AT17" i="21"/>
  <c r="AQ17" i="21"/>
  <c r="AN17" i="21"/>
  <c r="AI17" i="21"/>
  <c r="AK17" i="21" s="1"/>
  <c r="AH17" i="21"/>
  <c r="AE17" i="21"/>
  <c r="AB17" i="21"/>
  <c r="Y17" i="21"/>
  <c r="V17" i="21"/>
  <c r="S17" i="21"/>
  <c r="EH17" i="21" s="1"/>
  <c r="P17" i="21"/>
  <c r="M17" i="21"/>
  <c r="J17" i="21"/>
  <c r="G17" i="21"/>
  <c r="D17" i="21"/>
  <c r="EL16" i="21"/>
  <c r="EK16" i="21"/>
  <c r="EN16" i="21" s="1"/>
  <c r="EI16" i="21"/>
  <c r="EG16" i="21"/>
  <c r="DW16" i="21"/>
  <c r="DT16" i="21"/>
  <c r="DQ16" i="21"/>
  <c r="EM16" i="21" s="1"/>
  <c r="DN16" i="21"/>
  <c r="DK16" i="21"/>
  <c r="DH16" i="21"/>
  <c r="DE16" i="21"/>
  <c r="DB16" i="21"/>
  <c r="CY16" i="21"/>
  <c r="CV16" i="21"/>
  <c r="CS16" i="21"/>
  <c r="CP16" i="21"/>
  <c r="CM16" i="21"/>
  <c r="CJ16" i="21"/>
  <c r="CG16" i="21"/>
  <c r="CD16" i="21"/>
  <c r="CA16" i="21"/>
  <c r="BX16" i="21"/>
  <c r="BU16" i="21"/>
  <c r="BR16" i="21"/>
  <c r="BO16" i="21"/>
  <c r="BL16" i="21"/>
  <c r="BI16" i="21"/>
  <c r="BF16" i="21"/>
  <c r="BC16" i="21"/>
  <c r="AZ16" i="21"/>
  <c r="AW16" i="21"/>
  <c r="AT16" i="21"/>
  <c r="AQ16" i="21"/>
  <c r="AN16" i="21"/>
  <c r="AK16" i="21"/>
  <c r="AI16" i="21"/>
  <c r="EB16" i="21" s="1"/>
  <c r="AH16" i="21"/>
  <c r="AE16" i="21"/>
  <c r="AB16" i="21"/>
  <c r="EH16" i="21" s="1"/>
  <c r="Y16" i="21"/>
  <c r="V16" i="21"/>
  <c r="S16" i="21"/>
  <c r="P16" i="21"/>
  <c r="M16" i="21"/>
  <c r="J16" i="21"/>
  <c r="G16" i="21"/>
  <c r="D16" i="21"/>
  <c r="ED16" i="21" s="1"/>
  <c r="EL15" i="21"/>
  <c r="EG15" i="21"/>
  <c r="EI15" i="21" s="1"/>
  <c r="DW15" i="21"/>
  <c r="DT15" i="21"/>
  <c r="DQ15" i="21"/>
  <c r="DN15" i="21"/>
  <c r="DK15" i="21"/>
  <c r="DH15" i="21"/>
  <c r="DE15" i="21"/>
  <c r="DB15" i="21"/>
  <c r="CY15" i="21"/>
  <c r="CV15" i="21"/>
  <c r="CS15" i="21"/>
  <c r="CP15" i="21"/>
  <c r="CM15" i="21"/>
  <c r="CJ15" i="21"/>
  <c r="CG15" i="21"/>
  <c r="CD15" i="21"/>
  <c r="CA15" i="21"/>
  <c r="BX15" i="21"/>
  <c r="BU15" i="21"/>
  <c r="BR15" i="21"/>
  <c r="BO15" i="21"/>
  <c r="BL15" i="21"/>
  <c r="BI15" i="21"/>
  <c r="BF15" i="21"/>
  <c r="BC15" i="21"/>
  <c r="AZ15" i="21"/>
  <c r="AW15" i="21"/>
  <c r="AT15" i="21"/>
  <c r="AQ15" i="21"/>
  <c r="AN15" i="21"/>
  <c r="AI15" i="21"/>
  <c r="AK15" i="21" s="1"/>
  <c r="AH15" i="21"/>
  <c r="AE15" i="21"/>
  <c r="AB15" i="21"/>
  <c r="Y15" i="21"/>
  <c r="V15" i="21"/>
  <c r="S15" i="21"/>
  <c r="P15" i="21"/>
  <c r="M15" i="21"/>
  <c r="J15" i="21"/>
  <c r="G15" i="21"/>
  <c r="D15" i="21"/>
  <c r="EL14" i="21"/>
  <c r="EK14" i="21"/>
  <c r="EG14" i="21"/>
  <c r="EI14" i="21" s="1"/>
  <c r="DW14" i="21"/>
  <c r="DT14" i="21"/>
  <c r="DQ14" i="21"/>
  <c r="DN14" i="21"/>
  <c r="DK14" i="21"/>
  <c r="EM14" i="21" s="1"/>
  <c r="DH14" i="21"/>
  <c r="DE14" i="21"/>
  <c r="DB14" i="21"/>
  <c r="CY14" i="21"/>
  <c r="CV14" i="21"/>
  <c r="CS14" i="21"/>
  <c r="CP14" i="21"/>
  <c r="CM14" i="21"/>
  <c r="CM42" i="21" s="1"/>
  <c r="CJ14" i="21"/>
  <c r="CG14" i="21"/>
  <c r="CD14" i="21"/>
  <c r="CA14" i="21"/>
  <c r="BX14" i="21"/>
  <c r="BU14" i="21"/>
  <c r="BR14" i="21"/>
  <c r="BO14" i="21"/>
  <c r="BO42" i="21" s="1"/>
  <c r="BL14" i="21"/>
  <c r="BI14" i="21"/>
  <c r="BF14" i="21"/>
  <c r="BC14" i="21"/>
  <c r="AZ14" i="21"/>
  <c r="AW14" i="21"/>
  <c r="AT14" i="21"/>
  <c r="AQ14" i="21"/>
  <c r="AQ42" i="21" s="1"/>
  <c r="AN14" i="21"/>
  <c r="AK14" i="21"/>
  <c r="AI14" i="21"/>
  <c r="EB14" i="21" s="1"/>
  <c r="AH14" i="21"/>
  <c r="AE14" i="21"/>
  <c r="AB14" i="21"/>
  <c r="Y14" i="21"/>
  <c r="V14" i="21"/>
  <c r="EH14" i="21" s="1"/>
  <c r="S14" i="21"/>
  <c r="P14" i="21"/>
  <c r="M14" i="21"/>
  <c r="J14" i="21"/>
  <c r="G14" i="21"/>
  <c r="D14" i="21"/>
  <c r="ED14" i="21" s="1"/>
  <c r="EL13" i="21"/>
  <c r="EG13" i="21"/>
  <c r="EI13" i="21" s="1"/>
  <c r="DW13" i="21"/>
  <c r="DT13" i="21"/>
  <c r="DQ13" i="21"/>
  <c r="DN13" i="21"/>
  <c r="DK13" i="21"/>
  <c r="DH13" i="21"/>
  <c r="DE13" i="21"/>
  <c r="DB13" i="21"/>
  <c r="CY13" i="21"/>
  <c r="CV13" i="21"/>
  <c r="CS13" i="21"/>
  <c r="CP13" i="21"/>
  <c r="CM13" i="21"/>
  <c r="CJ13" i="21"/>
  <c r="CG13" i="21"/>
  <c r="CD13" i="21"/>
  <c r="CA13" i="21"/>
  <c r="BX13" i="21"/>
  <c r="BU13" i="21"/>
  <c r="BR13" i="21"/>
  <c r="BO13" i="21"/>
  <c r="BL13" i="21"/>
  <c r="BI13" i="21"/>
  <c r="BF13" i="21"/>
  <c r="BC13" i="21"/>
  <c r="AZ13" i="21"/>
  <c r="AW13" i="21"/>
  <c r="AT13" i="21"/>
  <c r="AQ13" i="21"/>
  <c r="AN13" i="21"/>
  <c r="AI13" i="21"/>
  <c r="AK13" i="21" s="1"/>
  <c r="AH13" i="21"/>
  <c r="AE13" i="21"/>
  <c r="AB13" i="21"/>
  <c r="Y13" i="21"/>
  <c r="V13" i="21"/>
  <c r="S13" i="21"/>
  <c r="S42" i="21" s="1"/>
  <c r="P13" i="21"/>
  <c r="M13" i="21"/>
  <c r="J13" i="21"/>
  <c r="G13" i="21"/>
  <c r="D13" i="2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EM12" i="21"/>
  <c r="EL12" i="21"/>
  <c r="EK12" i="21"/>
  <c r="EN12" i="21" s="1"/>
  <c r="EI12" i="21"/>
  <c r="EG12" i="21"/>
  <c r="DW12" i="21"/>
  <c r="DT12" i="21"/>
  <c r="DQ12" i="21"/>
  <c r="DN12" i="21"/>
  <c r="DK12" i="21"/>
  <c r="DH12" i="21"/>
  <c r="DE12" i="21"/>
  <c r="DB12" i="21"/>
  <c r="CY12" i="21"/>
  <c r="CV12" i="21"/>
  <c r="CS12" i="21"/>
  <c r="CP12" i="21"/>
  <c r="CM12" i="21"/>
  <c r="CJ12" i="21"/>
  <c r="CG12" i="21"/>
  <c r="CD12" i="21"/>
  <c r="CA12" i="21"/>
  <c r="BX12" i="21"/>
  <c r="BU12" i="21"/>
  <c r="BR12" i="21"/>
  <c r="BO12" i="21"/>
  <c r="BL12" i="21"/>
  <c r="BI12" i="21"/>
  <c r="BF12" i="21"/>
  <c r="BC12" i="21"/>
  <c r="AZ12" i="21"/>
  <c r="AW12" i="21"/>
  <c r="AT12" i="21"/>
  <c r="AQ12" i="21"/>
  <c r="AN12" i="21"/>
  <c r="AK12" i="21"/>
  <c r="AI12" i="21"/>
  <c r="EB12" i="21" s="1"/>
  <c r="AH12" i="21"/>
  <c r="AE12" i="21"/>
  <c r="AB12" i="21"/>
  <c r="Y12" i="21"/>
  <c r="V12" i="21"/>
  <c r="EH12" i="21" s="1"/>
  <c r="S12" i="21"/>
  <c r="P12" i="21"/>
  <c r="M12" i="21"/>
  <c r="J12" i="21"/>
  <c r="G12" i="21"/>
  <c r="D12" i="21"/>
  <c r="ED12" i="21" s="1"/>
  <c r="A12" i="21"/>
  <c r="EL11" i="21"/>
  <c r="EI11" i="21"/>
  <c r="EG11" i="21"/>
  <c r="EI5" i="21" s="1"/>
  <c r="DW11" i="21"/>
  <c r="DW42" i="21" s="1"/>
  <c r="DT11" i="21"/>
  <c r="DT42" i="21" s="1"/>
  <c r="DQ11" i="21"/>
  <c r="DQ42" i="21" s="1"/>
  <c r="DN11" i="21"/>
  <c r="DN42" i="21" s="1"/>
  <c r="DK11" i="21"/>
  <c r="DH11" i="21"/>
  <c r="DH42" i="21" s="1"/>
  <c r="DE11" i="21"/>
  <c r="DE42" i="21" s="1"/>
  <c r="DB11" i="21"/>
  <c r="DB42" i="21" s="1"/>
  <c r="CY11" i="21"/>
  <c r="CY42" i="21" s="1"/>
  <c r="CV11" i="21"/>
  <c r="CV42" i="21" s="1"/>
  <c r="CS11" i="21"/>
  <c r="CS42" i="21" s="1"/>
  <c r="CP11" i="21"/>
  <c r="CP42" i="21" s="1"/>
  <c r="CM11" i="21"/>
  <c r="CJ11" i="21"/>
  <c r="CJ42" i="21" s="1"/>
  <c r="CG11" i="21"/>
  <c r="CG42" i="21" s="1"/>
  <c r="CD11" i="21"/>
  <c r="CD42" i="21" s="1"/>
  <c r="CA11" i="21"/>
  <c r="CA42" i="21" s="1"/>
  <c r="BX11" i="21"/>
  <c r="BX42" i="21" s="1"/>
  <c r="BU11" i="21"/>
  <c r="BU42" i="21" s="1"/>
  <c r="BR11" i="21"/>
  <c r="BR42" i="21" s="1"/>
  <c r="BO11" i="21"/>
  <c r="BL11" i="21"/>
  <c r="BL42" i="21" s="1"/>
  <c r="BI11" i="21"/>
  <c r="BI42" i="21" s="1"/>
  <c r="BF11" i="21"/>
  <c r="BF42" i="21" s="1"/>
  <c r="BC11" i="21"/>
  <c r="BC42" i="21" s="1"/>
  <c r="AZ11" i="21"/>
  <c r="AZ42" i="21" s="1"/>
  <c r="AW11" i="21"/>
  <c r="AW42" i="21" s="1"/>
  <c r="AT11" i="21"/>
  <c r="AT42" i="21" s="1"/>
  <c r="AQ11" i="21"/>
  <c r="AN11" i="21"/>
  <c r="AN42" i="21" s="1"/>
  <c r="AI11" i="21"/>
  <c r="EK11" i="21" s="1"/>
  <c r="AH11" i="21"/>
  <c r="AH42" i="21" s="1"/>
  <c r="AE11" i="21"/>
  <c r="AE42" i="21" s="1"/>
  <c r="AB11" i="21"/>
  <c r="AB42" i="21" s="1"/>
  <c r="Y11" i="21"/>
  <c r="Y42" i="21" s="1"/>
  <c r="V11" i="21"/>
  <c r="V42" i="21" s="1"/>
  <c r="S11" i="21"/>
  <c r="EH11" i="21" s="1"/>
  <c r="P11" i="21"/>
  <c r="P42" i="21" s="1"/>
  <c r="M11" i="21"/>
  <c r="M42" i="21" s="1"/>
  <c r="J11" i="21"/>
  <c r="J42" i="21" s="1"/>
  <c r="G11" i="21"/>
  <c r="G42" i="21" s="1"/>
  <c r="D11" i="21"/>
  <c r="D42" i="21" s="1"/>
  <c r="EI2" i="21"/>
  <c r="EE18" i="21" l="1"/>
  <c r="EC18" i="21"/>
  <c r="EN27" i="21"/>
  <c r="EE33" i="21"/>
  <c r="EC33" i="21"/>
  <c r="ED37" i="21"/>
  <c r="ED17" i="21"/>
  <c r="EN18" i="21"/>
  <c r="EE25" i="21"/>
  <c r="EC25" i="21"/>
  <c r="ED32" i="21"/>
  <c r="EN34" i="21"/>
  <c r="EC29" i="21"/>
  <c r="EE29" i="21"/>
  <c r="EM13" i="21"/>
  <c r="EC21" i="21"/>
  <c r="EE21" i="21"/>
  <c r="EN25" i="21"/>
  <c r="EC36" i="21"/>
  <c r="EE36" i="21"/>
  <c r="EE39" i="21"/>
  <c r="EC14" i="21"/>
  <c r="EE14" i="21"/>
  <c r="EN14" i="21"/>
  <c r="EE16" i="21"/>
  <c r="EC16" i="21"/>
  <c r="EN21" i="21"/>
  <c r="EN29" i="21"/>
  <c r="EM41" i="21"/>
  <c r="EN41" i="21" s="1"/>
  <c r="ED15" i="21"/>
  <c r="EC12" i="21"/>
  <c r="EE12" i="21"/>
  <c r="EM15" i="21"/>
  <c r="EE23" i="21"/>
  <c r="EC23" i="21"/>
  <c r="EM26" i="21"/>
  <c r="EN26" i="21" s="1"/>
  <c r="EE31" i="21"/>
  <c r="EC31" i="21"/>
  <c r="EN36" i="21"/>
  <c r="EC27" i="21"/>
  <c r="EE27" i="21"/>
  <c r="EN31" i="21"/>
  <c r="EE38" i="21"/>
  <c r="ED40" i="21"/>
  <c r="EM40" i="21"/>
  <c r="EN40" i="21" s="1"/>
  <c r="EN2" i="21"/>
  <c r="EP2" i="21" s="1"/>
  <c r="EB11" i="21"/>
  <c r="ED35" i="21"/>
  <c r="EB41" i="21"/>
  <c r="DK42" i="21"/>
  <c r="EI3" i="21"/>
  <c r="EI4" i="21" s="1"/>
  <c r="AK11" i="21"/>
  <c r="EM11" i="21"/>
  <c r="EH15" i="21"/>
  <c r="EK17" i="21"/>
  <c r="EN17" i="21" s="1"/>
  <c r="AK19" i="21"/>
  <c r="ED19" i="21" s="1"/>
  <c r="EE20" i="21"/>
  <c r="EK24" i="21"/>
  <c r="EN24" i="21" s="1"/>
  <c r="AK26" i="21"/>
  <c r="ED26" i="21" s="1"/>
  <c r="EE26" i="21" s="1"/>
  <c r="EC26" i="21"/>
  <c r="EK32" i="21"/>
  <c r="EN32" i="21" s="1"/>
  <c r="EK39" i="21"/>
  <c r="EN39" i="21" s="1"/>
  <c r="EB40" i="21"/>
  <c r="AK41" i="21"/>
  <c r="ED41" i="21" s="1"/>
  <c r="EB17" i="21"/>
  <c r="EB24" i="21"/>
  <c r="EB32" i="21"/>
  <c r="EK38" i="21"/>
  <c r="EN38" i="21" s="1"/>
  <c r="ED11" i="21"/>
  <c r="EH13" i="21"/>
  <c r="EH42" i="21" s="1"/>
  <c r="EK15" i="21"/>
  <c r="EN15" i="21" s="1"/>
  <c r="EK22" i="21"/>
  <c r="EN22" i="21" s="1"/>
  <c r="EH28" i="21"/>
  <c r="EK30" i="21"/>
  <c r="EN30" i="21" s="1"/>
  <c r="EK37" i="21"/>
  <c r="EN37" i="21" s="1"/>
  <c r="ED13" i="21"/>
  <c r="EB15" i="21"/>
  <c r="EB22" i="21"/>
  <c r="EB30" i="21"/>
  <c r="EB37" i="21"/>
  <c r="EB19" i="21"/>
  <c r="EK13" i="21"/>
  <c r="EN13" i="21" s="1"/>
  <c r="EK28" i="21"/>
  <c r="EN28" i="21" s="1"/>
  <c r="EK35" i="21"/>
  <c r="EN35" i="21" s="1"/>
  <c r="EB28" i="21"/>
  <c r="EB35" i="21"/>
  <c r="EB13" i="21"/>
  <c r="EM19" i="21" l="1"/>
  <c r="EN19" i="21" s="1"/>
  <c r="EC13" i="21"/>
  <c r="EE13" i="21"/>
  <c r="EE30" i="21"/>
  <c r="EC30" i="21"/>
  <c r="EE40" i="21"/>
  <c r="EC40" i="21"/>
  <c r="EE5" i="21"/>
  <c r="G7" i="21" s="1"/>
  <c r="EE3" i="21"/>
  <c r="EE11" i="21"/>
  <c r="EC11" i="21"/>
  <c r="EC39" i="21"/>
  <c r="EC35" i="21"/>
  <c r="EE35" i="21"/>
  <c r="EE22" i="21"/>
  <c r="EC22" i="21"/>
  <c r="EC28" i="21"/>
  <c r="EE28" i="21"/>
  <c r="EE15" i="21"/>
  <c r="EC15" i="21"/>
  <c r="ED42" i="21"/>
  <c r="EM42" i="21"/>
  <c r="EE41" i="21"/>
  <c r="EE2" i="21"/>
  <c r="EQ2" i="21" s="1"/>
  <c r="G4" i="21" s="1"/>
  <c r="EC41" i="21"/>
  <c r="AK42" i="21"/>
  <c r="EN3" i="21"/>
  <c r="EN4" i="21" s="1"/>
  <c r="EE17" i="21"/>
  <c r="EC17" i="21"/>
  <c r="EE37" i="21"/>
  <c r="EC37" i="21"/>
  <c r="EE32" i="21"/>
  <c r="EC32" i="21"/>
  <c r="EN5" i="21"/>
  <c r="EE19" i="21"/>
  <c r="EC19" i="21"/>
  <c r="EE24" i="21"/>
  <c r="EC24" i="21"/>
  <c r="EC38" i="21"/>
  <c r="EN11" i="21"/>
  <c r="G5" i="21" l="1"/>
  <c r="EE4" i="21"/>
  <c r="G6" i="21" s="1"/>
  <c r="EL40" i="20" l="1"/>
  <c r="EI40" i="20"/>
  <c r="EG40" i="20"/>
  <c r="EB40" i="20"/>
  <c r="EE2" i="20" s="1"/>
  <c r="EQ2" i="20" s="1"/>
  <c r="G4" i="20" s="1"/>
  <c r="DW40" i="20"/>
  <c r="DT40" i="20"/>
  <c r="DQ40" i="20"/>
  <c r="DN40" i="20"/>
  <c r="DK40" i="20"/>
  <c r="DH40" i="20"/>
  <c r="DE40" i="20"/>
  <c r="DB40" i="20"/>
  <c r="CY40" i="20"/>
  <c r="CV40" i="20"/>
  <c r="CS40" i="20"/>
  <c r="CP40" i="20"/>
  <c r="CM40" i="20"/>
  <c r="CJ40" i="20"/>
  <c r="CG40" i="20"/>
  <c r="CD40" i="20"/>
  <c r="CA40" i="20"/>
  <c r="BX40" i="20"/>
  <c r="BU40" i="20"/>
  <c r="BR40" i="20"/>
  <c r="BO40" i="20"/>
  <c r="BL40" i="20"/>
  <c r="BI40" i="20"/>
  <c r="BF40" i="20"/>
  <c r="BC40" i="20"/>
  <c r="AZ40" i="20"/>
  <c r="AW40" i="20"/>
  <c r="AT40" i="20"/>
  <c r="AQ40" i="20"/>
  <c r="AN40" i="20"/>
  <c r="AI40" i="20"/>
  <c r="EK40" i="20" s="1"/>
  <c r="AH40" i="20"/>
  <c r="AE40" i="20"/>
  <c r="AB40" i="20"/>
  <c r="Y40" i="20"/>
  <c r="V40" i="20"/>
  <c r="EH40" i="20" s="1"/>
  <c r="S40" i="20"/>
  <c r="P40" i="20"/>
  <c r="M40" i="20"/>
  <c r="J40" i="20"/>
  <c r="G40" i="20"/>
  <c r="D40" i="20"/>
  <c r="EL39" i="20"/>
  <c r="EK39" i="20"/>
  <c r="EI39" i="20"/>
  <c r="EG39" i="20"/>
  <c r="DW39" i="20"/>
  <c r="DT39" i="20"/>
  <c r="DQ39" i="20"/>
  <c r="DN39" i="20"/>
  <c r="DK39" i="20"/>
  <c r="DH39" i="20"/>
  <c r="DE39" i="20"/>
  <c r="DB39" i="20"/>
  <c r="CY39" i="20"/>
  <c r="CV39" i="20"/>
  <c r="CS39" i="20"/>
  <c r="CP39" i="20"/>
  <c r="CM39" i="20"/>
  <c r="CJ39" i="20"/>
  <c r="CG39" i="20"/>
  <c r="CD39" i="20"/>
  <c r="CA39" i="20"/>
  <c r="BX39" i="20"/>
  <c r="BU39" i="20"/>
  <c r="BR39" i="20"/>
  <c r="BO39" i="20"/>
  <c r="BL39" i="20"/>
  <c r="BI39" i="20"/>
  <c r="BF39" i="20"/>
  <c r="BC39" i="20"/>
  <c r="AZ39" i="20"/>
  <c r="AW39" i="20"/>
  <c r="AT39" i="20"/>
  <c r="AQ39" i="20"/>
  <c r="AN39" i="20"/>
  <c r="AI39" i="20"/>
  <c r="EB39" i="20" s="1"/>
  <c r="AH39" i="20"/>
  <c r="AE39" i="20"/>
  <c r="AB39" i="20"/>
  <c r="Y39" i="20"/>
  <c r="V39" i="20"/>
  <c r="S39" i="20"/>
  <c r="EH39" i="20" s="1"/>
  <c r="P39" i="20"/>
  <c r="M39" i="20"/>
  <c r="J39" i="20"/>
  <c r="G39" i="20"/>
  <c r="D39" i="20"/>
  <c r="EL38" i="20"/>
  <c r="EK38" i="20"/>
  <c r="EN38" i="20" s="1"/>
  <c r="EI38" i="20"/>
  <c r="EG38" i="20"/>
  <c r="DW38" i="20"/>
  <c r="DT38" i="20"/>
  <c r="EM38" i="20" s="1"/>
  <c r="DQ38" i="20"/>
  <c r="DN38" i="20"/>
  <c r="DK38" i="20"/>
  <c r="DH38" i="20"/>
  <c r="DE38" i="20"/>
  <c r="DB38" i="20"/>
  <c r="CY38" i="20"/>
  <c r="CV38" i="20"/>
  <c r="CS38" i="20"/>
  <c r="CP38" i="20"/>
  <c r="CM38" i="20"/>
  <c r="CJ38" i="20"/>
  <c r="CG38" i="20"/>
  <c r="CD38" i="20"/>
  <c r="CA38" i="20"/>
  <c r="BX38" i="20"/>
  <c r="BU38" i="20"/>
  <c r="BR38" i="20"/>
  <c r="BO38" i="20"/>
  <c r="BL38" i="20"/>
  <c r="BI38" i="20"/>
  <c r="BF38" i="20"/>
  <c r="BC38" i="20"/>
  <c r="AZ38" i="20"/>
  <c r="AW38" i="20"/>
  <c r="AT38" i="20"/>
  <c r="AQ38" i="20"/>
  <c r="AN38" i="20"/>
  <c r="AK38" i="20"/>
  <c r="AI38" i="20"/>
  <c r="EB38" i="20" s="1"/>
  <c r="AH38" i="20"/>
  <c r="AE38" i="20"/>
  <c r="AB38" i="20"/>
  <c r="Y38" i="20"/>
  <c r="V38" i="20"/>
  <c r="EH38" i="20" s="1"/>
  <c r="S38" i="20"/>
  <c r="P38" i="20"/>
  <c r="M38" i="20"/>
  <c r="J38" i="20"/>
  <c r="G38" i="20"/>
  <c r="D38" i="20"/>
  <c r="ED38" i="20" s="1"/>
  <c r="EL37" i="20"/>
  <c r="EI37" i="20"/>
  <c r="EG37" i="20"/>
  <c r="DW37" i="20"/>
  <c r="DT37" i="20"/>
  <c r="EM37" i="20" s="1"/>
  <c r="DQ37" i="20"/>
  <c r="DN37" i="20"/>
  <c r="DK37" i="20"/>
  <c r="DH37" i="20"/>
  <c r="DE37" i="20"/>
  <c r="DB37" i="20"/>
  <c r="CY37" i="20"/>
  <c r="CV37" i="20"/>
  <c r="CS37" i="20"/>
  <c r="CP37" i="20"/>
  <c r="CM37" i="20"/>
  <c r="CJ37" i="20"/>
  <c r="CG37" i="20"/>
  <c r="CD37" i="20"/>
  <c r="CA37" i="20"/>
  <c r="BX37" i="20"/>
  <c r="BU37" i="20"/>
  <c r="BR37" i="20"/>
  <c r="BO37" i="20"/>
  <c r="BL37" i="20"/>
  <c r="BI37" i="20"/>
  <c r="BF37" i="20"/>
  <c r="BC37" i="20"/>
  <c r="AZ37" i="20"/>
  <c r="AW37" i="20"/>
  <c r="AT37" i="20"/>
  <c r="AQ37" i="20"/>
  <c r="AN37" i="20"/>
  <c r="AI37" i="20"/>
  <c r="AK37" i="20" s="1"/>
  <c r="AH37" i="20"/>
  <c r="AE37" i="20"/>
  <c r="AB37" i="20"/>
  <c r="EH37" i="20" s="1"/>
  <c r="Y37" i="20"/>
  <c r="V37" i="20"/>
  <c r="S37" i="20"/>
  <c r="P37" i="20"/>
  <c r="M37" i="20"/>
  <c r="J37" i="20"/>
  <c r="G37" i="20"/>
  <c r="D37" i="20"/>
  <c r="ED37" i="20" s="1"/>
  <c r="EL36" i="20"/>
  <c r="EK36" i="20"/>
  <c r="EG36" i="20"/>
  <c r="EI3" i="20" s="1"/>
  <c r="EI4" i="20" s="1"/>
  <c r="DW36" i="20"/>
  <c r="DT36" i="20"/>
  <c r="DQ36" i="20"/>
  <c r="EM36" i="20" s="1"/>
  <c r="DN36" i="20"/>
  <c r="DK36" i="20"/>
  <c r="DH36" i="20"/>
  <c r="DE36" i="20"/>
  <c r="DB36" i="20"/>
  <c r="CY36" i="20"/>
  <c r="CV36" i="20"/>
  <c r="CS36" i="20"/>
  <c r="CP36" i="20"/>
  <c r="CM36" i="20"/>
  <c r="CJ36" i="20"/>
  <c r="CG36" i="20"/>
  <c r="CD36" i="20"/>
  <c r="CA36" i="20"/>
  <c r="BX36" i="20"/>
  <c r="BU36" i="20"/>
  <c r="BR36" i="20"/>
  <c r="BO36" i="20"/>
  <c r="BL36" i="20"/>
  <c r="BI36" i="20"/>
  <c r="BF36" i="20"/>
  <c r="BC36" i="20"/>
  <c r="AZ36" i="20"/>
  <c r="AW36" i="20"/>
  <c r="AT36" i="20"/>
  <c r="AQ36" i="20"/>
  <c r="AN36" i="20"/>
  <c r="AK36" i="20"/>
  <c r="AI36" i="20"/>
  <c r="EB36" i="20" s="1"/>
  <c r="AH36" i="20"/>
  <c r="AE36" i="20"/>
  <c r="AB36" i="20"/>
  <c r="Y36" i="20"/>
  <c r="EH36" i="20" s="1"/>
  <c r="V36" i="20"/>
  <c r="S36" i="20"/>
  <c r="P36" i="20"/>
  <c r="M36" i="20"/>
  <c r="J36" i="20"/>
  <c r="G36" i="20"/>
  <c r="D36" i="20"/>
  <c r="ED36" i="20" s="1"/>
  <c r="EL35" i="20"/>
  <c r="EG35" i="20"/>
  <c r="EI35" i="20" s="1"/>
  <c r="DW35" i="20"/>
  <c r="DT35" i="20"/>
  <c r="EM35" i="20" s="1"/>
  <c r="DQ35" i="20"/>
  <c r="DN35" i="20"/>
  <c r="DK35" i="20"/>
  <c r="DH35" i="20"/>
  <c r="DE35" i="20"/>
  <c r="DB35" i="20"/>
  <c r="CY35" i="20"/>
  <c r="CV35" i="20"/>
  <c r="CS35" i="20"/>
  <c r="CP35" i="20"/>
  <c r="CM35" i="20"/>
  <c r="CJ35" i="20"/>
  <c r="CG35" i="20"/>
  <c r="CD35" i="20"/>
  <c r="CA35" i="20"/>
  <c r="BX35" i="20"/>
  <c r="BU35" i="20"/>
  <c r="BR35" i="20"/>
  <c r="BO35" i="20"/>
  <c r="BL35" i="20"/>
  <c r="BI35" i="20"/>
  <c r="BF35" i="20"/>
  <c r="BC35" i="20"/>
  <c r="AZ35" i="20"/>
  <c r="AW35" i="20"/>
  <c r="AT35" i="20"/>
  <c r="AQ35" i="20"/>
  <c r="AN35" i="20"/>
  <c r="AK35" i="20"/>
  <c r="AI35" i="20"/>
  <c r="EB35" i="20" s="1"/>
  <c r="AH35" i="20"/>
  <c r="AE35" i="20"/>
  <c r="AB35" i="20"/>
  <c r="Y35" i="20"/>
  <c r="V35" i="20"/>
  <c r="S35" i="20"/>
  <c r="EH35" i="20" s="1"/>
  <c r="P35" i="20"/>
  <c r="M35" i="20"/>
  <c r="J35" i="20"/>
  <c r="G35" i="20"/>
  <c r="ED35" i="20" s="1"/>
  <c r="D35" i="20"/>
  <c r="EL34" i="20"/>
  <c r="EG34" i="20"/>
  <c r="EI34" i="20" s="1"/>
  <c r="DW34" i="20"/>
  <c r="DT34" i="20"/>
  <c r="DQ34" i="20"/>
  <c r="EM34" i="20" s="1"/>
  <c r="DN34" i="20"/>
  <c r="DK34" i="20"/>
  <c r="DH34" i="20"/>
  <c r="DE34" i="20"/>
  <c r="DB34" i="20"/>
  <c r="CY34" i="20"/>
  <c r="CV34" i="20"/>
  <c r="CS34" i="20"/>
  <c r="CP34" i="20"/>
  <c r="CM34" i="20"/>
  <c r="CJ34" i="20"/>
  <c r="CG34" i="20"/>
  <c r="CD34" i="20"/>
  <c r="CA34" i="20"/>
  <c r="BX34" i="20"/>
  <c r="BU34" i="20"/>
  <c r="BR34" i="20"/>
  <c r="BO34" i="20"/>
  <c r="BL34" i="20"/>
  <c r="BI34" i="20"/>
  <c r="BF34" i="20"/>
  <c r="BC34" i="20"/>
  <c r="AZ34" i="20"/>
  <c r="AW34" i="20"/>
  <c r="AT34" i="20"/>
  <c r="AQ34" i="20"/>
  <c r="AN34" i="20"/>
  <c r="AK34" i="20"/>
  <c r="AI34" i="20"/>
  <c r="EB34" i="20" s="1"/>
  <c r="AH34" i="20"/>
  <c r="AE34" i="20"/>
  <c r="AB34" i="20"/>
  <c r="Y34" i="20"/>
  <c r="V34" i="20"/>
  <c r="S34" i="20"/>
  <c r="EH34" i="20" s="1"/>
  <c r="P34" i="20"/>
  <c r="M34" i="20"/>
  <c r="J34" i="20"/>
  <c r="G34" i="20"/>
  <c r="D34" i="20"/>
  <c r="EL33" i="20"/>
  <c r="EG33" i="20"/>
  <c r="EI33" i="20" s="1"/>
  <c r="DW33" i="20"/>
  <c r="DT33" i="20"/>
  <c r="DQ33" i="20"/>
  <c r="DN33" i="20"/>
  <c r="DK33" i="20"/>
  <c r="DH33" i="20"/>
  <c r="DE33" i="20"/>
  <c r="EM33" i="20" s="1"/>
  <c r="DB33" i="20"/>
  <c r="CY33" i="20"/>
  <c r="CV33" i="20"/>
  <c r="CS33" i="20"/>
  <c r="CP33" i="20"/>
  <c r="CM33" i="20"/>
  <c r="CJ33" i="20"/>
  <c r="CG33" i="20"/>
  <c r="CD33" i="20"/>
  <c r="CA33" i="20"/>
  <c r="BX33" i="20"/>
  <c r="BU33" i="20"/>
  <c r="BR33" i="20"/>
  <c r="BO33" i="20"/>
  <c r="BL33" i="20"/>
  <c r="BI33" i="20"/>
  <c r="BF33" i="20"/>
  <c r="BC33" i="20"/>
  <c r="AZ33" i="20"/>
  <c r="AW33" i="20"/>
  <c r="AT33" i="20"/>
  <c r="AQ33" i="20"/>
  <c r="AN33" i="20"/>
  <c r="AK33" i="20"/>
  <c r="AI33" i="20"/>
  <c r="EB33" i="20" s="1"/>
  <c r="AH33" i="20"/>
  <c r="AE33" i="20"/>
  <c r="AB33" i="20"/>
  <c r="Y33" i="20"/>
  <c r="V33" i="20"/>
  <c r="S33" i="20"/>
  <c r="EH33" i="20" s="1"/>
  <c r="P33" i="20"/>
  <c r="ED33" i="20" s="1"/>
  <c r="M33" i="20"/>
  <c r="J33" i="20"/>
  <c r="G33" i="20"/>
  <c r="D33" i="20"/>
  <c r="EL32" i="20"/>
  <c r="EI32" i="20"/>
  <c r="EG32" i="20"/>
  <c r="EB32" i="20"/>
  <c r="DW32" i="20"/>
  <c r="DT32" i="20"/>
  <c r="DQ32" i="20"/>
  <c r="DN32" i="20"/>
  <c r="DK32" i="20"/>
  <c r="DH32" i="20"/>
  <c r="DE32" i="20"/>
  <c r="DB32" i="20"/>
  <c r="CY32" i="20"/>
  <c r="CV32" i="20"/>
  <c r="CS32" i="20"/>
  <c r="CP32" i="20"/>
  <c r="CM32" i="20"/>
  <c r="CJ32" i="20"/>
  <c r="CG32" i="20"/>
  <c r="CD32" i="20"/>
  <c r="CA32" i="20"/>
  <c r="BX32" i="20"/>
  <c r="BU32" i="20"/>
  <c r="BR32" i="20"/>
  <c r="BO32" i="20"/>
  <c r="BL32" i="20"/>
  <c r="BI32" i="20"/>
  <c r="BF32" i="20"/>
  <c r="BC32" i="20"/>
  <c r="AZ32" i="20"/>
  <c r="AW32" i="20"/>
  <c r="AT32" i="20"/>
  <c r="AQ32" i="20"/>
  <c r="AN32" i="20"/>
  <c r="AI32" i="20"/>
  <c r="EK32" i="20" s="1"/>
  <c r="AH32" i="20"/>
  <c r="AE32" i="20"/>
  <c r="AB32" i="20"/>
  <c r="Y32" i="20"/>
  <c r="V32" i="20"/>
  <c r="EH32" i="20" s="1"/>
  <c r="S32" i="20"/>
  <c r="P32" i="20"/>
  <c r="M32" i="20"/>
  <c r="J32" i="20"/>
  <c r="G32" i="20"/>
  <c r="D32" i="20"/>
  <c r="EL31" i="20"/>
  <c r="EK31" i="20"/>
  <c r="EI31" i="20"/>
  <c r="EG31" i="20"/>
  <c r="DW31" i="20"/>
  <c r="DT31" i="20"/>
  <c r="DQ31" i="20"/>
  <c r="DN31" i="20"/>
  <c r="DK31" i="20"/>
  <c r="DH31" i="20"/>
  <c r="DE31" i="20"/>
  <c r="DB31" i="20"/>
  <c r="CY31" i="20"/>
  <c r="CV31" i="20"/>
  <c r="CS31" i="20"/>
  <c r="CP31" i="20"/>
  <c r="CM31" i="20"/>
  <c r="CJ31" i="20"/>
  <c r="CG31" i="20"/>
  <c r="CD31" i="20"/>
  <c r="CA31" i="20"/>
  <c r="BX31" i="20"/>
  <c r="BU31" i="20"/>
  <c r="BR31" i="20"/>
  <c r="BO31" i="20"/>
  <c r="BL31" i="20"/>
  <c r="BI31" i="20"/>
  <c r="BF31" i="20"/>
  <c r="BC31" i="20"/>
  <c r="AZ31" i="20"/>
  <c r="AW31" i="20"/>
  <c r="AT31" i="20"/>
  <c r="AQ31" i="20"/>
  <c r="AN31" i="20"/>
  <c r="AI31" i="20"/>
  <c r="EB31" i="20" s="1"/>
  <c r="AH31" i="20"/>
  <c r="AE31" i="20"/>
  <c r="AB31" i="20"/>
  <c r="Y31" i="20"/>
  <c r="V31" i="20"/>
  <c r="S31" i="20"/>
  <c r="EH31" i="20" s="1"/>
  <c r="P31" i="20"/>
  <c r="M31" i="20"/>
  <c r="J31" i="20"/>
  <c r="G31" i="20"/>
  <c r="D31" i="20"/>
  <c r="EL30" i="20"/>
  <c r="EK30" i="20"/>
  <c r="EN30" i="20" s="1"/>
  <c r="EI30" i="20"/>
  <c r="EG30" i="20"/>
  <c r="DW30" i="20"/>
  <c r="DT30" i="20"/>
  <c r="EM30" i="20" s="1"/>
  <c r="DQ30" i="20"/>
  <c r="DN30" i="20"/>
  <c r="DK30" i="20"/>
  <c r="DH30" i="20"/>
  <c r="DE30" i="20"/>
  <c r="DB30" i="20"/>
  <c r="CY30" i="20"/>
  <c r="CV30" i="20"/>
  <c r="CS30" i="20"/>
  <c r="CP30" i="20"/>
  <c r="CM30" i="20"/>
  <c r="CJ30" i="20"/>
  <c r="CG30" i="20"/>
  <c r="CD30" i="20"/>
  <c r="CA30" i="20"/>
  <c r="BX30" i="20"/>
  <c r="BU30" i="20"/>
  <c r="BR30" i="20"/>
  <c r="BO30" i="20"/>
  <c r="BL30" i="20"/>
  <c r="BI30" i="20"/>
  <c r="BF30" i="20"/>
  <c r="BC30" i="20"/>
  <c r="AZ30" i="20"/>
  <c r="AW30" i="20"/>
  <c r="AT30" i="20"/>
  <c r="AQ30" i="20"/>
  <c r="AN30" i="20"/>
  <c r="AK30" i="20"/>
  <c r="AI30" i="20"/>
  <c r="EB30" i="20" s="1"/>
  <c r="AH30" i="20"/>
  <c r="AE30" i="20"/>
  <c r="AB30" i="20"/>
  <c r="Y30" i="20"/>
  <c r="V30" i="20"/>
  <c r="S30" i="20"/>
  <c r="EH30" i="20" s="1"/>
  <c r="P30" i="20"/>
  <c r="M30" i="20"/>
  <c r="J30" i="20"/>
  <c r="G30" i="20"/>
  <c r="D30" i="20"/>
  <c r="ED30" i="20" s="1"/>
  <c r="EL29" i="20"/>
  <c r="EK29" i="20"/>
  <c r="EN29" i="20" s="1"/>
  <c r="EI29" i="20"/>
  <c r="EG29" i="20"/>
  <c r="EB29" i="20"/>
  <c r="EE29" i="20" s="1"/>
  <c r="DW29" i="20"/>
  <c r="DT29" i="20"/>
  <c r="EM29" i="20" s="1"/>
  <c r="DQ29" i="20"/>
  <c r="DN29" i="20"/>
  <c r="DK29" i="20"/>
  <c r="DH29" i="20"/>
  <c r="DE29" i="20"/>
  <c r="DB29" i="20"/>
  <c r="CY29" i="20"/>
  <c r="CV29" i="20"/>
  <c r="CS29" i="20"/>
  <c r="CP29" i="20"/>
  <c r="CM29" i="20"/>
  <c r="CJ29" i="20"/>
  <c r="CG29" i="20"/>
  <c r="CD29" i="20"/>
  <c r="CA29" i="20"/>
  <c r="BX29" i="20"/>
  <c r="BU29" i="20"/>
  <c r="BR29" i="20"/>
  <c r="BO29" i="20"/>
  <c r="BL29" i="20"/>
  <c r="BI29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EH29" i="20" s="1"/>
  <c r="V29" i="20"/>
  <c r="S29" i="20"/>
  <c r="P29" i="20"/>
  <c r="M29" i="20"/>
  <c r="J29" i="20"/>
  <c r="G29" i="20"/>
  <c r="D29" i="20"/>
  <c r="ED29" i="20" s="1"/>
  <c r="EL28" i="20"/>
  <c r="EK28" i="20"/>
  <c r="EN28" i="20" s="1"/>
  <c r="EG28" i="20"/>
  <c r="EI28" i="20" s="1"/>
  <c r="EE28" i="20"/>
  <c r="EB28" i="20"/>
  <c r="DW28" i="20"/>
  <c r="DT28" i="20"/>
  <c r="EM28" i="20" s="1"/>
  <c r="DQ28" i="20"/>
  <c r="DN28" i="20"/>
  <c r="DK28" i="20"/>
  <c r="DH28" i="20"/>
  <c r="DE28" i="20"/>
  <c r="DB28" i="20"/>
  <c r="CY28" i="20"/>
  <c r="CV28" i="20"/>
  <c r="CS28" i="20"/>
  <c r="CP28" i="20"/>
  <c r="CM28" i="20"/>
  <c r="CJ28" i="20"/>
  <c r="CG28" i="20"/>
  <c r="CD28" i="20"/>
  <c r="CA28" i="20"/>
  <c r="BX28" i="20"/>
  <c r="BU28" i="20"/>
  <c r="BR28" i="20"/>
  <c r="BO28" i="20"/>
  <c r="BL28" i="20"/>
  <c r="BI28" i="20"/>
  <c r="BF28" i="20"/>
  <c r="BC28" i="20"/>
  <c r="AZ28" i="20"/>
  <c r="AW28" i="20"/>
  <c r="AT28" i="20"/>
  <c r="AQ28" i="20"/>
  <c r="AN28" i="20"/>
  <c r="AK28" i="20"/>
  <c r="AH28" i="20"/>
  <c r="AE28" i="20"/>
  <c r="AB28" i="20"/>
  <c r="Y28" i="20"/>
  <c r="V28" i="20"/>
  <c r="S28" i="20"/>
  <c r="EH28" i="20" s="1"/>
  <c r="P28" i="20"/>
  <c r="M28" i="20"/>
  <c r="J28" i="20"/>
  <c r="G28" i="20"/>
  <c r="D28" i="20"/>
  <c r="ED28" i="20" s="1"/>
  <c r="EN27" i="20"/>
  <c r="EL27" i="20"/>
  <c r="EK27" i="20"/>
  <c r="EG27" i="20"/>
  <c r="EI27" i="20" s="1"/>
  <c r="EC27" i="20"/>
  <c r="EB27" i="20"/>
  <c r="EE27" i="20" s="1"/>
  <c r="DW27" i="20"/>
  <c r="DT27" i="20"/>
  <c r="DQ27" i="20"/>
  <c r="DN27" i="20"/>
  <c r="DK27" i="20"/>
  <c r="DH27" i="20"/>
  <c r="DE27" i="20"/>
  <c r="DB27" i="20"/>
  <c r="CY27" i="20"/>
  <c r="CV27" i="20"/>
  <c r="CS27" i="20"/>
  <c r="CP27" i="20"/>
  <c r="CM27" i="20"/>
  <c r="CJ27" i="20"/>
  <c r="CG27" i="20"/>
  <c r="EM27" i="20" s="1"/>
  <c r="CD27" i="20"/>
  <c r="CA27" i="20"/>
  <c r="BX27" i="20"/>
  <c r="BU27" i="20"/>
  <c r="BR27" i="20"/>
  <c r="BO27" i="20"/>
  <c r="BL27" i="20"/>
  <c r="BI27" i="20"/>
  <c r="BF27" i="20"/>
  <c r="BC27" i="20"/>
  <c r="AZ27" i="20"/>
  <c r="AW27" i="20"/>
  <c r="AT27" i="20"/>
  <c r="AQ27" i="20"/>
  <c r="AN27" i="20"/>
  <c r="AK27" i="20"/>
  <c r="AH27" i="20"/>
  <c r="AE27" i="20"/>
  <c r="AB27" i="20"/>
  <c r="Y27" i="20"/>
  <c r="V27" i="20"/>
  <c r="EH27" i="20" s="1"/>
  <c r="S27" i="20"/>
  <c r="P27" i="20"/>
  <c r="M27" i="20"/>
  <c r="ED27" i="20" s="1"/>
  <c r="J27" i="20"/>
  <c r="G27" i="20"/>
  <c r="D27" i="20"/>
  <c r="EL26" i="20"/>
  <c r="EK26" i="20"/>
  <c r="EN26" i="20" s="1"/>
  <c r="EI26" i="20"/>
  <c r="EG26" i="20"/>
  <c r="EB26" i="20"/>
  <c r="EE26" i="20" s="1"/>
  <c r="DW26" i="20"/>
  <c r="DT26" i="20"/>
  <c r="EM26" i="20" s="1"/>
  <c r="DQ26" i="20"/>
  <c r="DN26" i="20"/>
  <c r="DK26" i="20"/>
  <c r="DH26" i="20"/>
  <c r="DE26" i="20"/>
  <c r="DB26" i="20"/>
  <c r="CY26" i="20"/>
  <c r="CV26" i="20"/>
  <c r="CS26" i="20"/>
  <c r="CP26" i="20"/>
  <c r="CM26" i="20"/>
  <c r="CJ26" i="20"/>
  <c r="CG26" i="20"/>
  <c r="CD26" i="20"/>
  <c r="CA26" i="20"/>
  <c r="BX26" i="20"/>
  <c r="BU26" i="20"/>
  <c r="BR26" i="20"/>
  <c r="BO26" i="20"/>
  <c r="BL26" i="20"/>
  <c r="BI26" i="20"/>
  <c r="BF26" i="20"/>
  <c r="BC26" i="20"/>
  <c r="AZ26" i="20"/>
  <c r="AW26" i="20"/>
  <c r="AT26" i="20"/>
  <c r="AQ26" i="20"/>
  <c r="AN26" i="20"/>
  <c r="AK26" i="20"/>
  <c r="AH26" i="20"/>
  <c r="AE26" i="20"/>
  <c r="AB26" i="20"/>
  <c r="Y26" i="20"/>
  <c r="V26" i="20"/>
  <c r="S26" i="20"/>
  <c r="EH26" i="20" s="1"/>
  <c r="P26" i="20"/>
  <c r="M26" i="20"/>
  <c r="J26" i="20"/>
  <c r="G26" i="20"/>
  <c r="D26" i="20"/>
  <c r="ED26" i="20" s="1"/>
  <c r="EL25" i="20"/>
  <c r="EK25" i="20"/>
  <c r="EN25" i="20" s="1"/>
  <c r="EI25" i="20"/>
  <c r="EG25" i="20"/>
  <c r="EB25" i="20"/>
  <c r="EE25" i="20" s="1"/>
  <c r="DW25" i="20"/>
  <c r="DT25" i="20"/>
  <c r="EM25" i="20" s="1"/>
  <c r="DQ25" i="20"/>
  <c r="DN25" i="20"/>
  <c r="DK25" i="20"/>
  <c r="DH25" i="20"/>
  <c r="DE25" i="20"/>
  <c r="DB25" i="20"/>
  <c r="CY25" i="20"/>
  <c r="CV25" i="20"/>
  <c r="CS25" i="20"/>
  <c r="CP25" i="20"/>
  <c r="CM25" i="20"/>
  <c r="CJ25" i="20"/>
  <c r="CG25" i="20"/>
  <c r="CD25" i="20"/>
  <c r="CA25" i="20"/>
  <c r="BX25" i="20"/>
  <c r="BU25" i="20"/>
  <c r="BR25" i="20"/>
  <c r="BO25" i="20"/>
  <c r="BL25" i="20"/>
  <c r="BI25" i="20"/>
  <c r="BF25" i="20"/>
  <c r="BC25" i="20"/>
  <c r="AZ25" i="20"/>
  <c r="AW25" i="20"/>
  <c r="AT25" i="20"/>
  <c r="AQ25" i="20"/>
  <c r="AN25" i="20"/>
  <c r="AK25" i="20"/>
  <c r="AH25" i="20"/>
  <c r="AE25" i="20"/>
  <c r="AB25" i="20"/>
  <c r="Y25" i="20"/>
  <c r="EH25" i="20" s="1"/>
  <c r="V25" i="20"/>
  <c r="S25" i="20"/>
  <c r="P25" i="20"/>
  <c r="M25" i="20"/>
  <c r="J25" i="20"/>
  <c r="G25" i="20"/>
  <c r="D25" i="20"/>
  <c r="ED25" i="20" s="1"/>
  <c r="EL24" i="20"/>
  <c r="EK24" i="20"/>
  <c r="EN24" i="20" s="1"/>
  <c r="EG24" i="20"/>
  <c r="EI24" i="20" s="1"/>
  <c r="EE24" i="20"/>
  <c r="EB24" i="20"/>
  <c r="DW24" i="20"/>
  <c r="DT24" i="20"/>
  <c r="EM24" i="20" s="1"/>
  <c r="DQ24" i="20"/>
  <c r="DN24" i="20"/>
  <c r="DK24" i="20"/>
  <c r="DH24" i="20"/>
  <c r="DE24" i="20"/>
  <c r="DB24" i="20"/>
  <c r="CY24" i="20"/>
  <c r="CV24" i="20"/>
  <c r="CS24" i="20"/>
  <c r="CP24" i="20"/>
  <c r="CM24" i="20"/>
  <c r="CJ24" i="20"/>
  <c r="CG24" i="20"/>
  <c r="CD24" i="20"/>
  <c r="CA24" i="20"/>
  <c r="BX24" i="20"/>
  <c r="BU24" i="20"/>
  <c r="BR24" i="20"/>
  <c r="BO24" i="20"/>
  <c r="BL24" i="20"/>
  <c r="BI24" i="20"/>
  <c r="BF24" i="20"/>
  <c r="BC24" i="20"/>
  <c r="AZ24" i="20"/>
  <c r="AW24" i="20"/>
  <c r="AT24" i="20"/>
  <c r="AQ24" i="20"/>
  <c r="AN24" i="20"/>
  <c r="AK24" i="20"/>
  <c r="AH24" i="20"/>
  <c r="AE24" i="20"/>
  <c r="AB24" i="20"/>
  <c r="Y24" i="20"/>
  <c r="V24" i="20"/>
  <c r="S24" i="20"/>
  <c r="EH24" i="20" s="1"/>
  <c r="P24" i="20"/>
  <c r="M24" i="20"/>
  <c r="J24" i="20"/>
  <c r="G24" i="20"/>
  <c r="D24" i="20"/>
  <c r="ED24" i="20" s="1"/>
  <c r="EN23" i="20"/>
  <c r="EL23" i="20"/>
  <c r="EK23" i="20"/>
  <c r="EG23" i="20"/>
  <c r="EI23" i="20" s="1"/>
  <c r="EC23" i="20"/>
  <c r="EB23" i="20"/>
  <c r="EE23" i="20" s="1"/>
  <c r="DW23" i="20"/>
  <c r="DT23" i="20"/>
  <c r="DQ23" i="20"/>
  <c r="DN23" i="20"/>
  <c r="DK23" i="20"/>
  <c r="DH23" i="20"/>
  <c r="DE23" i="20"/>
  <c r="DB23" i="20"/>
  <c r="CY23" i="20"/>
  <c r="CV23" i="20"/>
  <c r="CS23" i="20"/>
  <c r="CP23" i="20"/>
  <c r="CM23" i="20"/>
  <c r="CJ23" i="20"/>
  <c r="CG23" i="20"/>
  <c r="EM23" i="20" s="1"/>
  <c r="CD23" i="20"/>
  <c r="CA23" i="20"/>
  <c r="BX23" i="20"/>
  <c r="BU23" i="20"/>
  <c r="BR23" i="20"/>
  <c r="BO23" i="20"/>
  <c r="BL23" i="20"/>
  <c r="BI23" i="20"/>
  <c r="BF23" i="20"/>
  <c r="BC23" i="20"/>
  <c r="AZ23" i="20"/>
  <c r="AW23" i="20"/>
  <c r="AT23" i="20"/>
  <c r="AQ23" i="20"/>
  <c r="AN23" i="20"/>
  <c r="AK23" i="20"/>
  <c r="AH23" i="20"/>
  <c r="AE23" i="20"/>
  <c r="AB23" i="20"/>
  <c r="Y23" i="20"/>
  <c r="EH23" i="20" s="1"/>
  <c r="V23" i="20"/>
  <c r="S23" i="20"/>
  <c r="P23" i="20"/>
  <c r="M23" i="20"/>
  <c r="ED23" i="20" s="1"/>
  <c r="J23" i="20"/>
  <c r="G23" i="20"/>
  <c r="D23" i="20"/>
  <c r="EL22" i="20"/>
  <c r="EK22" i="20"/>
  <c r="EN22" i="20" s="1"/>
  <c r="EI22" i="20"/>
  <c r="EG22" i="20"/>
  <c r="EB22" i="20"/>
  <c r="EE22" i="20" s="1"/>
  <c r="DW22" i="20"/>
  <c r="DT22" i="20"/>
  <c r="EM22" i="20" s="1"/>
  <c r="DQ22" i="20"/>
  <c r="DN22" i="20"/>
  <c r="DK22" i="20"/>
  <c r="DH22" i="20"/>
  <c r="DE22" i="20"/>
  <c r="DB22" i="20"/>
  <c r="CY22" i="20"/>
  <c r="CV22" i="20"/>
  <c r="CS22" i="20"/>
  <c r="CP22" i="20"/>
  <c r="CM22" i="20"/>
  <c r="CJ22" i="20"/>
  <c r="CG22" i="20"/>
  <c r="CD22" i="20"/>
  <c r="CA22" i="20"/>
  <c r="BX22" i="20"/>
  <c r="BU22" i="20"/>
  <c r="BR22" i="20"/>
  <c r="BO22" i="20"/>
  <c r="BL22" i="20"/>
  <c r="BI22" i="20"/>
  <c r="BF22" i="20"/>
  <c r="BC22" i="20"/>
  <c r="AZ22" i="20"/>
  <c r="AW22" i="20"/>
  <c r="AT22" i="20"/>
  <c r="AQ22" i="20"/>
  <c r="AN22" i="20"/>
  <c r="AK22" i="20"/>
  <c r="AH22" i="20"/>
  <c r="AE22" i="20"/>
  <c r="AB22" i="20"/>
  <c r="Y22" i="20"/>
  <c r="V22" i="20"/>
  <c r="S22" i="20"/>
  <c r="EH22" i="20" s="1"/>
  <c r="P22" i="20"/>
  <c r="M22" i="20"/>
  <c r="J22" i="20"/>
  <c r="G22" i="20"/>
  <c r="D22" i="20"/>
  <c r="ED22" i="20" s="1"/>
  <c r="EL21" i="20"/>
  <c r="EK21" i="20"/>
  <c r="EN21" i="20" s="1"/>
  <c r="EI21" i="20"/>
  <c r="EG21" i="20"/>
  <c r="EC21" i="20"/>
  <c r="EB21" i="20"/>
  <c r="EE21" i="20" s="1"/>
  <c r="DW21" i="20"/>
  <c r="DT21" i="20"/>
  <c r="EM21" i="20" s="1"/>
  <c r="DQ21" i="20"/>
  <c r="DN21" i="20"/>
  <c r="DK21" i="20"/>
  <c r="DH21" i="20"/>
  <c r="DE21" i="20"/>
  <c r="DB21" i="20"/>
  <c r="CY21" i="20"/>
  <c r="CV21" i="20"/>
  <c r="CS21" i="20"/>
  <c r="CP21" i="20"/>
  <c r="CM21" i="20"/>
  <c r="CJ21" i="20"/>
  <c r="CG21" i="20"/>
  <c r="CD21" i="20"/>
  <c r="CA21" i="20"/>
  <c r="BX21" i="20"/>
  <c r="BU21" i="20"/>
  <c r="BR21" i="20"/>
  <c r="BO21" i="20"/>
  <c r="BL21" i="20"/>
  <c r="BI21" i="20"/>
  <c r="BF21" i="20"/>
  <c r="BC21" i="20"/>
  <c r="AZ21" i="20"/>
  <c r="AW21" i="20"/>
  <c r="AT21" i="20"/>
  <c r="AQ21" i="20"/>
  <c r="AN21" i="20"/>
  <c r="AK21" i="20"/>
  <c r="AH21" i="20"/>
  <c r="AE21" i="20"/>
  <c r="AB21" i="20"/>
  <c r="Y21" i="20"/>
  <c r="EH21" i="20" s="1"/>
  <c r="V21" i="20"/>
  <c r="S21" i="20"/>
  <c r="P21" i="20"/>
  <c r="M21" i="20"/>
  <c r="J21" i="20"/>
  <c r="G21" i="20"/>
  <c r="D21" i="20"/>
  <c r="ED21" i="20" s="1"/>
  <c r="EL20" i="20"/>
  <c r="EK20" i="20"/>
  <c r="EN20" i="20" s="1"/>
  <c r="EG20" i="20"/>
  <c r="EI20" i="20" s="1"/>
  <c r="EE20" i="20"/>
  <c r="EB20" i="20"/>
  <c r="DW20" i="20"/>
  <c r="DT20" i="20"/>
  <c r="EM20" i="20" s="1"/>
  <c r="DQ20" i="20"/>
  <c r="DN20" i="20"/>
  <c r="DK20" i="20"/>
  <c r="DH20" i="20"/>
  <c r="DE20" i="20"/>
  <c r="DB20" i="20"/>
  <c r="CY20" i="20"/>
  <c r="CV20" i="20"/>
  <c r="CS20" i="20"/>
  <c r="CP20" i="20"/>
  <c r="CM20" i="20"/>
  <c r="CJ20" i="20"/>
  <c r="CG20" i="20"/>
  <c r="CD20" i="20"/>
  <c r="CA20" i="20"/>
  <c r="BX20" i="20"/>
  <c r="BU20" i="20"/>
  <c r="BR20" i="20"/>
  <c r="BO20" i="20"/>
  <c r="BL20" i="20"/>
  <c r="BI20" i="20"/>
  <c r="BF20" i="20"/>
  <c r="BC20" i="20"/>
  <c r="AZ20" i="20"/>
  <c r="AW20" i="20"/>
  <c r="AT20" i="20"/>
  <c r="AQ20" i="20"/>
  <c r="AN20" i="20"/>
  <c r="AK20" i="20"/>
  <c r="AH20" i="20"/>
  <c r="AE20" i="20"/>
  <c r="AB20" i="20"/>
  <c r="Y20" i="20"/>
  <c r="V20" i="20"/>
  <c r="S20" i="20"/>
  <c r="EH20" i="20" s="1"/>
  <c r="P20" i="20"/>
  <c r="M20" i="20"/>
  <c r="J20" i="20"/>
  <c r="G20" i="20"/>
  <c r="D20" i="20"/>
  <c r="ED20" i="20" s="1"/>
  <c r="EN19" i="20"/>
  <c r="EL19" i="20"/>
  <c r="EK19" i="20"/>
  <c r="EG19" i="20"/>
  <c r="EI19" i="20" s="1"/>
  <c r="EC19" i="20"/>
  <c r="EB19" i="20"/>
  <c r="EE19" i="20" s="1"/>
  <c r="DW19" i="20"/>
  <c r="DT19" i="20"/>
  <c r="DQ19" i="20"/>
  <c r="DN19" i="20"/>
  <c r="DK19" i="20"/>
  <c r="DH19" i="20"/>
  <c r="DE19" i="20"/>
  <c r="EM19" i="20" s="1"/>
  <c r="DB19" i="20"/>
  <c r="CY19" i="20"/>
  <c r="CV19" i="20"/>
  <c r="CS19" i="20"/>
  <c r="CP19" i="20"/>
  <c r="CM19" i="20"/>
  <c r="CJ19" i="20"/>
  <c r="CG19" i="20"/>
  <c r="CD19" i="20"/>
  <c r="CA19" i="20"/>
  <c r="BX19" i="20"/>
  <c r="BU19" i="20"/>
  <c r="BR19" i="20"/>
  <c r="BO19" i="20"/>
  <c r="BL19" i="20"/>
  <c r="BI19" i="20"/>
  <c r="BF19" i="20"/>
  <c r="BC19" i="20"/>
  <c r="AZ19" i="20"/>
  <c r="AW19" i="20"/>
  <c r="AT19" i="20"/>
  <c r="AQ19" i="20"/>
  <c r="AN19" i="20"/>
  <c r="AK19" i="20"/>
  <c r="AH19" i="20"/>
  <c r="AE19" i="20"/>
  <c r="AB19" i="20"/>
  <c r="Y19" i="20"/>
  <c r="EH19" i="20" s="1"/>
  <c r="V19" i="20"/>
  <c r="S19" i="20"/>
  <c r="P19" i="20"/>
  <c r="M19" i="20"/>
  <c r="ED19" i="20" s="1"/>
  <c r="J19" i="20"/>
  <c r="G19" i="20"/>
  <c r="D19" i="20"/>
  <c r="EL18" i="20"/>
  <c r="EK18" i="20"/>
  <c r="EN18" i="20" s="1"/>
  <c r="EI18" i="20"/>
  <c r="EG18" i="20"/>
  <c r="EB18" i="20"/>
  <c r="EE18" i="20" s="1"/>
  <c r="DW18" i="20"/>
  <c r="DT18" i="20"/>
  <c r="EM18" i="20" s="1"/>
  <c r="DQ18" i="20"/>
  <c r="DN18" i="20"/>
  <c r="DK18" i="20"/>
  <c r="DH18" i="20"/>
  <c r="DE18" i="20"/>
  <c r="DB18" i="20"/>
  <c r="CY18" i="20"/>
  <c r="CV18" i="20"/>
  <c r="CS18" i="20"/>
  <c r="CP18" i="20"/>
  <c r="CM18" i="20"/>
  <c r="CJ18" i="20"/>
  <c r="CG18" i="20"/>
  <c r="CD18" i="20"/>
  <c r="CA18" i="20"/>
  <c r="BX18" i="20"/>
  <c r="BU18" i="20"/>
  <c r="BR18" i="20"/>
  <c r="BO18" i="20"/>
  <c r="BL18" i="20"/>
  <c r="BI18" i="20"/>
  <c r="BF18" i="20"/>
  <c r="BC18" i="20"/>
  <c r="AZ18" i="20"/>
  <c r="AW18" i="20"/>
  <c r="AT18" i="20"/>
  <c r="AQ18" i="20"/>
  <c r="AN18" i="20"/>
  <c r="AK18" i="20"/>
  <c r="AH18" i="20"/>
  <c r="AE18" i="20"/>
  <c r="AB18" i="20"/>
  <c r="Y18" i="20"/>
  <c r="V18" i="20"/>
  <c r="S18" i="20"/>
  <c r="EH18" i="20" s="1"/>
  <c r="P18" i="20"/>
  <c r="M18" i="20"/>
  <c r="J18" i="20"/>
  <c r="G18" i="20"/>
  <c r="D18" i="20"/>
  <c r="ED18" i="20" s="1"/>
  <c r="EL17" i="20"/>
  <c r="EK17" i="20"/>
  <c r="EN17" i="20" s="1"/>
  <c r="EI17" i="20"/>
  <c r="EG17" i="20"/>
  <c r="EC17" i="20"/>
  <c r="EB17" i="20"/>
  <c r="EE17" i="20" s="1"/>
  <c r="DW17" i="20"/>
  <c r="DT17" i="20"/>
  <c r="EM17" i="20" s="1"/>
  <c r="DQ17" i="20"/>
  <c r="DN17" i="20"/>
  <c r="DK17" i="20"/>
  <c r="DH17" i="20"/>
  <c r="DE17" i="20"/>
  <c r="DB17" i="20"/>
  <c r="CY17" i="20"/>
  <c r="CV17" i="20"/>
  <c r="CS17" i="20"/>
  <c r="CP17" i="20"/>
  <c r="CM17" i="20"/>
  <c r="CJ17" i="20"/>
  <c r="CG17" i="20"/>
  <c r="CD17" i="20"/>
  <c r="CA17" i="20"/>
  <c r="BX17" i="20"/>
  <c r="BU17" i="20"/>
  <c r="BR17" i="20"/>
  <c r="BO17" i="20"/>
  <c r="BL17" i="20"/>
  <c r="BI17" i="20"/>
  <c r="BF17" i="20"/>
  <c r="BC17" i="20"/>
  <c r="AZ17" i="20"/>
  <c r="AW17" i="20"/>
  <c r="AT17" i="20"/>
  <c r="AQ17" i="20"/>
  <c r="AN17" i="20"/>
  <c r="AK17" i="20"/>
  <c r="AH17" i="20"/>
  <c r="AE17" i="20"/>
  <c r="AB17" i="20"/>
  <c r="Y17" i="20"/>
  <c r="EH17" i="20" s="1"/>
  <c r="V17" i="20"/>
  <c r="S17" i="20"/>
  <c r="P17" i="20"/>
  <c r="M17" i="20"/>
  <c r="J17" i="20"/>
  <c r="G17" i="20"/>
  <c r="D17" i="20"/>
  <c r="ED17" i="20" s="1"/>
  <c r="EL16" i="20"/>
  <c r="EK16" i="20"/>
  <c r="EN16" i="20" s="1"/>
  <c r="EG16" i="20"/>
  <c r="EI16" i="20" s="1"/>
  <c r="EE16" i="20"/>
  <c r="EB16" i="20"/>
  <c r="DW16" i="20"/>
  <c r="DT16" i="20"/>
  <c r="EM16" i="20" s="1"/>
  <c r="DQ16" i="20"/>
  <c r="DN16" i="20"/>
  <c r="DK16" i="20"/>
  <c r="DH16" i="20"/>
  <c r="DE16" i="20"/>
  <c r="DB16" i="20"/>
  <c r="CY16" i="20"/>
  <c r="CV16" i="20"/>
  <c r="CS16" i="20"/>
  <c r="CP16" i="20"/>
  <c r="CM16" i="20"/>
  <c r="CJ16" i="20"/>
  <c r="CG16" i="20"/>
  <c r="CD16" i="20"/>
  <c r="CA16" i="20"/>
  <c r="BX16" i="20"/>
  <c r="BU16" i="20"/>
  <c r="BR16" i="20"/>
  <c r="BO16" i="20"/>
  <c r="BL16" i="20"/>
  <c r="BI16" i="20"/>
  <c r="BF16" i="20"/>
  <c r="BC16" i="20"/>
  <c r="AZ16" i="20"/>
  <c r="AW16" i="20"/>
  <c r="AT16" i="20"/>
  <c r="AQ16" i="20"/>
  <c r="AN16" i="20"/>
  <c r="AK16" i="20"/>
  <c r="AH16" i="20"/>
  <c r="AE16" i="20"/>
  <c r="AB16" i="20"/>
  <c r="Y16" i="20"/>
  <c r="V16" i="20"/>
  <c r="S16" i="20"/>
  <c r="EH16" i="20" s="1"/>
  <c r="P16" i="20"/>
  <c r="M16" i="20"/>
  <c r="J16" i="20"/>
  <c r="G16" i="20"/>
  <c r="D16" i="20"/>
  <c r="ED16" i="20" s="1"/>
  <c r="EN15" i="20"/>
  <c r="EM15" i="20"/>
  <c r="EL15" i="20"/>
  <c r="EK15" i="20"/>
  <c r="EG15" i="20"/>
  <c r="EI15" i="20" s="1"/>
  <c r="EC15" i="20"/>
  <c r="EB15" i="20"/>
  <c r="EE15" i="20" s="1"/>
  <c r="DW15" i="20"/>
  <c r="DT15" i="20"/>
  <c r="DQ15" i="20"/>
  <c r="DN15" i="20"/>
  <c r="DK15" i="20"/>
  <c r="DH15" i="20"/>
  <c r="DE15" i="20"/>
  <c r="DB15" i="20"/>
  <c r="CY15" i="20"/>
  <c r="CV15" i="20"/>
  <c r="CS15" i="20"/>
  <c r="CP15" i="20"/>
  <c r="CM15" i="20"/>
  <c r="CJ15" i="20"/>
  <c r="CG15" i="20"/>
  <c r="CD15" i="20"/>
  <c r="CA15" i="20"/>
  <c r="BX15" i="20"/>
  <c r="BU15" i="20"/>
  <c r="BR15" i="20"/>
  <c r="BO15" i="20"/>
  <c r="BL15" i="20"/>
  <c r="BI15" i="20"/>
  <c r="BF15" i="20"/>
  <c r="BC15" i="20"/>
  <c r="AZ15" i="20"/>
  <c r="AW15" i="20"/>
  <c r="AT15" i="20"/>
  <c r="AQ15" i="20"/>
  <c r="AN15" i="20"/>
  <c r="AK15" i="20"/>
  <c r="AH15" i="20"/>
  <c r="AE15" i="20"/>
  <c r="AB15" i="20"/>
  <c r="Y15" i="20"/>
  <c r="EH15" i="20" s="1"/>
  <c r="V15" i="20"/>
  <c r="S15" i="20"/>
  <c r="P15" i="20"/>
  <c r="M15" i="20"/>
  <c r="ED15" i="20" s="1"/>
  <c r="J15" i="20"/>
  <c r="G15" i="20"/>
  <c r="D15" i="20"/>
  <c r="EL14" i="20"/>
  <c r="EK14" i="20"/>
  <c r="EN14" i="20" s="1"/>
  <c r="EI14" i="20"/>
  <c r="EG14" i="20"/>
  <c r="EB14" i="20"/>
  <c r="EE14" i="20" s="1"/>
  <c r="DW14" i="20"/>
  <c r="DT14" i="20"/>
  <c r="EM14" i="20" s="1"/>
  <c r="DQ14" i="20"/>
  <c r="DN14" i="20"/>
  <c r="DK14" i="20"/>
  <c r="DH14" i="20"/>
  <c r="DE14" i="20"/>
  <c r="DB14" i="20"/>
  <c r="CY14" i="20"/>
  <c r="CV14" i="20"/>
  <c r="CS14" i="20"/>
  <c r="CP14" i="20"/>
  <c r="CM14" i="20"/>
  <c r="CJ14" i="20"/>
  <c r="CG14" i="20"/>
  <c r="CD14" i="20"/>
  <c r="CA14" i="20"/>
  <c r="BX14" i="20"/>
  <c r="BU14" i="20"/>
  <c r="BR14" i="20"/>
  <c r="BO14" i="20"/>
  <c r="BL14" i="20"/>
  <c r="BI14" i="20"/>
  <c r="BF14" i="20"/>
  <c r="BC14" i="20"/>
  <c r="AZ14" i="20"/>
  <c r="AW14" i="20"/>
  <c r="AT14" i="20"/>
  <c r="AQ14" i="20"/>
  <c r="AN14" i="20"/>
  <c r="AK14" i="20"/>
  <c r="AH14" i="20"/>
  <c r="AE14" i="20"/>
  <c r="AB14" i="20"/>
  <c r="Y14" i="20"/>
  <c r="V14" i="20"/>
  <c r="S14" i="20"/>
  <c r="EH14" i="20" s="1"/>
  <c r="P14" i="20"/>
  <c r="M14" i="20"/>
  <c r="J14" i="20"/>
  <c r="G14" i="20"/>
  <c r="D14" i="20"/>
  <c r="ED14" i="20" s="1"/>
  <c r="EL13" i="20"/>
  <c r="EK13" i="20"/>
  <c r="EN13" i="20" s="1"/>
  <c r="EI13" i="20"/>
  <c r="EG13" i="20"/>
  <c r="EC13" i="20"/>
  <c r="EB13" i="20"/>
  <c r="EE13" i="20" s="1"/>
  <c r="DW13" i="20"/>
  <c r="DT13" i="20"/>
  <c r="EM13" i="20" s="1"/>
  <c r="DQ13" i="20"/>
  <c r="DN13" i="20"/>
  <c r="DK13" i="20"/>
  <c r="DH13" i="20"/>
  <c r="DE13" i="20"/>
  <c r="DB13" i="20"/>
  <c r="CY13" i="20"/>
  <c r="CV13" i="20"/>
  <c r="CS13" i="20"/>
  <c r="CP13" i="20"/>
  <c r="CM13" i="20"/>
  <c r="CJ13" i="20"/>
  <c r="CG13" i="20"/>
  <c r="CD13" i="20"/>
  <c r="CA13" i="20"/>
  <c r="BX13" i="20"/>
  <c r="BU13" i="20"/>
  <c r="BR13" i="20"/>
  <c r="BO13" i="20"/>
  <c r="BL13" i="20"/>
  <c r="BI13" i="20"/>
  <c r="BF13" i="20"/>
  <c r="BC13" i="20"/>
  <c r="AZ13" i="20"/>
  <c r="AW13" i="20"/>
  <c r="AT13" i="20"/>
  <c r="AQ13" i="20"/>
  <c r="AN13" i="20"/>
  <c r="AK13" i="20"/>
  <c r="AH13" i="20"/>
  <c r="AE13" i="20"/>
  <c r="AB13" i="20"/>
  <c r="Y13" i="20"/>
  <c r="EH13" i="20" s="1"/>
  <c r="V13" i="20"/>
  <c r="S13" i="20"/>
  <c r="P13" i="20"/>
  <c r="M13" i="20"/>
  <c r="J13" i="20"/>
  <c r="G13" i="20"/>
  <c r="D13" i="20"/>
  <c r="ED13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EL12" i="20"/>
  <c r="EK12" i="20"/>
  <c r="EN12" i="20" s="1"/>
  <c r="EG12" i="20"/>
  <c r="EI12" i="20" s="1"/>
  <c r="EE12" i="20"/>
  <c r="EB12" i="20"/>
  <c r="DW12" i="20"/>
  <c r="DT12" i="20"/>
  <c r="EM12" i="20" s="1"/>
  <c r="DQ12" i="20"/>
  <c r="DN12" i="20"/>
  <c r="DN41" i="20" s="1"/>
  <c r="DK12" i="20"/>
  <c r="DK41" i="20" s="1"/>
  <c r="DH12" i="20"/>
  <c r="DE12" i="20"/>
  <c r="DB12" i="20"/>
  <c r="CY12" i="20"/>
  <c r="CV12" i="20"/>
  <c r="CS12" i="20"/>
  <c r="CP12" i="20"/>
  <c r="CP41" i="20" s="1"/>
  <c r="CM12" i="20"/>
  <c r="CM41" i="20" s="1"/>
  <c r="CJ12" i="20"/>
  <c r="CG12" i="20"/>
  <c r="CD12" i="20"/>
  <c r="CA12" i="20"/>
  <c r="BX12" i="20"/>
  <c r="BU12" i="20"/>
  <c r="BR12" i="20"/>
  <c r="BR41" i="20" s="1"/>
  <c r="BO12" i="20"/>
  <c r="BO41" i="20" s="1"/>
  <c r="BL12" i="20"/>
  <c r="BI12" i="20"/>
  <c r="BF12" i="20"/>
  <c r="BC12" i="20"/>
  <c r="AZ12" i="20"/>
  <c r="AW12" i="20"/>
  <c r="AT12" i="20"/>
  <c r="AT41" i="20" s="1"/>
  <c r="AQ12" i="20"/>
  <c r="AQ41" i="20" s="1"/>
  <c r="AN12" i="20"/>
  <c r="AK12" i="20"/>
  <c r="AH12" i="20"/>
  <c r="AE12" i="20"/>
  <c r="AB12" i="20"/>
  <c r="Y12" i="20"/>
  <c r="V12" i="20"/>
  <c r="V41" i="20" s="1"/>
  <c r="S12" i="20"/>
  <c r="S41" i="20" s="1"/>
  <c r="P12" i="20"/>
  <c r="M12" i="20"/>
  <c r="J12" i="20"/>
  <c r="G12" i="20"/>
  <c r="D12" i="20"/>
  <c r="ED12" i="20" s="1"/>
  <c r="A12" i="20"/>
  <c r="EN11" i="20"/>
  <c r="EL11" i="20"/>
  <c r="EK11" i="20"/>
  <c r="EG11" i="20"/>
  <c r="EI11" i="20" s="1"/>
  <c r="EC11" i="20"/>
  <c r="EB11" i="20"/>
  <c r="EE11" i="20" s="1"/>
  <c r="DW11" i="20"/>
  <c r="DW41" i="20" s="1"/>
  <c r="DT11" i="20"/>
  <c r="DT41" i="20" s="1"/>
  <c r="DQ11" i="20"/>
  <c r="DQ41" i="20" s="1"/>
  <c r="DN11" i="20"/>
  <c r="DK11" i="20"/>
  <c r="DH11" i="20"/>
  <c r="DH41" i="20" s="1"/>
  <c r="DE11" i="20"/>
  <c r="DE41" i="20" s="1"/>
  <c r="DB11" i="20"/>
  <c r="DB41" i="20" s="1"/>
  <c r="CY11" i="20"/>
  <c r="CY41" i="20" s="1"/>
  <c r="CV11" i="20"/>
  <c r="CV41" i="20" s="1"/>
  <c r="CS11" i="20"/>
  <c r="CS41" i="20" s="1"/>
  <c r="CP11" i="20"/>
  <c r="CM11" i="20"/>
  <c r="CJ11" i="20"/>
  <c r="CJ41" i="20" s="1"/>
  <c r="CG11" i="20"/>
  <c r="CG41" i="20" s="1"/>
  <c r="CD11" i="20"/>
  <c r="CD41" i="20" s="1"/>
  <c r="CA11" i="20"/>
  <c r="CA41" i="20" s="1"/>
  <c r="BX11" i="20"/>
  <c r="BX41" i="20" s="1"/>
  <c r="BU11" i="20"/>
  <c r="BU41" i="20" s="1"/>
  <c r="BR11" i="20"/>
  <c r="BO11" i="20"/>
  <c r="BL11" i="20"/>
  <c r="BL41" i="20" s="1"/>
  <c r="BI11" i="20"/>
  <c r="BI41" i="20" s="1"/>
  <c r="BF11" i="20"/>
  <c r="BF41" i="20" s="1"/>
  <c r="BC11" i="20"/>
  <c r="BC41" i="20" s="1"/>
  <c r="AZ11" i="20"/>
  <c r="AZ41" i="20" s="1"/>
  <c r="AW11" i="20"/>
  <c r="AW41" i="20" s="1"/>
  <c r="AT11" i="20"/>
  <c r="AQ11" i="20"/>
  <c r="AN11" i="20"/>
  <c r="AN41" i="20" s="1"/>
  <c r="AK11" i="20"/>
  <c r="AH11" i="20"/>
  <c r="AH41" i="20" s="1"/>
  <c r="AE11" i="20"/>
  <c r="AE41" i="20" s="1"/>
  <c r="AB11" i="20"/>
  <c r="AB41" i="20" s="1"/>
  <c r="Y11" i="20"/>
  <c r="EH11" i="20" s="1"/>
  <c r="V11" i="20"/>
  <c r="S11" i="20"/>
  <c r="P11" i="20"/>
  <c r="P41" i="20" s="1"/>
  <c r="M11" i="20"/>
  <c r="M41" i="20" s="1"/>
  <c r="J11" i="20"/>
  <c r="J41" i="20" s="1"/>
  <c r="G11" i="20"/>
  <c r="G41" i="20" s="1"/>
  <c r="D11" i="20"/>
  <c r="D41" i="20" s="1"/>
  <c r="EI2" i="20"/>
  <c r="EE38" i="20" l="1"/>
  <c r="EC38" i="20"/>
  <c r="EE30" i="20"/>
  <c r="EC30" i="20"/>
  <c r="EE3" i="20"/>
  <c r="EC34" i="20"/>
  <c r="EM39" i="20"/>
  <c r="ED32" i="20"/>
  <c r="EE32" i="20" s="1"/>
  <c r="EE36" i="20"/>
  <c r="EC36" i="20"/>
  <c r="EN2" i="20"/>
  <c r="EC35" i="20"/>
  <c r="EE35" i="20"/>
  <c r="EC31" i="20"/>
  <c r="ED40" i="20"/>
  <c r="EE33" i="20"/>
  <c r="EN36" i="20"/>
  <c r="EN39" i="20"/>
  <c r="EH41" i="20"/>
  <c r="EC39" i="20"/>
  <c r="EM11" i="20"/>
  <c r="EC32" i="20"/>
  <c r="AK40" i="20"/>
  <c r="EM40" i="20" s="1"/>
  <c r="EN40" i="20" s="1"/>
  <c r="EC40" i="20"/>
  <c r="EH12" i="20"/>
  <c r="EC14" i="20"/>
  <c r="EC18" i="20"/>
  <c r="EC22" i="20"/>
  <c r="EC26" i="20"/>
  <c r="AK31" i="20"/>
  <c r="EM31" i="20" s="1"/>
  <c r="EN31" i="20" s="1"/>
  <c r="EI36" i="20"/>
  <c r="EK37" i="20"/>
  <c r="EN37" i="20" s="1"/>
  <c r="AK39" i="20"/>
  <c r="ED39" i="20" s="1"/>
  <c r="EE39" i="20" s="1"/>
  <c r="Y41" i="20"/>
  <c r="ED34" i="20"/>
  <c r="EE34" i="20" s="1"/>
  <c r="EB37" i="20"/>
  <c r="EE40" i="20"/>
  <c r="AK32" i="20"/>
  <c r="EM32" i="20" s="1"/>
  <c r="EN32" i="20" s="1"/>
  <c r="EC25" i="20"/>
  <c r="EC29" i="20"/>
  <c r="EK35" i="20"/>
  <c r="EN35" i="20" s="1"/>
  <c r="EK34" i="20"/>
  <c r="EN34" i="20" s="1"/>
  <c r="EI5" i="20"/>
  <c r="ED11" i="20"/>
  <c r="EC12" i="20"/>
  <c r="EC16" i="20"/>
  <c r="EC20" i="20"/>
  <c r="EC24" i="20"/>
  <c r="EC28" i="20"/>
  <c r="EK33" i="20"/>
  <c r="EN33" i="20" s="1"/>
  <c r="ED31" i="20" l="1"/>
  <c r="EE31" i="20" s="1"/>
  <c r="ED41" i="20"/>
  <c r="EE37" i="20"/>
  <c r="EC37" i="20"/>
  <c r="EM41" i="20"/>
  <c r="EN5" i="20"/>
  <c r="EE5" i="20"/>
  <c r="G7" i="20" s="1"/>
  <c r="G5" i="20"/>
  <c r="EE4" i="20"/>
  <c r="G6" i="20" s="1"/>
  <c r="EN3" i="20"/>
  <c r="EN4" i="20" s="1"/>
  <c r="AK41" i="20"/>
  <c r="EC33" i="20"/>
  <c r="EL41" i="19" l="1"/>
  <c r="EK41" i="19"/>
  <c r="EN41" i="19" s="1"/>
  <c r="EI41" i="19"/>
  <c r="EG41" i="19"/>
  <c r="EE41" i="19"/>
  <c r="EB41" i="19"/>
  <c r="EC41" i="19" s="1"/>
  <c r="DW41" i="19"/>
  <c r="DT41" i="19"/>
  <c r="EM41" i="19" s="1"/>
  <c r="DQ41" i="19"/>
  <c r="DN41" i="19"/>
  <c r="DK41" i="19"/>
  <c r="DH41" i="19"/>
  <c r="DE41" i="19"/>
  <c r="DB41" i="19"/>
  <c r="CY41" i="19"/>
  <c r="CV41" i="19"/>
  <c r="CS41" i="19"/>
  <c r="CP41" i="19"/>
  <c r="CM41" i="19"/>
  <c r="CJ41" i="19"/>
  <c r="CG41" i="19"/>
  <c r="CD41" i="19"/>
  <c r="CA41" i="19"/>
  <c r="BX41" i="19"/>
  <c r="BU41" i="19"/>
  <c r="BR41" i="19"/>
  <c r="BO41" i="19"/>
  <c r="BL41" i="19"/>
  <c r="BI41" i="19"/>
  <c r="BF41" i="19"/>
  <c r="BC41" i="19"/>
  <c r="AZ41" i="19"/>
  <c r="AW41" i="19"/>
  <c r="AT41" i="19"/>
  <c r="AQ41" i="19"/>
  <c r="AN41" i="19"/>
  <c r="AK41" i="19"/>
  <c r="AH41" i="19"/>
  <c r="AE41" i="19"/>
  <c r="AB41" i="19"/>
  <c r="Y41" i="19"/>
  <c r="V41" i="19"/>
  <c r="EH41" i="19" s="1"/>
  <c r="S41" i="19"/>
  <c r="P41" i="19"/>
  <c r="M41" i="19"/>
  <c r="J41" i="19"/>
  <c r="G41" i="19"/>
  <c r="D41" i="19"/>
  <c r="ED41" i="19" s="1"/>
  <c r="EN40" i="19"/>
  <c r="EL40" i="19"/>
  <c r="EK40" i="19"/>
  <c r="EG40" i="19"/>
  <c r="EI40" i="19" s="1"/>
  <c r="EE40" i="19"/>
  <c r="EC40" i="19"/>
  <c r="EB40" i="19"/>
  <c r="DW40" i="19"/>
  <c r="DT40" i="19"/>
  <c r="DQ40" i="19"/>
  <c r="EM40" i="19" s="1"/>
  <c r="DN40" i="19"/>
  <c r="DK40" i="19"/>
  <c r="DH40" i="19"/>
  <c r="DE40" i="19"/>
  <c r="DB40" i="19"/>
  <c r="CY40" i="19"/>
  <c r="CV40" i="19"/>
  <c r="CS40" i="19"/>
  <c r="CP40" i="19"/>
  <c r="CM40" i="19"/>
  <c r="CJ40" i="19"/>
  <c r="CG40" i="19"/>
  <c r="CD40" i="19"/>
  <c r="CA40" i="19"/>
  <c r="BX40" i="19"/>
  <c r="BU40" i="19"/>
  <c r="BR40" i="19"/>
  <c r="BO40" i="19"/>
  <c r="BL40" i="19"/>
  <c r="BI40" i="19"/>
  <c r="BF40" i="19"/>
  <c r="BC40" i="19"/>
  <c r="AZ40" i="19"/>
  <c r="AW40" i="19"/>
  <c r="AT40" i="19"/>
  <c r="AQ40" i="19"/>
  <c r="AN40" i="19"/>
  <c r="AK40" i="19"/>
  <c r="AH40" i="19"/>
  <c r="AE40" i="19"/>
  <c r="AB40" i="19"/>
  <c r="Y40" i="19"/>
  <c r="EH40" i="19" s="1"/>
  <c r="V40" i="19"/>
  <c r="S40" i="19"/>
  <c r="P40" i="19"/>
  <c r="ED40" i="19" s="1"/>
  <c r="M40" i="19"/>
  <c r="J40" i="19"/>
  <c r="G40" i="19"/>
  <c r="D40" i="19"/>
  <c r="EN39" i="19"/>
  <c r="EL39" i="19"/>
  <c r="EK39" i="19"/>
  <c r="EG39" i="19"/>
  <c r="EI39" i="19" s="1"/>
  <c r="EE39" i="19"/>
  <c r="EB39" i="19"/>
  <c r="EC39" i="19" s="1"/>
  <c r="DW39" i="19"/>
  <c r="DT39" i="19"/>
  <c r="DQ39" i="19"/>
  <c r="DN39" i="19"/>
  <c r="DK39" i="19"/>
  <c r="EM39" i="19" s="1"/>
  <c r="DH39" i="19"/>
  <c r="DE39" i="19"/>
  <c r="DB39" i="19"/>
  <c r="CY39" i="19"/>
  <c r="CV39" i="19"/>
  <c r="CS39" i="19"/>
  <c r="CP39" i="19"/>
  <c r="CM39" i="19"/>
  <c r="CJ39" i="19"/>
  <c r="CG39" i="19"/>
  <c r="CD39" i="19"/>
  <c r="CA39" i="19"/>
  <c r="BX39" i="19"/>
  <c r="BU39" i="19"/>
  <c r="BR39" i="19"/>
  <c r="BO39" i="19"/>
  <c r="BL39" i="19"/>
  <c r="BI39" i="19"/>
  <c r="BF39" i="19"/>
  <c r="BC39" i="19"/>
  <c r="AZ39" i="19"/>
  <c r="AW39" i="19"/>
  <c r="AT39" i="19"/>
  <c r="AQ39" i="19"/>
  <c r="AN39" i="19"/>
  <c r="AK39" i="19"/>
  <c r="AH39" i="19"/>
  <c r="AE39" i="19"/>
  <c r="AB39" i="19"/>
  <c r="Y39" i="19"/>
  <c r="V39" i="19"/>
  <c r="S39" i="19"/>
  <c r="EH39" i="19" s="1"/>
  <c r="P39" i="19"/>
  <c r="ED39" i="19" s="1"/>
  <c r="M39" i="19"/>
  <c r="J39" i="19"/>
  <c r="G39" i="19"/>
  <c r="D39" i="19"/>
  <c r="EL38" i="19"/>
  <c r="EK38" i="19"/>
  <c r="EN38" i="19" s="1"/>
  <c r="EI38" i="19"/>
  <c r="EG38" i="19"/>
  <c r="EC38" i="19"/>
  <c r="EB38" i="19"/>
  <c r="EE38" i="19" s="1"/>
  <c r="DW38" i="19"/>
  <c r="DT38" i="19"/>
  <c r="DQ38" i="19"/>
  <c r="DN38" i="19"/>
  <c r="DK38" i="19"/>
  <c r="DH38" i="19"/>
  <c r="DE38" i="19"/>
  <c r="EM38" i="19" s="1"/>
  <c r="DB38" i="19"/>
  <c r="CY38" i="19"/>
  <c r="CV38" i="19"/>
  <c r="CS38" i="19"/>
  <c r="CP38" i="19"/>
  <c r="CM38" i="19"/>
  <c r="CJ38" i="19"/>
  <c r="CG38" i="19"/>
  <c r="CD38" i="19"/>
  <c r="CA38" i="19"/>
  <c r="BX38" i="19"/>
  <c r="BU38" i="19"/>
  <c r="BR38" i="19"/>
  <c r="BO38" i="19"/>
  <c r="BL38" i="19"/>
  <c r="BI38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EH38" i="19" s="1"/>
  <c r="V38" i="19"/>
  <c r="S38" i="19"/>
  <c r="P38" i="19"/>
  <c r="M38" i="19"/>
  <c r="J38" i="19"/>
  <c r="G38" i="19"/>
  <c r="D38" i="19"/>
  <c r="ED38" i="19" s="1"/>
  <c r="EL37" i="19"/>
  <c r="EK37" i="19"/>
  <c r="EN37" i="19" s="1"/>
  <c r="EI37" i="19"/>
  <c r="EG37" i="19"/>
  <c r="EE37" i="19"/>
  <c r="EB37" i="19"/>
  <c r="EC37" i="19" s="1"/>
  <c r="DW37" i="19"/>
  <c r="DT37" i="19"/>
  <c r="EM37" i="19" s="1"/>
  <c r="DQ37" i="19"/>
  <c r="DN37" i="19"/>
  <c r="DK37" i="19"/>
  <c r="DH37" i="19"/>
  <c r="DE37" i="19"/>
  <c r="DB37" i="19"/>
  <c r="CY37" i="19"/>
  <c r="CV37" i="19"/>
  <c r="CS37" i="19"/>
  <c r="CP37" i="19"/>
  <c r="CM37" i="19"/>
  <c r="CJ37" i="19"/>
  <c r="CG37" i="19"/>
  <c r="CD37" i="19"/>
  <c r="CA37" i="19"/>
  <c r="BX37" i="19"/>
  <c r="BU37" i="19"/>
  <c r="BR37" i="19"/>
  <c r="BO37" i="19"/>
  <c r="BL37" i="19"/>
  <c r="BI37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V37" i="19"/>
  <c r="EH37" i="19" s="1"/>
  <c r="S37" i="19"/>
  <c r="P37" i="19"/>
  <c r="M37" i="19"/>
  <c r="J37" i="19"/>
  <c r="G37" i="19"/>
  <c r="D37" i="19"/>
  <c r="ED37" i="19" s="1"/>
  <c r="EN36" i="19"/>
  <c r="EL36" i="19"/>
  <c r="EK36" i="19"/>
  <c r="EG36" i="19"/>
  <c r="EI36" i="19" s="1"/>
  <c r="EE36" i="19"/>
  <c r="EC36" i="19"/>
  <c r="EB36" i="19"/>
  <c r="DW36" i="19"/>
  <c r="DT36" i="19"/>
  <c r="DQ36" i="19"/>
  <c r="EM36" i="19" s="1"/>
  <c r="DN36" i="19"/>
  <c r="DK36" i="19"/>
  <c r="DH36" i="19"/>
  <c r="DE36" i="19"/>
  <c r="DB36" i="19"/>
  <c r="CY36" i="19"/>
  <c r="CV36" i="19"/>
  <c r="CS36" i="19"/>
  <c r="CP36" i="19"/>
  <c r="CM36" i="19"/>
  <c r="CJ36" i="19"/>
  <c r="CG36" i="19"/>
  <c r="CD36" i="19"/>
  <c r="CA36" i="19"/>
  <c r="BX36" i="19"/>
  <c r="BU36" i="19"/>
  <c r="BR36" i="19"/>
  <c r="BO36" i="19"/>
  <c r="BL36" i="19"/>
  <c r="BI36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EH36" i="19" s="1"/>
  <c r="V36" i="19"/>
  <c r="S36" i="19"/>
  <c r="P36" i="19"/>
  <c r="ED36" i="19" s="1"/>
  <c r="M36" i="19"/>
  <c r="J36" i="19"/>
  <c r="G36" i="19"/>
  <c r="D36" i="19"/>
  <c r="EN35" i="19"/>
  <c r="EL35" i="19"/>
  <c r="EK35" i="19"/>
  <c r="EG35" i="19"/>
  <c r="EI35" i="19" s="1"/>
  <c r="EE35" i="19"/>
  <c r="EB35" i="19"/>
  <c r="EC35" i="19" s="1"/>
  <c r="DW35" i="19"/>
  <c r="DT35" i="19"/>
  <c r="DQ35" i="19"/>
  <c r="DN35" i="19"/>
  <c r="DK35" i="19"/>
  <c r="EM35" i="19" s="1"/>
  <c r="DH35" i="19"/>
  <c r="DE35" i="19"/>
  <c r="DB35" i="19"/>
  <c r="CY35" i="19"/>
  <c r="CV35" i="19"/>
  <c r="CS35" i="19"/>
  <c r="CP35" i="19"/>
  <c r="CM35" i="19"/>
  <c r="CJ35" i="19"/>
  <c r="CG35" i="19"/>
  <c r="CD35" i="19"/>
  <c r="CA35" i="19"/>
  <c r="BX35" i="19"/>
  <c r="BU35" i="19"/>
  <c r="BR35" i="19"/>
  <c r="BO35" i="19"/>
  <c r="BL35" i="19"/>
  <c r="BI35" i="19"/>
  <c r="BF35" i="19"/>
  <c r="BC35" i="19"/>
  <c r="AZ35" i="19"/>
  <c r="AW35" i="19"/>
  <c r="AT35" i="19"/>
  <c r="AQ35" i="19"/>
  <c r="AN35" i="19"/>
  <c r="AK35" i="19"/>
  <c r="AH35" i="19"/>
  <c r="AE35" i="19"/>
  <c r="AB35" i="19"/>
  <c r="Y35" i="19"/>
  <c r="V35" i="19"/>
  <c r="S35" i="19"/>
  <c r="EH35" i="19" s="1"/>
  <c r="P35" i="19"/>
  <c r="ED35" i="19" s="1"/>
  <c r="M35" i="19"/>
  <c r="J35" i="19"/>
  <c r="G35" i="19"/>
  <c r="D35" i="19"/>
  <c r="EL34" i="19"/>
  <c r="EK34" i="19"/>
  <c r="EN34" i="19" s="1"/>
  <c r="EI34" i="19"/>
  <c r="EG34" i="19"/>
  <c r="EC34" i="19"/>
  <c r="EB34" i="19"/>
  <c r="EE34" i="19" s="1"/>
  <c r="DW34" i="19"/>
  <c r="DT34" i="19"/>
  <c r="DQ34" i="19"/>
  <c r="DN34" i="19"/>
  <c r="DK34" i="19"/>
  <c r="DH34" i="19"/>
  <c r="DE34" i="19"/>
  <c r="EM34" i="19" s="1"/>
  <c r="DB34" i="19"/>
  <c r="CY34" i="19"/>
  <c r="CV34" i="19"/>
  <c r="CS34" i="19"/>
  <c r="CP34" i="19"/>
  <c r="CM34" i="19"/>
  <c r="CJ34" i="19"/>
  <c r="CG34" i="19"/>
  <c r="CD34" i="19"/>
  <c r="CA34" i="19"/>
  <c r="BX34" i="19"/>
  <c r="BU34" i="19"/>
  <c r="BR34" i="19"/>
  <c r="BO34" i="19"/>
  <c r="BL34" i="19"/>
  <c r="BI34" i="19"/>
  <c r="BF34" i="19"/>
  <c r="BC34" i="19"/>
  <c r="AZ34" i="19"/>
  <c r="AW34" i="19"/>
  <c r="AT34" i="19"/>
  <c r="AQ34" i="19"/>
  <c r="AN34" i="19"/>
  <c r="AK34" i="19"/>
  <c r="AH34" i="19"/>
  <c r="AE34" i="19"/>
  <c r="AB34" i="19"/>
  <c r="Y34" i="19"/>
  <c r="EH34" i="19" s="1"/>
  <c r="V34" i="19"/>
  <c r="S34" i="19"/>
  <c r="P34" i="19"/>
  <c r="M34" i="19"/>
  <c r="J34" i="19"/>
  <c r="G34" i="19"/>
  <c r="D34" i="19"/>
  <c r="ED34" i="19" s="1"/>
  <c r="EL33" i="19"/>
  <c r="EK33" i="19"/>
  <c r="EN33" i="19" s="1"/>
  <c r="EI33" i="19"/>
  <c r="EG33" i="19"/>
  <c r="EE33" i="19"/>
  <c r="EB33" i="19"/>
  <c r="EC33" i="19" s="1"/>
  <c r="DW33" i="19"/>
  <c r="DT33" i="19"/>
  <c r="EM33" i="19" s="1"/>
  <c r="DQ33" i="19"/>
  <c r="DN33" i="19"/>
  <c r="DK33" i="19"/>
  <c r="DH33" i="19"/>
  <c r="DE33" i="19"/>
  <c r="DB33" i="19"/>
  <c r="CY33" i="19"/>
  <c r="CV33" i="19"/>
  <c r="CS33" i="19"/>
  <c r="CP33" i="19"/>
  <c r="CM33" i="19"/>
  <c r="CJ33" i="19"/>
  <c r="CG33" i="19"/>
  <c r="CD33" i="19"/>
  <c r="CA33" i="19"/>
  <c r="BX33" i="19"/>
  <c r="BU33" i="19"/>
  <c r="BR33" i="19"/>
  <c r="BO33" i="19"/>
  <c r="BL33" i="19"/>
  <c r="BI33" i="19"/>
  <c r="BF33" i="19"/>
  <c r="BC33" i="19"/>
  <c r="AZ33" i="19"/>
  <c r="AW33" i="19"/>
  <c r="AT33" i="19"/>
  <c r="AQ33" i="19"/>
  <c r="AN33" i="19"/>
  <c r="AK33" i="19"/>
  <c r="AH33" i="19"/>
  <c r="AE33" i="19"/>
  <c r="AB33" i="19"/>
  <c r="Y33" i="19"/>
  <c r="V33" i="19"/>
  <c r="EH33" i="19" s="1"/>
  <c r="S33" i="19"/>
  <c r="P33" i="19"/>
  <c r="M33" i="19"/>
  <c r="J33" i="19"/>
  <c r="G33" i="19"/>
  <c r="D33" i="19"/>
  <c r="ED33" i="19" s="1"/>
  <c r="EN32" i="19"/>
  <c r="EL32" i="19"/>
  <c r="EK32" i="19"/>
  <c r="EG32" i="19"/>
  <c r="EI32" i="19" s="1"/>
  <c r="EE32" i="19"/>
  <c r="EC32" i="19"/>
  <c r="EB32" i="19"/>
  <c r="DW32" i="19"/>
  <c r="DT32" i="19"/>
  <c r="DQ32" i="19"/>
  <c r="EM32" i="19" s="1"/>
  <c r="DN32" i="19"/>
  <c r="DK32" i="19"/>
  <c r="DH32" i="19"/>
  <c r="DE32" i="19"/>
  <c r="DB32" i="19"/>
  <c r="CY32" i="19"/>
  <c r="CV32" i="19"/>
  <c r="CS32" i="19"/>
  <c r="CP32" i="19"/>
  <c r="CM32" i="19"/>
  <c r="CJ32" i="19"/>
  <c r="CG32" i="19"/>
  <c r="CD32" i="19"/>
  <c r="CA32" i="19"/>
  <c r="BX32" i="19"/>
  <c r="BU32" i="19"/>
  <c r="BR32" i="19"/>
  <c r="BO32" i="19"/>
  <c r="BL32" i="19"/>
  <c r="BI32" i="19"/>
  <c r="BF32" i="19"/>
  <c r="BC32" i="19"/>
  <c r="AZ32" i="19"/>
  <c r="AW32" i="19"/>
  <c r="AT32" i="19"/>
  <c r="AQ32" i="19"/>
  <c r="AN32" i="19"/>
  <c r="AK32" i="19"/>
  <c r="AH32" i="19"/>
  <c r="AE32" i="19"/>
  <c r="AB32" i="19"/>
  <c r="Y32" i="19"/>
  <c r="EH32" i="19" s="1"/>
  <c r="V32" i="19"/>
  <c r="S32" i="19"/>
  <c r="P32" i="19"/>
  <c r="ED32" i="19" s="1"/>
  <c r="M32" i="19"/>
  <c r="J32" i="19"/>
  <c r="G32" i="19"/>
  <c r="D32" i="19"/>
  <c r="EN31" i="19"/>
  <c r="EL31" i="19"/>
  <c r="EK31" i="19"/>
  <c r="EG31" i="19"/>
  <c r="EI31" i="19" s="1"/>
  <c r="EE31" i="19"/>
  <c r="EB31" i="19"/>
  <c r="EC31" i="19" s="1"/>
  <c r="DW31" i="19"/>
  <c r="DT31" i="19"/>
  <c r="DQ31" i="19"/>
  <c r="DN31" i="19"/>
  <c r="DK31" i="19"/>
  <c r="EM31" i="19" s="1"/>
  <c r="DH31" i="19"/>
  <c r="DE31" i="19"/>
  <c r="DB31" i="19"/>
  <c r="CY31" i="19"/>
  <c r="CV31" i="19"/>
  <c r="CS31" i="19"/>
  <c r="CP31" i="19"/>
  <c r="CM31" i="19"/>
  <c r="CJ31" i="19"/>
  <c r="CG31" i="19"/>
  <c r="CD31" i="19"/>
  <c r="CA31" i="19"/>
  <c r="BX31" i="19"/>
  <c r="BU31" i="19"/>
  <c r="BR31" i="19"/>
  <c r="BO31" i="19"/>
  <c r="BL31" i="19"/>
  <c r="BI31" i="19"/>
  <c r="BF31" i="19"/>
  <c r="BC31" i="19"/>
  <c r="AZ31" i="19"/>
  <c r="AW31" i="19"/>
  <c r="AT31" i="19"/>
  <c r="AQ31" i="19"/>
  <c r="AN31" i="19"/>
  <c r="AK31" i="19"/>
  <c r="AH31" i="19"/>
  <c r="AE31" i="19"/>
  <c r="AB31" i="19"/>
  <c r="Y31" i="19"/>
  <c r="V31" i="19"/>
  <c r="S31" i="19"/>
  <c r="EH31" i="19" s="1"/>
  <c r="P31" i="19"/>
  <c r="ED31" i="19" s="1"/>
  <c r="M31" i="19"/>
  <c r="J31" i="19"/>
  <c r="G31" i="19"/>
  <c r="D31" i="19"/>
  <c r="EL30" i="19"/>
  <c r="EK30" i="19"/>
  <c r="EN30" i="19" s="1"/>
  <c r="EI30" i="19"/>
  <c r="EG30" i="19"/>
  <c r="EC30" i="19"/>
  <c r="EB30" i="19"/>
  <c r="EE30" i="19" s="1"/>
  <c r="DW30" i="19"/>
  <c r="DT30" i="19"/>
  <c r="DQ30" i="19"/>
  <c r="DN30" i="19"/>
  <c r="DK30" i="19"/>
  <c r="DH30" i="19"/>
  <c r="DE30" i="19"/>
  <c r="EM30" i="19" s="1"/>
  <c r="DB30" i="19"/>
  <c r="CY30" i="19"/>
  <c r="CV30" i="19"/>
  <c r="CS30" i="19"/>
  <c r="CP30" i="19"/>
  <c r="CM30" i="19"/>
  <c r="CJ30" i="19"/>
  <c r="CG30" i="19"/>
  <c r="CD30" i="19"/>
  <c r="CA30" i="19"/>
  <c r="BX30" i="19"/>
  <c r="BU30" i="19"/>
  <c r="BR30" i="19"/>
  <c r="BO30" i="19"/>
  <c r="BL30" i="19"/>
  <c r="BI30" i="19"/>
  <c r="BF30" i="19"/>
  <c r="BC30" i="19"/>
  <c r="AZ30" i="19"/>
  <c r="AW30" i="19"/>
  <c r="AT30" i="19"/>
  <c r="AQ30" i="19"/>
  <c r="AN30" i="19"/>
  <c r="AK30" i="19"/>
  <c r="AH30" i="19"/>
  <c r="AE30" i="19"/>
  <c r="AB30" i="19"/>
  <c r="Y30" i="19"/>
  <c r="EH30" i="19" s="1"/>
  <c r="V30" i="19"/>
  <c r="S30" i="19"/>
  <c r="P30" i="19"/>
  <c r="M30" i="19"/>
  <c r="J30" i="19"/>
  <c r="G30" i="19"/>
  <c r="D30" i="19"/>
  <c r="ED30" i="19" s="1"/>
  <c r="EL29" i="19"/>
  <c r="EK29" i="19"/>
  <c r="EN29" i="19" s="1"/>
  <c r="EI29" i="19"/>
  <c r="EG29" i="19"/>
  <c r="EE29" i="19"/>
  <c r="EB29" i="19"/>
  <c r="EC29" i="19" s="1"/>
  <c r="DW29" i="19"/>
  <c r="DT29" i="19"/>
  <c r="EM29" i="19" s="1"/>
  <c r="DQ29" i="19"/>
  <c r="DN29" i="19"/>
  <c r="DK29" i="19"/>
  <c r="DH29" i="19"/>
  <c r="DE29" i="19"/>
  <c r="DB29" i="19"/>
  <c r="CY29" i="19"/>
  <c r="CV29" i="19"/>
  <c r="CS29" i="19"/>
  <c r="CP29" i="19"/>
  <c r="CM29" i="19"/>
  <c r="CJ29" i="19"/>
  <c r="CG29" i="19"/>
  <c r="CD29" i="19"/>
  <c r="CA29" i="19"/>
  <c r="BX29" i="19"/>
  <c r="BU29" i="19"/>
  <c r="BR29" i="19"/>
  <c r="BO29" i="19"/>
  <c r="BL29" i="19"/>
  <c r="BI29" i="19"/>
  <c r="BF29" i="19"/>
  <c r="BC29" i="19"/>
  <c r="AZ29" i="19"/>
  <c r="AW29" i="19"/>
  <c r="AT29" i="19"/>
  <c r="AQ29" i="19"/>
  <c r="AN29" i="19"/>
  <c r="AK29" i="19"/>
  <c r="AH29" i="19"/>
  <c r="AE29" i="19"/>
  <c r="AB29" i="19"/>
  <c r="Y29" i="19"/>
  <c r="V29" i="19"/>
  <c r="S29" i="19"/>
  <c r="EH29" i="19" s="1"/>
  <c r="P29" i="19"/>
  <c r="M29" i="19"/>
  <c r="J29" i="19"/>
  <c r="G29" i="19"/>
  <c r="D29" i="19"/>
  <c r="ED29" i="19" s="1"/>
  <c r="EN28" i="19"/>
  <c r="EL28" i="19"/>
  <c r="EK28" i="19"/>
  <c r="EG28" i="19"/>
  <c r="EI28" i="19" s="1"/>
  <c r="EE28" i="19"/>
  <c r="EC28" i="19"/>
  <c r="EB28" i="19"/>
  <c r="DW28" i="19"/>
  <c r="DT28" i="19"/>
  <c r="DQ28" i="19"/>
  <c r="EM28" i="19" s="1"/>
  <c r="DN28" i="19"/>
  <c r="DK28" i="19"/>
  <c r="DH28" i="19"/>
  <c r="DE28" i="19"/>
  <c r="DB28" i="19"/>
  <c r="CY28" i="19"/>
  <c r="CV28" i="19"/>
  <c r="CS28" i="19"/>
  <c r="CP28" i="19"/>
  <c r="CM28" i="19"/>
  <c r="CJ28" i="19"/>
  <c r="CG28" i="19"/>
  <c r="CD28" i="19"/>
  <c r="CA28" i="19"/>
  <c r="BX28" i="19"/>
  <c r="BU28" i="19"/>
  <c r="BR28" i="19"/>
  <c r="BO28" i="19"/>
  <c r="BL28" i="19"/>
  <c r="BI28" i="19"/>
  <c r="BF28" i="19"/>
  <c r="BC28" i="19"/>
  <c r="AZ28" i="19"/>
  <c r="AW28" i="19"/>
  <c r="AT28" i="19"/>
  <c r="AQ28" i="19"/>
  <c r="AN28" i="19"/>
  <c r="AK28" i="19"/>
  <c r="AH28" i="19"/>
  <c r="AE28" i="19"/>
  <c r="AB28" i="19"/>
  <c r="Y28" i="19"/>
  <c r="EH28" i="19" s="1"/>
  <c r="V28" i="19"/>
  <c r="S28" i="19"/>
  <c r="P28" i="19"/>
  <c r="ED28" i="19" s="1"/>
  <c r="M28" i="19"/>
  <c r="J28" i="19"/>
  <c r="G28" i="19"/>
  <c r="D28" i="19"/>
  <c r="EN27" i="19"/>
  <c r="EL27" i="19"/>
  <c r="EK27" i="19"/>
  <c r="EI27" i="19"/>
  <c r="EG27" i="19"/>
  <c r="EE27" i="19"/>
  <c r="EB27" i="19"/>
  <c r="EC27" i="19" s="1"/>
  <c r="DW27" i="19"/>
  <c r="DT27" i="19"/>
  <c r="DQ27" i="19"/>
  <c r="DN27" i="19"/>
  <c r="DK27" i="19"/>
  <c r="EM27" i="19" s="1"/>
  <c r="DH27" i="19"/>
  <c r="DE27" i="19"/>
  <c r="DB27" i="19"/>
  <c r="CY27" i="19"/>
  <c r="CV27" i="19"/>
  <c r="CS27" i="19"/>
  <c r="CP27" i="19"/>
  <c r="CM27" i="19"/>
  <c r="CJ27" i="19"/>
  <c r="CG27" i="19"/>
  <c r="CD27" i="19"/>
  <c r="CA27" i="19"/>
  <c r="BX27" i="19"/>
  <c r="BU27" i="19"/>
  <c r="BR27" i="19"/>
  <c r="BO27" i="19"/>
  <c r="BL27" i="19"/>
  <c r="BI27" i="19"/>
  <c r="BF27" i="19"/>
  <c r="BC27" i="19"/>
  <c r="AZ27" i="19"/>
  <c r="AW27" i="19"/>
  <c r="AT27" i="19"/>
  <c r="AQ27" i="19"/>
  <c r="AN27" i="19"/>
  <c r="AK27" i="19"/>
  <c r="AH27" i="19"/>
  <c r="AE27" i="19"/>
  <c r="AB27" i="19"/>
  <c r="Y27" i="19"/>
  <c r="V27" i="19"/>
  <c r="S27" i="19"/>
  <c r="EH27" i="19" s="1"/>
  <c r="P27" i="19"/>
  <c r="ED27" i="19" s="1"/>
  <c r="M27" i="19"/>
  <c r="J27" i="19"/>
  <c r="G27" i="19"/>
  <c r="D27" i="19"/>
  <c r="EL26" i="19"/>
  <c r="EK26" i="19"/>
  <c r="EN26" i="19" s="1"/>
  <c r="EI26" i="19"/>
  <c r="EG26" i="19"/>
  <c r="EC26" i="19"/>
  <c r="EB26" i="19"/>
  <c r="EE26" i="19" s="1"/>
  <c r="DW26" i="19"/>
  <c r="DT26" i="19"/>
  <c r="DQ26" i="19"/>
  <c r="DN26" i="19"/>
  <c r="DK26" i="19"/>
  <c r="DH26" i="19"/>
  <c r="DE26" i="19"/>
  <c r="EM26" i="19" s="1"/>
  <c r="DB26" i="19"/>
  <c r="CY26" i="19"/>
  <c r="CV26" i="19"/>
  <c r="CS26" i="19"/>
  <c r="CP26" i="19"/>
  <c r="CM26" i="19"/>
  <c r="CJ26" i="19"/>
  <c r="CG26" i="19"/>
  <c r="CD26" i="19"/>
  <c r="CA26" i="19"/>
  <c r="BX26" i="19"/>
  <c r="BU26" i="19"/>
  <c r="BR26" i="19"/>
  <c r="BO26" i="19"/>
  <c r="BL26" i="19"/>
  <c r="BI26" i="19"/>
  <c r="BF26" i="19"/>
  <c r="BC26" i="19"/>
  <c r="AZ26" i="19"/>
  <c r="AW26" i="19"/>
  <c r="AT26" i="19"/>
  <c r="AQ26" i="19"/>
  <c r="AN26" i="19"/>
  <c r="AK26" i="19"/>
  <c r="AH26" i="19"/>
  <c r="AE26" i="19"/>
  <c r="AB26" i="19"/>
  <c r="Y26" i="19"/>
  <c r="V26" i="19"/>
  <c r="EH26" i="19" s="1"/>
  <c r="S26" i="19"/>
  <c r="P26" i="19"/>
  <c r="M26" i="19"/>
  <c r="J26" i="19"/>
  <c r="G26" i="19"/>
  <c r="D26" i="19"/>
  <c r="ED26" i="19" s="1"/>
  <c r="EL25" i="19"/>
  <c r="EK25" i="19"/>
  <c r="EI25" i="19"/>
  <c r="EG25" i="19"/>
  <c r="DW25" i="19"/>
  <c r="DT25" i="19"/>
  <c r="DQ25" i="19"/>
  <c r="DN25" i="19"/>
  <c r="DK25" i="19"/>
  <c r="DH25" i="19"/>
  <c r="DE25" i="19"/>
  <c r="DB25" i="19"/>
  <c r="CY25" i="19"/>
  <c r="CV25" i="19"/>
  <c r="CS25" i="19"/>
  <c r="CP25" i="19"/>
  <c r="CM25" i="19"/>
  <c r="CJ25" i="19"/>
  <c r="CG25" i="19"/>
  <c r="CD25" i="19"/>
  <c r="CA25" i="19"/>
  <c r="BX25" i="19"/>
  <c r="BU25" i="19"/>
  <c r="BR25" i="19"/>
  <c r="BO25" i="19"/>
  <c r="BL25" i="19"/>
  <c r="BI25" i="19"/>
  <c r="BF25" i="19"/>
  <c r="BC25" i="19"/>
  <c r="AZ25" i="19"/>
  <c r="AW25" i="19"/>
  <c r="AT25" i="19"/>
  <c r="AQ25" i="19"/>
  <c r="AN25" i="19"/>
  <c r="AI25" i="19"/>
  <c r="AK25" i="19" s="1"/>
  <c r="AH25" i="19"/>
  <c r="AE25" i="19"/>
  <c r="AB25" i="19"/>
  <c r="Y25" i="19"/>
  <c r="EH25" i="19" s="1"/>
  <c r="V25" i="19"/>
  <c r="S25" i="19"/>
  <c r="P25" i="19"/>
  <c r="M25" i="19"/>
  <c r="J25" i="19"/>
  <c r="G25" i="19"/>
  <c r="D25" i="19"/>
  <c r="ED25" i="19" s="1"/>
  <c r="EL24" i="19"/>
  <c r="EK24" i="19"/>
  <c r="EI24" i="19"/>
  <c r="EG24" i="19"/>
  <c r="EB24" i="19"/>
  <c r="EC24" i="19" s="1"/>
  <c r="DW24" i="19"/>
  <c r="DT24" i="19"/>
  <c r="EM24" i="19" s="1"/>
  <c r="DQ24" i="19"/>
  <c r="DN24" i="19"/>
  <c r="DK24" i="19"/>
  <c r="DH24" i="19"/>
  <c r="DE24" i="19"/>
  <c r="DB24" i="19"/>
  <c r="CY24" i="19"/>
  <c r="CV24" i="19"/>
  <c r="CS24" i="19"/>
  <c r="CP24" i="19"/>
  <c r="CM24" i="19"/>
  <c r="CJ24" i="19"/>
  <c r="CG24" i="19"/>
  <c r="CD24" i="19"/>
  <c r="CA24" i="19"/>
  <c r="BX24" i="19"/>
  <c r="BU24" i="19"/>
  <c r="BR24" i="19"/>
  <c r="BO24" i="19"/>
  <c r="BL24" i="19"/>
  <c r="BI24" i="19"/>
  <c r="BF24" i="19"/>
  <c r="BC24" i="19"/>
  <c r="AZ24" i="19"/>
  <c r="AW24" i="19"/>
  <c r="AT24" i="19"/>
  <c r="AQ24" i="19"/>
  <c r="AN24" i="19"/>
  <c r="AK24" i="19"/>
  <c r="AH24" i="19"/>
  <c r="AE24" i="19"/>
  <c r="AB24" i="19"/>
  <c r="Y24" i="19"/>
  <c r="EH24" i="19" s="1"/>
  <c r="V24" i="19"/>
  <c r="S24" i="19"/>
  <c r="P24" i="19"/>
  <c r="M24" i="19"/>
  <c r="J24" i="19"/>
  <c r="G24" i="19"/>
  <c r="D24" i="19"/>
  <c r="ED24" i="19" s="1"/>
  <c r="EE24" i="19" s="1"/>
  <c r="EL23" i="19"/>
  <c r="EG23" i="19"/>
  <c r="EI23" i="19" s="1"/>
  <c r="DW23" i="19"/>
  <c r="DT23" i="19"/>
  <c r="DQ23" i="19"/>
  <c r="DN23" i="19"/>
  <c r="EM23" i="19" s="1"/>
  <c r="DK23" i="19"/>
  <c r="DH23" i="19"/>
  <c r="DE23" i="19"/>
  <c r="DB23" i="19"/>
  <c r="CY23" i="19"/>
  <c r="CV23" i="19"/>
  <c r="CS23" i="19"/>
  <c r="CP23" i="19"/>
  <c r="CM23" i="19"/>
  <c r="CJ23" i="19"/>
  <c r="CG23" i="19"/>
  <c r="CD23" i="19"/>
  <c r="CA23" i="19"/>
  <c r="BX23" i="19"/>
  <c r="BU23" i="19"/>
  <c r="BR23" i="19"/>
  <c r="BO23" i="19"/>
  <c r="BL23" i="19"/>
  <c r="BI23" i="19"/>
  <c r="BF23" i="19"/>
  <c r="BC23" i="19"/>
  <c r="AZ23" i="19"/>
  <c r="AW23" i="19"/>
  <c r="AT23" i="19"/>
  <c r="AQ23" i="19"/>
  <c r="AN23" i="19"/>
  <c r="AK23" i="19"/>
  <c r="AI23" i="19"/>
  <c r="EB23" i="19" s="1"/>
  <c r="AH23" i="19"/>
  <c r="AE23" i="19"/>
  <c r="AB23" i="19"/>
  <c r="Y23" i="19"/>
  <c r="V23" i="19"/>
  <c r="S23" i="19"/>
  <c r="EH23" i="19" s="1"/>
  <c r="P23" i="19"/>
  <c r="M23" i="19"/>
  <c r="J23" i="19"/>
  <c r="G23" i="19"/>
  <c r="D23" i="19"/>
  <c r="ED23" i="19" s="1"/>
  <c r="EL22" i="19"/>
  <c r="EG22" i="19"/>
  <c r="EI22" i="19" s="1"/>
  <c r="DW22" i="19"/>
  <c r="DT22" i="19"/>
  <c r="EM22" i="19" s="1"/>
  <c r="DQ22" i="19"/>
  <c r="DN22" i="19"/>
  <c r="DK22" i="19"/>
  <c r="DH22" i="19"/>
  <c r="DE22" i="19"/>
  <c r="DB22" i="19"/>
  <c r="CY22" i="19"/>
  <c r="CV22" i="19"/>
  <c r="CS22" i="19"/>
  <c r="CP22" i="19"/>
  <c r="CM22" i="19"/>
  <c r="CJ22" i="19"/>
  <c r="CG22" i="19"/>
  <c r="CD22" i="19"/>
  <c r="CA22" i="19"/>
  <c r="BX22" i="19"/>
  <c r="BU22" i="19"/>
  <c r="BR22" i="19"/>
  <c r="BO22" i="19"/>
  <c r="BL22" i="19"/>
  <c r="BI22" i="19"/>
  <c r="BF22" i="19"/>
  <c r="BC22" i="19"/>
  <c r="AZ22" i="19"/>
  <c r="AW22" i="19"/>
  <c r="AT22" i="19"/>
  <c r="AQ22" i="19"/>
  <c r="AN22" i="19"/>
  <c r="AI22" i="19"/>
  <c r="AK22" i="19" s="1"/>
  <c r="AH22" i="19"/>
  <c r="AE22" i="19"/>
  <c r="AB22" i="19"/>
  <c r="Y22" i="19"/>
  <c r="V22" i="19"/>
  <c r="S22" i="19"/>
  <c r="P22" i="19"/>
  <c r="M22" i="19"/>
  <c r="J22" i="19"/>
  <c r="G22" i="19"/>
  <c r="D22" i="19"/>
  <c r="EL21" i="19"/>
  <c r="EK21" i="19"/>
  <c r="EG21" i="19"/>
  <c r="EI21" i="19" s="1"/>
  <c r="DW21" i="19"/>
  <c r="DT21" i="19"/>
  <c r="DQ21" i="19"/>
  <c r="DN21" i="19"/>
  <c r="DK21" i="19"/>
  <c r="DH21" i="19"/>
  <c r="EM21" i="19" s="1"/>
  <c r="EN21" i="19" s="1"/>
  <c r="DE21" i="19"/>
  <c r="DB21" i="19"/>
  <c r="CY21" i="19"/>
  <c r="CV21" i="19"/>
  <c r="CS21" i="19"/>
  <c r="CP21" i="19"/>
  <c r="CM21" i="19"/>
  <c r="CJ21" i="19"/>
  <c r="CG21" i="19"/>
  <c r="CD21" i="19"/>
  <c r="CA21" i="19"/>
  <c r="BX21" i="19"/>
  <c r="BU21" i="19"/>
  <c r="BR21" i="19"/>
  <c r="BO21" i="19"/>
  <c r="BL21" i="19"/>
  <c r="BI21" i="19"/>
  <c r="BF21" i="19"/>
  <c r="BC21" i="19"/>
  <c r="AZ21" i="19"/>
  <c r="AW21" i="19"/>
  <c r="AT21" i="19"/>
  <c r="AQ21" i="19"/>
  <c r="AN21" i="19"/>
  <c r="AK21" i="19"/>
  <c r="AI21" i="19"/>
  <c r="EB21" i="19" s="1"/>
  <c r="AH21" i="19"/>
  <c r="AE21" i="19"/>
  <c r="AB21" i="19"/>
  <c r="Y21" i="19"/>
  <c r="V21" i="19"/>
  <c r="S21" i="19"/>
  <c r="ED21" i="19" s="1"/>
  <c r="P21" i="19"/>
  <c r="M21" i="19"/>
  <c r="J21" i="19"/>
  <c r="G21" i="19"/>
  <c r="D21" i="19"/>
  <c r="EM20" i="19"/>
  <c r="EL20" i="19"/>
  <c r="EI20" i="19"/>
  <c r="EG20" i="19"/>
  <c r="DW20" i="19"/>
  <c r="DT20" i="19"/>
  <c r="DQ20" i="19"/>
  <c r="DN20" i="19"/>
  <c r="DK20" i="19"/>
  <c r="DH20" i="19"/>
  <c r="DE20" i="19"/>
  <c r="DB20" i="19"/>
  <c r="CY20" i="19"/>
  <c r="CV20" i="19"/>
  <c r="CS20" i="19"/>
  <c r="CP20" i="19"/>
  <c r="CM20" i="19"/>
  <c r="CJ20" i="19"/>
  <c r="CG20" i="19"/>
  <c r="CD20" i="19"/>
  <c r="CA20" i="19"/>
  <c r="BX20" i="19"/>
  <c r="BU20" i="19"/>
  <c r="BR20" i="19"/>
  <c r="BO20" i="19"/>
  <c r="BL20" i="19"/>
  <c r="BI20" i="19"/>
  <c r="BF20" i="19"/>
  <c r="BC20" i="19"/>
  <c r="AZ20" i="19"/>
  <c r="AW20" i="19"/>
  <c r="AT20" i="19"/>
  <c r="AQ20" i="19"/>
  <c r="AN20" i="19"/>
  <c r="AK20" i="19"/>
  <c r="AI20" i="19"/>
  <c r="EB20" i="19" s="1"/>
  <c r="AH20" i="19"/>
  <c r="AE20" i="19"/>
  <c r="AB20" i="19"/>
  <c r="Y20" i="19"/>
  <c r="V20" i="19"/>
  <c r="S20" i="19"/>
  <c r="EH20" i="19" s="1"/>
  <c r="P20" i="19"/>
  <c r="P42" i="19" s="1"/>
  <c r="M20" i="19"/>
  <c r="J20" i="19"/>
  <c r="G20" i="19"/>
  <c r="ED20" i="19" s="1"/>
  <c r="D20" i="19"/>
  <c r="EL19" i="19"/>
  <c r="EI19" i="19"/>
  <c r="EG19" i="19"/>
  <c r="DW19" i="19"/>
  <c r="DT19" i="19"/>
  <c r="DQ19" i="19"/>
  <c r="DN19" i="19"/>
  <c r="DK19" i="19"/>
  <c r="DH19" i="19"/>
  <c r="DE19" i="19"/>
  <c r="DB19" i="19"/>
  <c r="CY19" i="19"/>
  <c r="CV19" i="19"/>
  <c r="CS19" i="19"/>
  <c r="CP19" i="19"/>
  <c r="CM19" i="19"/>
  <c r="CJ19" i="19"/>
  <c r="CG19" i="19"/>
  <c r="CD19" i="19"/>
  <c r="CA19" i="19"/>
  <c r="BX19" i="19"/>
  <c r="BU19" i="19"/>
  <c r="BR19" i="19"/>
  <c r="BO19" i="19"/>
  <c r="BL19" i="19"/>
  <c r="BI19" i="19"/>
  <c r="BF19" i="19"/>
  <c r="BC19" i="19"/>
  <c r="AZ19" i="19"/>
  <c r="AW19" i="19"/>
  <c r="AT19" i="19"/>
  <c r="AQ19" i="19"/>
  <c r="AN19" i="19"/>
  <c r="AI19" i="19"/>
  <c r="EK19" i="19" s="1"/>
  <c r="AH19" i="19"/>
  <c r="AE19" i="19"/>
  <c r="AB19" i="19"/>
  <c r="EH19" i="19" s="1"/>
  <c r="Y19" i="19"/>
  <c r="V19" i="19"/>
  <c r="S19" i="19"/>
  <c r="P19" i="19"/>
  <c r="M19" i="19"/>
  <c r="J19" i="19"/>
  <c r="G19" i="19"/>
  <c r="D19" i="19"/>
  <c r="EL18" i="19"/>
  <c r="EK18" i="19"/>
  <c r="EI18" i="19"/>
  <c r="EG18" i="19"/>
  <c r="DW18" i="19"/>
  <c r="DT18" i="19"/>
  <c r="EM18" i="19" s="1"/>
  <c r="DQ18" i="19"/>
  <c r="DN18" i="19"/>
  <c r="DK18" i="19"/>
  <c r="DH18" i="19"/>
  <c r="DE18" i="19"/>
  <c r="DB18" i="19"/>
  <c r="CY18" i="19"/>
  <c r="CV18" i="19"/>
  <c r="CS18" i="19"/>
  <c r="CP18" i="19"/>
  <c r="CM18" i="19"/>
  <c r="CJ18" i="19"/>
  <c r="CG18" i="19"/>
  <c r="CD18" i="19"/>
  <c r="CA18" i="19"/>
  <c r="BX18" i="19"/>
  <c r="BU18" i="19"/>
  <c r="BR18" i="19"/>
  <c r="BO18" i="19"/>
  <c r="BL18" i="19"/>
  <c r="BI18" i="19"/>
  <c r="BF18" i="19"/>
  <c r="BC18" i="19"/>
  <c r="AZ18" i="19"/>
  <c r="AW18" i="19"/>
  <c r="AT18" i="19"/>
  <c r="AQ18" i="19"/>
  <c r="AN18" i="19"/>
  <c r="AK18" i="19"/>
  <c r="AI18" i="19"/>
  <c r="EB18" i="19" s="1"/>
  <c r="AH18" i="19"/>
  <c r="AE18" i="19"/>
  <c r="AB18" i="19"/>
  <c r="Y18" i="19"/>
  <c r="V18" i="19"/>
  <c r="S18" i="19"/>
  <c r="EH18" i="19" s="1"/>
  <c r="P18" i="19"/>
  <c r="M18" i="19"/>
  <c r="J18" i="19"/>
  <c r="G18" i="19"/>
  <c r="D18" i="19"/>
  <c r="ED18" i="19" s="1"/>
  <c r="EL17" i="19"/>
  <c r="EI17" i="19"/>
  <c r="EG17" i="19"/>
  <c r="DW17" i="19"/>
  <c r="DT17" i="19"/>
  <c r="EM17" i="19" s="1"/>
  <c r="DQ17" i="19"/>
  <c r="DN17" i="19"/>
  <c r="DK17" i="19"/>
  <c r="DH17" i="19"/>
  <c r="DE17" i="19"/>
  <c r="DB17" i="19"/>
  <c r="CY17" i="19"/>
  <c r="CV17" i="19"/>
  <c r="CS17" i="19"/>
  <c r="CP17" i="19"/>
  <c r="CM17" i="19"/>
  <c r="CJ17" i="19"/>
  <c r="CG17" i="19"/>
  <c r="CD17" i="19"/>
  <c r="CA17" i="19"/>
  <c r="BX17" i="19"/>
  <c r="BU17" i="19"/>
  <c r="BR17" i="19"/>
  <c r="BO17" i="19"/>
  <c r="BL17" i="19"/>
  <c r="BI17" i="19"/>
  <c r="BF17" i="19"/>
  <c r="BC17" i="19"/>
  <c r="AZ17" i="19"/>
  <c r="AW17" i="19"/>
  <c r="AT17" i="19"/>
  <c r="AQ17" i="19"/>
  <c r="AN17" i="19"/>
  <c r="AI17" i="19"/>
  <c r="AK17" i="19" s="1"/>
  <c r="AH17" i="19"/>
  <c r="AE17" i="19"/>
  <c r="AB17" i="19"/>
  <c r="EH17" i="19" s="1"/>
  <c r="Y17" i="19"/>
  <c r="V17" i="19"/>
  <c r="S17" i="19"/>
  <c r="P17" i="19"/>
  <c r="M17" i="19"/>
  <c r="J17" i="19"/>
  <c r="G17" i="19"/>
  <c r="D17" i="19"/>
  <c r="ED17" i="19" s="1"/>
  <c r="EL16" i="19"/>
  <c r="EG16" i="19"/>
  <c r="EI16" i="19" s="1"/>
  <c r="DW16" i="19"/>
  <c r="DT16" i="19"/>
  <c r="DQ16" i="19"/>
  <c r="DN16" i="19"/>
  <c r="DK16" i="19"/>
  <c r="DH16" i="19"/>
  <c r="DE16" i="19"/>
  <c r="DB16" i="19"/>
  <c r="CY16" i="19"/>
  <c r="CV16" i="19"/>
  <c r="CS16" i="19"/>
  <c r="CP16" i="19"/>
  <c r="CM16" i="19"/>
  <c r="CJ16" i="19"/>
  <c r="CG16" i="19"/>
  <c r="CD16" i="19"/>
  <c r="CA16" i="19"/>
  <c r="BX16" i="19"/>
  <c r="BU16" i="19"/>
  <c r="BR16" i="19"/>
  <c r="BO16" i="19"/>
  <c r="BL16" i="19"/>
  <c r="BI16" i="19"/>
  <c r="BF16" i="19"/>
  <c r="BC16" i="19"/>
  <c r="AZ16" i="19"/>
  <c r="AW16" i="19"/>
  <c r="AT16" i="19"/>
  <c r="AQ16" i="19"/>
  <c r="AN16" i="19"/>
  <c r="AL16" i="19"/>
  <c r="EB16" i="19" s="1"/>
  <c r="AI16" i="19"/>
  <c r="AK16" i="19" s="1"/>
  <c r="AH16" i="19"/>
  <c r="AE16" i="19"/>
  <c r="EH16" i="19" s="1"/>
  <c r="AB16" i="19"/>
  <c r="Y16" i="19"/>
  <c r="V16" i="19"/>
  <c r="S16" i="19"/>
  <c r="P16" i="19"/>
  <c r="M16" i="19"/>
  <c r="J16" i="19"/>
  <c r="G16" i="19"/>
  <c r="D16" i="19"/>
  <c r="EL15" i="19"/>
  <c r="EG15" i="19"/>
  <c r="EI15" i="19" s="1"/>
  <c r="DW15" i="19"/>
  <c r="DT15" i="19"/>
  <c r="DQ15" i="19"/>
  <c r="DN15" i="19"/>
  <c r="DK15" i="19"/>
  <c r="DH15" i="19"/>
  <c r="DE15" i="19"/>
  <c r="DB15" i="19"/>
  <c r="CY15" i="19"/>
  <c r="CV15" i="19"/>
  <c r="CS15" i="19"/>
  <c r="CP15" i="19"/>
  <c r="CM15" i="19"/>
  <c r="CJ15" i="19"/>
  <c r="CG15" i="19"/>
  <c r="CD15" i="19"/>
  <c r="CA15" i="19"/>
  <c r="BX15" i="19"/>
  <c r="BU15" i="19"/>
  <c r="BR15" i="19"/>
  <c r="BO15" i="19"/>
  <c r="BL15" i="19"/>
  <c r="BI15" i="19"/>
  <c r="BF15" i="19"/>
  <c r="BC15" i="19"/>
  <c r="AZ15" i="19"/>
  <c r="AW15" i="19"/>
  <c r="AT15" i="19"/>
  <c r="AQ15" i="19"/>
  <c r="AN15" i="19"/>
  <c r="AL15" i="19"/>
  <c r="AI15" i="19"/>
  <c r="EB15" i="19" s="1"/>
  <c r="AH15" i="19"/>
  <c r="AE15" i="19"/>
  <c r="EH15" i="19" s="1"/>
  <c r="AB15" i="19"/>
  <c r="Y15" i="19"/>
  <c r="V15" i="19"/>
  <c r="S15" i="19"/>
  <c r="P15" i="19"/>
  <c r="M15" i="19"/>
  <c r="J15" i="19"/>
  <c r="G15" i="19"/>
  <c r="D15" i="19"/>
  <c r="EL14" i="19"/>
  <c r="EG14" i="19"/>
  <c r="EI14" i="19" s="1"/>
  <c r="DW14" i="19"/>
  <c r="DT14" i="19"/>
  <c r="DQ14" i="19"/>
  <c r="DN14" i="19"/>
  <c r="DK14" i="19"/>
  <c r="DH14" i="19"/>
  <c r="DE14" i="19"/>
  <c r="DB14" i="19"/>
  <c r="CY14" i="19"/>
  <c r="CV14" i="19"/>
  <c r="CS14" i="19"/>
  <c r="CP14" i="19"/>
  <c r="CM14" i="19"/>
  <c r="CJ14" i="19"/>
  <c r="CG14" i="19"/>
  <c r="CD14" i="19"/>
  <c r="CA14" i="19"/>
  <c r="BX14" i="19"/>
  <c r="BU14" i="19"/>
  <c r="BR14" i="19"/>
  <c r="BO14" i="19"/>
  <c r="BL14" i="19"/>
  <c r="BI14" i="19"/>
  <c r="BF14" i="19"/>
  <c r="BC14" i="19"/>
  <c r="AZ14" i="19"/>
  <c r="AW14" i="19"/>
  <c r="AT14" i="19"/>
  <c r="AQ14" i="19"/>
  <c r="AN14" i="19"/>
  <c r="AL14" i="19"/>
  <c r="AI14" i="19"/>
  <c r="EB14" i="19" s="1"/>
  <c r="AH14" i="19"/>
  <c r="AE14" i="19"/>
  <c r="EH14" i="19" s="1"/>
  <c r="AB14" i="19"/>
  <c r="Y14" i="19"/>
  <c r="V14" i="19"/>
  <c r="S14" i="19"/>
  <c r="P14" i="19"/>
  <c r="M14" i="19"/>
  <c r="J14" i="19"/>
  <c r="G14" i="19"/>
  <c r="D14" i="19"/>
  <c r="EL13" i="19"/>
  <c r="EG13" i="19"/>
  <c r="EI13" i="19" s="1"/>
  <c r="DW13" i="19"/>
  <c r="DT13" i="19"/>
  <c r="DQ13" i="19"/>
  <c r="DN13" i="19"/>
  <c r="DK13" i="19"/>
  <c r="DH13" i="19"/>
  <c r="DE13" i="19"/>
  <c r="DB13" i="19"/>
  <c r="CY13" i="19"/>
  <c r="CV13" i="19"/>
  <c r="CS13" i="19"/>
  <c r="CP13" i="19"/>
  <c r="CM13" i="19"/>
  <c r="CJ13" i="19"/>
  <c r="CG13" i="19"/>
  <c r="CD13" i="19"/>
  <c r="CA13" i="19"/>
  <c r="BX13" i="19"/>
  <c r="BU13" i="19"/>
  <c r="BR13" i="19"/>
  <c r="BO13" i="19"/>
  <c r="BL13" i="19"/>
  <c r="BI13" i="19"/>
  <c r="BF13" i="19"/>
  <c r="BC13" i="19"/>
  <c r="AZ13" i="19"/>
  <c r="AW13" i="19"/>
  <c r="AT13" i="19"/>
  <c r="AQ13" i="19"/>
  <c r="AN13" i="19"/>
  <c r="AL13" i="19"/>
  <c r="AI13" i="19"/>
  <c r="EB13" i="19" s="1"/>
  <c r="AH13" i="19"/>
  <c r="AE13" i="19"/>
  <c r="EH13" i="19" s="1"/>
  <c r="AB13" i="19"/>
  <c r="Y13" i="19"/>
  <c r="V13" i="19"/>
  <c r="S13" i="19"/>
  <c r="P13" i="19"/>
  <c r="M13" i="19"/>
  <c r="J13" i="19"/>
  <c r="G13" i="19"/>
  <c r="D13" i="19"/>
  <c r="EL12" i="19"/>
  <c r="EG12" i="19"/>
  <c r="EI12" i="19" s="1"/>
  <c r="DW12" i="19"/>
  <c r="DT12" i="19"/>
  <c r="EM12" i="19" s="1"/>
  <c r="DQ12" i="19"/>
  <c r="DN12" i="19"/>
  <c r="DK12" i="19"/>
  <c r="DH12" i="19"/>
  <c r="DE12" i="19"/>
  <c r="DB12" i="19"/>
  <c r="CY12" i="19"/>
  <c r="CV12" i="19"/>
  <c r="CS12" i="19"/>
  <c r="CP12" i="19"/>
  <c r="CM12" i="19"/>
  <c r="CJ12" i="19"/>
  <c r="CG12" i="19"/>
  <c r="CD12" i="19"/>
  <c r="CA12" i="19"/>
  <c r="BX12" i="19"/>
  <c r="BU12" i="19"/>
  <c r="BR12" i="19"/>
  <c r="BO12" i="19"/>
  <c r="BL12" i="19"/>
  <c r="BI12" i="19"/>
  <c r="BF12" i="19"/>
  <c r="BC12" i="19"/>
  <c r="AZ12" i="19"/>
  <c r="AW12" i="19"/>
  <c r="AT12" i="19"/>
  <c r="AQ12" i="19"/>
  <c r="AN12" i="19"/>
  <c r="AL12" i="19"/>
  <c r="AI12" i="19"/>
  <c r="AK12" i="19" s="1"/>
  <c r="AH12" i="19"/>
  <c r="AE12" i="19"/>
  <c r="EH12" i="19" s="1"/>
  <c r="AB12" i="19"/>
  <c r="Y12" i="19"/>
  <c r="V12" i="19"/>
  <c r="S12" i="19"/>
  <c r="P12" i="19"/>
  <c r="M12" i="19"/>
  <c r="J12" i="19"/>
  <c r="G12" i="19"/>
  <c r="D12" i="19"/>
  <c r="ED12" i="19" s="1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EL11" i="19"/>
  <c r="EG11" i="19"/>
  <c r="EI3" i="19" s="1"/>
  <c r="EI4" i="19" s="1"/>
  <c r="DW11" i="19"/>
  <c r="DW42" i="19" s="1"/>
  <c r="DT11" i="19"/>
  <c r="DT42" i="19" s="1"/>
  <c r="DQ11" i="19"/>
  <c r="DQ42" i="19" s="1"/>
  <c r="DN11" i="19"/>
  <c r="DN42" i="19" s="1"/>
  <c r="DK11" i="19"/>
  <c r="DK42" i="19" s="1"/>
  <c r="DH11" i="19"/>
  <c r="DH42" i="19" s="1"/>
  <c r="DE11" i="19"/>
  <c r="DE42" i="19" s="1"/>
  <c r="DB11" i="19"/>
  <c r="DB42" i="19" s="1"/>
  <c r="CY11" i="19"/>
  <c r="CY42" i="19" s="1"/>
  <c r="CV11" i="19"/>
  <c r="CV42" i="19" s="1"/>
  <c r="CS11" i="19"/>
  <c r="CS42" i="19" s="1"/>
  <c r="CP11" i="19"/>
  <c r="CP42" i="19" s="1"/>
  <c r="CM11" i="19"/>
  <c r="CM42" i="19" s="1"/>
  <c r="CJ11" i="19"/>
  <c r="CJ42" i="19" s="1"/>
  <c r="CG11" i="19"/>
  <c r="CG42" i="19" s="1"/>
  <c r="CD11" i="19"/>
  <c r="CD42" i="19" s="1"/>
  <c r="CA11" i="19"/>
  <c r="CA42" i="19" s="1"/>
  <c r="BX11" i="19"/>
  <c r="BX42" i="19" s="1"/>
  <c r="BU11" i="19"/>
  <c r="BU42" i="19" s="1"/>
  <c r="BR11" i="19"/>
  <c r="BR42" i="19" s="1"/>
  <c r="BO11" i="19"/>
  <c r="BO42" i="19" s="1"/>
  <c r="BL11" i="19"/>
  <c r="BL42" i="19" s="1"/>
  <c r="BI11" i="19"/>
  <c r="BI42" i="19" s="1"/>
  <c r="BF11" i="19"/>
  <c r="BF42" i="19" s="1"/>
  <c r="BC11" i="19"/>
  <c r="BC42" i="19" s="1"/>
  <c r="AZ11" i="19"/>
  <c r="AZ42" i="19" s="1"/>
  <c r="AW11" i="19"/>
  <c r="AW42" i="19" s="1"/>
  <c r="AT11" i="19"/>
  <c r="AT42" i="19" s="1"/>
  <c r="AQ11" i="19"/>
  <c r="AQ42" i="19" s="1"/>
  <c r="AN11" i="19"/>
  <c r="AN42" i="19" s="1"/>
  <c r="AL11" i="19"/>
  <c r="AI11" i="19"/>
  <c r="EB11" i="19" s="1"/>
  <c r="AH11" i="19"/>
  <c r="AH42" i="19" s="1"/>
  <c r="AE11" i="19"/>
  <c r="AE42" i="19" s="1"/>
  <c r="AB11" i="19"/>
  <c r="AB42" i="19" s="1"/>
  <c r="Y11" i="19"/>
  <c r="Y42" i="19" s="1"/>
  <c r="V11" i="19"/>
  <c r="V42" i="19" s="1"/>
  <c r="S11" i="19"/>
  <c r="S42" i="19" s="1"/>
  <c r="P11" i="19"/>
  <c r="M11" i="19"/>
  <c r="M42" i="19" s="1"/>
  <c r="J11" i="19"/>
  <c r="J42" i="19" s="1"/>
  <c r="G11" i="19"/>
  <c r="G42" i="19" s="1"/>
  <c r="D11" i="19"/>
  <c r="EP2" i="19"/>
  <c r="EN2" i="19"/>
  <c r="EI2" i="19"/>
  <c r="EE2" i="19"/>
  <c r="EQ2" i="19" s="1"/>
  <c r="G4" i="19" s="1"/>
  <c r="EM14" i="19" l="1"/>
  <c r="EN18" i="19"/>
  <c r="EE16" i="19"/>
  <c r="ED16" i="19"/>
  <c r="EC21" i="19"/>
  <c r="EE21" i="19"/>
  <c r="ED22" i="19"/>
  <c r="EC14" i="19"/>
  <c r="EM16" i="19"/>
  <c r="EC20" i="19"/>
  <c r="EE20" i="19"/>
  <c r="EN24" i="19"/>
  <c r="EM13" i="19"/>
  <c r="EE23" i="19"/>
  <c r="EM25" i="19"/>
  <c r="EN25" i="19" s="1"/>
  <c r="EE18" i="19"/>
  <c r="EC18" i="19"/>
  <c r="EH11" i="19"/>
  <c r="EB19" i="19"/>
  <c r="EI11" i="19"/>
  <c r="EK17" i="19"/>
  <c r="EN17" i="19" s="1"/>
  <c r="AK19" i="19"/>
  <c r="ED19" i="19" s="1"/>
  <c r="EB25" i="19"/>
  <c r="EK11" i="19"/>
  <c r="EC11" i="19" s="1"/>
  <c r="EK12" i="19"/>
  <c r="EN12" i="19" s="1"/>
  <c r="EK13" i="19"/>
  <c r="EK14" i="19"/>
  <c r="EK15" i="19"/>
  <c r="EK16" i="19"/>
  <c r="EN16" i="19" s="1"/>
  <c r="EB17" i="19"/>
  <c r="EE3" i="19" s="1"/>
  <c r="EH22" i="19"/>
  <c r="EI5" i="19"/>
  <c r="AK11" i="19"/>
  <c r="ED11" i="19" s="1"/>
  <c r="EB12" i="19"/>
  <c r="AK13" i="19"/>
  <c r="ED13" i="19" s="1"/>
  <c r="EE13" i="19" s="1"/>
  <c r="AK14" i="19"/>
  <c r="ED14" i="19" s="1"/>
  <c r="EE14" i="19" s="1"/>
  <c r="AK15" i="19"/>
  <c r="ED15" i="19" s="1"/>
  <c r="EE15" i="19" s="1"/>
  <c r="EH21" i="19"/>
  <c r="EK23" i="19"/>
  <c r="EN23" i="19" s="1"/>
  <c r="EK22" i="19"/>
  <c r="EN22" i="19" s="1"/>
  <c r="D42" i="19"/>
  <c r="EB22" i="19"/>
  <c r="EK20" i="19"/>
  <c r="EN20" i="19" s="1"/>
  <c r="EE4" i="19" l="1"/>
  <c r="G6" i="19" s="1"/>
  <c r="G5" i="19"/>
  <c r="ED42" i="19"/>
  <c r="EE11" i="19"/>
  <c r="EM15" i="19"/>
  <c r="EN15" i="19" s="1"/>
  <c r="EM19" i="19"/>
  <c r="EN19" i="19" s="1"/>
  <c r="EC15" i="19"/>
  <c r="EC22" i="19"/>
  <c r="EE22" i="19"/>
  <c r="EN14" i="19"/>
  <c r="EE19" i="19"/>
  <c r="EC19" i="19"/>
  <c r="EE12" i="19"/>
  <c r="EC12" i="19"/>
  <c r="EN13" i="19"/>
  <c r="EH42" i="19"/>
  <c r="EC23" i="19"/>
  <c r="EC16" i="19"/>
  <c r="AK42" i="19"/>
  <c r="EM11" i="19"/>
  <c r="EM42" i="19" s="1"/>
  <c r="EN5" i="19"/>
  <c r="EN3" i="19"/>
  <c r="EE25" i="19"/>
  <c r="EC25" i="19"/>
  <c r="EC13" i="19"/>
  <c r="EE17" i="19"/>
  <c r="EC17" i="19"/>
  <c r="EE5" i="19"/>
  <c r="G7" i="19" s="1"/>
  <c r="EN4" i="19" l="1"/>
  <c r="EN11" i="19"/>
  <c r="I29" i="11" l="1"/>
  <c r="H29" i="11"/>
  <c r="C29" i="11"/>
  <c r="F28" i="11"/>
  <c r="D28" i="11"/>
  <c r="F27" i="11"/>
  <c r="E27" i="11"/>
  <c r="D27" i="11"/>
  <c r="J26" i="11"/>
  <c r="L26" i="11" s="1"/>
  <c r="F26" i="11"/>
  <c r="E26" i="11"/>
  <c r="D26" i="11"/>
  <c r="J25" i="11"/>
  <c r="L25" i="11" s="1"/>
  <c r="F25" i="11"/>
  <c r="E25" i="11"/>
  <c r="D25" i="11"/>
  <c r="L24" i="11"/>
  <c r="E24" i="11"/>
  <c r="F24" i="11" s="1"/>
  <c r="D24" i="11"/>
  <c r="E23" i="11"/>
  <c r="F23" i="11" s="1"/>
  <c r="D23" i="11"/>
  <c r="L22" i="11"/>
  <c r="J22" i="11"/>
  <c r="J23" i="11" s="1"/>
  <c r="L23" i="11" s="1"/>
  <c r="E22" i="11"/>
  <c r="F22" i="11" s="1"/>
  <c r="F29" i="11" s="1"/>
  <c r="F30" i="11" s="1"/>
  <c r="D22" i="11"/>
  <c r="F21" i="11"/>
  <c r="E21" i="11"/>
  <c r="E29" i="11" s="1"/>
  <c r="D21" i="11"/>
  <c r="D29" i="11" s="1"/>
  <c r="D30" i="11" s="1"/>
  <c r="D16" i="11"/>
  <c r="C16" i="11"/>
  <c r="D17" i="11" s="1"/>
  <c r="F15" i="11"/>
  <c r="F14" i="11"/>
  <c r="E14" i="11"/>
  <c r="F13" i="11"/>
  <c r="E13" i="11"/>
  <c r="E12" i="11"/>
  <c r="F12" i="11" s="1"/>
  <c r="E11" i="11"/>
  <c r="F11" i="11" s="1"/>
  <c r="F10" i="11"/>
  <c r="E10" i="11"/>
  <c r="F9" i="11"/>
  <c r="E9" i="11"/>
  <c r="J8" i="11"/>
  <c r="E8" i="11"/>
  <c r="E16" i="11" s="1"/>
  <c r="I30" i="11" l="1"/>
  <c r="J4" i="11" s="1"/>
  <c r="F8" i="11"/>
  <c r="F16" i="11" s="1"/>
  <c r="F3" i="11" s="1"/>
  <c r="J27" i="11"/>
  <c r="J9" i="11" l="1"/>
  <c r="J11" i="11" s="1"/>
  <c r="J10" i="11"/>
  <c r="L27" i="11"/>
  <c r="J28" i="11"/>
  <c r="L28" i="11" s="1"/>
  <c r="L29" i="11" l="1"/>
  <c r="L30" i="11" l="1"/>
  <c r="J12" i="11" s="1"/>
  <c r="J16" i="11" s="1"/>
  <c r="C24" i="2" s="1"/>
  <c r="M20" i="4" l="1"/>
  <c r="L20" i="4"/>
  <c r="L26" i="4" s="1"/>
  <c r="K20" i="4"/>
  <c r="J20" i="4"/>
  <c r="I20" i="4"/>
  <c r="C10" i="9" l="1"/>
  <c r="C14" i="2" s="1"/>
  <c r="I26" i="4"/>
  <c r="M26" i="4"/>
  <c r="K26" i="4"/>
  <c r="J26" i="4"/>
  <c r="G25" i="4"/>
  <c r="F25" i="4"/>
  <c r="E25" i="4"/>
  <c r="D25" i="4"/>
  <c r="C25" i="4"/>
  <c r="B25" i="4"/>
  <c r="C10" i="2" l="1"/>
  <c r="H20" i="4"/>
  <c r="H26" i="4" s="1"/>
  <c r="G20" i="4"/>
  <c r="G26" i="4" s="1"/>
  <c r="F20" i="4"/>
  <c r="F26" i="4" s="1"/>
  <c r="E20" i="4"/>
  <c r="E26" i="4" s="1"/>
  <c r="D20" i="4"/>
  <c r="D26" i="4" s="1"/>
  <c r="C20" i="4"/>
  <c r="C26" i="4" s="1"/>
  <c r="B20" i="4"/>
  <c r="C9" i="2" s="1"/>
  <c r="B26" i="4" l="1"/>
  <c r="B29" i="4" s="1"/>
  <c r="B31" i="4" s="1"/>
  <c r="C29" i="4" l="1"/>
  <c r="C31" i="4" l="1"/>
  <c r="C11" i="2"/>
  <c r="D29" i="4" l="1"/>
  <c r="D31" i="4" l="1"/>
  <c r="E29" i="4" s="1"/>
  <c r="E31" i="4" s="1"/>
  <c r="F29" i="4" l="1"/>
  <c r="F31" i="4" l="1"/>
  <c r="G29" i="4" s="1"/>
  <c r="G31" i="4" l="1"/>
  <c r="H29" i="4" l="1"/>
  <c r="H31" i="4" l="1"/>
  <c r="I29" i="4" s="1"/>
  <c r="I31" i="4" s="1"/>
  <c r="J29" i="4" s="1"/>
  <c r="J31" i="4" s="1"/>
  <c r="K29" i="4" s="1"/>
  <c r="K31" i="4" s="1"/>
  <c r="L29" i="4" s="1"/>
  <c r="L31" i="4" s="1"/>
  <c r="M29" i="4" s="1"/>
  <c r="M31" i="4" l="1"/>
  <c r="C12" i="2"/>
  <c r="C13" i="2" s="1"/>
  <c r="C17" i="2" l="1"/>
  <c r="C25" i="2" s="1"/>
  <c r="C19" i="2" s="1"/>
  <c r="C20" i="2" l="1"/>
  <c r="C22" i="2" s="1"/>
  <c r="K21" i="11"/>
  <c r="K22" i="11" l="1"/>
  <c r="M21" i="11"/>
  <c r="N21" i="11" l="1"/>
  <c r="K23" i="11"/>
  <c r="M22" i="11"/>
  <c r="N22" i="11" s="1"/>
  <c r="K24" i="11" l="1"/>
  <c r="M23" i="11"/>
  <c r="N23" i="11" s="1"/>
  <c r="K25" i="11" l="1"/>
  <c r="M24" i="11"/>
  <c r="N24" i="11" l="1"/>
  <c r="K26" i="11"/>
  <c r="M25" i="11"/>
  <c r="N25" i="11" s="1"/>
  <c r="K27" i="11" l="1"/>
  <c r="M26" i="11"/>
  <c r="N26" i="11" s="1"/>
  <c r="M27" i="11" l="1"/>
  <c r="K28" i="11"/>
  <c r="M28" i="11" s="1"/>
  <c r="N28" i="11" s="1"/>
  <c r="N27" i="11" l="1"/>
  <c r="N29" i="11" s="1"/>
  <c r="N30" i="11" s="1"/>
  <c r="J3" i="11" s="1"/>
  <c r="J6" i="11" s="1"/>
  <c r="M29" i="11"/>
  <c r="M30" i="11" l="1"/>
  <c r="J13" i="11" s="1"/>
  <c r="J17" i="11" s="1"/>
  <c r="J5" i="11"/>
</calcChain>
</file>

<file path=xl/sharedStrings.xml><?xml version="1.0" encoding="utf-8"?>
<sst xmlns="http://schemas.openxmlformats.org/spreadsheetml/2006/main" count="3268" uniqueCount="215">
  <si>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</si>
  <si>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</si>
  <si>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</si>
  <si>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</si>
  <si>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</si>
  <si>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</si>
  <si>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</si>
  <si>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</si>
  <si>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</si>
  <si>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</si>
  <si>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</si>
  <si>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</si>
  <si>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</si>
  <si>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</si>
  <si>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</si>
  <si>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Rider RESRAM</t>
  </si>
  <si>
    <t>Actual RES Costs Incurred in Accumulation Period (Actual RES Costs)</t>
  </si>
  <si>
    <t>RES Expenses Recovered in Accumulation Period (RES Costs Recovered)</t>
  </si>
  <si>
    <t>RES Over/Under Recovery</t>
  </si>
  <si>
    <t>Interest</t>
  </si>
  <si>
    <t>(Over)/Under Recovered Costs</t>
  </si>
  <si>
    <t>RES Revenue Requirement</t>
  </si>
  <si>
    <t>True-Up</t>
  </si>
  <si>
    <t>Ordered Adjustment</t>
  </si>
  <si>
    <t>Required Offset Amount</t>
  </si>
  <si>
    <t>RESRAM Rate</t>
  </si>
  <si>
    <t>Final RESRAM Rate</t>
  </si>
  <si>
    <t>Actual RES Costs (ARC)</t>
  </si>
  <si>
    <t>RESRAM Base Amount (RBA)</t>
  </si>
  <si>
    <t>Monthly Base Amount (MBA)</t>
  </si>
  <si>
    <t>RCR (RES Costs Recovered)</t>
  </si>
  <si>
    <t>REC Costs</t>
  </si>
  <si>
    <t>Solar Rebates</t>
  </si>
  <si>
    <t>Row_ID</t>
  </si>
  <si>
    <t>Dt</t>
  </si>
  <si>
    <t>Year</t>
  </si>
  <si>
    <t>Month</t>
  </si>
  <si>
    <t>RES</t>
  </si>
  <si>
    <t>COMSGS</t>
  </si>
  <si>
    <t>COMLGS</t>
  </si>
  <si>
    <t>COMSPS</t>
  </si>
  <si>
    <t>COMLPS</t>
  </si>
  <si>
    <t>INDSGS</t>
  </si>
  <si>
    <t>INDLGS</t>
  </si>
  <si>
    <t>INDSPS</t>
  </si>
  <si>
    <t>INDLPS</t>
  </si>
  <si>
    <t>LIGHTING</t>
  </si>
  <si>
    <t>TOTAL Retail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</si>
  <si>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</si>
  <si>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</si>
  <si>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</si>
  <si>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</si>
  <si>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</si>
  <si>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</si>
  <si>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</si>
  <si>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</si>
  <si>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202110</t>
  </si>
  <si>
    <t>202111</t>
  </si>
  <si>
    <t>202112</t>
  </si>
  <si>
    <t>20221</t>
  </si>
  <si>
    <t>Baseline Calculation (DOES NOT CHANGE)</t>
  </si>
  <si>
    <t>Current Average Rate vs. Average Base Rate and Rider Adjustment Cap Calculations</t>
  </si>
  <si>
    <t xml:space="preserve">Smart Energy Plan Baseline </t>
  </si>
  <si>
    <t>Average Overall Rate</t>
  </si>
  <si>
    <t>Effective Date</t>
  </si>
  <si>
    <t>Average Base Rate</t>
  </si>
  <si>
    <t>Average Rider Rate</t>
  </si>
  <si>
    <t>ER-2016-0179</t>
  </si>
  <si>
    <t>Avg Overall Rate % Change vs. Baseline</t>
  </si>
  <si>
    <t>Target Revenue</t>
  </si>
  <si>
    <t>Class kWh</t>
  </si>
  <si>
    <t>FAC Revenue</t>
  </si>
  <si>
    <t>Total Revenues w/FAC</t>
  </si>
  <si>
    <t>Residential</t>
  </si>
  <si>
    <t>Full year number since baseline rate set*</t>
  </si>
  <si>
    <t>Small General Service</t>
  </si>
  <si>
    <t>2.85% target cap for Average Overall Rate</t>
  </si>
  <si>
    <t>Large General Service</t>
  </si>
  <si>
    <t>Current Base Rate Delta from Baseline</t>
  </si>
  <si>
    <t>Small Primary Service</t>
  </si>
  <si>
    <t>Average Overall Rate Increase Cap</t>
  </si>
  <si>
    <t>Large Primary Service*</t>
  </si>
  <si>
    <t>Current FAC</t>
  </si>
  <si>
    <t>Lighting Company Owned</t>
  </si>
  <si>
    <t>Current RESRAM</t>
  </si>
  <si>
    <t>Lighting Customer Owned</t>
  </si>
  <si>
    <t>MSD</t>
  </si>
  <si>
    <t>Average Rider Rate Caps</t>
  </si>
  <si>
    <t>Total</t>
  </si>
  <si>
    <t>RESRAM Cap</t>
  </si>
  <si>
    <t>FAC Cap</t>
  </si>
  <si>
    <t>Tax-Reform Docket (ER-2018-0362)</t>
  </si>
  <si>
    <t>Currently Effective Rates and Revenues at Time of Analysis</t>
  </si>
  <si>
    <t>Revenue Reduction</t>
  </si>
  <si>
    <t>Currently Effective Billing Units (Most Recent Rate Case)</t>
  </si>
  <si>
    <t>Currently Effective Base Rev. Req. (Most Recent Rate Case)</t>
  </si>
  <si>
    <t>Current FAC Rate</t>
  </si>
  <si>
    <t>FAC Revenues</t>
  </si>
  <si>
    <t>RESRAM Revenues</t>
  </si>
  <si>
    <t>Total Revenues</t>
  </si>
  <si>
    <t>Rate per kWh</t>
  </si>
  <si>
    <t>Rate Adjustment Cap (RAC)</t>
  </si>
  <si>
    <t>Total RESRAM Recoveries (TRR)</t>
  </si>
  <si>
    <r>
      <t xml:space="preserve">TRR Rate </t>
    </r>
    <r>
      <rPr>
        <sz val="11"/>
        <color rgb="FFFF0000"/>
        <rFont val="Calibri"/>
        <family val="2"/>
        <scheme val="minor"/>
      </rPr>
      <t>*</t>
    </r>
  </si>
  <si>
    <t>*</t>
  </si>
  <si>
    <r>
      <t>Estimated Recovery Period Sales (kWh)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)</t>
    </r>
  </si>
  <si>
    <r>
      <t>TRR Rate = Minimum of TRR divided by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, and RAC</t>
    </r>
  </si>
  <si>
    <t>Total (PAR CP)</t>
  </si>
  <si>
    <t>Revolver</t>
  </si>
  <si>
    <t>PAR CP</t>
  </si>
  <si>
    <t>ACCRUED AFTER REPORT PERIOD</t>
  </si>
  <si>
    <t>CP BALANCE</t>
  </si>
  <si>
    <t>TOTAL ST BALANCE</t>
  </si>
  <si>
    <t>MONTHLY SHORT-TERM BORROWING ANALYSIS</t>
  </si>
  <si>
    <t>Amount Outstanding</t>
  </si>
  <si>
    <t>TOTAL FOR MONTH</t>
  </si>
  <si>
    <t>Avg Daily Borrowing</t>
  </si>
  <si>
    <t>ST Balance on GL</t>
  </si>
  <si>
    <t>Weighted Average Rate</t>
  </si>
  <si>
    <t>From BNP Paribas Monthly Accrued Interest Report</t>
  </si>
  <si>
    <t>Peak Borrowing</t>
  </si>
  <si>
    <t>Total Borrowings</t>
  </si>
  <si>
    <t>Total Revolver Borrowings</t>
  </si>
  <si>
    <t>Total Commercial Paper Borrowings</t>
  </si>
  <si>
    <t>PAR AMT USED FOR RATE CALC ONLY</t>
  </si>
  <si>
    <t>Weighted</t>
  </si>
  <si>
    <t>PAR</t>
  </si>
  <si>
    <t>NET</t>
  </si>
  <si>
    <t>CP</t>
  </si>
  <si>
    <t>Regulated Money Pool</t>
  </si>
  <si>
    <t>Non-Regulated Money Pool</t>
  </si>
  <si>
    <t>AMC Direct Loan</t>
  </si>
  <si>
    <t>AMC Subordinated Loan</t>
  </si>
  <si>
    <t>AMC Direct Loan (Notes Backed)</t>
  </si>
  <si>
    <t>Revolver Loan 1</t>
  </si>
  <si>
    <t>Revolver Loan 2</t>
  </si>
  <si>
    <t>Revolver Loan 3</t>
  </si>
  <si>
    <t>Revolver Loan 4</t>
  </si>
  <si>
    <t>Revolver Loan 5 (ABR 365)</t>
  </si>
  <si>
    <t>Revolver Loan 6 (ABR 365)</t>
  </si>
  <si>
    <t>Commercial Paper 1</t>
  </si>
  <si>
    <t>Commercial Paper 2</t>
  </si>
  <si>
    <t>Commercial Paper 3</t>
  </si>
  <si>
    <t>Commercial Paper 4</t>
  </si>
  <si>
    <t>Commercial Paper 5</t>
  </si>
  <si>
    <t>Commercial Paper 6</t>
  </si>
  <si>
    <t>Commercial Paper 7</t>
  </si>
  <si>
    <t>Commercial Paper 8</t>
  </si>
  <si>
    <t>Commercial Paper 9</t>
  </si>
  <si>
    <t>Commercial Paper 10</t>
  </si>
  <si>
    <t>Commercial Paper 11</t>
  </si>
  <si>
    <t>Commercial Paper 12</t>
  </si>
  <si>
    <t>Commercial Paper 13</t>
  </si>
  <si>
    <t>Commercial Paper 14</t>
  </si>
  <si>
    <t>Commercial Paper 15</t>
  </si>
  <si>
    <t>Commercial Paper 16</t>
  </si>
  <si>
    <t>Commercial Paper 17</t>
  </si>
  <si>
    <t>Commercial Paper 18</t>
  </si>
  <si>
    <t>Commercial Paper 19</t>
  </si>
  <si>
    <t>Commercial Paper 20</t>
  </si>
  <si>
    <t>Commercial Paper 21</t>
  </si>
  <si>
    <t>Commercial Paper 22</t>
  </si>
  <si>
    <t>Commercial Paper 23</t>
  </si>
  <si>
    <t>Commercial Paper 24</t>
  </si>
  <si>
    <t>Commercial Paper 25</t>
  </si>
  <si>
    <t>Commercial Paper 26</t>
  </si>
  <si>
    <t>Commercial Paper 27</t>
  </si>
  <si>
    <t>Commercial Paper 28</t>
  </si>
  <si>
    <t>Commercial Paper 29</t>
  </si>
  <si>
    <t>Commercial Paper 30</t>
  </si>
  <si>
    <t>Future Use 1 - Term Loan</t>
  </si>
  <si>
    <t>TOTAL NET CP PROCEEDS</t>
  </si>
  <si>
    <t>(PAR CP)</t>
  </si>
  <si>
    <t>(NET CP)</t>
  </si>
  <si>
    <t>Daily</t>
  </si>
  <si>
    <t>Average</t>
  </si>
  <si>
    <t>Revolvers</t>
  </si>
  <si>
    <t>Date</t>
  </si>
  <si>
    <t>Amount</t>
  </si>
  <si>
    <t>Rate</t>
  </si>
  <si>
    <t>Outstanding</t>
  </si>
  <si>
    <t>Accumulation Period 2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</si>
  <si>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</si>
  <si>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</si>
  <si>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</si>
  <si>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</si>
  <si>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</si>
  <si>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</si>
  <si>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</si>
  <si>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</si>
  <si>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</si>
  <si>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</si>
  <si>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</si>
  <si>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</si>
  <si>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Rate Calcuation for Recovery Period 2</t>
  </si>
  <si>
    <t>August 2019 - July 2020</t>
  </si>
  <si>
    <t>RESRAM Revenue Requirement (RRR) for Recovery Period 2</t>
  </si>
  <si>
    <t>Accumulation Period 1</t>
  </si>
  <si>
    <t>Projected RESRAM Billed kWh</t>
  </si>
  <si>
    <t>Calculated Projected RESRAM Revenues</t>
  </si>
  <si>
    <t>RRR for RP 2</t>
  </si>
  <si>
    <t>Revenue Authorized for Collection</t>
  </si>
  <si>
    <t>Billed RESRAM ROUR Revenues</t>
  </si>
  <si>
    <r>
      <t>Final ROUR RESRAM Rate</t>
    </r>
    <r>
      <rPr>
        <b/>
        <vertAlign val="superscript"/>
        <sz val="8"/>
        <rFont val="Arial"/>
        <family val="2"/>
      </rPr>
      <t>1</t>
    </r>
  </si>
  <si>
    <t>ROUR Amortization</t>
  </si>
  <si>
    <t>True-Up Calculation</t>
  </si>
  <si>
    <t>Annual Total</t>
  </si>
  <si>
    <t>557/509BLH - Wind REC Costs</t>
  </si>
  <si>
    <t>557/509CSR - Solar REC Costs</t>
  </si>
  <si>
    <t>557/5090BM - Biomass REC Costs</t>
  </si>
  <si>
    <t>557/509H20 - Hydro REC Costs</t>
  </si>
  <si>
    <t>557/509PSR - Non Customer Solar REC Costs</t>
  </si>
  <si>
    <t>557/509SRP - Solar Rebate Processing Costs</t>
  </si>
  <si>
    <t>(Over)/Under Difference between Billed/Authorized and Projected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</si>
  <si>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 ROUR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1 filing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</si>
</sst>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\-yy;@"/>
    <numFmt numFmtId="166" formatCode="0.0000%"/>
    <numFmt numFmtId="167" formatCode="_(* #,##0_);_(* \(#,##0\);_(* &quot;-&quot;??_);_(@_)"/>
    <numFmt numFmtId="168" formatCode="#,##0;\-#,##0"/>
    <numFmt numFmtId="169" formatCode="_(* #,##0.00000_);_(* \(#,##0.00000\);_(* &quot;-&quot;??_);_(@_)"/>
    <numFmt numFmtId="170" formatCode="&quot;$&quot;#,##0.0000"/>
    <numFmt numFmtId="171" formatCode="&quot;$&quot;#,##0.00000"/>
    <numFmt numFmtId="172" formatCode="0.0%"/>
    <numFmt numFmtId="173" formatCode="&quot;$&quot;#,##0"/>
    <numFmt numFmtId="174" formatCode="_(&quot;$&quot;* #,##0.0000_);_(&quot;$&quot;* \(#,##0.0000\);_(&quot;$&quot;* &quot;-&quot;??_);_(@_)"/>
    <numFmt numFmtId="175" formatCode="0.000000%"/>
    <numFmt numFmtId="176" formatCode="[$-409]mmmm\ yyyy;@"/>
    <numFmt numFmtId="177" formatCode="_(&quot;$&quot;* #,##0_);_(&quot;$&quot;* \(#,##0\);_(&quot;$&quot;* &quot;-&quot;??_);_(@_)"/>
    <numFmt numFmtId="178" formatCode="_(&quot;$&quot;* #,##0.00000_);_(&quot;$&quot;* \(#,##0.0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0" fontId="2" fillId="0" borderId="0"/>
  </cellStyleXfs>
  <cellXfs count="258">
    <xf numFmtId="0" fontId="0" fillId="0" borderId="0" xfId="0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wrapText="1"/>
    </xf>
    <xf numFmtId="0" fontId="0" fillId="0" borderId="0" xfId="0" applyAlignment="1">
      <alignment horizontal="left" indent="2"/>
    </xf>
    <xf numFmtId="43" fontId="0" fillId="0" borderId="0" xfId="0" applyNumberFormat="1"/>
    <xf numFmtId="44" fontId="1" fillId="0" borderId="1" xfId="2" applyBorder="1"/>
    <xf numFmtId="0" fontId="0" fillId="0" borderId="0" xfId="0" applyFill="1" applyAlignment="1">
      <alignment horizontal="left" indent="2"/>
    </xf>
    <xf numFmtId="0" fontId="3" fillId="2" borderId="1" xfId="4" applyFont="1" applyFill="1" applyBorder="1" applyAlignment="1">
      <alignment wrapText="1"/>
    </xf>
    <xf numFmtId="166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0" fontId="0" fillId="0" borderId="0" xfId="0" applyAlignment="1">
      <alignment horizontal="left" indent="3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44" fontId="1" fillId="2" borderId="1" xfId="2" applyFont="1" applyFill="1" applyBorder="1"/>
    <xf numFmtId="44" fontId="0" fillId="0" borderId="0" xfId="0" applyNumberFormat="1"/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44" fontId="0" fillId="0" borderId="5" xfId="0" applyNumberFormat="1" applyBorder="1"/>
    <xf numFmtId="164" fontId="3" fillId="0" borderId="9" xfId="4" applyNumberFormat="1" applyFont="1" applyBorder="1" applyAlignment="1">
      <alignment horizontal="center"/>
    </xf>
    <xf numFmtId="165" fontId="3" fillId="0" borderId="0" xfId="4" quotePrefix="1" applyNumberFormat="1" applyFont="1" applyBorder="1" applyAlignment="1">
      <alignment horizontal="center"/>
    </xf>
    <xf numFmtId="0" fontId="4" fillId="0" borderId="9" xfId="4" applyFont="1" applyBorder="1"/>
    <xf numFmtId="43" fontId="1" fillId="0" borderId="0" xfId="5" applyFont="1" applyBorder="1"/>
    <xf numFmtId="44" fontId="0" fillId="0" borderId="9" xfId="2" applyFont="1" applyBorder="1"/>
    <xf numFmtId="44" fontId="0" fillId="0" borderId="0" xfId="2" applyFont="1" applyBorder="1"/>
    <xf numFmtId="44" fontId="0" fillId="0" borderId="0" xfId="2" applyFont="1" applyFill="1" applyBorder="1"/>
    <xf numFmtId="43" fontId="0" fillId="0" borderId="9" xfId="0" applyNumberFormat="1" applyBorder="1"/>
    <xf numFmtId="43" fontId="0" fillId="0" borderId="0" xfId="0" applyNumberFormat="1" applyBorder="1"/>
    <xf numFmtId="44" fontId="1" fillId="0" borderId="11" xfId="2" applyBorder="1"/>
    <xf numFmtId="43" fontId="1" fillId="0" borderId="0" xfId="5" quotePrefix="1" applyFont="1" applyBorder="1"/>
    <xf numFmtId="44" fontId="1" fillId="0" borderId="9" xfId="2" quotePrefix="1" applyFont="1" applyBorder="1"/>
    <xf numFmtId="44" fontId="1" fillId="0" borderId="0" xfId="2" quotePrefix="1" applyFont="1" applyFill="1" applyBorder="1"/>
    <xf numFmtId="44" fontId="1" fillId="2" borderId="11" xfId="2" applyFont="1" applyFill="1" applyBorder="1"/>
    <xf numFmtId="43" fontId="4" fillId="0" borderId="9" xfId="1" applyFont="1" applyBorder="1"/>
    <xf numFmtId="166" fontId="0" fillId="0" borderId="12" xfId="3" applyNumberFormat="1" applyFont="1" applyFill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4" fontId="0" fillId="0" borderId="0" xfId="0" applyNumberFormat="1"/>
    <xf numFmtId="165" fontId="0" fillId="0" borderId="0" xfId="0" applyNumberFormat="1"/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6" fillId="5" borderId="18" xfId="0" applyNumberFormat="1" applyFont="1" applyFill="1" applyBorder="1"/>
    <xf numFmtId="0" fontId="0" fillId="0" borderId="19" xfId="0" applyBorder="1"/>
    <xf numFmtId="171" fontId="0" fillId="0" borderId="20" xfId="0" applyNumberFormat="1" applyBorder="1"/>
    <xf numFmtId="14" fontId="0" fillId="0" borderId="22" xfId="0" applyNumberFormat="1" applyBorder="1"/>
    <xf numFmtId="0" fontId="0" fillId="0" borderId="16" xfId="0" applyBorder="1"/>
    <xf numFmtId="171" fontId="0" fillId="0" borderId="18" xfId="0" applyNumberFormat="1" applyBorder="1"/>
    <xf numFmtId="0" fontId="0" fillId="0" borderId="16" xfId="0" applyFill="1" applyBorder="1"/>
    <xf numFmtId="172" fontId="0" fillId="0" borderId="18" xfId="3" applyNumberFormat="1" applyFont="1" applyBorder="1"/>
    <xf numFmtId="0" fontId="0" fillId="0" borderId="17" xfId="0" applyBorder="1"/>
    <xf numFmtId="0" fontId="0" fillId="0" borderId="18" xfId="0" applyBorder="1"/>
    <xf numFmtId="14" fontId="0" fillId="6" borderId="18" xfId="0" applyNumberFormat="1" applyFill="1" applyBorder="1"/>
    <xf numFmtId="173" fontId="0" fillId="0" borderId="17" xfId="0" applyNumberFormat="1" applyBorder="1"/>
    <xf numFmtId="3" fontId="0" fillId="0" borderId="17" xfId="0" applyNumberFormat="1" applyBorder="1"/>
    <xf numFmtId="44" fontId="0" fillId="0" borderId="17" xfId="2" applyFont="1" applyBorder="1"/>
    <xf numFmtId="44" fontId="0" fillId="0" borderId="18" xfId="2" applyFont="1" applyBorder="1"/>
    <xf numFmtId="2" fontId="0" fillId="0" borderId="18" xfId="0" applyNumberFormat="1" applyFill="1" applyBorder="1"/>
    <xf numFmtId="0" fontId="0" fillId="0" borderId="23" xfId="0" applyBorder="1"/>
    <xf numFmtId="171" fontId="0" fillId="0" borderId="22" xfId="0" applyNumberFormat="1" applyBorder="1"/>
    <xf numFmtId="170" fontId="6" fillId="7" borderId="18" xfId="0" applyNumberFormat="1" applyFont="1" applyFill="1" applyBorder="1"/>
    <xf numFmtId="0" fontId="0" fillId="0" borderId="26" xfId="0" applyBorder="1"/>
    <xf numFmtId="0" fontId="0" fillId="0" borderId="27" xfId="0" applyBorder="1"/>
    <xf numFmtId="170" fontId="0" fillId="0" borderId="27" xfId="0" applyNumberFormat="1" applyBorder="1"/>
    <xf numFmtId="170" fontId="6" fillId="0" borderId="27" xfId="0" applyNumberFormat="1" applyFont="1" applyBorder="1"/>
    <xf numFmtId="174" fontId="6" fillId="5" borderId="22" xfId="0" applyNumberFormat="1" applyFont="1" applyFill="1" applyBorder="1"/>
    <xf numFmtId="170" fontId="6" fillId="7" borderId="22" xfId="0" applyNumberFormat="1" applyFont="1" applyFill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73" fontId="0" fillId="0" borderId="18" xfId="0" applyNumberFormat="1" applyBorder="1"/>
    <xf numFmtId="3" fontId="0" fillId="6" borderId="16" xfId="0" applyNumberFormat="1" applyFill="1" applyBorder="1"/>
    <xf numFmtId="173" fontId="0" fillId="6" borderId="17" xfId="0" applyNumberFormat="1" applyFill="1" applyBorder="1"/>
    <xf numFmtId="3" fontId="0" fillId="0" borderId="16" xfId="0" applyNumberFormat="1" applyBorder="1"/>
    <xf numFmtId="170" fontId="6" fillId="5" borderId="22" xfId="0" applyNumberFormat="1" applyFont="1" applyFill="1" applyBorder="1"/>
    <xf numFmtId="0" fontId="0" fillId="0" borderId="23" xfId="0" applyBorder="1" applyAlignment="1">
      <alignment horizontal="right"/>
    </xf>
    <xf numFmtId="0" fontId="0" fillId="0" borderId="29" xfId="0" applyBorder="1"/>
    <xf numFmtId="0" fontId="0" fillId="0" borderId="27" xfId="0" applyBorder="1" applyAlignment="1">
      <alignment horizontal="right"/>
    </xf>
    <xf numFmtId="171" fontId="0" fillId="0" borderId="27" xfId="0" applyNumberFormat="1" applyBorder="1"/>
    <xf numFmtId="170" fontId="0" fillId="0" borderId="22" xfId="0" applyNumberFormat="1" applyBorder="1"/>
    <xf numFmtId="0" fontId="8" fillId="0" borderId="0" xfId="0" applyFont="1" applyAlignment="1">
      <alignment horizontal="right"/>
    </xf>
    <xf numFmtId="0" fontId="12" fillId="0" borderId="0" xfId="0" applyFont="1"/>
    <xf numFmtId="8" fontId="13" fillId="0" borderId="0" xfId="0" applyNumberFormat="1" applyFont="1"/>
    <xf numFmtId="175" fontId="13" fillId="0" borderId="0" xfId="0" applyNumberFormat="1" applyFont="1"/>
    <xf numFmtId="0" fontId="13" fillId="0" borderId="0" xfId="0" applyFont="1"/>
    <xf numFmtId="8" fontId="14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8" fontId="12" fillId="0" borderId="0" xfId="0" applyNumberFormat="1" applyFont="1"/>
    <xf numFmtId="8" fontId="0" fillId="0" borderId="0" xfId="0" applyNumberFormat="1" applyBorder="1"/>
    <xf numFmtId="17" fontId="12" fillId="0" borderId="0" xfId="0" applyNumberFormat="1" applyFont="1"/>
    <xf numFmtId="8" fontId="0" fillId="0" borderId="0" xfId="0" applyNumberFormat="1"/>
    <xf numFmtId="175" fontId="0" fillId="0" borderId="0" xfId="0" applyNumberFormat="1"/>
    <xf numFmtId="8" fontId="14" fillId="0" borderId="30" xfId="0" applyNumberFormat="1" applyFont="1" applyBorder="1"/>
    <xf numFmtId="175" fontId="0" fillId="0" borderId="31" xfId="0" applyNumberFormat="1" applyBorder="1"/>
    <xf numFmtId="0" fontId="0" fillId="0" borderId="32" xfId="0" applyBorder="1"/>
    <xf numFmtId="175" fontId="0" fillId="0" borderId="0" xfId="0" applyNumberFormat="1" applyBorder="1"/>
    <xf numFmtId="0" fontId="0" fillId="0" borderId="33" xfId="0" applyBorder="1"/>
    <xf numFmtId="8" fontId="0" fillId="0" borderId="34" xfId="0" applyNumberFormat="1" applyBorder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0" fontId="0" fillId="0" borderId="0" xfId="0" applyFill="1" applyBorder="1"/>
    <xf numFmtId="175" fontId="0" fillId="0" borderId="34" xfId="0" applyNumberFormat="1" applyBorder="1"/>
    <xf numFmtId="0" fontId="0" fillId="0" borderId="35" xfId="0" applyFill="1" applyBorder="1"/>
    <xf numFmtId="8" fontId="0" fillId="0" borderId="36" xfId="0" applyNumberFormat="1" applyBorder="1"/>
    <xf numFmtId="8" fontId="0" fillId="0" borderId="37" xfId="0" applyNumberFormat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8" fontId="1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2" xfId="0" applyNumberFormat="1" applyBorder="1" applyAlignment="1">
      <alignment horizontal="centerContinuous"/>
    </xf>
    <xf numFmtId="175" fontId="0" fillId="0" borderId="2" xfId="0" applyNumberFormat="1" applyBorder="1" applyAlignment="1">
      <alignment horizontal="centerContinuous"/>
    </xf>
    <xf numFmtId="8" fontId="2" fillId="0" borderId="2" xfId="0" applyNumberFormat="1" applyFont="1" applyBorder="1" applyAlignment="1">
      <alignment horizontal="centerContinuous"/>
    </xf>
    <xf numFmtId="8" fontId="14" fillId="0" borderId="2" xfId="0" applyNumberFormat="1" applyFont="1" applyBorder="1" applyAlignment="1">
      <alignment horizontal="centerContinuous"/>
    </xf>
    <xf numFmtId="8" fontId="15" fillId="0" borderId="0" xfId="0" applyNumberFormat="1" applyFont="1" applyAlignment="1">
      <alignment horizontal="center"/>
    </xf>
    <xf numFmtId="17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173" fontId="0" fillId="0" borderId="0" xfId="0" applyNumberFormat="1" applyFill="1" applyBorder="1" applyProtection="1">
      <protection locked="0"/>
    </xf>
    <xf numFmtId="175" fontId="0" fillId="0" borderId="0" xfId="0" applyNumberFormat="1" applyFill="1" applyBorder="1" applyProtection="1">
      <protection locked="0"/>
    </xf>
    <xf numFmtId="8" fontId="2" fillId="0" borderId="0" xfId="0" applyNumberFormat="1" applyFont="1"/>
    <xf numFmtId="0" fontId="14" fillId="0" borderId="0" xfId="0" applyFont="1" applyAlignment="1">
      <alignment horizontal="right"/>
    </xf>
    <xf numFmtId="8" fontId="0" fillId="0" borderId="4" xfId="0" applyNumberFormat="1" applyBorder="1"/>
    <xf numFmtId="4" fontId="0" fillId="0" borderId="0" xfId="0" applyNumberFormat="1"/>
    <xf numFmtId="166" fontId="0" fillId="0" borderId="0" xfId="0" applyNumberFormat="1"/>
    <xf numFmtId="43" fontId="0" fillId="0" borderId="0" xfId="1" applyFont="1"/>
    <xf numFmtId="0" fontId="12" fillId="0" borderId="0" xfId="6" applyFont="1"/>
    <xf numFmtId="8" fontId="13" fillId="0" borderId="0" xfId="6" applyNumberFormat="1" applyFont="1"/>
    <xf numFmtId="175" fontId="13" fillId="0" borderId="0" xfId="6" applyNumberFormat="1" applyFont="1"/>
    <xf numFmtId="0" fontId="13" fillId="0" borderId="0" xfId="6" applyFont="1"/>
    <xf numFmtId="8" fontId="14" fillId="0" borderId="0" xfId="6" applyNumberFormat="1" applyFont="1" applyBorder="1"/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left"/>
    </xf>
    <xf numFmtId="8" fontId="12" fillId="0" borderId="0" xfId="6" applyNumberFormat="1" applyFont="1"/>
    <xf numFmtId="0" fontId="16" fillId="0" borderId="0" xfId="6" applyBorder="1"/>
    <xf numFmtId="8" fontId="16" fillId="0" borderId="0" xfId="6" applyNumberFormat="1" applyBorder="1"/>
    <xf numFmtId="17" fontId="12" fillId="0" borderId="0" xfId="6" applyNumberFormat="1" applyFont="1"/>
    <xf numFmtId="8" fontId="16" fillId="0" borderId="0" xfId="6" applyNumberFormat="1"/>
    <xf numFmtId="175" fontId="16" fillId="0" borderId="0" xfId="6" applyNumberFormat="1"/>
    <xf numFmtId="0" fontId="16" fillId="0" borderId="0" xfId="6"/>
    <xf numFmtId="8" fontId="14" fillId="0" borderId="30" xfId="6" applyNumberFormat="1" applyFont="1" applyBorder="1"/>
    <xf numFmtId="175" fontId="16" fillId="0" borderId="31" xfId="6" applyNumberFormat="1" applyBorder="1"/>
    <xf numFmtId="0" fontId="16" fillId="0" borderId="32" xfId="6" applyBorder="1"/>
    <xf numFmtId="0" fontId="16" fillId="0" borderId="33" xfId="6" applyBorder="1"/>
    <xf numFmtId="8" fontId="16" fillId="0" borderId="34" xfId="6" applyNumberFormat="1" applyBorder="1"/>
    <xf numFmtId="0" fontId="14" fillId="0" borderId="0" xfId="6" applyFont="1"/>
    <xf numFmtId="175" fontId="16" fillId="0" borderId="0" xfId="6" applyNumberFormat="1" applyBorder="1"/>
    <xf numFmtId="0" fontId="2" fillId="0" borderId="0" xfId="6" applyFont="1"/>
    <xf numFmtId="0" fontId="14" fillId="0" borderId="0" xfId="6" applyFont="1" applyAlignment="1">
      <alignment horizontal="center"/>
    </xf>
    <xf numFmtId="8" fontId="12" fillId="0" borderId="0" xfId="6" applyNumberFormat="1" applyFont="1" applyAlignment="1">
      <alignment horizontal="center"/>
    </xf>
    <xf numFmtId="0" fontId="16" fillId="0" borderId="0" xfId="6" applyFill="1" applyBorder="1"/>
    <xf numFmtId="175" fontId="16" fillId="0" borderId="34" xfId="6" applyNumberFormat="1" applyBorder="1"/>
    <xf numFmtId="0" fontId="16" fillId="0" borderId="35" xfId="6" applyFill="1" applyBorder="1"/>
    <xf numFmtId="8" fontId="16" fillId="0" borderId="36" xfId="6" applyNumberFormat="1" applyBorder="1"/>
    <xf numFmtId="8" fontId="16" fillId="0" borderId="37" xfId="6" applyNumberFormat="1" applyBorder="1"/>
    <xf numFmtId="0" fontId="2" fillId="0" borderId="2" xfId="6" applyFont="1" applyBorder="1" applyAlignment="1">
      <alignment horizontal="centerContinuous"/>
    </xf>
    <xf numFmtId="0" fontId="16" fillId="0" borderId="2" xfId="6" applyBorder="1" applyAlignment="1">
      <alignment horizontal="centerContinuous"/>
    </xf>
    <xf numFmtId="0" fontId="16" fillId="0" borderId="0" xfId="6" applyBorder="1" applyAlignment="1">
      <alignment horizontal="centerContinuous"/>
    </xf>
    <xf numFmtId="8" fontId="14" fillId="0" borderId="0" xfId="6" applyNumberFormat="1" applyFont="1"/>
    <xf numFmtId="0" fontId="16" fillId="0" borderId="0" xfId="6" applyAlignment="1">
      <alignment horizontal="center"/>
    </xf>
    <xf numFmtId="0" fontId="2" fillId="0" borderId="0" xfId="6" applyFont="1" applyAlignment="1">
      <alignment horizontal="center"/>
    </xf>
    <xf numFmtId="8" fontId="16" fillId="0" borderId="2" xfId="6" applyNumberFormat="1" applyBorder="1" applyAlignment="1">
      <alignment horizontal="centerContinuous"/>
    </xf>
    <xf numFmtId="175" fontId="16" fillId="0" borderId="2" xfId="6" applyNumberFormat="1" applyBorder="1" applyAlignment="1">
      <alignment horizontal="centerContinuous"/>
    </xf>
    <xf numFmtId="8" fontId="2" fillId="0" borderId="2" xfId="6" applyNumberFormat="1" applyFont="1" applyBorder="1" applyAlignment="1">
      <alignment horizontal="centerContinuous"/>
    </xf>
    <xf numFmtId="8" fontId="14" fillId="0" borderId="2" xfId="6" applyNumberFormat="1" applyFont="1" applyBorder="1" applyAlignment="1">
      <alignment horizontal="centerContinuous"/>
    </xf>
    <xf numFmtId="8" fontId="15" fillId="0" borderId="0" xfId="6" applyNumberFormat="1" applyFont="1" applyAlignment="1">
      <alignment horizontal="center"/>
    </xf>
    <xf numFmtId="175" fontId="15" fillId="0" borderId="0" xfId="6" applyNumberFormat="1" applyFont="1" applyAlignment="1">
      <alignment horizontal="center"/>
    </xf>
    <xf numFmtId="0" fontId="15" fillId="0" borderId="0" xfId="6" applyFont="1" applyAlignment="1">
      <alignment horizontal="center"/>
    </xf>
    <xf numFmtId="0" fontId="15" fillId="0" borderId="0" xfId="6" applyFont="1" applyFill="1" applyBorder="1" applyAlignment="1">
      <alignment horizontal="center"/>
    </xf>
    <xf numFmtId="14" fontId="16" fillId="0" borderId="0" xfId="6" applyNumberFormat="1"/>
    <xf numFmtId="173" fontId="16" fillId="0" borderId="0" xfId="6" applyNumberFormat="1" applyFill="1" applyBorder="1" applyProtection="1">
      <protection locked="0"/>
    </xf>
    <xf numFmtId="175" fontId="16" fillId="0" borderId="0" xfId="6" applyNumberFormat="1" applyFill="1" applyBorder="1" applyProtection="1">
      <protection locked="0"/>
    </xf>
    <xf numFmtId="8" fontId="2" fillId="0" borderId="0" xfId="6" applyNumberFormat="1" applyFont="1"/>
    <xf numFmtId="4" fontId="16" fillId="0" borderId="0" xfId="6" applyNumberFormat="1"/>
    <xf numFmtId="0" fontId="14" fillId="0" borderId="0" xfId="6" applyFont="1" applyAlignment="1">
      <alignment horizontal="right"/>
    </xf>
    <xf numFmtId="8" fontId="16" fillId="0" borderId="4" xfId="6" applyNumberFormat="1" applyBorder="1"/>
    <xf numFmtId="176" fontId="14" fillId="0" borderId="0" xfId="0" quotePrefix="1" applyNumberFormat="1" applyFont="1" applyFill="1" applyAlignment="1">
      <alignment horizontal="left"/>
    </xf>
    <xf numFmtId="0" fontId="17" fillId="8" borderId="38" xfId="7" applyFont="1" applyFill="1" applyBorder="1" applyAlignment="1">
      <alignment horizontal="center" wrapText="1"/>
    </xf>
    <xf numFmtId="177" fontId="18" fillId="0" borderId="0" xfId="2" applyNumberFormat="1" applyFont="1" applyFill="1" applyBorder="1" applyAlignment="1"/>
    <xf numFmtId="167" fontId="18" fillId="0" borderId="0" xfId="1" applyNumberFormat="1" applyFont="1" applyFill="1" applyBorder="1" applyAlignment="1"/>
    <xf numFmtId="178" fontId="18" fillId="0" borderId="0" xfId="2" applyNumberFormat="1" applyFont="1" applyFill="1" applyBorder="1" applyAlignment="1"/>
    <xf numFmtId="177" fontId="0" fillId="0" borderId="0" xfId="2" applyNumberFormat="1" applyFont="1" applyFill="1"/>
    <xf numFmtId="3" fontId="18" fillId="0" borderId="0" xfId="0" applyNumberFormat="1" applyFont="1" applyFill="1" applyBorder="1" applyAlignment="1"/>
    <xf numFmtId="0" fontId="17" fillId="0" borderId="5" xfId="0" applyFont="1" applyFill="1" applyBorder="1"/>
    <xf numFmtId="177" fontId="18" fillId="0" borderId="5" xfId="2" applyNumberFormat="1" applyFont="1" applyFill="1" applyBorder="1" applyAlignment="1"/>
    <xf numFmtId="167" fontId="18" fillId="0" borderId="5" xfId="1" applyNumberFormat="1" applyFont="1" applyFill="1" applyBorder="1" applyAlignment="1"/>
    <xf numFmtId="42" fontId="18" fillId="0" borderId="5" xfId="0" applyNumberFormat="1" applyFont="1" applyFill="1" applyBorder="1" applyAlignment="1"/>
    <xf numFmtId="42" fontId="0" fillId="0" borderId="0" xfId="0" applyNumberFormat="1"/>
    <xf numFmtId="164" fontId="18" fillId="0" borderId="0" xfId="0" applyNumberFormat="1" applyFont="1" applyFill="1" applyBorder="1" applyAlignment="1">
      <alignment horizontal="left"/>
    </xf>
    <xf numFmtId="171" fontId="0" fillId="5" borderId="17" xfId="0" applyNumberFormat="1" applyFill="1" applyBorder="1"/>
    <xf numFmtId="165" fontId="3" fillId="0" borderId="40" xfId="4" quotePrefix="1" applyNumberFormat="1" applyFont="1" applyBorder="1" applyAlignment="1">
      <alignment horizontal="center"/>
    </xf>
    <xf numFmtId="43" fontId="1" fillId="0" borderId="41" xfId="5" applyFont="1" applyBorder="1"/>
    <xf numFmtId="44" fontId="0" fillId="0" borderId="41" xfId="2" applyFont="1" applyFill="1" applyBorder="1"/>
    <xf numFmtId="43" fontId="0" fillId="0" borderId="41" xfId="0" applyNumberFormat="1" applyBorder="1"/>
    <xf numFmtId="44" fontId="1" fillId="0" borderId="21" xfId="2" applyBorder="1"/>
    <xf numFmtId="43" fontId="1" fillId="0" borderId="41" xfId="5" quotePrefix="1" applyFont="1" applyBorder="1"/>
    <xf numFmtId="166" fontId="0" fillId="0" borderId="42" xfId="3" applyNumberFormat="1" applyFont="1" applyFill="1" applyBorder="1"/>
    <xf numFmtId="177" fontId="1" fillId="0" borderId="0" xfId="2" quotePrefix="1" applyNumberFormat="1" applyFont="1" applyBorder="1"/>
    <xf numFmtId="177" fontId="1" fillId="0" borderId="41" xfId="2" quotePrefix="1" applyNumberFormat="1" applyFont="1" applyBorder="1"/>
    <xf numFmtId="177" fontId="1" fillId="0" borderId="0" xfId="2" quotePrefix="1" applyNumberFormat="1" applyFont="1" applyFill="1" applyBorder="1"/>
    <xf numFmtId="177" fontId="0" fillId="0" borderId="0" xfId="2" applyNumberFormat="1" applyFont="1" applyBorder="1"/>
    <xf numFmtId="177" fontId="0" fillId="0" borderId="41" xfId="2" applyNumberFormat="1" applyFont="1" applyBorder="1"/>
    <xf numFmtId="177" fontId="1" fillId="2" borderId="1" xfId="2" applyNumberFormat="1" applyFont="1" applyFill="1" applyBorder="1"/>
    <xf numFmtId="177" fontId="1" fillId="2" borderId="21" xfId="2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41" xfId="1" applyNumberFormat="1" applyFont="1" applyBorder="1"/>
    <xf numFmtId="167" fontId="0" fillId="0" borderId="0" xfId="0" applyNumberFormat="1" applyBorder="1"/>
    <xf numFmtId="167" fontId="0" fillId="0" borderId="9" xfId="0" applyNumberFormat="1" applyBorder="1"/>
    <xf numFmtId="167" fontId="0" fillId="0" borderId="41" xfId="0" applyNumberFormat="1" applyBorder="1"/>
    <xf numFmtId="177" fontId="0" fillId="0" borderId="9" xfId="2" applyNumberFormat="1" applyFont="1" applyBorder="1"/>
    <xf numFmtId="177" fontId="0" fillId="0" borderId="0" xfId="2" applyNumberFormat="1" applyFont="1" applyFill="1" applyBorder="1"/>
    <xf numFmtId="177" fontId="0" fillId="0" borderId="41" xfId="2" applyNumberFormat="1" applyFont="1" applyFill="1" applyBorder="1"/>
    <xf numFmtId="177" fontId="1" fillId="0" borderId="11" xfId="2" applyNumberFormat="1" applyBorder="1"/>
    <xf numFmtId="177" fontId="1" fillId="0" borderId="1" xfId="2" applyNumberFormat="1" applyBorder="1"/>
    <xf numFmtId="177" fontId="1" fillId="0" borderId="21" xfId="2" applyNumberFormat="1" applyBorder="1"/>
    <xf numFmtId="177" fontId="4" fillId="0" borderId="9" xfId="4" applyNumberFormat="1" applyFont="1" applyBorder="1"/>
    <xf numFmtId="177" fontId="1" fillId="0" borderId="0" xfId="5" quotePrefix="1" applyNumberFormat="1" applyFont="1" applyBorder="1"/>
    <xf numFmtId="177" fontId="1" fillId="0" borderId="41" xfId="5" quotePrefix="1" applyNumberFormat="1" applyFont="1" applyBorder="1"/>
    <xf numFmtId="177" fontId="1" fillId="0" borderId="9" xfId="2" quotePrefix="1" applyNumberFormat="1" applyFont="1" applyBorder="1"/>
    <xf numFmtId="177" fontId="1" fillId="0" borderId="41" xfId="2" quotePrefix="1" applyNumberFormat="1" applyFont="1" applyFill="1" applyBorder="1"/>
    <xf numFmtId="177" fontId="1" fillId="2" borderId="11" xfId="2" applyNumberFormat="1" applyFont="1" applyFill="1" applyBorder="1"/>
    <xf numFmtId="177" fontId="0" fillId="0" borderId="0" xfId="2" applyNumberFormat="1" applyFont="1"/>
    <xf numFmtId="177" fontId="0" fillId="0" borderId="0" xfId="0" applyNumberFormat="1"/>
    <xf numFmtId="177" fontId="0" fillId="0" borderId="4" xfId="0" applyNumberFormat="1" applyBorder="1"/>
    <xf numFmtId="0" fontId="19" fillId="0" borderId="0" xfId="0" applyFont="1"/>
    <xf numFmtId="177" fontId="0" fillId="0" borderId="0" xfId="0" applyNumberFormat="1" applyFill="1"/>
    <xf numFmtId="177" fontId="0" fillId="2" borderId="1" xfId="2" applyNumberFormat="1" applyFont="1" applyFill="1" applyBorder="1"/>
    <xf numFmtId="0" fontId="0" fillId="0" borderId="0" xfId="0" applyFill="1"/>
    <xf numFmtId="42" fontId="18" fillId="0" borderId="0" xfId="2" applyNumberFormat="1" applyFont="1" applyFill="1" applyBorder="1" applyAlignment="1"/>
    <xf numFmtId="0" fontId="3" fillId="0" borderId="2" xfId="4" applyFont="1" applyFill="1" applyBorder="1" applyAlignment="1">
      <alignment horizontal="left" wrapText="1" indent="2"/>
    </xf>
    <xf numFmtId="171" fontId="4" fillId="6" borderId="17" xfId="0" applyNumberFormat="1" applyFont="1" applyFill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1" xfId="0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8">
    <cellStyle name="Comma" xfId="1" builtinId="3"/>
    <cellStyle name="Comma 3" xfId="5"/>
    <cellStyle name="Currency" xfId="2" builtinId="4"/>
    <cellStyle name="Normal" xfId="0" builtinId="0"/>
    <cellStyle name="Normal 2" xfId="6"/>
    <cellStyle name="Normal 2 2" xfId="7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AUGUST%202019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SEPTEMBER%202019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OCTOBER%202019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NOVEMBER%202019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DECEMBER%202019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JANAURY%20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FEBRUARY%202020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MARCH%2020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APRIL%20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MAY%202020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JUNE%202020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KING%20GENERAL\ST%20Borrowing\ST%20Borrowing%20Report%20JULY%20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Future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>
        <row r="74">
          <cell r="F74">
            <v>18736067.309999999</v>
          </cell>
        </row>
      </sheetData>
      <sheetData sheetId="4">
        <row r="43">
          <cell r="D43">
            <v>1.92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Future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>
        <row r="72">
          <cell r="F72">
            <v>13623607.369999999</v>
          </cell>
        </row>
      </sheetData>
      <sheetData sheetId="4">
        <row r="42">
          <cell r="D42">
            <v>1.66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>
        <row r="328">
          <cell r="F328">
            <v>2075000</v>
          </cell>
        </row>
        <row r="329">
          <cell r="F329">
            <v>2075000</v>
          </cell>
        </row>
      </sheetData>
      <sheetData sheetId="4">
        <row r="101">
          <cell r="D101">
            <v>1.9166529999999999</v>
          </cell>
        </row>
        <row r="102">
          <cell r="D102">
            <v>1.9166529999999999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tructions"/>
      <sheetName val="Input Sheet"/>
      <sheetName val="BALANCES"/>
      <sheetName val="RATES"/>
      <sheetName val="AFUDC Summary"/>
      <sheetName val="SUMMARY"/>
      <sheetName val="AMC"/>
      <sheetName val="AMS"/>
      <sheetName val="AIC"/>
      <sheetName val="UEC"/>
      <sheetName val="ITC"/>
      <sheetName val="ADC"/>
      <sheetName val="MV1"/>
      <sheetName val="QST"/>
      <sheetName val="BORROWING TOTALS"/>
      <sheetName val="Fut Use"/>
      <sheetName val="Sheet20"/>
    </sheetNames>
    <sheetDataSet>
      <sheetData sheetId="0"/>
      <sheetData sheetId="1"/>
      <sheetData sheetId="2">
        <row r="11">
          <cell r="B11">
            <v>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1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5.28515625" customWidth="1"/>
    <col min="2" max="2" width="16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197</v>
      </c>
      <c r="C3" s="238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</row>
    <row r="4" spans="1:14" x14ac:dyDescent="0.25">
      <c r="A4" s="1"/>
      <c r="B4" s="21">
        <v>43647</v>
      </c>
      <c r="C4" s="20">
        <v>43678</v>
      </c>
      <c r="D4" s="21">
        <v>43709</v>
      </c>
      <c r="E4" s="21">
        <v>43739</v>
      </c>
      <c r="F4" s="21">
        <v>43770</v>
      </c>
      <c r="G4" s="21">
        <v>43800</v>
      </c>
      <c r="H4" s="21">
        <v>43831</v>
      </c>
      <c r="I4" s="21">
        <v>43862</v>
      </c>
      <c r="J4" s="21">
        <v>43891</v>
      </c>
      <c r="K4" s="21">
        <v>43922</v>
      </c>
      <c r="L4" s="21">
        <v>43952</v>
      </c>
      <c r="M4" s="21">
        <v>43983</v>
      </c>
      <c r="N4" s="196">
        <v>44013</v>
      </c>
    </row>
    <row r="5" spans="1:14" x14ac:dyDescent="0.25">
      <c r="A5" s="2" t="s">
        <v>27</v>
      </c>
      <c r="B5" s="23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197"/>
    </row>
    <row r="6" spans="1:14" x14ac:dyDescent="0.25">
      <c r="A6" s="3" t="s">
        <v>207</v>
      </c>
      <c r="B6" s="25"/>
      <c r="C6" s="24"/>
      <c r="D6" s="25"/>
      <c r="E6" s="25"/>
      <c r="F6" s="25"/>
      <c r="G6" s="25"/>
      <c r="H6" s="25"/>
      <c r="I6" s="25"/>
      <c r="J6" s="25"/>
      <c r="K6" s="26"/>
      <c r="L6" s="26"/>
      <c r="M6" s="26"/>
      <c r="N6" s="198"/>
    </row>
    <row r="7" spans="1:14" x14ac:dyDescent="0.25">
      <c r="A7" s="3" t="s">
        <v>208</v>
      </c>
      <c r="B7" s="25"/>
      <c r="C7" s="24"/>
      <c r="D7" s="25"/>
      <c r="E7" s="25"/>
      <c r="F7" s="25"/>
      <c r="G7" s="25"/>
      <c r="H7" s="25"/>
      <c r="I7" s="25"/>
      <c r="J7" s="25"/>
      <c r="K7" s="26"/>
      <c r="L7" s="26"/>
      <c r="M7" s="26"/>
      <c r="N7" s="198"/>
    </row>
    <row r="8" spans="1:14" x14ac:dyDescent="0.25">
      <c r="A8" s="3" t="s">
        <v>209</v>
      </c>
      <c r="B8" s="25"/>
      <c r="C8" s="24"/>
      <c r="D8" s="25"/>
      <c r="E8" s="25"/>
      <c r="F8" s="25"/>
      <c r="G8" s="25"/>
      <c r="H8" s="25"/>
      <c r="I8" s="25"/>
      <c r="J8" s="25"/>
      <c r="K8" s="26"/>
      <c r="L8" s="26"/>
      <c r="M8" s="26"/>
      <c r="N8" s="198"/>
    </row>
    <row r="9" spans="1:14" x14ac:dyDescent="0.25">
      <c r="A9" s="3" t="s">
        <v>2</v>
      </c>
      <c r="B9" s="25"/>
      <c r="C9" s="24"/>
      <c r="D9" s="25"/>
      <c r="E9" s="25"/>
      <c r="F9" s="25"/>
      <c r="G9" s="25"/>
      <c r="H9" s="25"/>
      <c r="I9" s="25"/>
      <c r="J9" s="25"/>
      <c r="K9" s="26"/>
      <c r="L9" s="26"/>
      <c r="M9" s="26"/>
      <c r="N9" s="198"/>
    </row>
    <row r="10" spans="1:14" x14ac:dyDescent="0.25">
      <c r="A10" s="3" t="s">
        <v>210</v>
      </c>
      <c r="B10" s="25"/>
      <c r="C10" s="24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198"/>
    </row>
    <row r="11" spans="1:14" x14ac:dyDescent="0.25">
      <c r="A11" s="3" t="s">
        <v>211</v>
      </c>
      <c r="B11" s="25"/>
      <c r="C11" s="24"/>
      <c r="D11" s="25"/>
      <c r="E11" s="25"/>
      <c r="F11" s="25"/>
      <c r="G11" s="25"/>
      <c r="H11" s="25"/>
      <c r="I11" s="25"/>
      <c r="J11" s="25"/>
      <c r="K11" s="26"/>
      <c r="L11" s="26"/>
      <c r="M11" s="26"/>
      <c r="N11" s="198"/>
    </row>
    <row r="12" spans="1:14" x14ac:dyDescent="0.25">
      <c r="A12" s="3" t="s">
        <v>212</v>
      </c>
      <c r="B12" s="25"/>
      <c r="C12" s="24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198"/>
    </row>
    <row r="13" spans="1:14" x14ac:dyDescent="0.25">
      <c r="A13" s="3" t="s">
        <v>3</v>
      </c>
      <c r="B13" s="26"/>
      <c r="C13" s="24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98"/>
    </row>
    <row r="14" spans="1:14" x14ac:dyDescent="0.25">
      <c r="A14" s="3" t="s">
        <v>4</v>
      </c>
      <c r="B14" s="28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199"/>
    </row>
    <row r="15" spans="1:14" x14ac:dyDescent="0.25">
      <c r="A15" s="3" t="s">
        <v>5</v>
      </c>
      <c r="B15" s="28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99"/>
    </row>
    <row r="16" spans="1:14" x14ac:dyDescent="0.25">
      <c r="A16" s="3" t="s">
        <v>6</v>
      </c>
      <c r="B16" s="28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99"/>
    </row>
    <row r="17" spans="1:14" x14ac:dyDescent="0.25">
      <c r="A17" s="3" t="s">
        <v>7</v>
      </c>
      <c r="B17" s="28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199"/>
    </row>
    <row r="18" spans="1:14" x14ac:dyDescent="0.25">
      <c r="A18" s="3" t="s">
        <v>8</v>
      </c>
      <c r="B18" s="28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199"/>
    </row>
    <row r="19" spans="1:14" x14ac:dyDescent="0.25">
      <c r="A19" s="3" t="s">
        <v>9</v>
      </c>
      <c r="B19" s="28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99"/>
    </row>
    <row r="20" spans="1:14" ht="15.75" thickBot="1" x14ac:dyDescent="0.3">
      <c r="A20" s="2" t="s">
        <v>10</v>
      </c>
      <c r="B20" s="5"/>
      <c r="C20" s="29">
        <f t="shared" ref="C20:I20" si="0">SUM(C6:C15)</f>
        <v>0</v>
      </c>
      <c r="D20" s="5">
        <f t="shared" si="0"/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5">
        <f t="shared" si="0"/>
        <v>0</v>
      </c>
      <c r="I20" s="5">
        <f t="shared" si="0"/>
        <v>0</v>
      </c>
      <c r="J20" s="5">
        <f t="shared" ref="J20:N20" si="1">SUM(J6:J15)</f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200">
        <f t="shared" si="1"/>
        <v>0</v>
      </c>
    </row>
    <row r="21" spans="1:14" x14ac:dyDescent="0.25">
      <c r="B21" s="30"/>
      <c r="C21" s="2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01"/>
    </row>
    <row r="22" spans="1:14" x14ac:dyDescent="0.25">
      <c r="A22" s="6" t="s">
        <v>204</v>
      </c>
      <c r="B22" s="30"/>
      <c r="C22" s="31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03">
        <v>-241928.96389358316</v>
      </c>
      <c r="J22" s="203">
        <v>-542503.06000000006</v>
      </c>
      <c r="K22" s="203">
        <v>-467608.55</v>
      </c>
      <c r="L22" s="203">
        <v>-430625.24000000005</v>
      </c>
      <c r="M22" s="203">
        <v>-528066.30000000005</v>
      </c>
      <c r="N22" s="204">
        <v>-645356.6</v>
      </c>
    </row>
    <row r="23" spans="1:14" x14ac:dyDescent="0.25">
      <c r="A23" s="6" t="s">
        <v>28</v>
      </c>
      <c r="B23" s="32"/>
      <c r="C23" s="31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4">
        <v>0</v>
      </c>
    </row>
    <row r="24" spans="1:14" x14ac:dyDescent="0.25">
      <c r="A24" s="3" t="s">
        <v>29</v>
      </c>
      <c r="B24" s="32"/>
      <c r="C24" s="31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4">
        <v>0</v>
      </c>
    </row>
    <row r="25" spans="1:14" x14ac:dyDescent="0.25">
      <c r="A25" s="2" t="s">
        <v>30</v>
      </c>
      <c r="B25" s="25"/>
      <c r="C25" s="24">
        <f>+C23+C24</f>
        <v>0</v>
      </c>
      <c r="D25" s="25">
        <f t="shared" ref="D25:H25" si="2">+D23+D24</f>
        <v>0</v>
      </c>
      <c r="E25" s="25">
        <f t="shared" si="2"/>
        <v>0</v>
      </c>
      <c r="F25" s="25">
        <f t="shared" si="2"/>
        <v>0</v>
      </c>
      <c r="G25" s="25">
        <f t="shared" si="2"/>
        <v>0</v>
      </c>
      <c r="H25" s="25">
        <f t="shared" si="2"/>
        <v>0</v>
      </c>
      <c r="I25" s="206">
        <v>-241928.96389358316</v>
      </c>
      <c r="J25" s="206">
        <v>-542503.06000000006</v>
      </c>
      <c r="K25" s="206">
        <v>-467608.55</v>
      </c>
      <c r="L25" s="206">
        <v>-430625.24000000005</v>
      </c>
      <c r="M25" s="206">
        <v>-528066.30000000005</v>
      </c>
      <c r="N25" s="207">
        <v>-645356.6</v>
      </c>
    </row>
    <row r="26" spans="1:14" ht="15.75" thickBot="1" x14ac:dyDescent="0.3">
      <c r="A26" s="7" t="s">
        <v>11</v>
      </c>
      <c r="B26" s="14"/>
      <c r="C26" s="33">
        <f>-C25+C20</f>
        <v>0</v>
      </c>
      <c r="D26" s="14">
        <f t="shared" ref="D26:H26" si="3">-D25+D20</f>
        <v>0</v>
      </c>
      <c r="E26" s="14">
        <f t="shared" si="3"/>
        <v>0</v>
      </c>
      <c r="F26" s="14">
        <f t="shared" si="3"/>
        <v>0</v>
      </c>
      <c r="G26" s="14">
        <f t="shared" si="3"/>
        <v>0</v>
      </c>
      <c r="H26" s="14">
        <f t="shared" si="3"/>
        <v>0</v>
      </c>
      <c r="I26" s="208">
        <f t="shared" ref="I26:N26" si="4">I25+I20</f>
        <v>-241928.96389358316</v>
      </c>
      <c r="J26" s="208">
        <f t="shared" si="4"/>
        <v>-542503.06000000006</v>
      </c>
      <c r="K26" s="208">
        <f t="shared" si="4"/>
        <v>-467608.55</v>
      </c>
      <c r="L26" s="208">
        <f t="shared" si="4"/>
        <v>-430625.24000000005</v>
      </c>
      <c r="M26" s="208">
        <f t="shared" si="4"/>
        <v>-528066.30000000005</v>
      </c>
      <c r="N26" s="209">
        <f t="shared" si="4"/>
        <v>-645356.6</v>
      </c>
    </row>
    <row r="27" spans="1:14" x14ac:dyDescent="0.25">
      <c r="A27" s="2"/>
      <c r="B27" s="23"/>
      <c r="C27" s="3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97"/>
    </row>
    <row r="28" spans="1:14" x14ac:dyDescent="0.25">
      <c r="A28" s="236" t="s">
        <v>12</v>
      </c>
      <c r="B28" s="8"/>
      <c r="C28" s="35">
        <f>+'Aug 19 Int'!G6/12</f>
        <v>1.9593251707324638E-3</v>
      </c>
      <c r="D28" s="8">
        <f>+'Sept 19 Int'!G6/12</f>
        <v>1.8473916023701885E-3</v>
      </c>
      <c r="E28" s="8">
        <f>+'Oct 19 Int'!G6/12</f>
        <v>1.7616099979522076E-3</v>
      </c>
      <c r="F28" s="8">
        <f>'Nov 19 Int'!G6/12</f>
        <v>1.5133243353366611E-3</v>
      </c>
      <c r="G28" s="8">
        <f>'Dec 19 Int'!G6/12</f>
        <v>1.5959991714775518E-3</v>
      </c>
      <c r="H28" s="8">
        <f>'Jan 20 Int'!G6/12</f>
        <v>1.5742320612614168E-3</v>
      </c>
      <c r="I28" s="8">
        <f>'Feb 20 Int'!G6/12</f>
        <v>1.5029854929897769E-3</v>
      </c>
      <c r="J28" s="8">
        <f>'Mar 20 Int'!G6/12</f>
        <v>1.5738267353332034E-3</v>
      </c>
      <c r="K28" s="8">
        <f>'Apr 20 Int'!G6/12</f>
        <v>7.8204980834013652E-4</v>
      </c>
      <c r="L28" s="8">
        <f>'May 20 Int'!G6/12</f>
        <v>1.0755596308196926E-4</v>
      </c>
      <c r="M28" s="8">
        <f>'June 20 Int'!G6/12</f>
        <v>1.0469237972436987E-4</v>
      </c>
      <c r="N28" s="202">
        <f>'July 20 Int'!G6/12</f>
        <v>1.6138609790587347E-4</v>
      </c>
    </row>
    <row r="29" spans="1:14" x14ac:dyDescent="0.25">
      <c r="A29" s="9" t="s">
        <v>13</v>
      </c>
      <c r="B29" s="210"/>
      <c r="C29" s="216">
        <f>(B31+C26)*C28</f>
        <v>13344.826683063118</v>
      </c>
      <c r="D29" s="206">
        <f t="shared" ref="D29:N29" si="5">(D26+C31)*D28</f>
        <v>12607.108099450144</v>
      </c>
      <c r="E29" s="206">
        <f t="shared" si="5"/>
        <v>12043.919659212208</v>
      </c>
      <c r="F29" s="206">
        <f t="shared" si="5"/>
        <v>10364.646242109315</v>
      </c>
      <c r="G29" s="206">
        <f t="shared" si="5"/>
        <v>10947.4220358152</v>
      </c>
      <c r="H29" s="206">
        <f t="shared" si="5"/>
        <v>10815.348885150912</v>
      </c>
      <c r="I29" s="206">
        <f t="shared" si="5"/>
        <v>9978.5075957950303</v>
      </c>
      <c r="J29" s="206">
        <f t="shared" si="5"/>
        <v>9610.7300355727093</v>
      </c>
      <c r="K29" s="206">
        <f t="shared" si="5"/>
        <v>4417.4881000268833</v>
      </c>
      <c r="L29" s="206">
        <f t="shared" si="5"/>
        <v>561.69964137164277</v>
      </c>
      <c r="M29" s="206">
        <f t="shared" si="5"/>
        <v>491.51916823083604</v>
      </c>
      <c r="N29" s="207">
        <f t="shared" si="5"/>
        <v>653.61765891096729</v>
      </c>
    </row>
    <row r="30" spans="1:14" x14ac:dyDescent="0.25">
      <c r="A30" s="2"/>
      <c r="B30" s="213"/>
      <c r="C30" s="214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5"/>
    </row>
    <row r="31" spans="1:14" ht="15.75" thickBot="1" x14ac:dyDescent="0.3">
      <c r="A31" s="7" t="s">
        <v>14</v>
      </c>
      <c r="B31" s="233">
        <v>6810930.0499999998</v>
      </c>
      <c r="C31" s="227">
        <f>C26+C29+B31</f>
        <v>6824274.8766830629</v>
      </c>
      <c r="D31" s="208">
        <f>D26+D29+C31</f>
        <v>6836881.9847825132</v>
      </c>
      <c r="E31" s="208">
        <f t="shared" ref="E31:N31" si="6">E26+E29+D31</f>
        <v>6848925.9044417255</v>
      </c>
      <c r="F31" s="208">
        <f t="shared" si="6"/>
        <v>6859290.5506838346</v>
      </c>
      <c r="G31" s="208">
        <f t="shared" si="6"/>
        <v>6870237.9727196498</v>
      </c>
      <c r="H31" s="208">
        <f t="shared" si="6"/>
        <v>6881053.3216048004</v>
      </c>
      <c r="I31" s="208">
        <f t="shared" si="6"/>
        <v>6649102.8653070126</v>
      </c>
      <c r="J31" s="208">
        <f t="shared" si="6"/>
        <v>6116210.5353425853</v>
      </c>
      <c r="K31" s="208">
        <f t="shared" si="6"/>
        <v>5653019.4734426122</v>
      </c>
      <c r="L31" s="208">
        <f t="shared" si="6"/>
        <v>5222955.9330839841</v>
      </c>
      <c r="M31" s="208">
        <f t="shared" si="6"/>
        <v>4695381.152252215</v>
      </c>
      <c r="N31" s="209">
        <f t="shared" si="6"/>
        <v>4050678.1699111257</v>
      </c>
    </row>
    <row r="38" spans="3:9" x14ac:dyDescent="0.25">
      <c r="C38" s="130"/>
      <c r="D38" s="130"/>
      <c r="E38" s="130"/>
      <c r="F38" s="130"/>
      <c r="G38" s="130"/>
      <c r="H38" s="130"/>
      <c r="I38" s="130"/>
    </row>
    <row r="39" spans="3:9" x14ac:dyDescent="0.25">
      <c r="C39" s="131"/>
      <c r="D39" s="131"/>
      <c r="E39" s="131"/>
      <c r="F39" s="131"/>
      <c r="G39" s="131"/>
      <c r="H39" s="131"/>
      <c r="I39" s="131"/>
    </row>
    <row r="40" spans="3:9" x14ac:dyDescent="0.25">
      <c r="C40" s="131"/>
      <c r="D40" s="131"/>
      <c r="E40" s="131"/>
      <c r="F40" s="131"/>
      <c r="G40" s="131"/>
      <c r="H40" s="131"/>
      <c r="I40" s="131"/>
    </row>
    <row r="41" spans="3:9" x14ac:dyDescent="0.25">
      <c r="C41" s="131"/>
      <c r="D41" s="131"/>
      <c r="E41" s="131"/>
      <c r="F41" s="131"/>
      <c r="G41" s="131"/>
      <c r="H41" s="131"/>
      <c r="I41" s="131"/>
    </row>
  </sheetData>
  <mergeCells count="1">
    <mergeCell ref="C3:N3"/>
  </mergeCells>
  <pageMargins left="0.7" right="0.7" top="0.75" bottom="0.75" header="0.3" footer="0.3"/>
  <pageSetup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140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49100000</v>
      </c>
      <c r="EI2" s="91">
        <f>EG40</f>
        <v>0</v>
      </c>
      <c r="EM2" s="91"/>
      <c r="EN2" s="91">
        <f>EK41</f>
        <v>49100000</v>
      </c>
      <c r="EO2" s="84">
        <v>0</v>
      </c>
      <c r="EP2" s="84">
        <f>EN2+EO2</f>
        <v>49100000</v>
      </c>
      <c r="EQ2" s="84">
        <f>EE2+EO2</f>
        <v>49100000</v>
      </c>
    </row>
    <row r="3" spans="1:147" ht="16.5" thickTop="1" x14ac:dyDescent="0.25">
      <c r="A3" s="92" t="s">
        <v>184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34130645.161290325</v>
      </c>
      <c r="EI3" s="91">
        <f>AVERAGE(EG11:EG40)</f>
        <v>0</v>
      </c>
      <c r="EM3" s="91"/>
      <c r="EN3" s="91">
        <f>AVERAGE(EK11:EK41)</f>
        <v>34130645.161290325</v>
      </c>
    </row>
    <row r="4" spans="1:147" x14ac:dyDescent="0.25">
      <c r="D4" s="37"/>
      <c r="E4" s="99" t="s">
        <v>114</v>
      </c>
      <c r="F4" s="91"/>
      <c r="G4" s="100">
        <f>EQ2</f>
        <v>49100000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2.113931997542649E-2</v>
      </c>
      <c r="EI4" s="98">
        <f>IF(EI3=0,0,360*(AVERAGE(EH11:EH40)/EI3))</f>
        <v>0</v>
      </c>
      <c r="EM4" s="98"/>
      <c r="EN4" s="98">
        <f>IF(EN3=0,0,360*(AVERAGE(EM11:EM41)/EN3))</f>
        <v>2.113931997542649E-2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34130645.161290325</v>
      </c>
      <c r="AI5" s="104" t="s">
        <v>109</v>
      </c>
      <c r="EB5" s="105" t="s">
        <v>120</v>
      </c>
      <c r="EC5" s="105"/>
      <c r="ED5" s="91"/>
      <c r="EE5" s="91">
        <f>MAX(EB11:EB41)</f>
        <v>62800000</v>
      </c>
      <c r="EI5" s="91">
        <f>MAX(EG11:EG40)</f>
        <v>0</v>
      </c>
      <c r="EM5" s="91"/>
      <c r="EN5" s="91">
        <f>MAX(EK11:EK41)</f>
        <v>62800000</v>
      </c>
    </row>
    <row r="6" spans="1:147" x14ac:dyDescent="0.25">
      <c r="D6" s="37"/>
      <c r="E6" s="99" t="s">
        <v>118</v>
      </c>
      <c r="F6" s="91"/>
      <c r="G6" s="106">
        <f>EE4</f>
        <v>2.113931997542649E-2</v>
      </c>
    </row>
    <row r="7" spans="1:147" ht="16.5" thickBot="1" x14ac:dyDescent="0.3">
      <c r="D7" s="37"/>
      <c r="E7" s="107" t="s">
        <v>120</v>
      </c>
      <c r="F7" s="108"/>
      <c r="G7" s="109">
        <f>EE5</f>
        <v>62800000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43739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(AC11*AD11)/'[13]Input Sheet'!$B$11</f>
        <v>0</v>
      </c>
      <c r="AH11" s="93">
        <f>(AF11*AG11)/'[13]Input Sheet'!$B$11</f>
        <v>0</v>
      </c>
      <c r="AI11" s="124">
        <f>61900000</f>
        <v>61900000</v>
      </c>
      <c r="AJ11" s="125">
        <v>2.1999999999999999E-2</v>
      </c>
      <c r="AK11" s="93">
        <f>(AI11*AJ11)/360</f>
        <v>3782.7777777777778</v>
      </c>
      <c r="AL11" s="124"/>
      <c r="AM11" s="125"/>
      <c r="AN11" s="93">
        <f>(AL11*AM11)/360</f>
        <v>0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61900000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3782.7777777777778</v>
      </c>
      <c r="EE11" s="94">
        <f>IF(EB11&lt;&gt;0,((ED11/EB11)*360),0)</f>
        <v>2.1999999999999999E-2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61900000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3782.7777777777778</v>
      </c>
      <c r="EN11" s="94">
        <f>IF(EK11&lt;&gt;0,((EM11/EK11)*360),0)</f>
        <v>2.1999999999999999E-2</v>
      </c>
      <c r="EP11" s="93"/>
    </row>
    <row r="12" spans="1:147" x14ac:dyDescent="0.25">
      <c r="A12" s="39">
        <f>1+A11</f>
        <v>43740</v>
      </c>
      <c r="D12" s="93">
        <f t="shared" ref="D12:D41" si="0">(B12*C12)/360</f>
        <v>0</v>
      </c>
      <c r="G12" s="93">
        <f t="shared" ref="G12:G41" si="1">(E12*F12)/360</f>
        <v>0</v>
      </c>
      <c r="J12" s="93">
        <f t="shared" ref="J12:J41" si="2">(H12*I12)/360</f>
        <v>0</v>
      </c>
      <c r="M12" s="93">
        <f t="shared" ref="M12:M41" si="3">(K12*L12)/360</f>
        <v>0</v>
      </c>
      <c r="P12" s="93">
        <f t="shared" ref="P12:P41" si="4">(N12*O12)/360</f>
        <v>0</v>
      </c>
      <c r="S12" s="93">
        <f t="shared" ref="S12:S41" si="5">(Q12*R12)/360</f>
        <v>0</v>
      </c>
      <c r="V12" s="93">
        <f t="shared" ref="V12:V41" si="6">(T12*U12)/360</f>
        <v>0</v>
      </c>
      <c r="Y12" s="93">
        <f t="shared" ref="Y12:Y41" si="7">(W12*X12)/360</f>
        <v>0</v>
      </c>
      <c r="AB12" s="93">
        <f t="shared" ref="AB12:AB41" si="8">(Z12*AA12)/360</f>
        <v>0</v>
      </c>
      <c r="AE12" s="93">
        <f>(AC12*AD12)/'[13]Input Sheet'!$B$11</f>
        <v>0</v>
      </c>
      <c r="AH12" s="93">
        <f>(AF12*AG12)/'[13]Input Sheet'!$B$11</f>
        <v>0</v>
      </c>
      <c r="AI12" s="124">
        <f>51975000</f>
        <v>51975000</v>
      </c>
      <c r="AJ12" s="125">
        <v>2.18E-2</v>
      </c>
      <c r="AK12" s="93">
        <f t="shared" ref="AK12:AK41" si="9">(AI12*AJ12)/360</f>
        <v>3147.375</v>
      </c>
      <c r="AL12" s="124"/>
      <c r="AM12" s="125"/>
      <c r="AN12" s="93">
        <f t="shared" ref="AN12:AN41" si="10">(AL12*AM12)/360</f>
        <v>0</v>
      </c>
      <c r="AO12" s="124"/>
      <c r="AP12" s="125"/>
      <c r="AQ12" s="93">
        <f t="shared" ref="AQ12:AQ41" si="11">(AO12*AP12)/360</f>
        <v>0</v>
      </c>
      <c r="AR12" s="124"/>
      <c r="AS12" s="125"/>
      <c r="AT12" s="93">
        <f t="shared" ref="AT12:AT41" si="12">(AR12*AS12)/360</f>
        <v>0</v>
      </c>
      <c r="AW12" s="93">
        <f t="shared" ref="AW12:AW41" si="13">(AU12*AV12)/360</f>
        <v>0</v>
      </c>
      <c r="AZ12" s="93">
        <f t="shared" ref="AZ12:AZ41" si="14">(AX12*AY12)/360</f>
        <v>0</v>
      </c>
      <c r="BC12" s="93">
        <f t="shared" ref="BC12:BC41" si="15">(BA12*BB12)/360</f>
        <v>0</v>
      </c>
      <c r="BF12" s="93">
        <f t="shared" ref="BF12:BF41" si="16">(BD12*BE12)/360</f>
        <v>0</v>
      </c>
      <c r="BI12" s="93">
        <f t="shared" ref="BI12:BI41" si="17">(BG12*BH12)/360</f>
        <v>0</v>
      </c>
      <c r="BL12" s="93">
        <f t="shared" ref="BL12:BL41" si="18">(BJ12*BK12)/360</f>
        <v>0</v>
      </c>
      <c r="BO12" s="93">
        <f t="shared" ref="BO12:BO41" si="19">(BM12*BN12)/360</f>
        <v>0</v>
      </c>
      <c r="BR12" s="93">
        <f t="shared" ref="BR12:BR41" si="20">(BP12*BQ12)/360</f>
        <v>0</v>
      </c>
      <c r="BU12" s="93">
        <f t="shared" ref="BU12:BU41" si="21">(BS12*BT12)/360</f>
        <v>0</v>
      </c>
      <c r="BX12" s="93">
        <f t="shared" ref="BX12:BX41" si="22">(BV12*BW12)/360</f>
        <v>0</v>
      </c>
      <c r="CA12" s="93">
        <f t="shared" ref="CA12:CA41" si="23">(BY12*BZ12)/360</f>
        <v>0</v>
      </c>
      <c r="CD12" s="93">
        <f t="shared" ref="CD12:CD41" si="24">(CB12*CC12)/360</f>
        <v>0</v>
      </c>
      <c r="CG12" s="93">
        <f t="shared" ref="CG12:CG41" si="25">(CE12*CF12)/360</f>
        <v>0</v>
      </c>
      <c r="CJ12" s="93">
        <f t="shared" ref="CJ12:CJ41" si="26">(CH12*CI12)/360</f>
        <v>0</v>
      </c>
      <c r="CM12" s="93">
        <f t="shared" ref="CM12:CM41" si="27">(CK12*CL12)/360</f>
        <v>0</v>
      </c>
      <c r="CP12" s="93">
        <f t="shared" ref="CP12:CP41" si="28">(CN12*CO12)/360</f>
        <v>0</v>
      </c>
      <c r="CS12" s="93">
        <f t="shared" ref="CS12:CS41" si="29">(CQ12*CR12)/360</f>
        <v>0</v>
      </c>
      <c r="CV12" s="93">
        <f t="shared" ref="CV12:CV41" si="30">(CT12*CU12)/360</f>
        <v>0</v>
      </c>
      <c r="CY12" s="93">
        <f t="shared" ref="CY12:CY41" si="31">(CW12*CX12)/360</f>
        <v>0</v>
      </c>
      <c r="DB12" s="93">
        <f t="shared" ref="DB12:DB41" si="32">(CZ12*DA12)/360</f>
        <v>0</v>
      </c>
      <c r="DE12" s="93">
        <f t="shared" ref="DE12:DE41" si="33">(DC12*DD12)/360</f>
        <v>0</v>
      </c>
      <c r="DH12" s="93">
        <f t="shared" ref="DH12:DH41" si="34">(DF12*DG12)/360</f>
        <v>0</v>
      </c>
      <c r="DK12" s="93">
        <f t="shared" ref="DK12:DK41" si="35">(DI12*DJ12)/360</f>
        <v>0</v>
      </c>
      <c r="DN12" s="93">
        <f t="shared" ref="DN12:DN41" si="36">(DL12*DM12)/360</f>
        <v>0</v>
      </c>
      <c r="DQ12" s="93">
        <f t="shared" ref="DQ12:DQ41" si="37">(DO12*DP12)/360</f>
        <v>0</v>
      </c>
      <c r="DT12" s="93">
        <f t="shared" ref="DT12:DT41" si="38">(DR12*DS12)/360</f>
        <v>0</v>
      </c>
      <c r="DW12" s="93">
        <f t="shared" ref="DW12:DW41" si="39">(DU12*DV12)/360</f>
        <v>0</v>
      </c>
      <c r="DZ12" s="93"/>
      <c r="EA12" s="93"/>
      <c r="EB12" s="126">
        <f t="shared" ref="EB12:EB41" si="40">B12+E12+H12+K12+N12+Q12+T12+W12+Z12+AC12+AF12+AL12+AO12+AR12+AU12+AX12+BA12+BD12+BG12+DU12+AI12+DR12+DO12+DL12+DI12+DF12+DC12+CZ12+CW12+CT12+CQ12+CN12+CK12+CH12+CE12+CB12+BY12+BV12+BS12+BP12+BM12+BJ12</f>
        <v>51975000</v>
      </c>
      <c r="EC12" s="126">
        <f t="shared" ref="EC12:EC41" si="41">EB12-EK12+EL12</f>
        <v>0</v>
      </c>
      <c r="ED12" s="93">
        <f t="shared" ref="ED12:ED41" si="42">D12+G12+J12+M12+P12+S12+V12+Y12+AB12+AE12+AH12+AK12+AN12+AQ12+AT12+AW12+AZ12+BC12+BF12+BI12+DW12+DT12+DQ12+DN12+DK12+DH12+DE12+DB12+CY12+CV12+CS12+CP12+CM12+CJ12+CG12+CD12+CA12+BX12+BU12+BR12+BO12+BL12</f>
        <v>3147.375</v>
      </c>
      <c r="EE12" s="94">
        <f t="shared" ref="EE12:EE41" si="43">IF(EB12&lt;&gt;0,((ED12/EB12)*360),0)</f>
        <v>2.18E-2</v>
      </c>
      <c r="EG12" s="126">
        <f t="shared" ref="EG12:EG41" si="44">Q12+T12+W12+Z12+AC12+AF12</f>
        <v>0</v>
      </c>
      <c r="EH12" s="93">
        <f t="shared" ref="EH12:EH41" si="45">S12+V12+Y12+AB12+AE12+AH12</f>
        <v>0</v>
      </c>
      <c r="EI12" s="94">
        <f t="shared" ref="EI12:EI41" si="46">IF(EG12&lt;&gt;0,((EH12/EG12)*360),0)</f>
        <v>0</v>
      </c>
      <c r="EJ12" s="94"/>
      <c r="EK12" s="126">
        <f t="shared" ref="EK12:EK41" si="47">DR12+DL12+DI12+DF12+DC12+CZ12+CW12+CT12+CQ12+CN12+CK12+CH12+CE12+CB12+BY12+BV12+BS12+BP12+BM12+BJ12+BG12+BD12+BA12+AX12+AU12+AR12+AO12+AL12+AI12+DO12</f>
        <v>51975000</v>
      </c>
      <c r="EL12" s="126">
        <f t="shared" ref="EL12:EL41" si="48">DX12</f>
        <v>0</v>
      </c>
      <c r="EM12" s="126">
        <f t="shared" ref="EM12:EM41" si="49">DT12+DQ12+DN12+DK12+DH12+DE12+DB12+CY12+CV12+CS12+CP12+CM12+CJ12+CG12+CD12+CA12+BX12+BU12+BR12+BO12+BL12+BI12+BF12+BC12+AZ12+AW12+AT12+AQ12+AN12+AK12</f>
        <v>3147.375</v>
      </c>
      <c r="EN12" s="94">
        <f t="shared" ref="EN12:EN41" si="50">IF(EK12&lt;&gt;0,((EM12/EK12)*360),0)</f>
        <v>2.18E-2</v>
      </c>
      <c r="EP12" s="93"/>
    </row>
    <row r="13" spans="1:147" x14ac:dyDescent="0.25">
      <c r="A13" s="39">
        <f t="shared" ref="A13:A41" si="51">1+A12</f>
        <v>43741</v>
      </c>
      <c r="D13" s="93">
        <f t="shared" si="0"/>
        <v>0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(AC13*AD13)/'[13]Input Sheet'!$B$11</f>
        <v>0</v>
      </c>
      <c r="AH13" s="93">
        <f>(AF13*AG13)/'[13]Input Sheet'!$B$11</f>
        <v>0</v>
      </c>
      <c r="AI13" s="124">
        <f>47300000</f>
        <v>47300000</v>
      </c>
      <c r="AJ13" s="125">
        <v>2.18E-2</v>
      </c>
      <c r="AK13" s="93">
        <f t="shared" si="9"/>
        <v>2864.2777777777778</v>
      </c>
      <c r="AL13" s="124"/>
      <c r="AM13" s="125"/>
      <c r="AN13" s="93">
        <f t="shared" si="10"/>
        <v>0</v>
      </c>
      <c r="AO13" s="124"/>
      <c r="AP13" s="125"/>
      <c r="AQ13" s="93">
        <f t="shared" si="11"/>
        <v>0</v>
      </c>
      <c r="AR13" s="124"/>
      <c r="AS13" s="125"/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47300000</v>
      </c>
      <c r="EC13" s="126">
        <f t="shared" si="41"/>
        <v>0</v>
      </c>
      <c r="ED13" s="93">
        <f t="shared" si="42"/>
        <v>2864.2777777777778</v>
      </c>
      <c r="EE13" s="94">
        <f t="shared" si="43"/>
        <v>2.18E-2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47300000</v>
      </c>
      <c r="EL13" s="126">
        <f t="shared" si="48"/>
        <v>0</v>
      </c>
      <c r="EM13" s="126">
        <f t="shared" si="49"/>
        <v>2864.2777777777778</v>
      </c>
      <c r="EN13" s="94">
        <f t="shared" si="50"/>
        <v>2.18E-2</v>
      </c>
      <c r="EP13" s="93"/>
    </row>
    <row r="14" spans="1:147" x14ac:dyDescent="0.25">
      <c r="A14" s="39">
        <f t="shared" si="51"/>
        <v>43742</v>
      </c>
      <c r="D14" s="93">
        <f t="shared" si="0"/>
        <v>0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(AC14*AD14)/'[13]Input Sheet'!$B$11</f>
        <v>0</v>
      </c>
      <c r="AH14" s="93">
        <f>(AF14*AG14)/'[13]Input Sheet'!$B$11</f>
        <v>0</v>
      </c>
      <c r="AI14" s="124">
        <f>47100000</f>
        <v>47100000</v>
      </c>
      <c r="AJ14" s="125">
        <v>2.1499999999999998E-2</v>
      </c>
      <c r="AK14" s="93">
        <f t="shared" si="9"/>
        <v>2812.9166666666665</v>
      </c>
      <c r="AL14" s="124"/>
      <c r="AM14" s="125"/>
      <c r="AN14" s="93">
        <f t="shared" si="10"/>
        <v>0</v>
      </c>
      <c r="AO14" s="124"/>
      <c r="AP14" s="125"/>
      <c r="AQ14" s="93">
        <f t="shared" si="11"/>
        <v>0</v>
      </c>
      <c r="AR14" s="124"/>
      <c r="AS14" s="125"/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47100000</v>
      </c>
      <c r="EC14" s="126">
        <f t="shared" si="41"/>
        <v>0</v>
      </c>
      <c r="ED14" s="93">
        <f t="shared" si="42"/>
        <v>2812.9166666666665</v>
      </c>
      <c r="EE14" s="94">
        <f t="shared" si="43"/>
        <v>2.1499999999999998E-2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47100000</v>
      </c>
      <c r="EL14" s="126">
        <f t="shared" si="48"/>
        <v>0</v>
      </c>
      <c r="EM14" s="126">
        <f t="shared" si="49"/>
        <v>2812.9166666666665</v>
      </c>
      <c r="EN14" s="94">
        <f t="shared" si="50"/>
        <v>2.1499999999999998E-2</v>
      </c>
      <c r="EP14" s="93"/>
    </row>
    <row r="15" spans="1:147" x14ac:dyDescent="0.25">
      <c r="A15" s="39">
        <f t="shared" si="51"/>
        <v>43743</v>
      </c>
      <c r="D15" s="93">
        <f t="shared" si="0"/>
        <v>0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(AC15*AD15)/'[13]Input Sheet'!$B$11</f>
        <v>0</v>
      </c>
      <c r="AH15" s="93">
        <f>(AF15*AG15)/'[13]Input Sheet'!$B$11</f>
        <v>0</v>
      </c>
      <c r="AI15" s="124">
        <f>47100000</f>
        <v>47100000</v>
      </c>
      <c r="AJ15" s="125">
        <v>2.1499999999999998E-2</v>
      </c>
      <c r="AK15" s="93">
        <f t="shared" si="9"/>
        <v>2812.9166666666665</v>
      </c>
      <c r="AL15" s="124"/>
      <c r="AM15" s="125"/>
      <c r="AN15" s="93">
        <f t="shared" si="10"/>
        <v>0</v>
      </c>
      <c r="AO15" s="124"/>
      <c r="AP15" s="125"/>
      <c r="AQ15" s="93">
        <f t="shared" si="11"/>
        <v>0</v>
      </c>
      <c r="AR15" s="124"/>
      <c r="AS15" s="125"/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47100000</v>
      </c>
      <c r="EC15" s="126">
        <f t="shared" si="41"/>
        <v>0</v>
      </c>
      <c r="ED15" s="93">
        <f t="shared" si="42"/>
        <v>2812.9166666666665</v>
      </c>
      <c r="EE15" s="94">
        <f t="shared" si="43"/>
        <v>2.1499999999999998E-2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47100000</v>
      </c>
      <c r="EL15" s="126">
        <f t="shared" si="48"/>
        <v>0</v>
      </c>
      <c r="EM15" s="126">
        <f t="shared" si="49"/>
        <v>2812.9166666666665</v>
      </c>
      <c r="EN15" s="94">
        <f t="shared" si="50"/>
        <v>2.1499999999999998E-2</v>
      </c>
      <c r="EP15" s="93"/>
    </row>
    <row r="16" spans="1:147" x14ac:dyDescent="0.25">
      <c r="A16" s="39">
        <f t="shared" si="51"/>
        <v>43744</v>
      </c>
      <c r="D16" s="93">
        <f t="shared" si="0"/>
        <v>0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(AC16*AD16)/'[13]Input Sheet'!$B$11</f>
        <v>0</v>
      </c>
      <c r="AH16" s="93">
        <f>(AF16*AG16)/'[13]Input Sheet'!$B$11</f>
        <v>0</v>
      </c>
      <c r="AI16" s="124">
        <f>47100000</f>
        <v>47100000</v>
      </c>
      <c r="AJ16" s="125">
        <v>2.1499999999999998E-2</v>
      </c>
      <c r="AK16" s="93">
        <f t="shared" si="9"/>
        <v>2812.9166666666665</v>
      </c>
      <c r="AL16" s="124"/>
      <c r="AM16" s="125"/>
      <c r="AN16" s="93">
        <f t="shared" si="10"/>
        <v>0</v>
      </c>
      <c r="AO16" s="124"/>
      <c r="AP16" s="125"/>
      <c r="AQ16" s="93">
        <f t="shared" si="11"/>
        <v>0</v>
      </c>
      <c r="AR16" s="124"/>
      <c r="AS16" s="125"/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47100000</v>
      </c>
      <c r="EC16" s="126">
        <f t="shared" si="41"/>
        <v>0</v>
      </c>
      <c r="ED16" s="93">
        <f t="shared" si="42"/>
        <v>2812.9166666666665</v>
      </c>
      <c r="EE16" s="94">
        <f t="shared" si="43"/>
        <v>2.1499999999999998E-2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47100000</v>
      </c>
      <c r="EL16" s="126">
        <f t="shared" si="48"/>
        <v>0</v>
      </c>
      <c r="EM16" s="126">
        <f t="shared" si="49"/>
        <v>2812.9166666666665</v>
      </c>
      <c r="EN16" s="94">
        <f t="shared" si="50"/>
        <v>2.1499999999999998E-2</v>
      </c>
      <c r="EP16" s="93"/>
    </row>
    <row r="17" spans="1:146" x14ac:dyDescent="0.25">
      <c r="A17" s="39">
        <f t="shared" si="51"/>
        <v>43745</v>
      </c>
      <c r="D17" s="93">
        <f t="shared" si="0"/>
        <v>0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(AC17*AD17)/'[13]Input Sheet'!$B$11</f>
        <v>0</v>
      </c>
      <c r="AH17" s="93">
        <f>(AF17*AG17)/'[13]Input Sheet'!$B$11</f>
        <v>0</v>
      </c>
      <c r="AI17" s="124">
        <f>39400000</f>
        <v>39400000</v>
      </c>
      <c r="AJ17" s="125">
        <v>2.1499999999999998E-2</v>
      </c>
      <c r="AK17" s="93">
        <f t="shared" si="9"/>
        <v>2353.0555555555552</v>
      </c>
      <c r="AL17" s="124"/>
      <c r="AM17" s="125"/>
      <c r="AN17" s="93">
        <f t="shared" si="10"/>
        <v>0</v>
      </c>
      <c r="AO17" s="124"/>
      <c r="AP17" s="125"/>
      <c r="AQ17" s="93">
        <f t="shared" si="11"/>
        <v>0</v>
      </c>
      <c r="AR17" s="124"/>
      <c r="AS17" s="125"/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39400000</v>
      </c>
      <c r="EC17" s="126">
        <f t="shared" si="41"/>
        <v>0</v>
      </c>
      <c r="ED17" s="93">
        <f t="shared" si="42"/>
        <v>2353.0555555555552</v>
      </c>
      <c r="EE17" s="94">
        <f t="shared" si="43"/>
        <v>2.1499999999999998E-2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39400000</v>
      </c>
      <c r="EL17" s="126">
        <f t="shared" si="48"/>
        <v>0</v>
      </c>
      <c r="EM17" s="126">
        <f t="shared" si="49"/>
        <v>2353.0555555555552</v>
      </c>
      <c r="EN17" s="94">
        <f t="shared" si="50"/>
        <v>2.1499999999999998E-2</v>
      </c>
      <c r="EP17" s="93"/>
    </row>
    <row r="18" spans="1:146" x14ac:dyDescent="0.25">
      <c r="A18" s="39">
        <f t="shared" si="51"/>
        <v>43746</v>
      </c>
      <c r="D18" s="93">
        <f t="shared" si="0"/>
        <v>0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(AC18*AD18)/'[13]Input Sheet'!$B$11</f>
        <v>0</v>
      </c>
      <c r="AH18" s="93">
        <f>(AF18*AG18)/'[13]Input Sheet'!$B$11</f>
        <v>0</v>
      </c>
      <c r="AI18" s="124">
        <f>22200000</f>
        <v>22200000</v>
      </c>
      <c r="AJ18" s="125">
        <v>2.1499999999999998E-2</v>
      </c>
      <c r="AK18" s="93">
        <f t="shared" si="9"/>
        <v>1325.8333333333333</v>
      </c>
      <c r="AL18" s="124"/>
      <c r="AM18" s="125"/>
      <c r="AN18" s="93">
        <f t="shared" si="10"/>
        <v>0</v>
      </c>
      <c r="AO18" s="124"/>
      <c r="AP18" s="125"/>
      <c r="AQ18" s="93">
        <f t="shared" si="11"/>
        <v>0</v>
      </c>
      <c r="AR18" s="124"/>
      <c r="AS18" s="125"/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22200000</v>
      </c>
      <c r="EC18" s="126">
        <f t="shared" si="41"/>
        <v>0</v>
      </c>
      <c r="ED18" s="93">
        <f t="shared" si="42"/>
        <v>1325.8333333333333</v>
      </c>
      <c r="EE18" s="94">
        <f t="shared" si="43"/>
        <v>2.1499999999999998E-2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22200000</v>
      </c>
      <c r="EL18" s="126">
        <f t="shared" si="48"/>
        <v>0</v>
      </c>
      <c r="EM18" s="126">
        <f t="shared" si="49"/>
        <v>1325.8333333333333</v>
      </c>
      <c r="EN18" s="94">
        <f t="shared" si="50"/>
        <v>2.1499999999999998E-2</v>
      </c>
      <c r="EP18" s="93"/>
    </row>
    <row r="19" spans="1:146" x14ac:dyDescent="0.25">
      <c r="A19" s="39">
        <f t="shared" si="51"/>
        <v>43747</v>
      </c>
      <c r="D19" s="93">
        <f t="shared" si="0"/>
        <v>0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(AC19*AD19)/'[13]Input Sheet'!$B$11</f>
        <v>0</v>
      </c>
      <c r="AH19" s="93">
        <f>(AF19*AG19)/'[13]Input Sheet'!$B$11</f>
        <v>0</v>
      </c>
      <c r="AI19" s="124">
        <f>5025000</f>
        <v>5025000</v>
      </c>
      <c r="AJ19" s="125">
        <v>2.1499999999999998E-2</v>
      </c>
      <c r="AK19" s="93">
        <f t="shared" si="9"/>
        <v>300.10416666666663</v>
      </c>
      <c r="AL19" s="124"/>
      <c r="AM19" s="125"/>
      <c r="AN19" s="93">
        <f t="shared" si="10"/>
        <v>0</v>
      </c>
      <c r="AO19" s="124"/>
      <c r="AP19" s="125"/>
      <c r="AQ19" s="93">
        <f t="shared" si="11"/>
        <v>0</v>
      </c>
      <c r="AR19" s="124"/>
      <c r="AS19" s="125"/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5025000</v>
      </c>
      <c r="EC19" s="126">
        <f t="shared" si="41"/>
        <v>0</v>
      </c>
      <c r="ED19" s="93">
        <f t="shared" si="42"/>
        <v>300.10416666666663</v>
      </c>
      <c r="EE19" s="94">
        <f t="shared" si="43"/>
        <v>2.1499999999999998E-2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5025000</v>
      </c>
      <c r="EL19" s="126">
        <f t="shared" si="48"/>
        <v>0</v>
      </c>
      <c r="EM19" s="126">
        <f t="shared" si="49"/>
        <v>300.10416666666663</v>
      </c>
      <c r="EN19" s="94">
        <f t="shared" si="50"/>
        <v>2.1499999999999998E-2</v>
      </c>
      <c r="EP19" s="93"/>
    </row>
    <row r="20" spans="1:146" x14ac:dyDescent="0.25">
      <c r="A20" s="39">
        <f t="shared" si="51"/>
        <v>43748</v>
      </c>
      <c r="D20" s="93">
        <f t="shared" si="0"/>
        <v>0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(AC20*AD20)/'[13]Input Sheet'!$B$11</f>
        <v>0</v>
      </c>
      <c r="AH20" s="93">
        <f>(AF20*AG20)/'[13]Input Sheet'!$B$11</f>
        <v>0</v>
      </c>
      <c r="AI20" s="124"/>
      <c r="AJ20" s="125"/>
      <c r="AK20" s="93">
        <f t="shared" si="9"/>
        <v>0</v>
      </c>
      <c r="AL20" s="124"/>
      <c r="AM20" s="125"/>
      <c r="AN20" s="93">
        <f t="shared" si="10"/>
        <v>0</v>
      </c>
      <c r="AO20" s="124"/>
      <c r="AP20" s="125"/>
      <c r="AQ20" s="93">
        <f t="shared" si="11"/>
        <v>0</v>
      </c>
      <c r="AR20" s="124"/>
      <c r="AS20" s="125"/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0</v>
      </c>
      <c r="EC20" s="126">
        <f t="shared" si="41"/>
        <v>0</v>
      </c>
      <c r="ED20" s="93">
        <f t="shared" si="42"/>
        <v>0</v>
      </c>
      <c r="EE20" s="94">
        <f t="shared" si="43"/>
        <v>0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0</v>
      </c>
      <c r="EL20" s="126">
        <f t="shared" si="48"/>
        <v>0</v>
      </c>
      <c r="EM20" s="126">
        <f t="shared" si="49"/>
        <v>0</v>
      </c>
      <c r="EN20" s="94">
        <f t="shared" si="50"/>
        <v>0</v>
      </c>
      <c r="EP20" s="93"/>
    </row>
    <row r="21" spans="1:146" x14ac:dyDescent="0.25">
      <c r="A21" s="39">
        <f t="shared" si="51"/>
        <v>43749</v>
      </c>
      <c r="D21" s="93">
        <f t="shared" si="0"/>
        <v>0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(AC21*AD21)/'[13]Input Sheet'!$B$11</f>
        <v>0</v>
      </c>
      <c r="AH21" s="93">
        <f>(AF21*AG21)/'[13]Input Sheet'!$B$11</f>
        <v>0</v>
      </c>
      <c r="AI21" s="124">
        <f>4250000</f>
        <v>4250000</v>
      </c>
      <c r="AJ21" s="125">
        <v>2.1299999999999999E-2</v>
      </c>
      <c r="AK21" s="93">
        <f t="shared" si="9"/>
        <v>251.45833333333334</v>
      </c>
      <c r="AL21" s="124"/>
      <c r="AM21" s="125"/>
      <c r="AN21" s="93">
        <f t="shared" si="10"/>
        <v>0</v>
      </c>
      <c r="AO21" s="124"/>
      <c r="AP21" s="125"/>
      <c r="AQ21" s="93">
        <f t="shared" si="11"/>
        <v>0</v>
      </c>
      <c r="AR21" s="124"/>
      <c r="AS21" s="125"/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4250000</v>
      </c>
      <c r="EC21" s="126">
        <f t="shared" si="41"/>
        <v>0</v>
      </c>
      <c r="ED21" s="93">
        <f t="shared" si="42"/>
        <v>251.45833333333334</v>
      </c>
      <c r="EE21" s="94">
        <f t="shared" si="43"/>
        <v>2.1300000000000003E-2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4250000</v>
      </c>
      <c r="EL21" s="126">
        <f t="shared" si="48"/>
        <v>0</v>
      </c>
      <c r="EM21" s="126">
        <f t="shared" si="49"/>
        <v>251.45833333333334</v>
      </c>
      <c r="EN21" s="94">
        <f t="shared" si="50"/>
        <v>2.1300000000000003E-2</v>
      </c>
      <c r="EP21" s="93"/>
    </row>
    <row r="22" spans="1:146" x14ac:dyDescent="0.25">
      <c r="A22" s="39">
        <f t="shared" si="51"/>
        <v>43750</v>
      </c>
      <c r="D22" s="93">
        <f t="shared" si="0"/>
        <v>0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(AC22*AD22)/'[13]Input Sheet'!$B$11</f>
        <v>0</v>
      </c>
      <c r="AH22" s="93">
        <f>(AF22*AG22)/'[13]Input Sheet'!$B$11</f>
        <v>0</v>
      </c>
      <c r="AI22" s="124">
        <f>4250000</f>
        <v>4250000</v>
      </c>
      <c r="AJ22" s="125">
        <v>2.1299999999999999E-2</v>
      </c>
      <c r="AK22" s="93">
        <f t="shared" si="9"/>
        <v>251.45833333333334</v>
      </c>
      <c r="AL22" s="124"/>
      <c r="AM22" s="125"/>
      <c r="AN22" s="93">
        <f t="shared" si="10"/>
        <v>0</v>
      </c>
      <c r="AO22" s="124"/>
      <c r="AP22" s="125"/>
      <c r="AQ22" s="93">
        <f t="shared" si="11"/>
        <v>0</v>
      </c>
      <c r="AR22" s="124"/>
      <c r="AS22" s="125"/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4250000</v>
      </c>
      <c r="EC22" s="126">
        <f t="shared" si="41"/>
        <v>0</v>
      </c>
      <c r="ED22" s="93">
        <f t="shared" si="42"/>
        <v>251.45833333333334</v>
      </c>
      <c r="EE22" s="94">
        <f t="shared" si="43"/>
        <v>2.1300000000000003E-2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4250000</v>
      </c>
      <c r="EL22" s="126">
        <f t="shared" si="48"/>
        <v>0</v>
      </c>
      <c r="EM22" s="126">
        <f t="shared" si="49"/>
        <v>251.45833333333334</v>
      </c>
      <c r="EN22" s="94">
        <f t="shared" si="50"/>
        <v>2.1300000000000003E-2</v>
      </c>
      <c r="EP22" s="93"/>
    </row>
    <row r="23" spans="1:146" x14ac:dyDescent="0.25">
      <c r="A23" s="39">
        <f t="shared" si="51"/>
        <v>43751</v>
      </c>
      <c r="D23" s="93">
        <f t="shared" si="0"/>
        <v>0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(AC23*AD23)/'[13]Input Sheet'!$B$11</f>
        <v>0</v>
      </c>
      <c r="AH23" s="93">
        <f>(AF23*AG23)/'[13]Input Sheet'!$B$11</f>
        <v>0</v>
      </c>
      <c r="AI23" s="124">
        <f>4250000</f>
        <v>4250000</v>
      </c>
      <c r="AJ23" s="125">
        <v>2.1299999999999999E-2</v>
      </c>
      <c r="AK23" s="93">
        <f t="shared" si="9"/>
        <v>251.45833333333334</v>
      </c>
      <c r="AL23" s="124"/>
      <c r="AM23" s="125"/>
      <c r="AN23" s="93">
        <f t="shared" si="10"/>
        <v>0</v>
      </c>
      <c r="AO23" s="124"/>
      <c r="AP23" s="125"/>
      <c r="AQ23" s="93">
        <f t="shared" si="11"/>
        <v>0</v>
      </c>
      <c r="AR23" s="124"/>
      <c r="AS23" s="125"/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4250000</v>
      </c>
      <c r="EC23" s="126">
        <f t="shared" si="41"/>
        <v>0</v>
      </c>
      <c r="ED23" s="93">
        <f t="shared" si="42"/>
        <v>251.45833333333334</v>
      </c>
      <c r="EE23" s="94">
        <f t="shared" si="43"/>
        <v>2.1300000000000003E-2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4250000</v>
      </c>
      <c r="EL23" s="126">
        <f t="shared" si="48"/>
        <v>0</v>
      </c>
      <c r="EM23" s="126">
        <f t="shared" si="49"/>
        <v>251.45833333333334</v>
      </c>
      <c r="EN23" s="94">
        <f t="shared" si="50"/>
        <v>2.1300000000000003E-2</v>
      </c>
      <c r="EP23" s="93"/>
    </row>
    <row r="24" spans="1:146" x14ac:dyDescent="0.25">
      <c r="A24" s="39">
        <f t="shared" si="51"/>
        <v>43752</v>
      </c>
      <c r="D24" s="93">
        <f t="shared" si="0"/>
        <v>0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(AC24*AD24)/'[13]Input Sheet'!$B$11</f>
        <v>0</v>
      </c>
      <c r="AH24" s="93">
        <f>(AF24*AG24)/'[13]Input Sheet'!$B$11</f>
        <v>0</v>
      </c>
      <c r="AI24" s="124">
        <f>4250000</f>
        <v>4250000</v>
      </c>
      <c r="AJ24" s="125">
        <v>2.1299999999999999E-2</v>
      </c>
      <c r="AK24" s="93">
        <f t="shared" si="9"/>
        <v>251.45833333333334</v>
      </c>
      <c r="AL24" s="124"/>
      <c r="AM24" s="125"/>
      <c r="AN24" s="93">
        <f t="shared" si="10"/>
        <v>0</v>
      </c>
      <c r="AO24" s="124"/>
      <c r="AP24" s="125"/>
      <c r="AQ24" s="93">
        <f t="shared" si="11"/>
        <v>0</v>
      </c>
      <c r="AR24" s="124"/>
      <c r="AS24" s="125"/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4250000</v>
      </c>
      <c r="EC24" s="126">
        <f t="shared" si="41"/>
        <v>0</v>
      </c>
      <c r="ED24" s="93">
        <f t="shared" si="42"/>
        <v>251.45833333333334</v>
      </c>
      <c r="EE24" s="94">
        <f t="shared" si="43"/>
        <v>2.1300000000000003E-2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4250000</v>
      </c>
      <c r="EL24" s="126">
        <f t="shared" si="48"/>
        <v>0</v>
      </c>
      <c r="EM24" s="126">
        <f t="shared" si="49"/>
        <v>251.45833333333334</v>
      </c>
      <c r="EN24" s="94">
        <f t="shared" si="50"/>
        <v>2.1300000000000003E-2</v>
      </c>
      <c r="EP24" s="93"/>
    </row>
    <row r="25" spans="1:146" x14ac:dyDescent="0.25">
      <c r="A25" s="39">
        <f t="shared" si="51"/>
        <v>43753</v>
      </c>
      <c r="D25" s="93">
        <f t="shared" si="0"/>
        <v>0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(AC25*AD25)/'[13]Input Sheet'!$B$11</f>
        <v>0</v>
      </c>
      <c r="AH25" s="93">
        <f>(AF25*AG25)/'[13]Input Sheet'!$B$11</f>
        <v>0</v>
      </c>
      <c r="AI25" s="124">
        <f>24450000</f>
        <v>24450000</v>
      </c>
      <c r="AJ25" s="125">
        <v>2.12E-2</v>
      </c>
      <c r="AK25" s="93">
        <f t="shared" si="9"/>
        <v>1439.8333333333333</v>
      </c>
      <c r="AL25" s="124"/>
      <c r="AM25" s="125"/>
      <c r="AN25" s="93">
        <f t="shared" si="10"/>
        <v>0</v>
      </c>
      <c r="AO25" s="124"/>
      <c r="AP25" s="125"/>
      <c r="AQ25" s="93">
        <f t="shared" si="11"/>
        <v>0</v>
      </c>
      <c r="AR25" s="124"/>
      <c r="AS25" s="125"/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24450000</v>
      </c>
      <c r="EC25" s="126">
        <f t="shared" si="41"/>
        <v>0</v>
      </c>
      <c r="ED25" s="93">
        <f t="shared" si="42"/>
        <v>1439.8333333333333</v>
      </c>
      <c r="EE25" s="94">
        <f t="shared" si="43"/>
        <v>2.12E-2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24450000</v>
      </c>
      <c r="EL25" s="126">
        <f t="shared" si="48"/>
        <v>0</v>
      </c>
      <c r="EM25" s="126">
        <f t="shared" si="49"/>
        <v>1439.8333333333333</v>
      </c>
      <c r="EN25" s="94">
        <f t="shared" si="50"/>
        <v>2.12E-2</v>
      </c>
      <c r="EP25" s="93"/>
    </row>
    <row r="26" spans="1:146" x14ac:dyDescent="0.25">
      <c r="A26" s="39">
        <f t="shared" si="51"/>
        <v>43754</v>
      </c>
      <c r="D26" s="93">
        <f t="shared" si="0"/>
        <v>0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(AC26*AD26)/'[13]Input Sheet'!$B$11</f>
        <v>0</v>
      </c>
      <c r="AH26" s="93">
        <f>(AF26*AG26)/'[13]Input Sheet'!$B$11</f>
        <v>0</v>
      </c>
      <c r="AI26" s="124">
        <f>62800000</f>
        <v>62800000</v>
      </c>
      <c r="AJ26" s="125">
        <v>2.12E-2</v>
      </c>
      <c r="AK26" s="93">
        <f t="shared" si="9"/>
        <v>3698.2222222222222</v>
      </c>
      <c r="AL26" s="124"/>
      <c r="AM26" s="125"/>
      <c r="AN26" s="93">
        <f t="shared" si="10"/>
        <v>0</v>
      </c>
      <c r="AO26" s="124"/>
      <c r="AP26" s="125"/>
      <c r="AQ26" s="93">
        <f t="shared" si="11"/>
        <v>0</v>
      </c>
      <c r="AR26" s="124"/>
      <c r="AS26" s="125"/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62800000</v>
      </c>
      <c r="EC26" s="126">
        <f t="shared" si="41"/>
        <v>0</v>
      </c>
      <c r="ED26" s="93">
        <f t="shared" si="42"/>
        <v>3698.2222222222222</v>
      </c>
      <c r="EE26" s="94">
        <f t="shared" si="43"/>
        <v>2.12E-2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62800000</v>
      </c>
      <c r="EL26" s="126">
        <f t="shared" si="48"/>
        <v>0</v>
      </c>
      <c r="EM26" s="126">
        <f t="shared" si="49"/>
        <v>3698.2222222222222</v>
      </c>
      <c r="EN26" s="94">
        <f t="shared" si="50"/>
        <v>2.12E-2</v>
      </c>
      <c r="EP26" s="93"/>
    </row>
    <row r="27" spans="1:146" x14ac:dyDescent="0.25">
      <c r="A27" s="39">
        <f t="shared" si="51"/>
        <v>43755</v>
      </c>
      <c r="D27" s="93">
        <f t="shared" si="0"/>
        <v>0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(AC27*AD27)/'[13]Input Sheet'!$B$11</f>
        <v>0</v>
      </c>
      <c r="AH27" s="93">
        <f>(AF27*AG27)/'[13]Input Sheet'!$B$11</f>
        <v>0</v>
      </c>
      <c r="AI27" s="124">
        <f>39600000</f>
        <v>39600000</v>
      </c>
      <c r="AJ27" s="125">
        <v>2.1000000000000001E-2</v>
      </c>
      <c r="AK27" s="93">
        <f t="shared" si="9"/>
        <v>2310</v>
      </c>
      <c r="AL27" s="124"/>
      <c r="AM27" s="125"/>
      <c r="AN27" s="93">
        <f t="shared" si="10"/>
        <v>0</v>
      </c>
      <c r="AO27" s="124"/>
      <c r="AP27" s="125"/>
      <c r="AQ27" s="93">
        <f t="shared" si="11"/>
        <v>0</v>
      </c>
      <c r="AR27" s="124"/>
      <c r="AS27" s="125"/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39600000</v>
      </c>
      <c r="EC27" s="126">
        <f t="shared" si="41"/>
        <v>0</v>
      </c>
      <c r="ED27" s="93">
        <f t="shared" si="42"/>
        <v>2310</v>
      </c>
      <c r="EE27" s="94">
        <f t="shared" si="43"/>
        <v>2.1000000000000001E-2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39600000</v>
      </c>
      <c r="EL27" s="126">
        <f t="shared" si="48"/>
        <v>0</v>
      </c>
      <c r="EM27" s="126">
        <f t="shared" si="49"/>
        <v>2310</v>
      </c>
      <c r="EN27" s="94">
        <f t="shared" si="50"/>
        <v>2.1000000000000001E-2</v>
      </c>
      <c r="EP27" s="93"/>
    </row>
    <row r="28" spans="1:146" x14ac:dyDescent="0.25">
      <c r="A28" s="39">
        <f t="shared" si="51"/>
        <v>43756</v>
      </c>
      <c r="D28" s="93">
        <f t="shared" si="0"/>
        <v>0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(AC28*AD28)/'[13]Input Sheet'!$B$11</f>
        <v>0</v>
      </c>
      <c r="AH28" s="93">
        <f>(AF28*AG28)/'[13]Input Sheet'!$B$11</f>
        <v>0</v>
      </c>
      <c r="AI28" s="124">
        <f>43075000</f>
        <v>43075000</v>
      </c>
      <c r="AJ28" s="125">
        <v>2.1000000000000001E-2</v>
      </c>
      <c r="AK28" s="93">
        <f t="shared" si="9"/>
        <v>2512.7083333333335</v>
      </c>
      <c r="AL28" s="124"/>
      <c r="AM28" s="125"/>
      <c r="AN28" s="93">
        <f t="shared" si="10"/>
        <v>0</v>
      </c>
      <c r="AO28" s="124"/>
      <c r="AP28" s="125"/>
      <c r="AQ28" s="93">
        <f t="shared" si="11"/>
        <v>0</v>
      </c>
      <c r="AR28" s="124"/>
      <c r="AS28" s="125"/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43075000</v>
      </c>
      <c r="EC28" s="126">
        <f t="shared" si="41"/>
        <v>0</v>
      </c>
      <c r="ED28" s="93">
        <f t="shared" si="42"/>
        <v>2512.7083333333335</v>
      </c>
      <c r="EE28" s="94">
        <f t="shared" si="43"/>
        <v>2.1000000000000001E-2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43075000</v>
      </c>
      <c r="EL28" s="126">
        <f t="shared" si="48"/>
        <v>0</v>
      </c>
      <c r="EM28" s="126">
        <f t="shared" si="49"/>
        <v>2512.7083333333335</v>
      </c>
      <c r="EN28" s="94">
        <f t="shared" si="50"/>
        <v>2.1000000000000001E-2</v>
      </c>
      <c r="EP28" s="93"/>
    </row>
    <row r="29" spans="1:146" x14ac:dyDescent="0.25">
      <c r="A29" s="39">
        <f t="shared" si="51"/>
        <v>43757</v>
      </c>
      <c r="D29" s="93">
        <f t="shared" si="0"/>
        <v>0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(AC29*AD29)/'[13]Input Sheet'!$B$11</f>
        <v>0</v>
      </c>
      <c r="AH29" s="93">
        <f>(AF29*AG29)/'[13]Input Sheet'!$B$11</f>
        <v>0</v>
      </c>
      <c r="AI29" s="124">
        <f>43075000</f>
        <v>43075000</v>
      </c>
      <c r="AJ29" s="125">
        <v>2.1000000000000001E-2</v>
      </c>
      <c r="AK29" s="93">
        <f t="shared" si="9"/>
        <v>2512.7083333333335</v>
      </c>
      <c r="AL29" s="124"/>
      <c r="AM29" s="125"/>
      <c r="AN29" s="93">
        <f t="shared" si="10"/>
        <v>0</v>
      </c>
      <c r="AO29" s="124"/>
      <c r="AP29" s="125"/>
      <c r="AQ29" s="93">
        <f t="shared" si="11"/>
        <v>0</v>
      </c>
      <c r="AR29" s="124"/>
      <c r="AS29" s="125"/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43075000</v>
      </c>
      <c r="EC29" s="126">
        <f t="shared" si="41"/>
        <v>0</v>
      </c>
      <c r="ED29" s="93">
        <f t="shared" si="42"/>
        <v>2512.7083333333335</v>
      </c>
      <c r="EE29" s="94">
        <f t="shared" si="43"/>
        <v>2.1000000000000001E-2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43075000</v>
      </c>
      <c r="EL29" s="126">
        <f t="shared" si="48"/>
        <v>0</v>
      </c>
      <c r="EM29" s="126">
        <f t="shared" si="49"/>
        <v>2512.7083333333335</v>
      </c>
      <c r="EN29" s="94">
        <f t="shared" si="50"/>
        <v>2.1000000000000001E-2</v>
      </c>
      <c r="EP29" s="93"/>
    </row>
    <row r="30" spans="1:146" x14ac:dyDescent="0.25">
      <c r="A30" s="39">
        <f t="shared" si="51"/>
        <v>43758</v>
      </c>
      <c r="D30" s="93">
        <f t="shared" si="0"/>
        <v>0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(AC30*AD30)/'[13]Input Sheet'!$B$11</f>
        <v>0</v>
      </c>
      <c r="AH30" s="93">
        <f>(AF30*AG30)/'[13]Input Sheet'!$B$11</f>
        <v>0</v>
      </c>
      <c r="AI30" s="124">
        <f>43075000</f>
        <v>43075000</v>
      </c>
      <c r="AJ30" s="125">
        <v>2.1000000000000001E-2</v>
      </c>
      <c r="AK30" s="93">
        <f t="shared" si="9"/>
        <v>2512.7083333333335</v>
      </c>
      <c r="AL30" s="124"/>
      <c r="AM30" s="125"/>
      <c r="AN30" s="93">
        <f t="shared" si="10"/>
        <v>0</v>
      </c>
      <c r="AO30" s="124"/>
      <c r="AP30" s="125"/>
      <c r="AQ30" s="93">
        <f t="shared" si="11"/>
        <v>0</v>
      </c>
      <c r="AR30" s="124"/>
      <c r="AS30" s="125"/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43075000</v>
      </c>
      <c r="EC30" s="126">
        <f t="shared" si="41"/>
        <v>0</v>
      </c>
      <c r="ED30" s="93">
        <f t="shared" si="42"/>
        <v>2512.7083333333335</v>
      </c>
      <c r="EE30" s="94">
        <f t="shared" si="43"/>
        <v>2.1000000000000001E-2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43075000</v>
      </c>
      <c r="EL30" s="126">
        <f t="shared" si="48"/>
        <v>0</v>
      </c>
      <c r="EM30" s="126">
        <f t="shared" si="49"/>
        <v>2512.7083333333335</v>
      </c>
      <c r="EN30" s="94">
        <f t="shared" si="50"/>
        <v>2.1000000000000001E-2</v>
      </c>
      <c r="EP30" s="93"/>
    </row>
    <row r="31" spans="1:146" x14ac:dyDescent="0.25">
      <c r="A31" s="39">
        <f t="shared" si="51"/>
        <v>43759</v>
      </c>
      <c r="D31" s="93">
        <f t="shared" si="0"/>
        <v>0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(AC31*AD31)/'[13]Input Sheet'!$B$11</f>
        <v>0</v>
      </c>
      <c r="AH31" s="93">
        <f>(AF31*AG31)/'[13]Input Sheet'!$B$11</f>
        <v>0</v>
      </c>
      <c r="AI31" s="124">
        <f>54550000</f>
        <v>54550000</v>
      </c>
      <c r="AJ31" s="125">
        <v>2.1000000000000001E-2</v>
      </c>
      <c r="AK31" s="93">
        <f t="shared" si="9"/>
        <v>3182.0833333333335</v>
      </c>
      <c r="AL31" s="124"/>
      <c r="AM31" s="125"/>
      <c r="AN31" s="93">
        <f t="shared" si="10"/>
        <v>0</v>
      </c>
      <c r="AO31" s="124"/>
      <c r="AP31" s="125"/>
      <c r="AQ31" s="93">
        <f t="shared" si="11"/>
        <v>0</v>
      </c>
      <c r="AR31" s="124"/>
      <c r="AS31" s="125"/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54550000</v>
      </c>
      <c r="EC31" s="126">
        <f t="shared" si="41"/>
        <v>0</v>
      </c>
      <c r="ED31" s="93">
        <f t="shared" si="42"/>
        <v>3182.0833333333335</v>
      </c>
      <c r="EE31" s="94">
        <f t="shared" si="43"/>
        <v>2.1000000000000001E-2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54550000</v>
      </c>
      <c r="EL31" s="126">
        <f t="shared" si="48"/>
        <v>0</v>
      </c>
      <c r="EM31" s="126">
        <f t="shared" si="49"/>
        <v>3182.0833333333335</v>
      </c>
      <c r="EN31" s="94">
        <f t="shared" si="50"/>
        <v>2.1000000000000001E-2</v>
      </c>
      <c r="EP31" s="93"/>
    </row>
    <row r="32" spans="1:146" x14ac:dyDescent="0.25">
      <c r="A32" s="39">
        <f t="shared" si="51"/>
        <v>43760</v>
      </c>
      <c r="D32" s="93">
        <f t="shared" si="0"/>
        <v>0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(AC32*AD32)/'[13]Input Sheet'!$B$11</f>
        <v>0</v>
      </c>
      <c r="AH32" s="93">
        <f>(AF32*AG32)/'[13]Input Sheet'!$B$11</f>
        <v>0</v>
      </c>
      <c r="AI32" s="124">
        <f>43025000</f>
        <v>43025000</v>
      </c>
      <c r="AJ32" s="125">
        <v>2.1000000000000001E-2</v>
      </c>
      <c r="AK32" s="93">
        <f t="shared" si="9"/>
        <v>2509.7916666666665</v>
      </c>
      <c r="AL32" s="124"/>
      <c r="AM32" s="125"/>
      <c r="AN32" s="93">
        <f t="shared" si="10"/>
        <v>0</v>
      </c>
      <c r="AO32" s="124"/>
      <c r="AP32" s="125"/>
      <c r="AQ32" s="93">
        <f t="shared" si="11"/>
        <v>0</v>
      </c>
      <c r="AR32" s="124"/>
      <c r="AS32" s="125"/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43025000</v>
      </c>
      <c r="EC32" s="126">
        <f t="shared" si="41"/>
        <v>0</v>
      </c>
      <c r="ED32" s="93">
        <f t="shared" si="42"/>
        <v>2509.7916666666665</v>
      </c>
      <c r="EE32" s="94">
        <f t="shared" si="43"/>
        <v>2.1000000000000001E-2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43025000</v>
      </c>
      <c r="EL32" s="126">
        <f t="shared" si="48"/>
        <v>0</v>
      </c>
      <c r="EM32" s="126">
        <f t="shared" si="49"/>
        <v>2509.7916666666665</v>
      </c>
      <c r="EN32" s="94">
        <f t="shared" si="50"/>
        <v>2.1000000000000001E-2</v>
      </c>
      <c r="EP32" s="93"/>
    </row>
    <row r="33" spans="1:146" x14ac:dyDescent="0.25">
      <c r="A33" s="39">
        <f t="shared" si="51"/>
        <v>43761</v>
      </c>
      <c r="D33" s="93">
        <f t="shared" si="0"/>
        <v>0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(AC33*AD33)/'[13]Input Sheet'!$B$11</f>
        <v>0</v>
      </c>
      <c r="AH33" s="93">
        <f>(AF33*AG33)/'[13]Input Sheet'!$B$11</f>
        <v>0</v>
      </c>
      <c r="AI33" s="124">
        <f>29950000</f>
        <v>29950000</v>
      </c>
      <c r="AJ33" s="125">
        <v>2.1000000000000001E-2</v>
      </c>
      <c r="AK33" s="93">
        <f t="shared" si="9"/>
        <v>1747.0833333333333</v>
      </c>
      <c r="AL33" s="124"/>
      <c r="AM33" s="125"/>
      <c r="AN33" s="93">
        <f t="shared" si="10"/>
        <v>0</v>
      </c>
      <c r="AO33" s="124"/>
      <c r="AP33" s="125"/>
      <c r="AQ33" s="93">
        <f t="shared" si="11"/>
        <v>0</v>
      </c>
      <c r="AR33" s="124"/>
      <c r="AS33" s="125"/>
      <c r="AT33" s="93">
        <f t="shared" si="12"/>
        <v>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29950000</v>
      </c>
      <c r="EC33" s="126">
        <f t="shared" si="41"/>
        <v>0</v>
      </c>
      <c r="ED33" s="93">
        <f t="shared" si="42"/>
        <v>1747.0833333333333</v>
      </c>
      <c r="EE33" s="94">
        <f t="shared" si="43"/>
        <v>2.1000000000000001E-2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29950000</v>
      </c>
      <c r="EL33" s="126">
        <f t="shared" si="48"/>
        <v>0</v>
      </c>
      <c r="EM33" s="126">
        <f t="shared" si="49"/>
        <v>1747.0833333333333</v>
      </c>
      <c r="EN33" s="94">
        <f t="shared" si="50"/>
        <v>2.1000000000000001E-2</v>
      </c>
      <c r="EP33" s="93"/>
    </row>
    <row r="34" spans="1:146" x14ac:dyDescent="0.25">
      <c r="A34" s="39">
        <f t="shared" si="51"/>
        <v>43762</v>
      </c>
      <c r="D34" s="93">
        <f t="shared" si="0"/>
        <v>0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(AC34*AD34)/'[13]Input Sheet'!$B$11</f>
        <v>0</v>
      </c>
      <c r="AH34" s="93">
        <f>(AF34*AG34)/'[13]Input Sheet'!$B$11</f>
        <v>0</v>
      </c>
      <c r="AI34" s="124">
        <v>24100000</v>
      </c>
      <c r="AJ34" s="125">
        <v>2.0899999999999998E-2</v>
      </c>
      <c r="AK34" s="93">
        <f t="shared" si="9"/>
        <v>1399.1388888888887</v>
      </c>
      <c r="AL34" s="124"/>
      <c r="AM34" s="125"/>
      <c r="AN34" s="93">
        <f t="shared" si="10"/>
        <v>0</v>
      </c>
      <c r="AO34" s="124"/>
      <c r="AP34" s="125"/>
      <c r="AQ34" s="93">
        <f t="shared" si="11"/>
        <v>0</v>
      </c>
      <c r="AR34" s="124"/>
      <c r="AS34" s="125"/>
      <c r="AT34" s="93">
        <f t="shared" si="12"/>
        <v>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24100000</v>
      </c>
      <c r="EC34" s="126">
        <f t="shared" si="41"/>
        <v>0</v>
      </c>
      <c r="ED34" s="93">
        <f t="shared" si="42"/>
        <v>1399.1388888888887</v>
      </c>
      <c r="EE34" s="94">
        <f t="shared" si="43"/>
        <v>2.0899999999999995E-2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24100000</v>
      </c>
      <c r="EL34" s="126">
        <f t="shared" si="48"/>
        <v>0</v>
      </c>
      <c r="EM34" s="126">
        <f t="shared" si="49"/>
        <v>1399.1388888888887</v>
      </c>
      <c r="EN34" s="94">
        <f t="shared" si="50"/>
        <v>2.0899999999999995E-2</v>
      </c>
      <c r="EP34" s="93"/>
    </row>
    <row r="35" spans="1:146" x14ac:dyDescent="0.25">
      <c r="A35" s="39">
        <f t="shared" si="51"/>
        <v>43763</v>
      </c>
      <c r="D35" s="93">
        <f t="shared" si="0"/>
        <v>0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(AC35*AD35)/'[13]Input Sheet'!$B$11</f>
        <v>0</v>
      </c>
      <c r="AH35" s="93">
        <f>(AF35*AG35)/'[13]Input Sheet'!$B$11</f>
        <v>0</v>
      </c>
      <c r="AI35" s="124">
        <f>28450000</f>
        <v>28450000</v>
      </c>
      <c r="AJ35" s="125">
        <v>2.0899999999999998E-2</v>
      </c>
      <c r="AK35" s="93">
        <f t="shared" si="9"/>
        <v>1651.6805555555557</v>
      </c>
      <c r="AL35" s="124"/>
      <c r="AM35" s="125"/>
      <c r="AN35" s="93">
        <f t="shared" si="10"/>
        <v>0</v>
      </c>
      <c r="AO35" s="124"/>
      <c r="AP35" s="125"/>
      <c r="AQ35" s="93">
        <f t="shared" si="11"/>
        <v>0</v>
      </c>
      <c r="AR35" s="124"/>
      <c r="AS35" s="125"/>
      <c r="AT35" s="93">
        <f t="shared" si="12"/>
        <v>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28450000</v>
      </c>
      <c r="EC35" s="126">
        <f t="shared" si="41"/>
        <v>0</v>
      </c>
      <c r="ED35" s="93">
        <f t="shared" si="42"/>
        <v>1651.6805555555557</v>
      </c>
      <c r="EE35" s="94">
        <f t="shared" si="43"/>
        <v>2.0900000000000002E-2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28450000</v>
      </c>
      <c r="EL35" s="126">
        <f t="shared" si="48"/>
        <v>0</v>
      </c>
      <c r="EM35" s="126">
        <f t="shared" si="49"/>
        <v>1651.6805555555557</v>
      </c>
      <c r="EN35" s="94">
        <f t="shared" si="50"/>
        <v>2.0900000000000002E-2</v>
      </c>
      <c r="EP35" s="93"/>
    </row>
    <row r="36" spans="1:146" x14ac:dyDescent="0.25">
      <c r="A36" s="39">
        <f t="shared" si="51"/>
        <v>43764</v>
      </c>
      <c r="D36" s="93">
        <f t="shared" si="0"/>
        <v>0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(AC36*AD36)/'[13]Input Sheet'!$B$11</f>
        <v>0</v>
      </c>
      <c r="AH36" s="93">
        <f>(AF36*AG36)/'[13]Input Sheet'!$B$11</f>
        <v>0</v>
      </c>
      <c r="AI36" s="124">
        <f>28450000</f>
        <v>28450000</v>
      </c>
      <c r="AJ36" s="125">
        <v>2.0899999999999998E-2</v>
      </c>
      <c r="AK36" s="93">
        <f t="shared" si="9"/>
        <v>1651.6805555555557</v>
      </c>
      <c r="AL36" s="124"/>
      <c r="AM36" s="125"/>
      <c r="AN36" s="93">
        <f t="shared" si="10"/>
        <v>0</v>
      </c>
      <c r="AO36" s="124"/>
      <c r="AP36" s="125"/>
      <c r="AQ36" s="93">
        <f t="shared" si="11"/>
        <v>0</v>
      </c>
      <c r="AR36" s="124"/>
      <c r="AS36" s="125"/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28450000</v>
      </c>
      <c r="EC36" s="126">
        <f t="shared" si="41"/>
        <v>0</v>
      </c>
      <c r="ED36" s="93">
        <f t="shared" si="42"/>
        <v>1651.6805555555557</v>
      </c>
      <c r="EE36" s="94">
        <f t="shared" si="43"/>
        <v>2.0900000000000002E-2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28450000</v>
      </c>
      <c r="EL36" s="126">
        <f t="shared" si="48"/>
        <v>0</v>
      </c>
      <c r="EM36" s="126">
        <f t="shared" si="49"/>
        <v>1651.6805555555557</v>
      </c>
      <c r="EN36" s="94">
        <f t="shared" si="50"/>
        <v>2.0900000000000002E-2</v>
      </c>
      <c r="EP36" s="93"/>
    </row>
    <row r="37" spans="1:146" x14ac:dyDescent="0.25">
      <c r="A37" s="39">
        <f t="shared" si="51"/>
        <v>43765</v>
      </c>
      <c r="D37" s="93">
        <f t="shared" si="0"/>
        <v>0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(AC37*AD37)/'[13]Input Sheet'!$B$11</f>
        <v>0</v>
      </c>
      <c r="AH37" s="93">
        <f>(AF37*AG37)/'[13]Input Sheet'!$B$11</f>
        <v>0</v>
      </c>
      <c r="AI37" s="124">
        <f>28450000</f>
        <v>28450000</v>
      </c>
      <c r="AJ37" s="125">
        <v>2.0899999999999998E-2</v>
      </c>
      <c r="AK37" s="93">
        <f t="shared" si="9"/>
        <v>1651.6805555555557</v>
      </c>
      <c r="AL37" s="124"/>
      <c r="AM37" s="125"/>
      <c r="AN37" s="93">
        <f t="shared" si="10"/>
        <v>0</v>
      </c>
      <c r="AO37" s="124"/>
      <c r="AP37" s="125"/>
      <c r="AQ37" s="93">
        <f t="shared" si="11"/>
        <v>0</v>
      </c>
      <c r="AR37" s="124"/>
      <c r="AS37" s="125"/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28450000</v>
      </c>
      <c r="EC37" s="126">
        <f t="shared" si="41"/>
        <v>0</v>
      </c>
      <c r="ED37" s="93">
        <f t="shared" si="42"/>
        <v>1651.6805555555557</v>
      </c>
      <c r="EE37" s="94">
        <f t="shared" si="43"/>
        <v>2.0900000000000002E-2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28450000</v>
      </c>
      <c r="EL37" s="126">
        <f t="shared" si="48"/>
        <v>0</v>
      </c>
      <c r="EM37" s="126">
        <f t="shared" si="49"/>
        <v>1651.6805555555557</v>
      </c>
      <c r="EN37" s="94">
        <f t="shared" si="50"/>
        <v>2.0900000000000002E-2</v>
      </c>
      <c r="EP37" s="93"/>
    </row>
    <row r="38" spans="1:146" x14ac:dyDescent="0.25">
      <c r="A38" s="39">
        <f t="shared" si="51"/>
        <v>43766</v>
      </c>
      <c r="D38" s="93">
        <f t="shared" si="0"/>
        <v>0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(AC38*AD38)/'[13]Input Sheet'!$B$11</f>
        <v>0</v>
      </c>
      <c r="AH38" s="93">
        <f>(AF38*AG38)/'[13]Input Sheet'!$B$11</f>
        <v>0</v>
      </c>
      <c r="AI38" s="124">
        <f>49400000</f>
        <v>49400000</v>
      </c>
      <c r="AJ38" s="125">
        <v>2.0899999999999998E-2</v>
      </c>
      <c r="AK38" s="93">
        <f t="shared" si="9"/>
        <v>2867.9444444444443</v>
      </c>
      <c r="AL38" s="124"/>
      <c r="AM38" s="125"/>
      <c r="AN38" s="93">
        <f t="shared" si="10"/>
        <v>0</v>
      </c>
      <c r="AO38" s="124"/>
      <c r="AP38" s="125"/>
      <c r="AQ38" s="93">
        <f t="shared" si="11"/>
        <v>0</v>
      </c>
      <c r="AR38" s="124"/>
      <c r="AS38" s="125"/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49400000</v>
      </c>
      <c r="EC38" s="126">
        <f t="shared" si="41"/>
        <v>0</v>
      </c>
      <c r="ED38" s="93">
        <f t="shared" si="42"/>
        <v>2867.9444444444443</v>
      </c>
      <c r="EE38" s="94">
        <f t="shared" si="43"/>
        <v>2.0899999999999998E-2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49400000</v>
      </c>
      <c r="EL38" s="126">
        <f t="shared" si="48"/>
        <v>0</v>
      </c>
      <c r="EM38" s="126">
        <f t="shared" si="49"/>
        <v>2867.9444444444443</v>
      </c>
      <c r="EN38" s="94">
        <f t="shared" si="50"/>
        <v>2.0899999999999998E-2</v>
      </c>
      <c r="EP38" s="93"/>
    </row>
    <row r="39" spans="1:146" x14ac:dyDescent="0.25">
      <c r="A39" s="39">
        <f t="shared" si="51"/>
        <v>43767</v>
      </c>
      <c r="D39" s="93">
        <f t="shared" si="0"/>
        <v>0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(AC39*AD39)/'[13]Input Sheet'!$B$11</f>
        <v>0</v>
      </c>
      <c r="AH39" s="93">
        <f>(AF39*AG39)/'[13]Input Sheet'!$B$11</f>
        <v>0</v>
      </c>
      <c r="AI39" s="124">
        <f>39800000</f>
        <v>39800000</v>
      </c>
      <c r="AJ39" s="125">
        <v>2.0899999999999998E-2</v>
      </c>
      <c r="AK39" s="93">
        <f t="shared" si="9"/>
        <v>2310.6111111111109</v>
      </c>
      <c r="AL39" s="124"/>
      <c r="AM39" s="125"/>
      <c r="AN39" s="93">
        <f t="shared" si="10"/>
        <v>0</v>
      </c>
      <c r="AO39" s="124"/>
      <c r="AP39" s="125"/>
      <c r="AQ39" s="93">
        <f t="shared" si="11"/>
        <v>0</v>
      </c>
      <c r="AR39" s="124"/>
      <c r="AS39" s="125"/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39800000</v>
      </c>
      <c r="EC39" s="126">
        <f t="shared" si="41"/>
        <v>0</v>
      </c>
      <c r="ED39" s="93">
        <f t="shared" si="42"/>
        <v>2310.6111111111109</v>
      </c>
      <c r="EE39" s="94">
        <f t="shared" si="43"/>
        <v>2.0899999999999998E-2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39800000</v>
      </c>
      <c r="EL39" s="126">
        <f t="shared" si="48"/>
        <v>0</v>
      </c>
      <c r="EM39" s="126">
        <f t="shared" si="49"/>
        <v>2310.6111111111109</v>
      </c>
      <c r="EN39" s="94">
        <f t="shared" si="50"/>
        <v>2.0899999999999998E-2</v>
      </c>
      <c r="EP39" s="93"/>
    </row>
    <row r="40" spans="1:146" x14ac:dyDescent="0.25">
      <c r="A40" s="39">
        <f t="shared" si="51"/>
        <v>43768</v>
      </c>
      <c r="D40" s="93">
        <f t="shared" si="0"/>
        <v>0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(AC40*AD40)/'[13]Input Sheet'!$B$11</f>
        <v>0</v>
      </c>
      <c r="AH40" s="93">
        <f>(AF40*AG40)/'[13]Input Sheet'!$B$11</f>
        <v>0</v>
      </c>
      <c r="AI40" s="124">
        <f>40600000</f>
        <v>40600000</v>
      </c>
      <c r="AJ40" s="125">
        <v>2.07E-2</v>
      </c>
      <c r="AK40" s="93">
        <f t="shared" si="9"/>
        <v>2334.5</v>
      </c>
      <c r="AL40" s="124"/>
      <c r="AM40" s="125"/>
      <c r="AN40" s="93">
        <f t="shared" si="10"/>
        <v>0</v>
      </c>
      <c r="AO40" s="124"/>
      <c r="AP40" s="125"/>
      <c r="AQ40" s="93">
        <f t="shared" si="11"/>
        <v>0</v>
      </c>
      <c r="AR40" s="124"/>
      <c r="AS40" s="125"/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40600000</v>
      </c>
      <c r="EC40" s="126">
        <f t="shared" si="41"/>
        <v>0</v>
      </c>
      <c r="ED40" s="93">
        <f t="shared" si="42"/>
        <v>2334.5</v>
      </c>
      <c r="EE40" s="94">
        <f t="shared" si="43"/>
        <v>2.07E-2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40600000</v>
      </c>
      <c r="EL40" s="126">
        <f t="shared" si="48"/>
        <v>0</v>
      </c>
      <c r="EM40" s="126">
        <f t="shared" si="49"/>
        <v>2334.5</v>
      </c>
      <c r="EN40" s="94">
        <f t="shared" si="50"/>
        <v>2.07E-2</v>
      </c>
      <c r="EP40" s="93"/>
    </row>
    <row r="41" spans="1:146" x14ac:dyDescent="0.25">
      <c r="A41" s="39">
        <f t="shared" si="51"/>
        <v>43769</v>
      </c>
      <c r="D41" s="93">
        <f t="shared" si="0"/>
        <v>0</v>
      </c>
      <c r="G41" s="93">
        <f t="shared" si="1"/>
        <v>0</v>
      </c>
      <c r="J41" s="93">
        <f t="shared" si="2"/>
        <v>0</v>
      </c>
      <c r="M41" s="93">
        <f t="shared" si="3"/>
        <v>0</v>
      </c>
      <c r="P41" s="93">
        <f t="shared" si="4"/>
        <v>0</v>
      </c>
      <c r="S41" s="93">
        <f t="shared" si="5"/>
        <v>0</v>
      </c>
      <c r="V41" s="93">
        <f t="shared" si="6"/>
        <v>0</v>
      </c>
      <c r="Y41" s="93">
        <f t="shared" si="7"/>
        <v>0</v>
      </c>
      <c r="AB41" s="93">
        <f t="shared" si="8"/>
        <v>0</v>
      </c>
      <c r="AE41" s="93">
        <f>(AC41*AD41)/'[13]Input Sheet'!$B$11</f>
        <v>0</v>
      </c>
      <c r="AH41" s="93">
        <f>(AF41*AG41)/'[13]Input Sheet'!$B$11</f>
        <v>0</v>
      </c>
      <c r="AI41" s="124">
        <f>49100000</f>
        <v>49100000</v>
      </c>
      <c r="AJ41" s="125">
        <v>1.9199999999999998E-2</v>
      </c>
      <c r="AK41" s="93">
        <f t="shared" si="9"/>
        <v>2618.6666666666665</v>
      </c>
      <c r="AL41" s="124"/>
      <c r="AM41" s="125"/>
      <c r="AN41" s="93">
        <f t="shared" si="10"/>
        <v>0</v>
      </c>
      <c r="AO41" s="124"/>
      <c r="AP41" s="125"/>
      <c r="AQ41" s="93">
        <f t="shared" si="11"/>
        <v>0</v>
      </c>
      <c r="AR41" s="124"/>
      <c r="AS41" s="125"/>
      <c r="AT41" s="93">
        <f t="shared" si="12"/>
        <v>0</v>
      </c>
      <c r="AW41" s="93">
        <f t="shared" si="13"/>
        <v>0</v>
      </c>
      <c r="AZ41" s="93">
        <f t="shared" si="14"/>
        <v>0</v>
      </c>
      <c r="BC41" s="93">
        <f t="shared" si="15"/>
        <v>0</v>
      </c>
      <c r="BF41" s="93">
        <f t="shared" si="16"/>
        <v>0</v>
      </c>
      <c r="BI41" s="93">
        <f t="shared" si="17"/>
        <v>0</v>
      </c>
      <c r="BL41" s="93">
        <f t="shared" si="18"/>
        <v>0</v>
      </c>
      <c r="BO41" s="93">
        <f t="shared" si="19"/>
        <v>0</v>
      </c>
      <c r="BR41" s="93">
        <f t="shared" si="20"/>
        <v>0</v>
      </c>
      <c r="BU41" s="93">
        <f t="shared" si="21"/>
        <v>0</v>
      </c>
      <c r="BX41" s="93">
        <f t="shared" si="22"/>
        <v>0</v>
      </c>
      <c r="CA41" s="93">
        <f t="shared" si="23"/>
        <v>0</v>
      </c>
      <c r="CD41" s="93">
        <f t="shared" si="24"/>
        <v>0</v>
      </c>
      <c r="CG41" s="93">
        <f t="shared" si="25"/>
        <v>0</v>
      </c>
      <c r="CJ41" s="93">
        <f t="shared" si="26"/>
        <v>0</v>
      </c>
      <c r="CM41" s="93">
        <f t="shared" si="27"/>
        <v>0</v>
      </c>
      <c r="CP41" s="93">
        <f t="shared" si="28"/>
        <v>0</v>
      </c>
      <c r="CS41" s="93">
        <f t="shared" si="29"/>
        <v>0</v>
      </c>
      <c r="CV41" s="93">
        <f t="shared" si="30"/>
        <v>0</v>
      </c>
      <c r="CY41" s="93">
        <f t="shared" si="31"/>
        <v>0</v>
      </c>
      <c r="DB41" s="93">
        <f t="shared" si="32"/>
        <v>0</v>
      </c>
      <c r="DE41" s="93">
        <f t="shared" si="33"/>
        <v>0</v>
      </c>
      <c r="DH41" s="93">
        <f t="shared" si="34"/>
        <v>0</v>
      </c>
      <c r="DK41" s="93">
        <f t="shared" si="35"/>
        <v>0</v>
      </c>
      <c r="DN41" s="93">
        <f t="shared" si="36"/>
        <v>0</v>
      </c>
      <c r="DQ41" s="93">
        <f t="shared" si="37"/>
        <v>0</v>
      </c>
      <c r="DT41" s="93">
        <f t="shared" si="38"/>
        <v>0</v>
      </c>
      <c r="DW41" s="93">
        <f t="shared" si="39"/>
        <v>0</v>
      </c>
      <c r="DZ41" s="91"/>
      <c r="EA41" s="93"/>
      <c r="EB41" s="126">
        <f t="shared" si="40"/>
        <v>49100000</v>
      </c>
      <c r="EC41" s="126">
        <f t="shared" si="41"/>
        <v>0</v>
      </c>
      <c r="ED41" s="93">
        <f t="shared" si="42"/>
        <v>2618.6666666666665</v>
      </c>
      <c r="EE41" s="94">
        <f t="shared" si="43"/>
        <v>1.9199999999999998E-2</v>
      </c>
      <c r="EG41" s="126">
        <f t="shared" si="44"/>
        <v>0</v>
      </c>
      <c r="EH41" s="93">
        <f t="shared" si="45"/>
        <v>0</v>
      </c>
      <c r="EI41" s="94">
        <f t="shared" si="46"/>
        <v>0</v>
      </c>
      <c r="EJ41" s="94"/>
      <c r="EK41" s="126">
        <f t="shared" si="47"/>
        <v>49100000</v>
      </c>
      <c r="EL41" s="126">
        <f t="shared" si="48"/>
        <v>0</v>
      </c>
      <c r="EM41" s="126">
        <f t="shared" si="49"/>
        <v>2618.6666666666665</v>
      </c>
      <c r="EN41" s="94">
        <f t="shared" si="50"/>
        <v>1.9199999999999998E-2</v>
      </c>
      <c r="EP41" s="93"/>
    </row>
    <row r="42" spans="1:146" x14ac:dyDescent="0.25">
      <c r="A42" s="127" t="s">
        <v>88</v>
      </c>
      <c r="D42" s="128">
        <f>SUM(D11:D41)</f>
        <v>0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0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0</v>
      </c>
      <c r="AH42" s="128">
        <f>SUM(AH11:AH41)</f>
        <v>0</v>
      </c>
      <c r="AK42" s="128">
        <f>SUM(AK11:AK41)</f>
        <v>62129.048611111109</v>
      </c>
      <c r="AN42" s="128">
        <f>SUM(AN11:AN41)</f>
        <v>0</v>
      </c>
      <c r="AQ42" s="128">
        <f>SUM(AQ11:AQ41)</f>
        <v>0</v>
      </c>
      <c r="AT42" s="128">
        <f>SUM(AT11:AT41)</f>
        <v>0</v>
      </c>
      <c r="AW42" s="128">
        <f>SUM(AW11:AW41)</f>
        <v>0</v>
      </c>
      <c r="AZ42" s="128">
        <f>SUM(AZ11:AZ41)</f>
        <v>0</v>
      </c>
      <c r="BC42" s="128">
        <f>SUM(BC11:BC41)</f>
        <v>0</v>
      </c>
      <c r="BF42" s="128">
        <f>SUM(BF11:BF41)</f>
        <v>0</v>
      </c>
      <c r="BI42" s="128">
        <f>SUM(BI11:BI41)</f>
        <v>0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62129.048611111109</v>
      </c>
      <c r="EE42" s="94"/>
      <c r="EG42" s="93"/>
      <c r="EH42" s="128">
        <f>SUM(EH11:EH41)</f>
        <v>0</v>
      </c>
      <c r="EI42" s="94"/>
      <c r="EJ42" s="94"/>
      <c r="EK42" s="93"/>
      <c r="EL42" s="93"/>
      <c r="EM42" s="128">
        <f>SUM(EM11:EM41)</f>
        <v>62129.048611111109</v>
      </c>
      <c r="EN42" s="94"/>
    </row>
    <row r="44" spans="1:146" x14ac:dyDescent="0.25">
      <c r="EM44" s="129"/>
    </row>
    <row r="46" spans="1:146" x14ac:dyDescent="0.25">
      <c r="EM46" s="93"/>
    </row>
    <row r="48" spans="1:146" x14ac:dyDescent="0.25">
      <c r="EM48" s="9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Q47"/>
  <sheetViews>
    <sheetView workbookViewId="0">
      <selection activeCell="A12" sqref="A12"/>
    </sheetView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0.7109375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4" width="14.42578125" bestFit="1" customWidth="1"/>
    <col min="145" max="145" width="42.85546875" bestFit="1" customWidth="1"/>
    <col min="146" max="146" width="18.140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EB40</f>
        <v>84575000</v>
      </c>
      <c r="EI2" s="91">
        <f>EG40</f>
        <v>0</v>
      </c>
      <c r="EM2" s="91"/>
      <c r="EN2" s="91">
        <f>EK40</f>
        <v>84575000</v>
      </c>
      <c r="EO2" s="84">
        <v>-4280.9399999999996</v>
      </c>
      <c r="EP2" s="84">
        <f>EN2+EO2</f>
        <v>84570719.060000002</v>
      </c>
      <c r="EQ2" s="84">
        <f>EE2+EO2</f>
        <v>84570719.060000002</v>
      </c>
    </row>
    <row r="3" spans="1:147" ht="16.5" thickTop="1" x14ac:dyDescent="0.25">
      <c r="A3" s="92" t="s">
        <v>185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AVERAGE(EB11:EB40)</f>
        <v>40904166.666666664</v>
      </c>
      <c r="EI3" s="91">
        <f>AVERAGE(EG11:EG40)</f>
        <v>0</v>
      </c>
      <c r="EM3" s="91"/>
      <c r="EN3" s="91">
        <f>AVERAGE(EK11:EK40)</f>
        <v>40904166.666666664</v>
      </c>
    </row>
    <row r="4" spans="1:147" x14ac:dyDescent="0.25">
      <c r="D4" s="37"/>
      <c r="E4" s="99" t="s">
        <v>114</v>
      </c>
      <c r="F4" s="91"/>
      <c r="G4" s="100">
        <f>EQ2</f>
        <v>84570719.060000002</v>
      </c>
      <c r="AI4" s="101" t="s">
        <v>117</v>
      </c>
      <c r="EB4" s="37" t="s">
        <v>118</v>
      </c>
      <c r="EC4" s="37"/>
      <c r="ED4" s="98"/>
      <c r="EE4" s="98">
        <f>IF(EE3=0,0,360*(AVERAGE(ED11:ED40)/EE3))</f>
        <v>1.8159892024039934E-2</v>
      </c>
      <c r="EI4" s="98">
        <f>IF(EI3=0,0,360*(AVERAGE(EH11:EH40)/EI3))</f>
        <v>0</v>
      </c>
      <c r="EM4" s="98"/>
      <c r="EN4" s="98">
        <f>IF(EN3=0,0,360*(AVERAGE(EM11:EM40)/EN3))</f>
        <v>1.8159892024039934E-2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40904166.666666664</v>
      </c>
      <c r="AI5" s="104" t="s">
        <v>109</v>
      </c>
      <c r="EB5" s="105" t="s">
        <v>120</v>
      </c>
      <c r="EC5" s="105"/>
      <c r="ED5" s="91"/>
      <c r="EE5" s="91">
        <f>MAX(EB11:EB40)</f>
        <v>84575000</v>
      </c>
      <c r="EI5" s="91">
        <f>MAX(EG11:EG40)</f>
        <v>0</v>
      </c>
      <c r="EM5" s="91"/>
      <c r="EN5" s="91">
        <f>MAX(EK11:EK40)</f>
        <v>84575000</v>
      </c>
    </row>
    <row r="6" spans="1:147" x14ac:dyDescent="0.25">
      <c r="D6" s="37"/>
      <c r="E6" s="99" t="s">
        <v>118</v>
      </c>
      <c r="F6" s="91"/>
      <c r="G6" s="106">
        <f>EE4</f>
        <v>1.8159892024039934E-2</v>
      </c>
    </row>
    <row r="7" spans="1:147" ht="16.5" thickBot="1" x14ac:dyDescent="0.3">
      <c r="D7" s="37"/>
      <c r="E7" s="107" t="s">
        <v>120</v>
      </c>
      <c r="F7" s="108"/>
      <c r="G7" s="109">
        <f>EE5</f>
        <v>84575000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43770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(AC11*AD11)/'[14]Input Sheet'!$B$11</f>
        <v>0</v>
      </c>
      <c r="AH11" s="93">
        <f>(AF11*AG11)/'[14]Input Sheet'!$B$11</f>
        <v>0</v>
      </c>
      <c r="AI11" s="124">
        <f>49350000</f>
        <v>49350000</v>
      </c>
      <c r="AJ11" s="125">
        <v>1.8499999999999999E-2</v>
      </c>
      <c r="AK11" s="93">
        <f>(AI11*AJ11)/360</f>
        <v>2536.0416666666665</v>
      </c>
      <c r="AL11" s="124"/>
      <c r="AM11" s="125"/>
      <c r="AN11" s="93">
        <f>(AL11*AM11)/360</f>
        <v>0</v>
      </c>
      <c r="AQ11" s="93">
        <f>(AO11*AP11)/360</f>
        <v>0</v>
      </c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49350000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2536.0416666666665</v>
      </c>
      <c r="EE11" s="94">
        <f>IF(EB11&lt;&gt;0,((ED11/EB11)*360),0)</f>
        <v>1.8499999999999999E-2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49350000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2536.0416666666665</v>
      </c>
      <c r="EN11" s="94">
        <f>IF(EK11&lt;&gt;0,((EM11/EK11)*360),0)</f>
        <v>1.8499999999999999E-2</v>
      </c>
    </row>
    <row r="12" spans="1:147" x14ac:dyDescent="0.25">
      <c r="A12" s="39">
        <f>1+A11</f>
        <v>43771</v>
      </c>
      <c r="D12" s="93">
        <f t="shared" ref="D12:D40" si="0">(B12*C12)/360</f>
        <v>0</v>
      </c>
      <c r="G12" s="93">
        <f t="shared" ref="G12:G40" si="1">(E12*F12)/360</f>
        <v>0</v>
      </c>
      <c r="J12" s="93">
        <f t="shared" ref="J12:J40" si="2">(H12*I12)/360</f>
        <v>0</v>
      </c>
      <c r="M12" s="93">
        <f t="shared" ref="M12:M40" si="3">(K12*L12)/360</f>
        <v>0</v>
      </c>
      <c r="P12" s="93">
        <f t="shared" ref="P12:P40" si="4">(N12*O12)/360</f>
        <v>0</v>
      </c>
      <c r="S12" s="93">
        <f t="shared" ref="S12:S40" si="5">(Q12*R12)/360</f>
        <v>0</v>
      </c>
      <c r="V12" s="93">
        <f t="shared" ref="V12:V40" si="6">(T12*U12)/360</f>
        <v>0</v>
      </c>
      <c r="Y12" s="93">
        <f t="shared" ref="Y12:Y40" si="7">(W12*X12)/360</f>
        <v>0</v>
      </c>
      <c r="AB12" s="93">
        <f t="shared" ref="AB12:AB40" si="8">(Z12*AA12)/360</f>
        <v>0</v>
      </c>
      <c r="AE12" s="93">
        <f>(AC12*AD12)/'[14]Input Sheet'!$B$11</f>
        <v>0</v>
      </c>
      <c r="AH12" s="93">
        <f>(AF12*AG12)/'[14]Input Sheet'!$B$11</f>
        <v>0</v>
      </c>
      <c r="AI12" s="124">
        <f>49350000</f>
        <v>49350000</v>
      </c>
      <c r="AJ12" s="125">
        <v>1.8499999999999999E-2</v>
      </c>
      <c r="AK12" s="93">
        <f t="shared" ref="AK12:AK40" si="9">(AI12*AJ12)/360</f>
        <v>2536.0416666666665</v>
      </c>
      <c r="AL12" s="124"/>
      <c r="AM12" s="125"/>
      <c r="AN12" s="93">
        <f t="shared" ref="AN12:AN40" si="10">(AL12*AM12)/360</f>
        <v>0</v>
      </c>
      <c r="AQ12" s="93">
        <f t="shared" ref="AQ12:AQ40" si="11">(AO12*AP12)/360</f>
        <v>0</v>
      </c>
      <c r="AT12" s="93">
        <f t="shared" ref="AT12:AT40" si="12">(AR12*AS12)/360</f>
        <v>0</v>
      </c>
      <c r="AW12" s="93">
        <f t="shared" ref="AW12:AW40" si="13">(AU12*AV12)/360</f>
        <v>0</v>
      </c>
      <c r="AZ12" s="93">
        <f t="shared" ref="AZ12:AZ40" si="14">(AX12*AY12)/360</f>
        <v>0</v>
      </c>
      <c r="BC12" s="93">
        <f t="shared" ref="BC12:BC40" si="15">(BA12*BB12)/360</f>
        <v>0</v>
      </c>
      <c r="BF12" s="93">
        <f t="shared" ref="BF12:BF40" si="16">(BD12*BE12)/360</f>
        <v>0</v>
      </c>
      <c r="BI12" s="93">
        <f t="shared" ref="BI12:BI40" si="17">(BG12*BH12)/360</f>
        <v>0</v>
      </c>
      <c r="BL12" s="93">
        <f t="shared" ref="BL12:BL40" si="18">(BJ12*BK12)/360</f>
        <v>0</v>
      </c>
      <c r="BO12" s="93">
        <f t="shared" ref="BO12:BO40" si="19">(BM12*BN12)/360</f>
        <v>0</v>
      </c>
      <c r="BR12" s="93">
        <f t="shared" ref="BR12:BR40" si="20">(BP12*BQ12)/360</f>
        <v>0</v>
      </c>
      <c r="BU12" s="93">
        <f t="shared" ref="BU12:BU40" si="21">(BS12*BT12)/360</f>
        <v>0</v>
      </c>
      <c r="BX12" s="93">
        <f t="shared" ref="BX12:BX40" si="22">(BV12*BW12)/360</f>
        <v>0</v>
      </c>
      <c r="CA12" s="93">
        <f t="shared" ref="CA12:CA40" si="23">(BY12*BZ12)/360</f>
        <v>0</v>
      </c>
      <c r="CD12" s="93">
        <f t="shared" ref="CD12:CD40" si="24">(CB12*CC12)/360</f>
        <v>0</v>
      </c>
      <c r="CG12" s="93">
        <f t="shared" ref="CG12:CG40" si="25">(CE12*CF12)/360</f>
        <v>0</v>
      </c>
      <c r="CJ12" s="93">
        <f t="shared" ref="CJ12:CJ40" si="26">(CH12*CI12)/360</f>
        <v>0</v>
      </c>
      <c r="CM12" s="93">
        <f t="shared" ref="CM12:CM40" si="27">(CK12*CL12)/360</f>
        <v>0</v>
      </c>
      <c r="CP12" s="93">
        <f t="shared" ref="CP12:CP40" si="28">(CN12*CO12)/360</f>
        <v>0</v>
      </c>
      <c r="CS12" s="93">
        <f t="shared" ref="CS12:CS40" si="29">(CQ12*CR12)/360</f>
        <v>0</v>
      </c>
      <c r="CV12" s="93">
        <f t="shared" ref="CV12:CV40" si="30">(CT12*CU12)/360</f>
        <v>0</v>
      </c>
      <c r="CY12" s="93">
        <f t="shared" ref="CY12:CY40" si="31">(CW12*CX12)/360</f>
        <v>0</v>
      </c>
      <c r="DB12" s="93">
        <f t="shared" ref="DB12:DB40" si="32">(CZ12*DA12)/360</f>
        <v>0</v>
      </c>
      <c r="DE12" s="93">
        <f t="shared" ref="DE12:DE40" si="33">(DC12*DD12)/360</f>
        <v>0</v>
      </c>
      <c r="DH12" s="93">
        <f t="shared" ref="DH12:DH40" si="34">(DF12*DG12)/360</f>
        <v>0</v>
      </c>
      <c r="DK12" s="93">
        <f t="shared" ref="DK12:DK40" si="35">(DI12*DJ12)/360</f>
        <v>0</v>
      </c>
      <c r="DN12" s="93">
        <f t="shared" ref="DN12:DN40" si="36">(DL12*DM12)/360</f>
        <v>0</v>
      </c>
      <c r="DQ12" s="93">
        <f t="shared" ref="DQ12:DQ40" si="37">(DO12*DP12)/360</f>
        <v>0</v>
      </c>
      <c r="DT12" s="93">
        <f t="shared" ref="DT12:DT40" si="38">(DR12*DS12)/360</f>
        <v>0</v>
      </c>
      <c r="DW12" s="93">
        <f t="shared" ref="DW12:DW40" si="39">(DU12*DV12)/360</f>
        <v>0</v>
      </c>
      <c r="DZ12" s="93"/>
      <c r="EA12" s="93"/>
      <c r="EB12" s="126">
        <f t="shared" ref="EB12:EB40" si="40">B12+E12+H12+K12+N12+Q12+T12+W12+Z12+AC12+AF12+AL12+AO12+AR12+AU12+AX12+BA12+BD12+BG12+DU12+AI12+DR12+DO12+DL12+DI12+DF12+DC12+CZ12+CW12+CT12+CQ12+CN12+CK12+CH12+CE12+CB12+BY12+BV12+BS12+BP12+BM12+BJ12</f>
        <v>49350000</v>
      </c>
      <c r="EC12" s="126">
        <f t="shared" ref="EC12:EC40" si="41">EB12-EK12+EL12</f>
        <v>0</v>
      </c>
      <c r="ED12" s="93">
        <f t="shared" ref="ED12:ED40" si="42">D12+G12+J12+M12+P12+S12+V12+Y12+AB12+AE12+AH12+AK12+AN12+AQ12+AT12+AW12+AZ12+BC12+BF12+BI12+DW12+DT12+DQ12+DN12+DK12+DH12+DE12+DB12+CY12+CV12+CS12+CP12+CM12+CJ12+CG12+CD12+CA12+BX12+BU12+BR12+BO12+BL12</f>
        <v>2536.0416666666665</v>
      </c>
      <c r="EE12" s="94">
        <f t="shared" ref="EE12:EE40" si="43">IF(EB12&lt;&gt;0,((ED12/EB12)*360),0)</f>
        <v>1.8499999999999999E-2</v>
      </c>
      <c r="EG12" s="126">
        <f t="shared" ref="EG12:EG40" si="44">Q12+T12+W12+Z12+AC12+AF12</f>
        <v>0</v>
      </c>
      <c r="EH12" s="93">
        <f t="shared" ref="EH12:EH40" si="45">S12+V12+Y12+AB12+AE12+AH12</f>
        <v>0</v>
      </c>
      <c r="EI12" s="94">
        <f t="shared" ref="EI12:EI40" si="46">IF(EG12&lt;&gt;0,((EH12/EG12)*360),0)</f>
        <v>0</v>
      </c>
      <c r="EJ12" s="94"/>
      <c r="EK12" s="126">
        <f t="shared" ref="EK12:EK40" si="47">DR12+DL12+DI12+DF12+DC12+CZ12+CW12+CT12+CQ12+CN12+CK12+CH12+CE12+CB12+BY12+BV12+BS12+BP12+BM12+BJ12+BG12+BD12+BA12+AX12+AU12+AR12+AO12+AL12+AI12+DO12</f>
        <v>49350000</v>
      </c>
      <c r="EL12" s="126">
        <f t="shared" ref="EL12:EL40" si="48">DX12</f>
        <v>0</v>
      </c>
      <c r="EM12" s="126">
        <f t="shared" ref="EM12:EM40" si="49">DT12+DQ12+DN12+DK12+DH12+DE12+DB12+CY12+CV12+CS12+CP12+CM12+CJ12+CG12+CD12+CA12+BX12+BU12+BR12+BO12+BL12+BI12+BF12+BC12+AZ12+AW12+AT12+AQ12+AN12+AK12</f>
        <v>2536.0416666666665</v>
      </c>
      <c r="EN12" s="94">
        <f t="shared" ref="EN12:EN40" si="50">IF(EK12&lt;&gt;0,((EM12/EK12)*360),0)</f>
        <v>1.8499999999999999E-2</v>
      </c>
    </row>
    <row r="13" spans="1:147" x14ac:dyDescent="0.25">
      <c r="A13" s="39">
        <f t="shared" ref="A13:A40" si="51">1+A12</f>
        <v>43772</v>
      </c>
      <c r="D13" s="93">
        <f t="shared" si="0"/>
        <v>0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(AC13*AD13)/'[14]Input Sheet'!$B$11</f>
        <v>0</v>
      </c>
      <c r="AH13" s="93">
        <f>(AF13*AG13)/'[14]Input Sheet'!$B$11</f>
        <v>0</v>
      </c>
      <c r="AI13" s="124">
        <f>49350000</f>
        <v>49350000</v>
      </c>
      <c r="AJ13" s="125">
        <v>1.8499999999999999E-2</v>
      </c>
      <c r="AK13" s="93">
        <f t="shared" si="9"/>
        <v>2536.0416666666665</v>
      </c>
      <c r="AL13" s="124"/>
      <c r="AM13" s="125"/>
      <c r="AN13" s="93">
        <f t="shared" si="10"/>
        <v>0</v>
      </c>
      <c r="AQ13" s="93">
        <f t="shared" si="11"/>
        <v>0</v>
      </c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49350000</v>
      </c>
      <c r="EC13" s="126">
        <f t="shared" si="41"/>
        <v>0</v>
      </c>
      <c r="ED13" s="93">
        <f t="shared" si="42"/>
        <v>2536.0416666666665</v>
      </c>
      <c r="EE13" s="94">
        <f t="shared" si="43"/>
        <v>1.8499999999999999E-2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49350000</v>
      </c>
      <c r="EL13" s="126">
        <f t="shared" si="48"/>
        <v>0</v>
      </c>
      <c r="EM13" s="126">
        <f t="shared" si="49"/>
        <v>2536.0416666666665</v>
      </c>
      <c r="EN13" s="94">
        <f t="shared" si="50"/>
        <v>1.8499999999999999E-2</v>
      </c>
    </row>
    <row r="14" spans="1:147" x14ac:dyDescent="0.25">
      <c r="A14" s="39">
        <f t="shared" si="51"/>
        <v>43773</v>
      </c>
      <c r="D14" s="93">
        <f t="shared" si="0"/>
        <v>0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(AC14*AD14)/'[14]Input Sheet'!$B$11</f>
        <v>0</v>
      </c>
      <c r="AH14" s="93">
        <f>(AF14*AG14)/'[14]Input Sheet'!$B$11</f>
        <v>0</v>
      </c>
      <c r="AI14" s="124">
        <f>50075000</f>
        <v>50075000</v>
      </c>
      <c r="AJ14" s="125">
        <v>1.8499999999999999E-2</v>
      </c>
      <c r="AK14" s="93">
        <f t="shared" si="9"/>
        <v>2573.2986111111113</v>
      </c>
      <c r="AL14" s="124"/>
      <c r="AM14" s="125"/>
      <c r="AN14" s="93">
        <f t="shared" si="10"/>
        <v>0</v>
      </c>
      <c r="AQ14" s="93">
        <f t="shared" si="11"/>
        <v>0</v>
      </c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50075000</v>
      </c>
      <c r="EC14" s="126">
        <f t="shared" si="41"/>
        <v>0</v>
      </c>
      <c r="ED14" s="93">
        <f t="shared" si="42"/>
        <v>2573.2986111111113</v>
      </c>
      <c r="EE14" s="94">
        <f t="shared" si="43"/>
        <v>1.8499999999999999E-2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50075000</v>
      </c>
      <c r="EL14" s="126">
        <f t="shared" si="48"/>
        <v>0</v>
      </c>
      <c r="EM14" s="126">
        <f t="shared" si="49"/>
        <v>2573.2986111111113</v>
      </c>
      <c r="EN14" s="94">
        <f t="shared" si="50"/>
        <v>1.8499999999999999E-2</v>
      </c>
    </row>
    <row r="15" spans="1:147" x14ac:dyDescent="0.25">
      <c r="A15" s="39">
        <f t="shared" si="51"/>
        <v>43774</v>
      </c>
      <c r="D15" s="93">
        <f t="shared" si="0"/>
        <v>0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(AC15*AD15)/'[14]Input Sheet'!$B$11</f>
        <v>0</v>
      </c>
      <c r="AH15" s="93">
        <f>(AF15*AG15)/'[14]Input Sheet'!$B$11</f>
        <v>0</v>
      </c>
      <c r="AI15" s="124">
        <f>39100000+150000</f>
        <v>39250000</v>
      </c>
      <c r="AJ15" s="125">
        <v>1.8499999999999999E-2</v>
      </c>
      <c r="AK15" s="93">
        <f t="shared" si="9"/>
        <v>2017.0138888888889</v>
      </c>
      <c r="AL15" s="124"/>
      <c r="AM15" s="125"/>
      <c r="AN15" s="93">
        <f t="shared" si="10"/>
        <v>0</v>
      </c>
      <c r="AQ15" s="93">
        <f t="shared" si="11"/>
        <v>0</v>
      </c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39250000</v>
      </c>
      <c r="EC15" s="126">
        <f t="shared" si="41"/>
        <v>0</v>
      </c>
      <c r="ED15" s="93">
        <f t="shared" si="42"/>
        <v>2017.0138888888889</v>
      </c>
      <c r="EE15" s="94">
        <f t="shared" si="43"/>
        <v>1.8499999999999999E-2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39250000</v>
      </c>
      <c r="EL15" s="126">
        <f t="shared" si="48"/>
        <v>0</v>
      </c>
      <c r="EM15" s="126">
        <f t="shared" si="49"/>
        <v>2017.0138888888889</v>
      </c>
      <c r="EN15" s="94">
        <f t="shared" si="50"/>
        <v>1.8499999999999999E-2</v>
      </c>
    </row>
    <row r="16" spans="1:147" x14ac:dyDescent="0.25">
      <c r="A16" s="39">
        <f t="shared" si="51"/>
        <v>43775</v>
      </c>
      <c r="D16" s="93">
        <f t="shared" si="0"/>
        <v>0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(AC16*AD16)/'[14]Input Sheet'!$B$11</f>
        <v>0</v>
      </c>
      <c r="AH16" s="93">
        <f>(AF16*AG16)/'[14]Input Sheet'!$B$11</f>
        <v>0</v>
      </c>
      <c r="AI16" s="124">
        <f>30950000</f>
        <v>30950000</v>
      </c>
      <c r="AJ16" s="125">
        <v>1.84E-2</v>
      </c>
      <c r="AK16" s="93">
        <f t="shared" si="9"/>
        <v>1581.8888888888889</v>
      </c>
      <c r="AL16" s="124"/>
      <c r="AM16" s="125"/>
      <c r="AN16" s="93">
        <f t="shared" si="10"/>
        <v>0</v>
      </c>
      <c r="AQ16" s="93">
        <f t="shared" si="11"/>
        <v>0</v>
      </c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30950000</v>
      </c>
      <c r="EC16" s="126">
        <f t="shared" si="41"/>
        <v>0</v>
      </c>
      <c r="ED16" s="93">
        <f t="shared" si="42"/>
        <v>1581.8888888888889</v>
      </c>
      <c r="EE16" s="94">
        <f t="shared" si="43"/>
        <v>1.84E-2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30950000</v>
      </c>
      <c r="EL16" s="126">
        <f t="shared" si="48"/>
        <v>0</v>
      </c>
      <c r="EM16" s="126">
        <f t="shared" si="49"/>
        <v>1581.8888888888889</v>
      </c>
      <c r="EN16" s="94">
        <f t="shared" si="50"/>
        <v>1.84E-2</v>
      </c>
    </row>
    <row r="17" spans="1:144" x14ac:dyDescent="0.25">
      <c r="A17" s="39">
        <f t="shared" si="51"/>
        <v>43776</v>
      </c>
      <c r="D17" s="93">
        <f t="shared" si="0"/>
        <v>0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(AC17*AD17)/'[14]Input Sheet'!$B$11</f>
        <v>0</v>
      </c>
      <c r="AH17" s="93">
        <f>(AF17*AG17)/'[14]Input Sheet'!$B$11</f>
        <v>0</v>
      </c>
      <c r="AI17" s="124">
        <f>25050000</f>
        <v>25050000</v>
      </c>
      <c r="AJ17" s="125">
        <v>1.83E-2</v>
      </c>
      <c r="AK17" s="93">
        <f t="shared" si="9"/>
        <v>1273.375</v>
      </c>
      <c r="AL17" s="124"/>
      <c r="AM17" s="125"/>
      <c r="AN17" s="93">
        <f t="shared" si="10"/>
        <v>0</v>
      </c>
      <c r="AQ17" s="93">
        <f t="shared" si="11"/>
        <v>0</v>
      </c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25050000</v>
      </c>
      <c r="EC17" s="126">
        <f t="shared" si="41"/>
        <v>0</v>
      </c>
      <c r="ED17" s="93">
        <f t="shared" si="42"/>
        <v>1273.375</v>
      </c>
      <c r="EE17" s="94">
        <f t="shared" si="43"/>
        <v>1.83E-2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25050000</v>
      </c>
      <c r="EL17" s="126">
        <f t="shared" si="48"/>
        <v>0</v>
      </c>
      <c r="EM17" s="126">
        <f t="shared" si="49"/>
        <v>1273.375</v>
      </c>
      <c r="EN17" s="94">
        <f t="shared" si="50"/>
        <v>1.83E-2</v>
      </c>
    </row>
    <row r="18" spans="1:144" x14ac:dyDescent="0.25">
      <c r="A18" s="39">
        <f t="shared" si="51"/>
        <v>43777</v>
      </c>
      <c r="D18" s="93">
        <f t="shared" si="0"/>
        <v>0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(AC18*AD18)/'[14]Input Sheet'!$B$11</f>
        <v>0</v>
      </c>
      <c r="AH18" s="93">
        <f>(AF18*AG18)/'[14]Input Sheet'!$B$11</f>
        <v>0</v>
      </c>
      <c r="AI18" s="124">
        <f>25400000</f>
        <v>25400000</v>
      </c>
      <c r="AJ18" s="125">
        <v>1.83E-2</v>
      </c>
      <c r="AK18" s="93">
        <f t="shared" si="9"/>
        <v>1291.1666666666667</v>
      </c>
      <c r="AL18" s="124"/>
      <c r="AM18" s="125"/>
      <c r="AN18" s="93">
        <f t="shared" si="10"/>
        <v>0</v>
      </c>
      <c r="AQ18" s="93">
        <f t="shared" si="11"/>
        <v>0</v>
      </c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25400000</v>
      </c>
      <c r="EC18" s="126">
        <f t="shared" si="41"/>
        <v>0</v>
      </c>
      <c r="ED18" s="93">
        <f t="shared" si="42"/>
        <v>1291.1666666666667</v>
      </c>
      <c r="EE18" s="94">
        <f t="shared" si="43"/>
        <v>1.83E-2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25400000</v>
      </c>
      <c r="EL18" s="126">
        <f t="shared" si="48"/>
        <v>0</v>
      </c>
      <c r="EM18" s="126">
        <f t="shared" si="49"/>
        <v>1291.1666666666667</v>
      </c>
      <c r="EN18" s="94">
        <f t="shared" si="50"/>
        <v>1.83E-2</v>
      </c>
    </row>
    <row r="19" spans="1:144" x14ac:dyDescent="0.25">
      <c r="A19" s="39">
        <f t="shared" si="51"/>
        <v>43778</v>
      </c>
      <c r="D19" s="93">
        <f t="shared" si="0"/>
        <v>0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(AC19*AD19)/'[14]Input Sheet'!$B$11</f>
        <v>0</v>
      </c>
      <c r="AH19" s="93">
        <f>(AF19*AG19)/'[14]Input Sheet'!$B$11</f>
        <v>0</v>
      </c>
      <c r="AI19" s="124">
        <f>25400000</f>
        <v>25400000</v>
      </c>
      <c r="AJ19" s="125">
        <v>1.83E-2</v>
      </c>
      <c r="AK19" s="93">
        <f t="shared" si="9"/>
        <v>1291.1666666666667</v>
      </c>
      <c r="AL19" s="124"/>
      <c r="AM19" s="125"/>
      <c r="AN19" s="93">
        <f t="shared" si="10"/>
        <v>0</v>
      </c>
      <c r="AQ19" s="93">
        <f t="shared" si="11"/>
        <v>0</v>
      </c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25400000</v>
      </c>
      <c r="EC19" s="126">
        <f t="shared" si="41"/>
        <v>0</v>
      </c>
      <c r="ED19" s="93">
        <f t="shared" si="42"/>
        <v>1291.1666666666667</v>
      </c>
      <c r="EE19" s="94">
        <f t="shared" si="43"/>
        <v>1.83E-2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25400000</v>
      </c>
      <c r="EL19" s="126">
        <f t="shared" si="48"/>
        <v>0</v>
      </c>
      <c r="EM19" s="126">
        <f t="shared" si="49"/>
        <v>1291.1666666666667</v>
      </c>
      <c r="EN19" s="94">
        <f t="shared" si="50"/>
        <v>1.83E-2</v>
      </c>
    </row>
    <row r="20" spans="1:144" x14ac:dyDescent="0.25">
      <c r="A20" s="39">
        <f t="shared" si="51"/>
        <v>43779</v>
      </c>
      <c r="D20" s="93">
        <f t="shared" si="0"/>
        <v>0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(AC20*AD20)/'[14]Input Sheet'!$B$11</f>
        <v>0</v>
      </c>
      <c r="AH20" s="93">
        <f>(AF20*AG20)/'[14]Input Sheet'!$B$11</f>
        <v>0</v>
      </c>
      <c r="AI20" s="124">
        <f>25400000</f>
        <v>25400000</v>
      </c>
      <c r="AJ20" s="125">
        <v>1.83E-2</v>
      </c>
      <c r="AK20" s="93">
        <f t="shared" si="9"/>
        <v>1291.1666666666667</v>
      </c>
      <c r="AL20" s="124"/>
      <c r="AM20" s="125"/>
      <c r="AN20" s="93">
        <f t="shared" si="10"/>
        <v>0</v>
      </c>
      <c r="AQ20" s="93">
        <f t="shared" si="11"/>
        <v>0</v>
      </c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25400000</v>
      </c>
      <c r="EC20" s="126">
        <f t="shared" si="41"/>
        <v>0</v>
      </c>
      <c r="ED20" s="93">
        <f t="shared" si="42"/>
        <v>1291.1666666666667</v>
      </c>
      <c r="EE20" s="94">
        <f t="shared" si="43"/>
        <v>1.83E-2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25400000</v>
      </c>
      <c r="EL20" s="126">
        <f t="shared" si="48"/>
        <v>0</v>
      </c>
      <c r="EM20" s="126">
        <f t="shared" si="49"/>
        <v>1291.1666666666667</v>
      </c>
      <c r="EN20" s="94">
        <f t="shared" si="50"/>
        <v>1.83E-2</v>
      </c>
    </row>
    <row r="21" spans="1:144" x14ac:dyDescent="0.25">
      <c r="A21" s="39">
        <f t="shared" si="51"/>
        <v>43780</v>
      </c>
      <c r="D21" s="93">
        <f t="shared" si="0"/>
        <v>0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(AC21*AD21)/'[14]Input Sheet'!$B$11</f>
        <v>0</v>
      </c>
      <c r="AH21" s="93">
        <f>(AF21*AG21)/'[14]Input Sheet'!$B$11</f>
        <v>0</v>
      </c>
      <c r="AI21" s="124">
        <f>25400000</f>
        <v>25400000</v>
      </c>
      <c r="AJ21" s="125">
        <v>1.83E-2</v>
      </c>
      <c r="AK21" s="93">
        <f t="shared" si="9"/>
        <v>1291.1666666666667</v>
      </c>
      <c r="AL21" s="124"/>
      <c r="AM21" s="125"/>
      <c r="AN21" s="93">
        <f t="shared" si="10"/>
        <v>0</v>
      </c>
      <c r="AQ21" s="93">
        <f t="shared" si="11"/>
        <v>0</v>
      </c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25400000</v>
      </c>
      <c r="EC21" s="126">
        <f t="shared" si="41"/>
        <v>0</v>
      </c>
      <c r="ED21" s="93">
        <f t="shared" si="42"/>
        <v>1291.1666666666667</v>
      </c>
      <c r="EE21" s="94">
        <f t="shared" si="43"/>
        <v>1.83E-2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25400000</v>
      </c>
      <c r="EL21" s="126">
        <f t="shared" si="48"/>
        <v>0</v>
      </c>
      <c r="EM21" s="126">
        <f t="shared" si="49"/>
        <v>1291.1666666666667</v>
      </c>
      <c r="EN21" s="94">
        <f t="shared" si="50"/>
        <v>1.83E-2</v>
      </c>
    </row>
    <row r="22" spans="1:144" x14ac:dyDescent="0.25">
      <c r="A22" s="39">
        <f t="shared" si="51"/>
        <v>43781</v>
      </c>
      <c r="D22" s="93">
        <f t="shared" si="0"/>
        <v>0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(AC22*AD22)/'[14]Input Sheet'!$B$11</f>
        <v>0</v>
      </c>
      <c r="AH22" s="93">
        <f>(AF22*AG22)/'[14]Input Sheet'!$B$11</f>
        <v>0</v>
      </c>
      <c r="AI22" s="124">
        <f>24725000</f>
        <v>24725000</v>
      </c>
      <c r="AJ22" s="125">
        <v>1.8200000000000001E-2</v>
      </c>
      <c r="AK22" s="93">
        <f t="shared" si="9"/>
        <v>1249.9861111111111</v>
      </c>
      <c r="AL22" s="124"/>
      <c r="AM22" s="125"/>
      <c r="AN22" s="93">
        <f t="shared" si="10"/>
        <v>0</v>
      </c>
      <c r="AQ22" s="93">
        <f t="shared" si="11"/>
        <v>0</v>
      </c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24725000</v>
      </c>
      <c r="EC22" s="126">
        <f t="shared" si="41"/>
        <v>0</v>
      </c>
      <c r="ED22" s="93">
        <f t="shared" si="42"/>
        <v>1249.9861111111111</v>
      </c>
      <c r="EE22" s="94">
        <f t="shared" si="43"/>
        <v>1.8199999999999997E-2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24725000</v>
      </c>
      <c r="EL22" s="126">
        <f t="shared" si="48"/>
        <v>0</v>
      </c>
      <c r="EM22" s="126">
        <f t="shared" si="49"/>
        <v>1249.9861111111111</v>
      </c>
      <c r="EN22" s="94">
        <f t="shared" si="50"/>
        <v>1.8199999999999997E-2</v>
      </c>
    </row>
    <row r="23" spans="1:144" x14ac:dyDescent="0.25">
      <c r="A23" s="39">
        <f t="shared" si="51"/>
        <v>43782</v>
      </c>
      <c r="D23" s="93">
        <f t="shared" si="0"/>
        <v>0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(AC23*AD23)/'[14]Input Sheet'!$B$11</f>
        <v>0</v>
      </c>
      <c r="AH23" s="93">
        <f>(AF23*AG23)/'[14]Input Sheet'!$B$11</f>
        <v>0</v>
      </c>
      <c r="AI23" s="124">
        <f>22675000</f>
        <v>22675000</v>
      </c>
      <c r="AJ23" s="125">
        <v>1.7999999999999999E-2</v>
      </c>
      <c r="AK23" s="93">
        <f t="shared" si="9"/>
        <v>1133.7499999999998</v>
      </c>
      <c r="AL23" s="124"/>
      <c r="AM23" s="125"/>
      <c r="AN23" s="93">
        <f t="shared" si="10"/>
        <v>0</v>
      </c>
      <c r="AQ23" s="93">
        <f t="shared" si="11"/>
        <v>0</v>
      </c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22675000</v>
      </c>
      <c r="EC23" s="126">
        <f t="shared" si="41"/>
        <v>0</v>
      </c>
      <c r="ED23" s="93">
        <f t="shared" si="42"/>
        <v>1133.7499999999998</v>
      </c>
      <c r="EE23" s="94">
        <f t="shared" si="43"/>
        <v>1.7999999999999995E-2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22675000</v>
      </c>
      <c r="EL23" s="126">
        <f t="shared" si="48"/>
        <v>0</v>
      </c>
      <c r="EM23" s="126">
        <f t="shared" si="49"/>
        <v>1133.7499999999998</v>
      </c>
      <c r="EN23" s="94">
        <f t="shared" si="50"/>
        <v>1.7999999999999995E-2</v>
      </c>
    </row>
    <row r="24" spans="1:144" x14ac:dyDescent="0.25">
      <c r="A24" s="39">
        <f t="shared" si="51"/>
        <v>43783</v>
      </c>
      <c r="D24" s="93">
        <f t="shared" si="0"/>
        <v>0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(AC24*AD24)/'[14]Input Sheet'!$B$11</f>
        <v>0</v>
      </c>
      <c r="AH24" s="93">
        <f>(AF24*AG24)/'[14]Input Sheet'!$B$11</f>
        <v>0</v>
      </c>
      <c r="AI24" s="124">
        <f>30350000</f>
        <v>30350000</v>
      </c>
      <c r="AJ24" s="125">
        <v>1.7999999999999999E-2</v>
      </c>
      <c r="AK24" s="93">
        <f t="shared" si="9"/>
        <v>1517.5</v>
      </c>
      <c r="AL24" s="124"/>
      <c r="AM24" s="125"/>
      <c r="AN24" s="93">
        <f t="shared" si="10"/>
        <v>0</v>
      </c>
      <c r="AQ24" s="93">
        <f t="shared" si="11"/>
        <v>0</v>
      </c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30350000</v>
      </c>
      <c r="EC24" s="126">
        <f t="shared" si="41"/>
        <v>0</v>
      </c>
      <c r="ED24" s="93">
        <f t="shared" si="42"/>
        <v>1517.5</v>
      </c>
      <c r="EE24" s="94">
        <f t="shared" si="43"/>
        <v>1.8000000000000002E-2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30350000</v>
      </c>
      <c r="EL24" s="126">
        <f t="shared" si="48"/>
        <v>0</v>
      </c>
      <c r="EM24" s="126">
        <f t="shared" si="49"/>
        <v>1517.5</v>
      </c>
      <c r="EN24" s="94">
        <f t="shared" si="50"/>
        <v>1.8000000000000002E-2</v>
      </c>
    </row>
    <row r="25" spans="1:144" x14ac:dyDescent="0.25">
      <c r="A25" s="39">
        <f t="shared" si="51"/>
        <v>43784</v>
      </c>
      <c r="D25" s="93">
        <f t="shared" si="0"/>
        <v>0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(AC25*AD25)/'[14]Input Sheet'!$B$11</f>
        <v>0</v>
      </c>
      <c r="AH25" s="93">
        <f>(AF25*AG25)/'[14]Input Sheet'!$B$11</f>
        <v>0</v>
      </c>
      <c r="AI25" s="124">
        <f>33050000</f>
        <v>33050000</v>
      </c>
      <c r="AJ25" s="125">
        <v>1.7999999999999999E-2</v>
      </c>
      <c r="AK25" s="93">
        <f t="shared" si="9"/>
        <v>1652.5</v>
      </c>
      <c r="AL25" s="124"/>
      <c r="AM25" s="125"/>
      <c r="AN25" s="93">
        <f t="shared" si="10"/>
        <v>0</v>
      </c>
      <c r="AQ25" s="93">
        <f t="shared" si="11"/>
        <v>0</v>
      </c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33050000</v>
      </c>
      <c r="EC25" s="126">
        <f t="shared" si="41"/>
        <v>0</v>
      </c>
      <c r="ED25" s="93">
        <f t="shared" si="42"/>
        <v>1652.5</v>
      </c>
      <c r="EE25" s="94">
        <f t="shared" si="43"/>
        <v>1.8000000000000002E-2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33050000</v>
      </c>
      <c r="EL25" s="126">
        <f t="shared" si="48"/>
        <v>0</v>
      </c>
      <c r="EM25" s="126">
        <f t="shared" si="49"/>
        <v>1652.5</v>
      </c>
      <c r="EN25" s="94">
        <f t="shared" si="50"/>
        <v>1.8000000000000002E-2</v>
      </c>
    </row>
    <row r="26" spans="1:144" x14ac:dyDescent="0.25">
      <c r="A26" s="39">
        <f t="shared" si="51"/>
        <v>43785</v>
      </c>
      <c r="D26" s="93">
        <f t="shared" si="0"/>
        <v>0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(AC26*AD26)/'[14]Input Sheet'!$B$11</f>
        <v>0</v>
      </c>
      <c r="AH26" s="93">
        <f>(AF26*AG26)/'[14]Input Sheet'!$B$11</f>
        <v>0</v>
      </c>
      <c r="AI26" s="124">
        <f>33050000</f>
        <v>33050000</v>
      </c>
      <c r="AJ26" s="125">
        <v>1.7999999999999999E-2</v>
      </c>
      <c r="AK26" s="93">
        <f t="shared" si="9"/>
        <v>1652.5</v>
      </c>
      <c r="AL26" s="124"/>
      <c r="AM26" s="125"/>
      <c r="AN26" s="93">
        <f t="shared" si="10"/>
        <v>0</v>
      </c>
      <c r="AQ26" s="93">
        <f t="shared" si="11"/>
        <v>0</v>
      </c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33050000</v>
      </c>
      <c r="EC26" s="126">
        <f t="shared" si="41"/>
        <v>0</v>
      </c>
      <c r="ED26" s="93">
        <f t="shared" si="42"/>
        <v>1652.5</v>
      </c>
      <c r="EE26" s="94">
        <f t="shared" si="43"/>
        <v>1.8000000000000002E-2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33050000</v>
      </c>
      <c r="EL26" s="126">
        <f t="shared" si="48"/>
        <v>0</v>
      </c>
      <c r="EM26" s="126">
        <f t="shared" si="49"/>
        <v>1652.5</v>
      </c>
      <c r="EN26" s="94">
        <f t="shared" si="50"/>
        <v>1.8000000000000002E-2</v>
      </c>
    </row>
    <row r="27" spans="1:144" x14ac:dyDescent="0.25">
      <c r="A27" s="39">
        <f t="shared" si="51"/>
        <v>43786</v>
      </c>
      <c r="D27" s="93">
        <f t="shared" si="0"/>
        <v>0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(AC27*AD27)/'[14]Input Sheet'!$B$11</f>
        <v>0</v>
      </c>
      <c r="AH27" s="93">
        <f>(AF27*AG27)/'[14]Input Sheet'!$B$11</f>
        <v>0</v>
      </c>
      <c r="AI27" s="124">
        <f>33050000</f>
        <v>33050000</v>
      </c>
      <c r="AJ27" s="125">
        <v>1.7999999999999999E-2</v>
      </c>
      <c r="AK27" s="93">
        <f t="shared" si="9"/>
        <v>1652.5</v>
      </c>
      <c r="AL27" s="124"/>
      <c r="AM27" s="125"/>
      <c r="AN27" s="93">
        <f t="shared" si="10"/>
        <v>0</v>
      </c>
      <c r="AQ27" s="93">
        <f t="shared" si="11"/>
        <v>0</v>
      </c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33050000</v>
      </c>
      <c r="EC27" s="126">
        <f t="shared" si="41"/>
        <v>0</v>
      </c>
      <c r="ED27" s="93">
        <f t="shared" si="42"/>
        <v>1652.5</v>
      </c>
      <c r="EE27" s="94">
        <f t="shared" si="43"/>
        <v>1.8000000000000002E-2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33050000</v>
      </c>
      <c r="EL27" s="126">
        <f t="shared" si="48"/>
        <v>0</v>
      </c>
      <c r="EM27" s="126">
        <f t="shared" si="49"/>
        <v>1652.5</v>
      </c>
      <c r="EN27" s="94">
        <f t="shared" si="50"/>
        <v>1.8000000000000002E-2</v>
      </c>
    </row>
    <row r="28" spans="1:144" x14ac:dyDescent="0.25">
      <c r="A28" s="39">
        <f t="shared" si="51"/>
        <v>43787</v>
      </c>
      <c r="D28" s="93">
        <f t="shared" si="0"/>
        <v>0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(AC28*AD28)/'[14]Input Sheet'!$B$11</f>
        <v>0</v>
      </c>
      <c r="AH28" s="93">
        <f>(AF28*AG28)/'[14]Input Sheet'!$B$11</f>
        <v>0</v>
      </c>
      <c r="AI28" s="124">
        <f>24625000</f>
        <v>24625000</v>
      </c>
      <c r="AJ28" s="125">
        <v>1.7999999999999999E-2</v>
      </c>
      <c r="AK28" s="93">
        <f t="shared" si="9"/>
        <v>1231.2499999999998</v>
      </c>
      <c r="AL28" s="124"/>
      <c r="AM28" s="125"/>
      <c r="AN28" s="93">
        <f t="shared" si="10"/>
        <v>0</v>
      </c>
      <c r="AQ28" s="93">
        <f t="shared" si="11"/>
        <v>0</v>
      </c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24625000</v>
      </c>
      <c r="EC28" s="126">
        <f t="shared" si="41"/>
        <v>0</v>
      </c>
      <c r="ED28" s="93">
        <f t="shared" si="42"/>
        <v>1231.2499999999998</v>
      </c>
      <c r="EE28" s="94">
        <f t="shared" si="43"/>
        <v>1.7999999999999995E-2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24625000</v>
      </c>
      <c r="EL28" s="126">
        <f t="shared" si="48"/>
        <v>0</v>
      </c>
      <c r="EM28" s="126">
        <f t="shared" si="49"/>
        <v>1231.2499999999998</v>
      </c>
      <c r="EN28" s="94">
        <f t="shared" si="50"/>
        <v>1.7999999999999995E-2</v>
      </c>
    </row>
    <row r="29" spans="1:144" x14ac:dyDescent="0.25">
      <c r="A29" s="39">
        <f t="shared" si="51"/>
        <v>43788</v>
      </c>
      <c r="D29" s="93">
        <f t="shared" si="0"/>
        <v>0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(AC29*AD29)/'[14]Input Sheet'!$B$11</f>
        <v>0</v>
      </c>
      <c r="AH29" s="93">
        <f>(AF29*AG29)/'[14]Input Sheet'!$B$11</f>
        <v>0</v>
      </c>
      <c r="AI29" s="124">
        <f>16475000</f>
        <v>16475000</v>
      </c>
      <c r="AJ29" s="125">
        <v>1.7999999999999999E-2</v>
      </c>
      <c r="AK29" s="93">
        <f t="shared" si="9"/>
        <v>823.75</v>
      </c>
      <c r="AL29" s="124"/>
      <c r="AM29" s="125"/>
      <c r="AN29" s="93">
        <f t="shared" si="10"/>
        <v>0</v>
      </c>
      <c r="AQ29" s="93">
        <f t="shared" si="11"/>
        <v>0</v>
      </c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16475000</v>
      </c>
      <c r="EC29" s="126">
        <f t="shared" si="41"/>
        <v>0</v>
      </c>
      <c r="ED29" s="93">
        <f t="shared" si="42"/>
        <v>823.75</v>
      </c>
      <c r="EE29" s="94">
        <f t="shared" si="43"/>
        <v>1.8000000000000002E-2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16475000</v>
      </c>
      <c r="EL29" s="126">
        <f t="shared" si="48"/>
        <v>0</v>
      </c>
      <c r="EM29" s="126">
        <f t="shared" si="49"/>
        <v>823.75</v>
      </c>
      <c r="EN29" s="94">
        <f t="shared" si="50"/>
        <v>1.8000000000000002E-2</v>
      </c>
    </row>
    <row r="30" spans="1:144" x14ac:dyDescent="0.25">
      <c r="A30" s="39">
        <f t="shared" si="51"/>
        <v>43789</v>
      </c>
      <c r="D30" s="93">
        <f t="shared" si="0"/>
        <v>0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(AC30*AD30)/'[14]Input Sheet'!$B$11</f>
        <v>0</v>
      </c>
      <c r="AH30" s="93">
        <f>(AF30*AG30)/'[14]Input Sheet'!$B$11</f>
        <v>0</v>
      </c>
      <c r="AI30" s="124">
        <f>21775000</f>
        <v>21775000</v>
      </c>
      <c r="AJ30" s="125">
        <v>1.7999999999999999E-2</v>
      </c>
      <c r="AK30" s="93">
        <f t="shared" si="9"/>
        <v>1088.7499999999998</v>
      </c>
      <c r="AL30" s="124"/>
      <c r="AM30" s="125"/>
      <c r="AN30" s="93">
        <f t="shared" si="10"/>
        <v>0</v>
      </c>
      <c r="AQ30" s="93">
        <f t="shared" si="11"/>
        <v>0</v>
      </c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21775000</v>
      </c>
      <c r="EC30" s="126">
        <f t="shared" si="41"/>
        <v>0</v>
      </c>
      <c r="ED30" s="93">
        <f t="shared" si="42"/>
        <v>1088.7499999999998</v>
      </c>
      <c r="EE30" s="94">
        <f t="shared" si="43"/>
        <v>1.7999999999999995E-2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21775000</v>
      </c>
      <c r="EL30" s="126">
        <f t="shared" si="48"/>
        <v>0</v>
      </c>
      <c r="EM30" s="126">
        <f t="shared" si="49"/>
        <v>1088.7499999999998</v>
      </c>
      <c r="EN30" s="94">
        <f t="shared" si="50"/>
        <v>1.7999999999999995E-2</v>
      </c>
    </row>
    <row r="31" spans="1:144" x14ac:dyDescent="0.25">
      <c r="A31" s="39">
        <f t="shared" si="51"/>
        <v>43790</v>
      </c>
      <c r="D31" s="93">
        <f t="shared" si="0"/>
        <v>0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(AC31*AD31)/'[14]Input Sheet'!$B$11</f>
        <v>0</v>
      </c>
      <c r="AH31" s="93">
        <f>(AF31*AG31)/'[14]Input Sheet'!$B$11</f>
        <v>0</v>
      </c>
      <c r="AI31" s="124">
        <f>45600000</f>
        <v>45600000</v>
      </c>
      <c r="AJ31" s="125">
        <v>1.7999999999999999E-2</v>
      </c>
      <c r="AK31" s="93">
        <f t="shared" si="9"/>
        <v>2279.9999999999995</v>
      </c>
      <c r="AL31" s="124"/>
      <c r="AM31" s="125"/>
      <c r="AN31" s="93">
        <f t="shared" si="10"/>
        <v>0</v>
      </c>
      <c r="AQ31" s="93">
        <f t="shared" si="11"/>
        <v>0</v>
      </c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45600000</v>
      </c>
      <c r="EC31" s="126">
        <f t="shared" si="41"/>
        <v>0</v>
      </c>
      <c r="ED31" s="93">
        <f t="shared" si="42"/>
        <v>2279.9999999999995</v>
      </c>
      <c r="EE31" s="94">
        <f t="shared" si="43"/>
        <v>1.7999999999999995E-2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45600000</v>
      </c>
      <c r="EL31" s="126">
        <f t="shared" si="48"/>
        <v>0</v>
      </c>
      <c r="EM31" s="126">
        <f t="shared" si="49"/>
        <v>2279.9999999999995</v>
      </c>
      <c r="EN31" s="94">
        <f t="shared" si="50"/>
        <v>1.7999999999999995E-2</v>
      </c>
    </row>
    <row r="32" spans="1:144" x14ac:dyDescent="0.25">
      <c r="A32" s="39">
        <f t="shared" si="51"/>
        <v>43791</v>
      </c>
      <c r="D32" s="93">
        <f t="shared" si="0"/>
        <v>0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(AC32*AD32)/'[14]Input Sheet'!$B$11</f>
        <v>0</v>
      </c>
      <c r="AH32" s="93">
        <f>(AF32*AG32)/'[14]Input Sheet'!$B$11</f>
        <v>0</v>
      </c>
      <c r="AI32" s="124">
        <f>51250000</f>
        <v>51250000</v>
      </c>
      <c r="AJ32" s="125">
        <v>1.7899999999999999E-2</v>
      </c>
      <c r="AK32" s="93">
        <f t="shared" si="9"/>
        <v>2548.2638888888887</v>
      </c>
      <c r="AL32" s="124"/>
      <c r="AM32" s="125"/>
      <c r="AN32" s="93">
        <f t="shared" si="10"/>
        <v>0</v>
      </c>
      <c r="AQ32" s="93">
        <f t="shared" si="11"/>
        <v>0</v>
      </c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51250000</v>
      </c>
      <c r="EC32" s="126">
        <f t="shared" si="41"/>
        <v>0</v>
      </c>
      <c r="ED32" s="93">
        <f t="shared" si="42"/>
        <v>2548.2638888888887</v>
      </c>
      <c r="EE32" s="94">
        <f t="shared" si="43"/>
        <v>1.7899999999999999E-2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51250000</v>
      </c>
      <c r="EL32" s="126">
        <f t="shared" si="48"/>
        <v>0</v>
      </c>
      <c r="EM32" s="126">
        <f t="shared" si="49"/>
        <v>2548.2638888888887</v>
      </c>
      <c r="EN32" s="94">
        <f t="shared" si="50"/>
        <v>1.7899999999999999E-2</v>
      </c>
    </row>
    <row r="33" spans="1:144" x14ac:dyDescent="0.25">
      <c r="A33" s="39">
        <f t="shared" si="51"/>
        <v>43792</v>
      </c>
      <c r="D33" s="93">
        <f t="shared" si="0"/>
        <v>0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(AC33*AD33)/'[14]Input Sheet'!$B$11</f>
        <v>0</v>
      </c>
      <c r="AH33" s="93">
        <f>(AF33*AG33)/'[14]Input Sheet'!$B$11</f>
        <v>0</v>
      </c>
      <c r="AI33" s="124">
        <f>51250000</f>
        <v>51250000</v>
      </c>
      <c r="AJ33" s="125">
        <v>1.7899999999999999E-2</v>
      </c>
      <c r="AK33" s="93">
        <f t="shared" si="9"/>
        <v>2548.2638888888887</v>
      </c>
      <c r="AL33" s="124"/>
      <c r="AM33" s="125"/>
      <c r="AN33" s="93">
        <f t="shared" si="10"/>
        <v>0</v>
      </c>
      <c r="AQ33" s="93">
        <f t="shared" si="11"/>
        <v>0</v>
      </c>
      <c r="AT33" s="93">
        <f t="shared" si="12"/>
        <v>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51250000</v>
      </c>
      <c r="EC33" s="126">
        <f t="shared" si="41"/>
        <v>0</v>
      </c>
      <c r="ED33" s="93">
        <f t="shared" si="42"/>
        <v>2548.2638888888887</v>
      </c>
      <c r="EE33" s="94">
        <f t="shared" si="43"/>
        <v>1.7899999999999999E-2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51250000</v>
      </c>
      <c r="EL33" s="126">
        <f t="shared" si="48"/>
        <v>0</v>
      </c>
      <c r="EM33" s="126">
        <f t="shared" si="49"/>
        <v>2548.2638888888887</v>
      </c>
      <c r="EN33" s="94">
        <f t="shared" si="50"/>
        <v>1.7899999999999999E-2</v>
      </c>
    </row>
    <row r="34" spans="1:144" x14ac:dyDescent="0.25">
      <c r="A34" s="39">
        <f t="shared" si="51"/>
        <v>43793</v>
      </c>
      <c r="D34" s="93">
        <f t="shared" si="0"/>
        <v>0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(AC34*AD34)/'[14]Input Sheet'!$B$11</f>
        <v>0</v>
      </c>
      <c r="AH34" s="93">
        <f>(AF34*AG34)/'[14]Input Sheet'!$B$11</f>
        <v>0</v>
      </c>
      <c r="AI34" s="124">
        <f>51250000</f>
        <v>51250000</v>
      </c>
      <c r="AJ34" s="125">
        <v>1.7899999999999999E-2</v>
      </c>
      <c r="AK34" s="93">
        <f t="shared" si="9"/>
        <v>2548.2638888888887</v>
      </c>
      <c r="AL34" s="124"/>
      <c r="AM34" s="125"/>
      <c r="AN34" s="93">
        <f t="shared" si="10"/>
        <v>0</v>
      </c>
      <c r="AQ34" s="93">
        <f t="shared" si="11"/>
        <v>0</v>
      </c>
      <c r="AT34" s="93">
        <f t="shared" si="12"/>
        <v>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51250000</v>
      </c>
      <c r="EC34" s="126">
        <f t="shared" si="41"/>
        <v>0</v>
      </c>
      <c r="ED34" s="93">
        <f t="shared" si="42"/>
        <v>2548.2638888888887</v>
      </c>
      <c r="EE34" s="94">
        <f t="shared" si="43"/>
        <v>1.7899999999999999E-2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51250000</v>
      </c>
      <c r="EL34" s="126">
        <f t="shared" si="48"/>
        <v>0</v>
      </c>
      <c r="EM34" s="126">
        <f t="shared" si="49"/>
        <v>2548.2638888888887</v>
      </c>
      <c r="EN34" s="94">
        <f t="shared" si="50"/>
        <v>1.7899999999999999E-2</v>
      </c>
    </row>
    <row r="35" spans="1:144" x14ac:dyDescent="0.25">
      <c r="A35" s="39">
        <f t="shared" si="51"/>
        <v>43794</v>
      </c>
      <c r="D35" s="93">
        <f t="shared" si="0"/>
        <v>0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(AC35*AD35)/'[14]Input Sheet'!$B$11</f>
        <v>0</v>
      </c>
      <c r="AH35" s="93">
        <f>(AF35*AG35)/'[14]Input Sheet'!$B$11</f>
        <v>0</v>
      </c>
      <c r="AI35" s="124">
        <f>57475000</f>
        <v>57475000</v>
      </c>
      <c r="AJ35" s="125">
        <v>1.7999999999999999E-2</v>
      </c>
      <c r="AK35" s="93">
        <f t="shared" si="9"/>
        <v>2873.7499999999995</v>
      </c>
      <c r="AL35" s="124"/>
      <c r="AM35" s="125"/>
      <c r="AN35" s="93">
        <f t="shared" si="10"/>
        <v>0</v>
      </c>
      <c r="AQ35" s="93">
        <f t="shared" si="11"/>
        <v>0</v>
      </c>
      <c r="AT35" s="93">
        <f t="shared" si="12"/>
        <v>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57475000</v>
      </c>
      <c r="EC35" s="126">
        <f t="shared" si="41"/>
        <v>0</v>
      </c>
      <c r="ED35" s="93">
        <f t="shared" si="42"/>
        <v>2873.7499999999995</v>
      </c>
      <c r="EE35" s="94">
        <f t="shared" si="43"/>
        <v>1.7999999999999995E-2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57475000</v>
      </c>
      <c r="EL35" s="126">
        <f t="shared" si="48"/>
        <v>0</v>
      </c>
      <c r="EM35" s="126">
        <f t="shared" si="49"/>
        <v>2873.7499999999995</v>
      </c>
      <c r="EN35" s="94">
        <f t="shared" si="50"/>
        <v>1.7999999999999995E-2</v>
      </c>
    </row>
    <row r="36" spans="1:144" x14ac:dyDescent="0.25">
      <c r="A36" s="39">
        <f t="shared" si="51"/>
        <v>43795</v>
      </c>
      <c r="D36" s="93">
        <f t="shared" si="0"/>
        <v>0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(AC36*AD36)/'[14]Input Sheet'!$B$11</f>
        <v>0</v>
      </c>
      <c r="AH36" s="93">
        <f>(AF36*AG36)/'[14]Input Sheet'!$B$11</f>
        <v>0</v>
      </c>
      <c r="AI36" s="124">
        <f>50750000</f>
        <v>50750000</v>
      </c>
      <c r="AJ36" s="125">
        <v>1.7999999999999999E-2</v>
      </c>
      <c r="AK36" s="93">
        <f t="shared" si="9"/>
        <v>2537.4999999999995</v>
      </c>
      <c r="AL36" s="124"/>
      <c r="AM36" s="125"/>
      <c r="AN36" s="93">
        <f t="shared" si="10"/>
        <v>0</v>
      </c>
      <c r="AQ36" s="93">
        <f t="shared" si="11"/>
        <v>0</v>
      </c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50750000</v>
      </c>
      <c r="EC36" s="126">
        <f t="shared" si="41"/>
        <v>0</v>
      </c>
      <c r="ED36" s="93">
        <f t="shared" si="42"/>
        <v>2537.4999999999995</v>
      </c>
      <c r="EE36" s="94">
        <f t="shared" si="43"/>
        <v>1.7999999999999995E-2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50750000</v>
      </c>
      <c r="EL36" s="126">
        <f t="shared" si="48"/>
        <v>0</v>
      </c>
      <c r="EM36" s="126">
        <f t="shared" si="49"/>
        <v>2537.4999999999995</v>
      </c>
      <c r="EN36" s="94">
        <f t="shared" si="50"/>
        <v>1.7999999999999995E-2</v>
      </c>
    </row>
    <row r="37" spans="1:144" x14ac:dyDescent="0.25">
      <c r="A37" s="39">
        <f t="shared" si="51"/>
        <v>43796</v>
      </c>
      <c r="D37" s="93">
        <f t="shared" si="0"/>
        <v>0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(AC37*AD37)/'[14]Input Sheet'!$B$11</f>
        <v>0</v>
      </c>
      <c r="AH37" s="93">
        <f>(AF37*AG37)/'[14]Input Sheet'!$B$11</f>
        <v>0</v>
      </c>
      <c r="AI37" s="124">
        <f>10825000</f>
        <v>10825000</v>
      </c>
      <c r="AJ37" s="125">
        <v>1.7999999999999999E-2</v>
      </c>
      <c r="AK37" s="93">
        <f t="shared" si="9"/>
        <v>541.24999999999989</v>
      </c>
      <c r="AL37" s="124">
        <f>47000000</f>
        <v>47000000</v>
      </c>
      <c r="AM37" s="125">
        <v>1.7999999999999999E-2</v>
      </c>
      <c r="AN37" s="93">
        <f t="shared" si="10"/>
        <v>2349.9999999999995</v>
      </c>
      <c r="AQ37" s="93">
        <f t="shared" si="11"/>
        <v>0</v>
      </c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57825000</v>
      </c>
      <c r="EC37" s="126">
        <f t="shared" si="41"/>
        <v>0</v>
      </c>
      <c r="ED37" s="93">
        <f t="shared" si="42"/>
        <v>2891.2499999999995</v>
      </c>
      <c r="EE37" s="94">
        <f t="shared" si="43"/>
        <v>1.7999999999999995E-2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57825000</v>
      </c>
      <c r="EL37" s="126">
        <f t="shared" si="48"/>
        <v>0</v>
      </c>
      <c r="EM37" s="126">
        <f t="shared" si="49"/>
        <v>2891.2499999999995</v>
      </c>
      <c r="EN37" s="94">
        <f t="shared" si="50"/>
        <v>1.7999999999999995E-2</v>
      </c>
    </row>
    <row r="38" spans="1:144" x14ac:dyDescent="0.25">
      <c r="A38" s="39">
        <f t="shared" si="51"/>
        <v>43797</v>
      </c>
      <c r="D38" s="93">
        <f t="shared" si="0"/>
        <v>0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(AC38*AD38)/'[14]Input Sheet'!$B$11</f>
        <v>0</v>
      </c>
      <c r="AH38" s="93">
        <f>(AF38*AG38)/'[14]Input Sheet'!$B$11</f>
        <v>0</v>
      </c>
      <c r="AI38" s="124">
        <f>10825000</f>
        <v>10825000</v>
      </c>
      <c r="AJ38" s="125">
        <v>1.7999999999999999E-2</v>
      </c>
      <c r="AK38" s="93">
        <f t="shared" si="9"/>
        <v>541.24999999999989</v>
      </c>
      <c r="AL38" s="124">
        <f>47000000</f>
        <v>47000000</v>
      </c>
      <c r="AM38" s="125">
        <v>1.7999999999999999E-2</v>
      </c>
      <c r="AN38" s="93">
        <f t="shared" si="10"/>
        <v>2349.9999999999995</v>
      </c>
      <c r="AQ38" s="93">
        <f t="shared" si="11"/>
        <v>0</v>
      </c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57825000</v>
      </c>
      <c r="EC38" s="126">
        <f t="shared" si="41"/>
        <v>0</v>
      </c>
      <c r="ED38" s="93">
        <f t="shared" si="42"/>
        <v>2891.2499999999995</v>
      </c>
      <c r="EE38" s="94">
        <f t="shared" si="43"/>
        <v>1.7999999999999995E-2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57825000</v>
      </c>
      <c r="EL38" s="126">
        <f t="shared" si="48"/>
        <v>0</v>
      </c>
      <c r="EM38" s="126">
        <f t="shared" si="49"/>
        <v>2891.2499999999995</v>
      </c>
      <c r="EN38" s="94">
        <f t="shared" si="50"/>
        <v>1.7999999999999995E-2</v>
      </c>
    </row>
    <row r="39" spans="1:144" x14ac:dyDescent="0.25">
      <c r="A39" s="39">
        <f t="shared" si="51"/>
        <v>43798</v>
      </c>
      <c r="D39" s="93">
        <f t="shared" si="0"/>
        <v>0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(AC39*AD39)/'[14]Input Sheet'!$B$11</f>
        <v>0</v>
      </c>
      <c r="AH39" s="93">
        <f>(AF39*AG39)/'[14]Input Sheet'!$B$11</f>
        <v>0</v>
      </c>
      <c r="AI39" s="124">
        <f>37450000+125000</f>
        <v>37575000</v>
      </c>
      <c r="AJ39" s="125">
        <v>1.8499999999999999E-2</v>
      </c>
      <c r="AK39" s="93">
        <f t="shared" si="9"/>
        <v>1930.9375</v>
      </c>
      <c r="AL39" s="124">
        <f>47000000</f>
        <v>47000000</v>
      </c>
      <c r="AM39" s="125">
        <v>1.7999999999999999E-2</v>
      </c>
      <c r="AN39" s="93">
        <f t="shared" si="10"/>
        <v>2349.9999999999995</v>
      </c>
      <c r="AQ39" s="93">
        <f t="shared" si="11"/>
        <v>0</v>
      </c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84575000</v>
      </c>
      <c r="EC39" s="126">
        <f t="shared" si="41"/>
        <v>0</v>
      </c>
      <c r="ED39" s="93">
        <f t="shared" si="42"/>
        <v>4280.9375</v>
      </c>
      <c r="EE39" s="94">
        <f t="shared" si="43"/>
        <v>1.8222140112326337E-2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84575000</v>
      </c>
      <c r="EL39" s="126">
        <f t="shared" si="48"/>
        <v>0</v>
      </c>
      <c r="EM39" s="126">
        <f t="shared" si="49"/>
        <v>4280.9375</v>
      </c>
      <c r="EN39" s="94">
        <f t="shared" si="50"/>
        <v>1.8222140112326337E-2</v>
      </c>
    </row>
    <row r="40" spans="1:144" x14ac:dyDescent="0.25">
      <c r="A40" s="39">
        <f t="shared" si="51"/>
        <v>43799</v>
      </c>
      <c r="D40" s="93">
        <f t="shared" si="0"/>
        <v>0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(AC40*AD40)/'[14]Input Sheet'!$B$11</f>
        <v>0</v>
      </c>
      <c r="AH40" s="93">
        <f>(AF40*AG40)/'[14]Input Sheet'!$B$11</f>
        <v>0</v>
      </c>
      <c r="AI40" s="124">
        <f>37450000+125000</f>
        <v>37575000</v>
      </c>
      <c r="AJ40" s="125">
        <v>1.8499999999999999E-2</v>
      </c>
      <c r="AK40" s="93">
        <f t="shared" si="9"/>
        <v>1930.9375</v>
      </c>
      <c r="AL40" s="124">
        <f>47000000</f>
        <v>47000000</v>
      </c>
      <c r="AM40" s="125">
        <v>1.7999999999999999E-2</v>
      </c>
      <c r="AN40" s="93">
        <f t="shared" si="10"/>
        <v>2349.9999999999995</v>
      </c>
      <c r="AQ40" s="93">
        <f t="shared" si="11"/>
        <v>0</v>
      </c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84575000</v>
      </c>
      <c r="EC40" s="126">
        <f t="shared" si="41"/>
        <v>0</v>
      </c>
      <c r="ED40" s="93">
        <f t="shared" si="42"/>
        <v>4280.9375</v>
      </c>
      <c r="EE40" s="94">
        <f t="shared" si="43"/>
        <v>1.8222140112326337E-2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84575000</v>
      </c>
      <c r="EL40" s="126">
        <f t="shared" si="48"/>
        <v>0</v>
      </c>
      <c r="EM40" s="126">
        <f t="shared" si="49"/>
        <v>4280.9375</v>
      </c>
      <c r="EN40" s="94">
        <f t="shared" si="50"/>
        <v>1.8222140112326337E-2</v>
      </c>
    </row>
    <row r="41" spans="1:144" x14ac:dyDescent="0.25">
      <c r="A41" s="127" t="s">
        <v>88</v>
      </c>
      <c r="D41" s="128">
        <f>SUM(D11:D40)</f>
        <v>0</v>
      </c>
      <c r="G41" s="128">
        <f>SUM(G11:G40)</f>
        <v>0</v>
      </c>
      <c r="J41" s="128">
        <f>SUM(J11:J40)</f>
        <v>0</v>
      </c>
      <c r="M41" s="128">
        <f>SUM(M11:M40)</f>
        <v>0</v>
      </c>
      <c r="P41" s="128">
        <f>SUM(P11:P40)</f>
        <v>0</v>
      </c>
      <c r="S41" s="128">
        <f>SUM(S11:S40)</f>
        <v>0</v>
      </c>
      <c r="V41" s="128">
        <f>SUM(V11:V40)</f>
        <v>0</v>
      </c>
      <c r="Y41" s="128">
        <f>SUM(Y11:Y40)</f>
        <v>0</v>
      </c>
      <c r="AB41" s="128">
        <f>SUM(AB11:AB40)</f>
        <v>0</v>
      </c>
      <c r="AE41" s="128">
        <f>SUM(AE11:AE40)</f>
        <v>0</v>
      </c>
      <c r="AH41" s="128">
        <f>SUM(AH11:AH40)</f>
        <v>0</v>
      </c>
      <c r="AK41" s="128">
        <f>SUM(AK11:AK40)</f>
        <v>52501.270833333336</v>
      </c>
      <c r="AN41" s="128">
        <f>SUM(AN11:AN40)</f>
        <v>9399.9999999999982</v>
      </c>
      <c r="AQ41" s="128">
        <f>SUM(AQ11:AQ40)</f>
        <v>0</v>
      </c>
      <c r="AT41" s="128">
        <f>SUM(AT11:AT40)</f>
        <v>0</v>
      </c>
      <c r="AW41" s="128">
        <f>SUM(AW11:AW40)</f>
        <v>0</v>
      </c>
      <c r="AZ41" s="128">
        <f>SUM(AZ11:AZ40)</f>
        <v>0</v>
      </c>
      <c r="BC41" s="128">
        <f>SUM(BC11:BC40)</f>
        <v>0</v>
      </c>
      <c r="BF41" s="128">
        <f>SUM(BF11:BF40)</f>
        <v>0</v>
      </c>
      <c r="BI41" s="128">
        <f>SUM(BI11:BI40)</f>
        <v>0</v>
      </c>
      <c r="BL41" s="128">
        <f>SUM(BL11:BL40)</f>
        <v>0</v>
      </c>
      <c r="BO41" s="128">
        <f>SUM(BO11:BO40)</f>
        <v>0</v>
      </c>
      <c r="BR41" s="128">
        <f>SUM(BR11:BR40)</f>
        <v>0</v>
      </c>
      <c r="BU41" s="128">
        <f>SUM(BU11:BU40)</f>
        <v>0</v>
      </c>
      <c r="BX41" s="128">
        <f>SUM(BX11:BX40)</f>
        <v>0</v>
      </c>
      <c r="CA41" s="128">
        <f>SUM(CA11:CA40)</f>
        <v>0</v>
      </c>
      <c r="CD41" s="128">
        <f>SUM(CD11:CD40)</f>
        <v>0</v>
      </c>
      <c r="CG41" s="128">
        <f>SUM(CG11:CG40)</f>
        <v>0</v>
      </c>
      <c r="CJ41" s="128">
        <f>SUM(CJ11:CJ40)</f>
        <v>0</v>
      </c>
      <c r="CM41" s="128">
        <f>SUM(CM11:CM40)</f>
        <v>0</v>
      </c>
      <c r="CP41" s="128">
        <f>SUM(CP11:CP40)</f>
        <v>0</v>
      </c>
      <c r="CS41" s="128">
        <f>SUM(CS11:CS40)</f>
        <v>0</v>
      </c>
      <c r="CV41" s="128">
        <f>SUM(CV11:CV40)</f>
        <v>0</v>
      </c>
      <c r="CY41" s="128">
        <f>SUM(CY11:CY40)</f>
        <v>0</v>
      </c>
      <c r="DB41" s="128">
        <f>SUM(DB11:DB40)</f>
        <v>0</v>
      </c>
      <c r="DE41" s="128">
        <f>SUM(DE11:DE40)</f>
        <v>0</v>
      </c>
      <c r="DH41" s="128">
        <f>SUM(DH11:DH40)</f>
        <v>0</v>
      </c>
      <c r="DK41" s="128">
        <f>SUM(DK11:DK40)</f>
        <v>0</v>
      </c>
      <c r="DN41" s="128">
        <f>SUM(DN11:DN40)</f>
        <v>0</v>
      </c>
      <c r="DQ41" s="128">
        <f>SUM(DQ11:DQ40)</f>
        <v>0</v>
      </c>
      <c r="DT41" s="128">
        <f>SUM(DT11:DT40)</f>
        <v>0</v>
      </c>
      <c r="DW41" s="128">
        <f>SUM(DW11:DW40)</f>
        <v>0</v>
      </c>
      <c r="DZ41" s="91"/>
      <c r="EA41" s="91"/>
      <c r="EB41" s="93"/>
      <c r="EC41" s="93"/>
      <c r="ED41" s="128">
        <f>SUM(ED11:ED40)</f>
        <v>61901.270833333336</v>
      </c>
      <c r="EE41" s="94"/>
      <c r="EG41" s="93"/>
      <c r="EH41" s="128">
        <f>SUM(EH11:EH40)</f>
        <v>0</v>
      </c>
      <c r="EI41" s="94"/>
      <c r="EJ41" s="94"/>
      <c r="EK41" s="93"/>
      <c r="EL41" s="93"/>
      <c r="EM41" s="128">
        <f>SUM(EM11:EM40)</f>
        <v>61901.270833333336</v>
      </c>
      <c r="EN41" s="94"/>
    </row>
    <row r="43" spans="1:144" x14ac:dyDescent="0.25">
      <c r="EM43" s="129"/>
    </row>
    <row r="44" spans="1:144" x14ac:dyDescent="0.25">
      <c r="EM44" s="93">
        <v>61901.3</v>
      </c>
    </row>
    <row r="45" spans="1:144" x14ac:dyDescent="0.25">
      <c r="EM45" s="93"/>
    </row>
    <row r="47" spans="1:144" x14ac:dyDescent="0.25">
      <c r="EM47" s="93">
        <f>EM41-EM44</f>
        <v>-2.9166666667151731E-2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233585000</v>
      </c>
      <c r="EI2" s="91">
        <f>EG40</f>
        <v>0</v>
      </c>
      <c r="EM2" s="91"/>
      <c r="EN2" s="91">
        <f>EK41</f>
        <v>233585000</v>
      </c>
      <c r="EO2" s="84">
        <v>-52105.01999999999</v>
      </c>
      <c r="EP2" s="84">
        <f>EN2+EO2</f>
        <v>233532894.97999999</v>
      </c>
      <c r="EQ2" s="84">
        <f>EE2+EO2</f>
        <v>233532894.97999999</v>
      </c>
    </row>
    <row r="3" spans="1:147" ht="16.5" thickTop="1" x14ac:dyDescent="0.25">
      <c r="A3" s="92" t="s">
        <v>186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125695000</v>
      </c>
      <c r="EI3" s="91">
        <f>AVERAGE(EG11:EG40)</f>
        <v>0</v>
      </c>
      <c r="EM3" s="91"/>
      <c r="EN3" s="91">
        <f>AVERAGE(EK11:EK41)</f>
        <v>125561129.03225806</v>
      </c>
    </row>
    <row r="4" spans="1:147" x14ac:dyDescent="0.25">
      <c r="D4" s="37"/>
      <c r="E4" s="99" t="s">
        <v>114</v>
      </c>
      <c r="F4" s="91"/>
      <c r="G4" s="100">
        <f>EQ2</f>
        <v>233532894.97999999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1.9151990057730623E-2</v>
      </c>
      <c r="EI4" s="98">
        <f>IF(EI3=0,0,360*(AVERAGE(EH11:EH40)/EI3))</f>
        <v>0</v>
      </c>
      <c r="EM4" s="98"/>
      <c r="EN4" s="98">
        <f>IF(EN3=0,0,360*(AVERAGE(EM11:EM41)/EN3))</f>
        <v>1.9151974555511448E-2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125695000</v>
      </c>
      <c r="AI5" s="104" t="s">
        <v>109</v>
      </c>
      <c r="EB5" s="105" t="s">
        <v>120</v>
      </c>
      <c r="EC5" s="105"/>
      <c r="ED5" s="91"/>
      <c r="EE5" s="91">
        <f>MAX(EB11:EB41)</f>
        <v>233585000</v>
      </c>
      <c r="EI5" s="91">
        <f>MAX(EG11:EG40)</f>
        <v>0</v>
      </c>
      <c r="EM5" s="91"/>
      <c r="EN5" s="91">
        <f>MAX(EK11:EK41)</f>
        <v>233585000</v>
      </c>
    </row>
    <row r="6" spans="1:147" x14ac:dyDescent="0.25">
      <c r="D6" s="37"/>
      <c r="E6" s="99" t="s">
        <v>118</v>
      </c>
      <c r="F6" s="91"/>
      <c r="G6" s="106">
        <f>EE4</f>
        <v>1.9151990057730623E-2</v>
      </c>
    </row>
    <row r="7" spans="1:147" ht="16.5" thickBot="1" x14ac:dyDescent="0.3">
      <c r="D7" s="37"/>
      <c r="E7" s="107" t="s">
        <v>120</v>
      </c>
      <c r="F7" s="108"/>
      <c r="G7" s="109">
        <f>EE5</f>
        <v>233585000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43800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(AC11*AD11)/'[15]Input Sheet'!$B$11</f>
        <v>0</v>
      </c>
      <c r="AH11" s="93">
        <f>(AF11*AG11)/'[15]Input Sheet'!$B$11</f>
        <v>0</v>
      </c>
      <c r="AI11" s="124">
        <f>37450000+125000</f>
        <v>37575000</v>
      </c>
      <c r="AJ11" s="125">
        <v>1.8499999999999999E-2</v>
      </c>
      <c r="AK11" s="93">
        <f>(AI11*AJ11)/360</f>
        <v>1930.9375</v>
      </c>
      <c r="AL11" s="124">
        <f>47000000</f>
        <v>47000000</v>
      </c>
      <c r="AM11" s="125">
        <v>1.7999999999999999E-2</v>
      </c>
      <c r="AN11" s="93">
        <f>(AL11*AM11)/360</f>
        <v>2349.9999999999995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84575000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4280.9375</v>
      </c>
      <c r="EE11" s="94">
        <f>IF(EB11&lt;&gt;0,((ED11/EB11)*360),0)</f>
        <v>1.8222140112326337E-2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84575000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4280.9375</v>
      </c>
      <c r="EN11" s="94">
        <f>IF(EK11&lt;&gt;0,((EM11/EK11)*360),0)</f>
        <v>1.8222140112326337E-2</v>
      </c>
      <c r="EP11" s="93"/>
    </row>
    <row r="12" spans="1:147" x14ac:dyDescent="0.25">
      <c r="A12" s="39">
        <f>1+A11</f>
        <v>43801</v>
      </c>
      <c r="D12" s="93">
        <f t="shared" ref="D12:D41" si="0">(B12*C12)/360</f>
        <v>0</v>
      </c>
      <c r="G12" s="93">
        <f t="shared" ref="G12:G41" si="1">(E12*F12)/360</f>
        <v>0</v>
      </c>
      <c r="J12" s="93">
        <f t="shared" ref="J12:J41" si="2">(H12*I12)/360</f>
        <v>0</v>
      </c>
      <c r="M12" s="93">
        <f t="shared" ref="M12:M41" si="3">(K12*L12)/360</f>
        <v>0</v>
      </c>
      <c r="P12" s="93">
        <f t="shared" ref="P12:P41" si="4">(N12*O12)/360</f>
        <v>0</v>
      </c>
      <c r="S12" s="93">
        <f t="shared" ref="S12:S41" si="5">(Q12*R12)/360</f>
        <v>0</v>
      </c>
      <c r="V12" s="93">
        <f t="shared" ref="V12:V41" si="6">(T12*U12)/360</f>
        <v>0</v>
      </c>
      <c r="Y12" s="93">
        <f t="shared" ref="Y12:Y41" si="7">(W12*X12)/360</f>
        <v>0</v>
      </c>
      <c r="AB12" s="93">
        <f t="shared" ref="AB12:AB41" si="8">(Z12*AA12)/360</f>
        <v>0</v>
      </c>
      <c r="AE12" s="93">
        <f>(AC12*AD12)/'[15]Input Sheet'!$B$11</f>
        <v>0</v>
      </c>
      <c r="AH12" s="93">
        <f>(AF12*AG12)/'[15]Input Sheet'!$B$11</f>
        <v>0</v>
      </c>
      <c r="AI12" s="124">
        <f>88475000</f>
        <v>88475000</v>
      </c>
      <c r="AJ12" s="125">
        <v>1.7999999999999999E-2</v>
      </c>
      <c r="AK12" s="93">
        <f t="shared" ref="AK12:AK41" si="9">(AI12*AJ12)/360</f>
        <v>4423.7499999999991</v>
      </c>
      <c r="AL12" s="124"/>
      <c r="AM12" s="125"/>
      <c r="AN12" s="93">
        <f t="shared" ref="AN12:AN41" si="10">(AL12*AM12)/360</f>
        <v>0</v>
      </c>
      <c r="AO12" s="124"/>
      <c r="AP12" s="125"/>
      <c r="AQ12" s="93">
        <f t="shared" ref="AQ12:AQ41" si="11">(AO12*AP12)/360</f>
        <v>0</v>
      </c>
      <c r="AR12" s="124"/>
      <c r="AS12" s="125"/>
      <c r="AT12" s="93">
        <f t="shared" ref="AT12:AT41" si="12">(AR12*AS12)/360</f>
        <v>0</v>
      </c>
      <c r="AW12" s="93">
        <f t="shared" ref="AW12:AW41" si="13">(AU12*AV12)/360</f>
        <v>0</v>
      </c>
      <c r="AZ12" s="93">
        <f t="shared" ref="AZ12:AZ41" si="14">(AX12*AY12)/360</f>
        <v>0</v>
      </c>
      <c r="BC12" s="93">
        <f t="shared" ref="BC12:BC41" si="15">(BA12*BB12)/360</f>
        <v>0</v>
      </c>
      <c r="BF12" s="93">
        <f t="shared" ref="BF12:BF41" si="16">(BD12*BE12)/360</f>
        <v>0</v>
      </c>
      <c r="BI12" s="93">
        <f t="shared" ref="BI12:BI41" si="17">(BG12*BH12)/360</f>
        <v>0</v>
      </c>
      <c r="BL12" s="93">
        <f t="shared" ref="BL12:BL41" si="18">(BJ12*BK12)/360</f>
        <v>0</v>
      </c>
      <c r="BO12" s="93">
        <f t="shared" ref="BO12:BO41" si="19">(BM12*BN12)/360</f>
        <v>0</v>
      </c>
      <c r="BR12" s="93">
        <f t="shared" ref="BR12:BR41" si="20">(BP12*BQ12)/360</f>
        <v>0</v>
      </c>
      <c r="BU12" s="93">
        <f t="shared" ref="BU12:BU41" si="21">(BS12*BT12)/360</f>
        <v>0</v>
      </c>
      <c r="BX12" s="93">
        <f t="shared" ref="BX12:BX41" si="22">(BV12*BW12)/360</f>
        <v>0</v>
      </c>
      <c r="CA12" s="93">
        <f t="shared" ref="CA12:CA41" si="23">(BY12*BZ12)/360</f>
        <v>0</v>
      </c>
      <c r="CD12" s="93">
        <f t="shared" ref="CD12:CD41" si="24">(CB12*CC12)/360</f>
        <v>0</v>
      </c>
      <c r="CG12" s="93">
        <f t="shared" ref="CG12:CG41" si="25">(CE12*CF12)/360</f>
        <v>0</v>
      </c>
      <c r="CJ12" s="93">
        <f t="shared" ref="CJ12:CJ41" si="26">(CH12*CI12)/360</f>
        <v>0</v>
      </c>
      <c r="CM12" s="93">
        <f t="shared" ref="CM12:CM41" si="27">(CK12*CL12)/360</f>
        <v>0</v>
      </c>
      <c r="CP12" s="93">
        <f t="shared" ref="CP12:CP41" si="28">(CN12*CO12)/360</f>
        <v>0</v>
      </c>
      <c r="CS12" s="93">
        <f t="shared" ref="CS12:CS41" si="29">(CQ12*CR12)/360</f>
        <v>0</v>
      </c>
      <c r="CV12" s="93">
        <f t="shared" ref="CV12:CV41" si="30">(CT12*CU12)/360</f>
        <v>0</v>
      </c>
      <c r="CY12" s="93">
        <f t="shared" ref="CY12:CY41" si="31">(CW12*CX12)/360</f>
        <v>0</v>
      </c>
      <c r="DB12" s="93">
        <f t="shared" ref="DB12:DB41" si="32">(CZ12*DA12)/360</f>
        <v>0</v>
      </c>
      <c r="DE12" s="93">
        <f t="shared" ref="DE12:DE41" si="33">(DC12*DD12)/360</f>
        <v>0</v>
      </c>
      <c r="DH12" s="93">
        <f t="shared" ref="DH12:DH41" si="34">(DF12*DG12)/360</f>
        <v>0</v>
      </c>
      <c r="DK12" s="93">
        <f t="shared" ref="DK12:DK41" si="35">(DI12*DJ12)/360</f>
        <v>0</v>
      </c>
      <c r="DN12" s="93">
        <f t="shared" ref="DN12:DN41" si="36">(DL12*DM12)/360</f>
        <v>0</v>
      </c>
      <c r="DQ12" s="93">
        <f t="shared" ref="DQ12:DQ41" si="37">(DO12*DP12)/360</f>
        <v>0</v>
      </c>
      <c r="DT12" s="93">
        <f t="shared" ref="DT12:DT41" si="38">(DR12*DS12)/360</f>
        <v>0</v>
      </c>
      <c r="DW12" s="93">
        <f t="shared" ref="DW12:DW41" si="39">(DU12*DV12)/360</f>
        <v>0</v>
      </c>
      <c r="DZ12" s="93"/>
      <c r="EA12" s="93"/>
      <c r="EB12" s="126">
        <f t="shared" ref="EB12:EB41" si="40">B12+E12+H12+K12+N12+Q12+T12+W12+Z12+AC12+AF12+AL12+AO12+AR12+AU12+AX12+BA12+BD12+BG12+DU12+AI12+DR12+DO12+DL12+DI12+DF12+DC12+CZ12+CW12+CT12+CQ12+CN12+CK12+CH12+CE12+CB12+BY12+BV12+BS12+BP12+BM12+BJ12</f>
        <v>88475000</v>
      </c>
      <c r="EC12" s="126">
        <f t="shared" ref="EC12:EC41" si="41">EB12-EK12+EL12</f>
        <v>0</v>
      </c>
      <c r="ED12" s="93">
        <f t="shared" ref="ED12:ED41" si="42">D12+G12+J12+M12+P12+S12+V12+Y12+AB12+AE12+AH12+AK12+AN12+AQ12+AT12+AW12+AZ12+BC12+BF12+BI12+DW12+DT12+DQ12+DN12+DK12+DH12+DE12+DB12+CY12+CV12+CS12+CP12+CM12+CJ12+CG12+CD12+CA12+BX12+BU12+BR12+BO12+BL12</f>
        <v>4423.7499999999991</v>
      </c>
      <c r="EE12" s="94">
        <f t="shared" ref="EE12:EE41" si="43">IF(EB12&lt;&gt;0,((ED12/EB12)*360),0)</f>
        <v>1.7999999999999995E-2</v>
      </c>
      <c r="EG12" s="126">
        <f t="shared" ref="EG12:EG41" si="44">Q12+T12+W12+Z12+AC12+AF12</f>
        <v>0</v>
      </c>
      <c r="EH12" s="93">
        <f t="shared" ref="EH12:EH41" si="45">S12+V12+Y12+AB12+AE12+AH12</f>
        <v>0</v>
      </c>
      <c r="EI12" s="94">
        <f t="shared" ref="EI12:EI41" si="46">IF(EG12&lt;&gt;0,((EH12/EG12)*360),0)</f>
        <v>0</v>
      </c>
      <c r="EJ12" s="94"/>
      <c r="EK12" s="126">
        <f t="shared" ref="EK12:EK41" si="47">DR12+DL12+DI12+DF12+DC12+CZ12+CW12+CT12+CQ12+CN12+CK12+CH12+CE12+CB12+BY12+BV12+BS12+BP12+BM12+BJ12+BG12+BD12+BA12+AX12+AU12+AR12+AO12+AL12+AI12+DO12</f>
        <v>88475000</v>
      </c>
      <c r="EL12" s="126">
        <f t="shared" ref="EL12:EL41" si="48">DX12</f>
        <v>0</v>
      </c>
      <c r="EM12" s="126">
        <f t="shared" ref="EM12:EM41" si="49">DT12+DQ12+DN12+DK12+DH12+DE12+DB12+CY12+CV12+CS12+CP12+CM12+CJ12+CG12+CD12+CA12+BX12+BU12+BR12+BO12+BL12+BI12+BF12+BC12+AZ12+AW12+AT12+AQ12+AN12+AK12</f>
        <v>4423.7499999999991</v>
      </c>
      <c r="EN12" s="94">
        <f t="shared" ref="EN12:EN41" si="50">IF(EK12&lt;&gt;0,((EM12/EK12)*360),0)</f>
        <v>1.7999999999999995E-2</v>
      </c>
      <c r="EP12" s="93"/>
    </row>
    <row r="13" spans="1:147" x14ac:dyDescent="0.25">
      <c r="A13" s="39">
        <f t="shared" ref="A13:A41" si="51">1+A12</f>
        <v>43802</v>
      </c>
      <c r="D13" s="93">
        <f t="shared" si="0"/>
        <v>0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(AC13*AD13)/'[15]Input Sheet'!$B$11</f>
        <v>0</v>
      </c>
      <c r="AH13" s="93">
        <f>(AF13*AG13)/'[15]Input Sheet'!$B$11</f>
        <v>0</v>
      </c>
      <c r="AI13" s="124">
        <f>75675000</f>
        <v>75675000</v>
      </c>
      <c r="AJ13" s="125">
        <v>1.7999999999999999E-2</v>
      </c>
      <c r="AK13" s="93">
        <f t="shared" si="9"/>
        <v>3783.75</v>
      </c>
      <c r="AL13" s="124"/>
      <c r="AM13" s="125"/>
      <c r="AN13" s="93">
        <f t="shared" si="10"/>
        <v>0</v>
      </c>
      <c r="AO13" s="124"/>
      <c r="AP13" s="125"/>
      <c r="AQ13" s="93">
        <f t="shared" si="11"/>
        <v>0</v>
      </c>
      <c r="AR13" s="124"/>
      <c r="AS13" s="125"/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75675000</v>
      </c>
      <c r="EC13" s="126">
        <f t="shared" si="41"/>
        <v>0</v>
      </c>
      <c r="ED13" s="93">
        <f t="shared" si="42"/>
        <v>3783.75</v>
      </c>
      <c r="EE13" s="94">
        <f t="shared" si="43"/>
        <v>1.8000000000000002E-2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75675000</v>
      </c>
      <c r="EL13" s="126">
        <f t="shared" si="48"/>
        <v>0</v>
      </c>
      <c r="EM13" s="126">
        <f t="shared" si="49"/>
        <v>3783.75</v>
      </c>
      <c r="EN13" s="94">
        <f t="shared" si="50"/>
        <v>1.8000000000000002E-2</v>
      </c>
      <c r="EP13" s="93"/>
    </row>
    <row r="14" spans="1:147" x14ac:dyDescent="0.25">
      <c r="A14" s="39">
        <f t="shared" si="51"/>
        <v>43803</v>
      </c>
      <c r="D14" s="93">
        <f t="shared" si="0"/>
        <v>0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(AC14*AD14)/'[15]Input Sheet'!$B$11</f>
        <v>0</v>
      </c>
      <c r="AH14" s="93">
        <f>(AF14*AG14)/'[15]Input Sheet'!$B$11</f>
        <v>0</v>
      </c>
      <c r="AI14" s="124">
        <f>75925000</f>
        <v>75925000</v>
      </c>
      <c r="AJ14" s="125">
        <v>1.7899999999999999E-2</v>
      </c>
      <c r="AK14" s="93">
        <f t="shared" si="9"/>
        <v>3775.1597222222222</v>
      </c>
      <c r="AL14" s="124"/>
      <c r="AM14" s="125"/>
      <c r="AN14" s="93">
        <f t="shared" si="10"/>
        <v>0</v>
      </c>
      <c r="AO14" s="124"/>
      <c r="AP14" s="125"/>
      <c r="AQ14" s="93">
        <f t="shared" si="11"/>
        <v>0</v>
      </c>
      <c r="AR14" s="124"/>
      <c r="AS14" s="125"/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75925000</v>
      </c>
      <c r="EC14" s="126">
        <f t="shared" si="41"/>
        <v>0</v>
      </c>
      <c r="ED14" s="93">
        <f t="shared" si="42"/>
        <v>3775.1597222222222</v>
      </c>
      <c r="EE14" s="94">
        <f t="shared" si="43"/>
        <v>1.7899999999999999E-2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75925000</v>
      </c>
      <c r="EL14" s="126">
        <f t="shared" si="48"/>
        <v>0</v>
      </c>
      <c r="EM14" s="126">
        <f t="shared" si="49"/>
        <v>3775.1597222222222</v>
      </c>
      <c r="EN14" s="94">
        <f t="shared" si="50"/>
        <v>1.7899999999999999E-2</v>
      </c>
      <c r="EP14" s="93"/>
    </row>
    <row r="15" spans="1:147" x14ac:dyDescent="0.25">
      <c r="A15" s="39">
        <f t="shared" si="51"/>
        <v>43804</v>
      </c>
      <c r="D15" s="93">
        <f t="shared" si="0"/>
        <v>0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(AC15*AD15)/'[15]Input Sheet'!$B$11</f>
        <v>0</v>
      </c>
      <c r="AH15" s="93">
        <f>(AF15*AG15)/'[15]Input Sheet'!$B$11</f>
        <v>0</v>
      </c>
      <c r="AI15" s="124">
        <f>72175000</f>
        <v>72175000</v>
      </c>
      <c r="AJ15" s="125">
        <v>1.7999999999999999E-2</v>
      </c>
      <c r="AK15" s="93">
        <f t="shared" si="9"/>
        <v>3608.75</v>
      </c>
      <c r="AL15" s="124"/>
      <c r="AM15" s="125"/>
      <c r="AN15" s="93">
        <f t="shared" si="10"/>
        <v>0</v>
      </c>
      <c r="AO15" s="124"/>
      <c r="AP15" s="125"/>
      <c r="AQ15" s="93">
        <f t="shared" si="11"/>
        <v>0</v>
      </c>
      <c r="AR15" s="124"/>
      <c r="AS15" s="125"/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72175000</v>
      </c>
      <c r="EC15" s="126">
        <f t="shared" si="41"/>
        <v>0</v>
      </c>
      <c r="ED15" s="93">
        <f t="shared" si="42"/>
        <v>3608.75</v>
      </c>
      <c r="EE15" s="94">
        <f t="shared" si="43"/>
        <v>1.8000000000000002E-2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72175000</v>
      </c>
      <c r="EL15" s="126">
        <f t="shared" si="48"/>
        <v>0</v>
      </c>
      <c r="EM15" s="126">
        <f t="shared" si="49"/>
        <v>3608.75</v>
      </c>
      <c r="EN15" s="94">
        <f t="shared" si="50"/>
        <v>1.8000000000000002E-2</v>
      </c>
      <c r="EP15" s="93"/>
    </row>
    <row r="16" spans="1:147" x14ac:dyDescent="0.25">
      <c r="A16" s="39">
        <f t="shared" si="51"/>
        <v>43805</v>
      </c>
      <c r="D16" s="93">
        <f t="shared" si="0"/>
        <v>0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(AC16*AD16)/'[15]Input Sheet'!$B$11</f>
        <v>0</v>
      </c>
      <c r="AH16" s="93">
        <f>(AF16*AG16)/'[15]Input Sheet'!$B$11</f>
        <v>0</v>
      </c>
      <c r="AI16" s="124">
        <f>74025000</f>
        <v>74025000</v>
      </c>
      <c r="AJ16" s="125">
        <v>1.7999999999999999E-2</v>
      </c>
      <c r="AK16" s="93">
        <f t="shared" si="9"/>
        <v>3701.25</v>
      </c>
      <c r="AL16" s="124"/>
      <c r="AM16" s="125"/>
      <c r="AN16" s="93">
        <f t="shared" si="10"/>
        <v>0</v>
      </c>
      <c r="AO16" s="124"/>
      <c r="AP16" s="125"/>
      <c r="AQ16" s="93">
        <f t="shared" si="11"/>
        <v>0</v>
      </c>
      <c r="AR16" s="124"/>
      <c r="AS16" s="125"/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74025000</v>
      </c>
      <c r="EC16" s="126">
        <f t="shared" si="41"/>
        <v>0</v>
      </c>
      <c r="ED16" s="93">
        <f t="shared" si="42"/>
        <v>3701.25</v>
      </c>
      <c r="EE16" s="94">
        <f t="shared" si="43"/>
        <v>1.8000000000000002E-2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74025000</v>
      </c>
      <c r="EL16" s="126">
        <f t="shared" si="48"/>
        <v>0</v>
      </c>
      <c r="EM16" s="126">
        <f t="shared" si="49"/>
        <v>3701.25</v>
      </c>
      <c r="EN16" s="94">
        <f t="shared" si="50"/>
        <v>1.8000000000000002E-2</v>
      </c>
      <c r="EP16" s="93"/>
    </row>
    <row r="17" spans="1:146" x14ac:dyDescent="0.25">
      <c r="A17" s="39">
        <f t="shared" si="51"/>
        <v>43806</v>
      </c>
      <c r="D17" s="93">
        <f t="shared" si="0"/>
        <v>0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(AC17*AD17)/'[15]Input Sheet'!$B$11</f>
        <v>0</v>
      </c>
      <c r="AH17" s="93">
        <f>(AF17*AG17)/'[15]Input Sheet'!$B$11</f>
        <v>0</v>
      </c>
      <c r="AI17" s="124">
        <f>74025000</f>
        <v>74025000</v>
      </c>
      <c r="AJ17" s="125">
        <v>1.7999999999999999E-2</v>
      </c>
      <c r="AK17" s="93">
        <f t="shared" si="9"/>
        <v>3701.25</v>
      </c>
      <c r="AL17" s="124"/>
      <c r="AM17" s="125"/>
      <c r="AN17" s="93">
        <f t="shared" si="10"/>
        <v>0</v>
      </c>
      <c r="AO17" s="124"/>
      <c r="AP17" s="125"/>
      <c r="AQ17" s="93">
        <f t="shared" si="11"/>
        <v>0</v>
      </c>
      <c r="AR17" s="124"/>
      <c r="AS17" s="125"/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74025000</v>
      </c>
      <c r="EC17" s="126">
        <f t="shared" si="41"/>
        <v>0</v>
      </c>
      <c r="ED17" s="93">
        <f t="shared" si="42"/>
        <v>3701.25</v>
      </c>
      <c r="EE17" s="94">
        <f t="shared" si="43"/>
        <v>1.8000000000000002E-2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74025000</v>
      </c>
      <c r="EL17" s="126">
        <f t="shared" si="48"/>
        <v>0</v>
      </c>
      <c r="EM17" s="126">
        <f t="shared" si="49"/>
        <v>3701.25</v>
      </c>
      <c r="EN17" s="94">
        <f t="shared" si="50"/>
        <v>1.8000000000000002E-2</v>
      </c>
      <c r="EP17" s="93"/>
    </row>
    <row r="18" spans="1:146" x14ac:dyDescent="0.25">
      <c r="A18" s="39">
        <f t="shared" si="51"/>
        <v>43807</v>
      </c>
      <c r="D18" s="93">
        <f t="shared" si="0"/>
        <v>0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(AC18*AD18)/'[15]Input Sheet'!$B$11</f>
        <v>0</v>
      </c>
      <c r="AH18" s="93">
        <f>(AF18*AG18)/'[15]Input Sheet'!$B$11</f>
        <v>0</v>
      </c>
      <c r="AI18" s="124">
        <f>74025000</f>
        <v>74025000</v>
      </c>
      <c r="AJ18" s="125">
        <v>1.7999999999999999E-2</v>
      </c>
      <c r="AK18" s="93">
        <f t="shared" si="9"/>
        <v>3701.25</v>
      </c>
      <c r="AL18" s="124"/>
      <c r="AM18" s="125"/>
      <c r="AN18" s="93">
        <f t="shared" si="10"/>
        <v>0</v>
      </c>
      <c r="AO18" s="124"/>
      <c r="AP18" s="125"/>
      <c r="AQ18" s="93">
        <f t="shared" si="11"/>
        <v>0</v>
      </c>
      <c r="AR18" s="124"/>
      <c r="AS18" s="125"/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74025000</v>
      </c>
      <c r="EC18" s="126">
        <f t="shared" si="41"/>
        <v>0</v>
      </c>
      <c r="ED18" s="93">
        <f t="shared" si="42"/>
        <v>3701.25</v>
      </c>
      <c r="EE18" s="94">
        <f t="shared" si="43"/>
        <v>1.8000000000000002E-2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74025000</v>
      </c>
      <c r="EL18" s="126">
        <f t="shared" si="48"/>
        <v>0</v>
      </c>
      <c r="EM18" s="126">
        <f t="shared" si="49"/>
        <v>3701.25</v>
      </c>
      <c r="EN18" s="94">
        <f t="shared" si="50"/>
        <v>1.8000000000000002E-2</v>
      </c>
      <c r="EP18" s="93"/>
    </row>
    <row r="19" spans="1:146" x14ac:dyDescent="0.25">
      <c r="A19" s="39">
        <f t="shared" si="51"/>
        <v>43808</v>
      </c>
      <c r="D19" s="93">
        <f t="shared" si="0"/>
        <v>0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(AC19*AD19)/'[15]Input Sheet'!$B$11</f>
        <v>0</v>
      </c>
      <c r="AH19" s="93">
        <f>(AF19*AG19)/'[15]Input Sheet'!$B$11</f>
        <v>0</v>
      </c>
      <c r="AI19" s="124">
        <f>77925000</f>
        <v>77925000</v>
      </c>
      <c r="AJ19" s="125">
        <v>1.7999999999999999E-2</v>
      </c>
      <c r="AK19" s="93">
        <f t="shared" si="9"/>
        <v>3896.25</v>
      </c>
      <c r="AL19" s="124"/>
      <c r="AM19" s="125"/>
      <c r="AN19" s="93">
        <f t="shared" si="10"/>
        <v>0</v>
      </c>
      <c r="AO19" s="124"/>
      <c r="AP19" s="125"/>
      <c r="AQ19" s="93">
        <f t="shared" si="11"/>
        <v>0</v>
      </c>
      <c r="AR19" s="124"/>
      <c r="AS19" s="125"/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77925000</v>
      </c>
      <c r="EC19" s="126">
        <f t="shared" si="41"/>
        <v>0</v>
      </c>
      <c r="ED19" s="93">
        <f t="shared" si="42"/>
        <v>3896.25</v>
      </c>
      <c r="EE19" s="94">
        <f t="shared" si="43"/>
        <v>1.8000000000000002E-2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77925000</v>
      </c>
      <c r="EL19" s="126">
        <f t="shared" si="48"/>
        <v>0</v>
      </c>
      <c r="EM19" s="126">
        <f t="shared" si="49"/>
        <v>3896.25</v>
      </c>
      <c r="EN19" s="94">
        <f t="shared" si="50"/>
        <v>1.8000000000000002E-2</v>
      </c>
      <c r="EP19" s="93"/>
    </row>
    <row r="20" spans="1:146" x14ac:dyDescent="0.25">
      <c r="A20" s="39">
        <f t="shared" si="51"/>
        <v>43809</v>
      </c>
      <c r="D20" s="93">
        <f t="shared" si="0"/>
        <v>0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(AC20*AD20)/'[15]Input Sheet'!$B$11</f>
        <v>0</v>
      </c>
      <c r="AH20" s="93">
        <f>(AF20*AG20)/'[15]Input Sheet'!$B$11</f>
        <v>0</v>
      </c>
      <c r="AI20" s="124">
        <f>70900000</f>
        <v>70900000</v>
      </c>
      <c r="AJ20" s="125">
        <v>1.7999999999999999E-2</v>
      </c>
      <c r="AK20" s="93">
        <f t="shared" si="9"/>
        <v>3545</v>
      </c>
      <c r="AL20" s="124"/>
      <c r="AM20" s="125"/>
      <c r="AN20" s="93">
        <f t="shared" si="10"/>
        <v>0</v>
      </c>
      <c r="AO20" s="124"/>
      <c r="AP20" s="125"/>
      <c r="AQ20" s="93">
        <f t="shared" si="11"/>
        <v>0</v>
      </c>
      <c r="AR20" s="124"/>
      <c r="AS20" s="125"/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70900000</v>
      </c>
      <c r="EC20" s="126">
        <f t="shared" si="41"/>
        <v>0</v>
      </c>
      <c r="ED20" s="93">
        <f t="shared" si="42"/>
        <v>3545</v>
      </c>
      <c r="EE20" s="94">
        <f t="shared" si="43"/>
        <v>1.8000000000000002E-2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70900000</v>
      </c>
      <c r="EL20" s="126">
        <f t="shared" si="48"/>
        <v>0</v>
      </c>
      <c r="EM20" s="126">
        <f t="shared" si="49"/>
        <v>3545</v>
      </c>
      <c r="EN20" s="94">
        <f t="shared" si="50"/>
        <v>1.8000000000000002E-2</v>
      </c>
      <c r="EP20" s="93"/>
    </row>
    <row r="21" spans="1:146" x14ac:dyDescent="0.25">
      <c r="A21" s="39">
        <f t="shared" si="51"/>
        <v>43810</v>
      </c>
      <c r="D21" s="93">
        <f t="shared" si="0"/>
        <v>0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(AC21*AD21)/'[15]Input Sheet'!$B$11</f>
        <v>0</v>
      </c>
      <c r="AH21" s="93">
        <f>(AF21*AG21)/'[15]Input Sheet'!$B$11</f>
        <v>0</v>
      </c>
      <c r="AI21" s="124">
        <f>62675000</f>
        <v>62675000</v>
      </c>
      <c r="AJ21" s="125">
        <v>1.7999999999999999E-2</v>
      </c>
      <c r="AK21" s="93">
        <f t="shared" si="9"/>
        <v>3133.75</v>
      </c>
      <c r="AL21" s="124"/>
      <c r="AM21" s="125"/>
      <c r="AN21" s="93">
        <f t="shared" si="10"/>
        <v>0</v>
      </c>
      <c r="AO21" s="124"/>
      <c r="AP21" s="125"/>
      <c r="AQ21" s="93">
        <f t="shared" si="11"/>
        <v>0</v>
      </c>
      <c r="AR21" s="124"/>
      <c r="AS21" s="125"/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62675000</v>
      </c>
      <c r="EC21" s="126">
        <f t="shared" si="41"/>
        <v>0</v>
      </c>
      <c r="ED21" s="93">
        <f t="shared" si="42"/>
        <v>3133.75</v>
      </c>
      <c r="EE21" s="94">
        <f t="shared" si="43"/>
        <v>1.8000000000000002E-2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62675000</v>
      </c>
      <c r="EL21" s="126">
        <f t="shared" si="48"/>
        <v>0</v>
      </c>
      <c r="EM21" s="126">
        <f t="shared" si="49"/>
        <v>3133.75</v>
      </c>
      <c r="EN21" s="94">
        <f t="shared" si="50"/>
        <v>1.8000000000000002E-2</v>
      </c>
      <c r="EP21" s="93"/>
    </row>
    <row r="22" spans="1:146" x14ac:dyDescent="0.25">
      <c r="A22" s="39">
        <f t="shared" si="51"/>
        <v>43811</v>
      </c>
      <c r="D22" s="93">
        <f t="shared" si="0"/>
        <v>0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(AC22*AD22)/'[15]Input Sheet'!$B$11</f>
        <v>0</v>
      </c>
      <c r="AH22" s="93">
        <f>(AF22*AG22)/'[15]Input Sheet'!$B$11</f>
        <v>0</v>
      </c>
      <c r="AI22" s="124">
        <f>65000000+50200000</f>
        <v>115200000</v>
      </c>
      <c r="AJ22" s="125">
        <v>1.7999999999999999E-2</v>
      </c>
      <c r="AK22" s="93">
        <f t="shared" si="9"/>
        <v>5759.9999999999991</v>
      </c>
      <c r="AL22" s="124"/>
      <c r="AM22" s="125"/>
      <c r="AN22" s="93">
        <f t="shared" si="10"/>
        <v>0</v>
      </c>
      <c r="AO22" s="124"/>
      <c r="AP22" s="125"/>
      <c r="AQ22" s="93">
        <f t="shared" si="11"/>
        <v>0</v>
      </c>
      <c r="AR22" s="124"/>
      <c r="AS22" s="125"/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115200000</v>
      </c>
      <c r="EC22" s="126">
        <f t="shared" si="41"/>
        <v>0</v>
      </c>
      <c r="ED22" s="93">
        <f t="shared" si="42"/>
        <v>5759.9999999999991</v>
      </c>
      <c r="EE22" s="94">
        <f t="shared" si="43"/>
        <v>1.7999999999999995E-2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115200000</v>
      </c>
      <c r="EL22" s="126">
        <f t="shared" si="48"/>
        <v>0</v>
      </c>
      <c r="EM22" s="126">
        <f t="shared" si="49"/>
        <v>5759.9999999999991</v>
      </c>
      <c r="EN22" s="94">
        <f t="shared" si="50"/>
        <v>1.7999999999999995E-2</v>
      </c>
      <c r="EP22" s="93"/>
    </row>
    <row r="23" spans="1:146" x14ac:dyDescent="0.25">
      <c r="A23" s="39">
        <f t="shared" si="51"/>
        <v>43812</v>
      </c>
      <c r="D23" s="93">
        <f t="shared" si="0"/>
        <v>0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(AC23*AD23)/'[15]Input Sheet'!$B$11</f>
        <v>0</v>
      </c>
      <c r="AH23" s="93">
        <f>(AF23*AG23)/'[15]Input Sheet'!$B$11</f>
        <v>0</v>
      </c>
      <c r="AI23" s="124">
        <f>75000000+50100000</f>
        <v>125100000</v>
      </c>
      <c r="AJ23" s="125">
        <v>1.7999999999999999E-2</v>
      </c>
      <c r="AK23" s="93">
        <f t="shared" si="9"/>
        <v>6255</v>
      </c>
      <c r="AL23" s="124"/>
      <c r="AM23" s="125"/>
      <c r="AN23" s="93">
        <f t="shared" si="10"/>
        <v>0</v>
      </c>
      <c r="AO23" s="124"/>
      <c r="AP23" s="125"/>
      <c r="AQ23" s="93">
        <f t="shared" si="11"/>
        <v>0</v>
      </c>
      <c r="AR23" s="124"/>
      <c r="AS23" s="125"/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125100000</v>
      </c>
      <c r="EC23" s="126">
        <f t="shared" si="41"/>
        <v>0</v>
      </c>
      <c r="ED23" s="93">
        <f t="shared" si="42"/>
        <v>6255</v>
      </c>
      <c r="EE23" s="94">
        <f t="shared" si="43"/>
        <v>1.8000000000000002E-2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125100000</v>
      </c>
      <c r="EL23" s="126">
        <f t="shared" si="48"/>
        <v>0</v>
      </c>
      <c r="EM23" s="126">
        <f t="shared" si="49"/>
        <v>6255</v>
      </c>
      <c r="EN23" s="94">
        <f t="shared" si="50"/>
        <v>1.8000000000000002E-2</v>
      </c>
      <c r="EP23" s="93"/>
    </row>
    <row r="24" spans="1:146" x14ac:dyDescent="0.25">
      <c r="A24" s="39">
        <f t="shared" si="51"/>
        <v>43813</v>
      </c>
      <c r="D24" s="93">
        <f t="shared" si="0"/>
        <v>0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(AC24*AD24)/'[15]Input Sheet'!$B$11</f>
        <v>0</v>
      </c>
      <c r="AH24" s="93">
        <f>(AF24*AG24)/'[15]Input Sheet'!$B$11</f>
        <v>0</v>
      </c>
      <c r="AI24" s="124">
        <f>75000000+50100000</f>
        <v>125100000</v>
      </c>
      <c r="AJ24" s="125">
        <v>1.7999999999999999E-2</v>
      </c>
      <c r="AK24" s="93">
        <f t="shared" si="9"/>
        <v>6255</v>
      </c>
      <c r="AL24" s="124"/>
      <c r="AM24" s="125"/>
      <c r="AN24" s="93">
        <f t="shared" si="10"/>
        <v>0</v>
      </c>
      <c r="AO24" s="124"/>
      <c r="AP24" s="125"/>
      <c r="AQ24" s="93">
        <f t="shared" si="11"/>
        <v>0</v>
      </c>
      <c r="AR24" s="124"/>
      <c r="AS24" s="125"/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125100000</v>
      </c>
      <c r="EC24" s="126">
        <f t="shared" si="41"/>
        <v>0</v>
      </c>
      <c r="ED24" s="93">
        <f t="shared" si="42"/>
        <v>6255</v>
      </c>
      <c r="EE24" s="94">
        <f t="shared" si="43"/>
        <v>1.8000000000000002E-2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125100000</v>
      </c>
      <c r="EL24" s="126">
        <f t="shared" si="48"/>
        <v>0</v>
      </c>
      <c r="EM24" s="126">
        <f t="shared" si="49"/>
        <v>6255</v>
      </c>
      <c r="EN24" s="94">
        <f t="shared" si="50"/>
        <v>1.8000000000000002E-2</v>
      </c>
      <c r="EP24" s="93"/>
    </row>
    <row r="25" spans="1:146" x14ac:dyDescent="0.25">
      <c r="A25" s="39">
        <f t="shared" si="51"/>
        <v>43814</v>
      </c>
      <c r="D25" s="93">
        <f t="shared" si="0"/>
        <v>0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(AC25*AD25)/'[15]Input Sheet'!$B$11</f>
        <v>0</v>
      </c>
      <c r="AH25" s="93">
        <f>(AF25*AG25)/'[15]Input Sheet'!$B$11</f>
        <v>0</v>
      </c>
      <c r="AI25" s="124">
        <f>75000000+50100000</f>
        <v>125100000</v>
      </c>
      <c r="AJ25" s="125">
        <v>1.7999999999999999E-2</v>
      </c>
      <c r="AK25" s="93">
        <f t="shared" si="9"/>
        <v>6255</v>
      </c>
      <c r="AL25" s="124"/>
      <c r="AM25" s="125"/>
      <c r="AN25" s="93">
        <f t="shared" si="10"/>
        <v>0</v>
      </c>
      <c r="AO25" s="124"/>
      <c r="AP25" s="125"/>
      <c r="AQ25" s="93">
        <f t="shared" si="11"/>
        <v>0</v>
      </c>
      <c r="AR25" s="124"/>
      <c r="AS25" s="125"/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125100000</v>
      </c>
      <c r="EC25" s="126">
        <f t="shared" si="41"/>
        <v>0</v>
      </c>
      <c r="ED25" s="93">
        <f t="shared" si="42"/>
        <v>6255</v>
      </c>
      <c r="EE25" s="94">
        <f t="shared" si="43"/>
        <v>1.8000000000000002E-2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125100000</v>
      </c>
      <c r="EL25" s="126">
        <f t="shared" si="48"/>
        <v>0</v>
      </c>
      <c r="EM25" s="126">
        <f t="shared" si="49"/>
        <v>6255</v>
      </c>
      <c r="EN25" s="94">
        <f t="shared" si="50"/>
        <v>1.8000000000000002E-2</v>
      </c>
      <c r="EP25" s="93"/>
    </row>
    <row r="26" spans="1:146" x14ac:dyDescent="0.25">
      <c r="A26" s="39">
        <f t="shared" si="51"/>
        <v>43815</v>
      </c>
      <c r="D26" s="93">
        <f t="shared" si="0"/>
        <v>0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(AC26*AD26)/'[15]Input Sheet'!$B$11</f>
        <v>0</v>
      </c>
      <c r="AH26" s="93">
        <f>(AF26*AG26)/'[15]Input Sheet'!$B$11</f>
        <v>0</v>
      </c>
      <c r="AI26" s="124">
        <f>100000000+55025000</f>
        <v>155025000</v>
      </c>
      <c r="AJ26" s="125">
        <v>1.8200000000000001E-2</v>
      </c>
      <c r="AK26" s="93">
        <f t="shared" si="9"/>
        <v>7837.375</v>
      </c>
      <c r="AL26" s="124"/>
      <c r="AM26" s="125"/>
      <c r="AN26" s="93">
        <f t="shared" si="10"/>
        <v>0</v>
      </c>
      <c r="AO26" s="124"/>
      <c r="AP26" s="125"/>
      <c r="AQ26" s="93">
        <f t="shared" si="11"/>
        <v>0</v>
      </c>
      <c r="AR26" s="124"/>
      <c r="AS26" s="125"/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155025000</v>
      </c>
      <c r="EC26" s="126">
        <f t="shared" si="41"/>
        <v>0</v>
      </c>
      <c r="ED26" s="93">
        <f t="shared" si="42"/>
        <v>7837.375</v>
      </c>
      <c r="EE26" s="94">
        <f t="shared" si="43"/>
        <v>1.8200000000000001E-2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155025000</v>
      </c>
      <c r="EL26" s="126">
        <f t="shared" si="48"/>
        <v>0</v>
      </c>
      <c r="EM26" s="126">
        <f t="shared" si="49"/>
        <v>7837.375</v>
      </c>
      <c r="EN26" s="94">
        <f t="shared" si="50"/>
        <v>1.8200000000000001E-2</v>
      </c>
      <c r="EP26" s="93"/>
    </row>
    <row r="27" spans="1:146" x14ac:dyDescent="0.25">
      <c r="A27" s="39">
        <f t="shared" si="51"/>
        <v>43816</v>
      </c>
      <c r="D27" s="93">
        <f t="shared" si="0"/>
        <v>0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(AC27*AD27)/'[15]Input Sheet'!$B$11</f>
        <v>0</v>
      </c>
      <c r="AH27" s="93">
        <f>(AF27*AG27)/'[15]Input Sheet'!$B$11</f>
        <v>0</v>
      </c>
      <c r="AI27" s="124">
        <f>100000000+40175000</f>
        <v>140175000</v>
      </c>
      <c r="AJ27" s="125">
        <v>1.7999999999999999E-2</v>
      </c>
      <c r="AK27" s="93">
        <f t="shared" si="9"/>
        <v>7008.75</v>
      </c>
      <c r="AL27" s="124"/>
      <c r="AM27" s="125"/>
      <c r="AN27" s="93">
        <f t="shared" si="10"/>
        <v>0</v>
      </c>
      <c r="AO27" s="124"/>
      <c r="AP27" s="125"/>
      <c r="AQ27" s="93">
        <f t="shared" si="11"/>
        <v>0</v>
      </c>
      <c r="AR27" s="124"/>
      <c r="AS27" s="125"/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140175000</v>
      </c>
      <c r="EC27" s="126">
        <f t="shared" si="41"/>
        <v>0</v>
      </c>
      <c r="ED27" s="93">
        <f t="shared" si="42"/>
        <v>7008.75</v>
      </c>
      <c r="EE27" s="94">
        <f t="shared" si="43"/>
        <v>1.8000000000000002E-2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140175000</v>
      </c>
      <c r="EL27" s="126">
        <f t="shared" si="48"/>
        <v>0</v>
      </c>
      <c r="EM27" s="126">
        <f t="shared" si="49"/>
        <v>7008.75</v>
      </c>
      <c r="EN27" s="94">
        <f t="shared" si="50"/>
        <v>1.8000000000000002E-2</v>
      </c>
      <c r="EP27" s="93"/>
    </row>
    <row r="28" spans="1:146" x14ac:dyDescent="0.25">
      <c r="A28" s="39">
        <f t="shared" si="51"/>
        <v>43817</v>
      </c>
      <c r="D28" s="93">
        <f t="shared" si="0"/>
        <v>0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(AC28*AD28)/'[15]Input Sheet'!$B$11</f>
        <v>0</v>
      </c>
      <c r="AH28" s="93">
        <f>(AF28*AG28)/'[15]Input Sheet'!$B$11</f>
        <v>0</v>
      </c>
      <c r="AI28" s="124">
        <f>30000000+54800000</f>
        <v>84800000</v>
      </c>
      <c r="AJ28" s="125">
        <v>1.7999999999999999E-2</v>
      </c>
      <c r="AK28" s="93">
        <f t="shared" si="9"/>
        <v>4240</v>
      </c>
      <c r="AL28" s="124">
        <f>50000000</f>
        <v>50000000</v>
      </c>
      <c r="AM28" s="125">
        <v>2.0500000000000001E-2</v>
      </c>
      <c r="AN28" s="93">
        <f t="shared" si="10"/>
        <v>2847.2222222222222</v>
      </c>
      <c r="AO28" s="124"/>
      <c r="AP28" s="125"/>
      <c r="AQ28" s="93">
        <f t="shared" si="11"/>
        <v>0</v>
      </c>
      <c r="AR28" s="124"/>
      <c r="AS28" s="125"/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134800000</v>
      </c>
      <c r="EC28" s="126">
        <f t="shared" si="41"/>
        <v>0</v>
      </c>
      <c r="ED28" s="93">
        <f t="shared" si="42"/>
        <v>7087.2222222222226</v>
      </c>
      <c r="EE28" s="94">
        <f t="shared" si="43"/>
        <v>1.8927299703264098E-2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134800000</v>
      </c>
      <c r="EL28" s="126">
        <f t="shared" si="48"/>
        <v>0</v>
      </c>
      <c r="EM28" s="126">
        <f t="shared" si="49"/>
        <v>7087.2222222222226</v>
      </c>
      <c r="EN28" s="94">
        <f t="shared" si="50"/>
        <v>1.8927299703264098E-2</v>
      </c>
      <c r="EP28" s="93"/>
    </row>
    <row r="29" spans="1:146" x14ac:dyDescent="0.25">
      <c r="A29" s="39">
        <f t="shared" si="51"/>
        <v>43818</v>
      </c>
      <c r="D29" s="93">
        <f t="shared" si="0"/>
        <v>0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(AC29*AD29)/'[15]Input Sheet'!$B$11</f>
        <v>0</v>
      </c>
      <c r="AH29" s="93">
        <f>(AF29*AG29)/'[15]Input Sheet'!$B$11</f>
        <v>0</v>
      </c>
      <c r="AI29" s="124">
        <f>33775000+37840000</f>
        <v>71615000</v>
      </c>
      <c r="AJ29" s="125">
        <v>1.7999999999999999E-2</v>
      </c>
      <c r="AK29" s="93">
        <f t="shared" si="9"/>
        <v>3580.75</v>
      </c>
      <c r="AL29" s="124">
        <f t="shared" ref="AL29:AL41" si="52">50000000+5000000</f>
        <v>55000000</v>
      </c>
      <c r="AM29" s="125">
        <v>2.0500000000000001E-2</v>
      </c>
      <c r="AN29" s="93">
        <f t="shared" si="10"/>
        <v>3131.9444444444443</v>
      </c>
      <c r="AO29" s="124">
        <v>7160000</v>
      </c>
      <c r="AP29" s="125">
        <v>2.1000000000000001E-2</v>
      </c>
      <c r="AQ29" s="93">
        <f t="shared" si="11"/>
        <v>417.66666666666669</v>
      </c>
      <c r="AR29" s="124"/>
      <c r="AS29" s="125"/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133775000</v>
      </c>
      <c r="EC29" s="126">
        <f t="shared" si="41"/>
        <v>0</v>
      </c>
      <c r="ED29" s="93">
        <f t="shared" si="42"/>
        <v>7130.3611111111113</v>
      </c>
      <c r="EE29" s="94">
        <f t="shared" si="43"/>
        <v>1.9188413380676509E-2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133775000</v>
      </c>
      <c r="EL29" s="126">
        <f t="shared" si="48"/>
        <v>0</v>
      </c>
      <c r="EM29" s="126">
        <f t="shared" si="49"/>
        <v>7130.3611111111113</v>
      </c>
      <c r="EN29" s="94">
        <f t="shared" si="50"/>
        <v>1.9188413380676509E-2</v>
      </c>
      <c r="EP29" s="93"/>
    </row>
    <row r="30" spans="1:146" x14ac:dyDescent="0.25">
      <c r="A30" s="39">
        <f t="shared" si="51"/>
        <v>43819</v>
      </c>
      <c r="D30" s="93">
        <f t="shared" si="0"/>
        <v>0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(AC30*AD30)/'[15]Input Sheet'!$B$11</f>
        <v>0</v>
      </c>
      <c r="AH30" s="93">
        <f>(AF30*AG30)/'[15]Input Sheet'!$B$11</f>
        <v>0</v>
      </c>
      <c r="AI30" s="124">
        <f>50575000</f>
        <v>50575000</v>
      </c>
      <c r="AJ30" s="125">
        <v>1.7999999999999999E-2</v>
      </c>
      <c r="AK30" s="93">
        <f t="shared" si="9"/>
        <v>2528.7499999999995</v>
      </c>
      <c r="AL30" s="124">
        <f t="shared" si="52"/>
        <v>55000000</v>
      </c>
      <c r="AM30" s="125">
        <v>2.0500000000000001E-2</v>
      </c>
      <c r="AN30" s="93">
        <f t="shared" si="10"/>
        <v>3131.9444444444443</v>
      </c>
      <c r="AO30" s="124">
        <f>7160000+40000000</f>
        <v>47160000</v>
      </c>
      <c r="AP30" s="125">
        <v>2.1000000000000001E-2</v>
      </c>
      <c r="AQ30" s="93">
        <f t="shared" si="11"/>
        <v>2751.0000000000005</v>
      </c>
      <c r="AR30" s="124"/>
      <c r="AS30" s="125"/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152735000</v>
      </c>
      <c r="EC30" s="126">
        <f t="shared" si="41"/>
        <v>0</v>
      </c>
      <c r="ED30" s="93">
        <f t="shared" si="42"/>
        <v>8411.6944444444434</v>
      </c>
      <c r="EE30" s="94">
        <f t="shared" si="43"/>
        <v>1.9826562346547942E-2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152735000</v>
      </c>
      <c r="EL30" s="126">
        <f t="shared" si="48"/>
        <v>0</v>
      </c>
      <c r="EM30" s="126">
        <f t="shared" si="49"/>
        <v>8411.6944444444453</v>
      </c>
      <c r="EN30" s="94">
        <f t="shared" si="50"/>
        <v>1.9826562346547942E-2</v>
      </c>
      <c r="EP30" s="93"/>
    </row>
    <row r="31" spans="1:146" x14ac:dyDescent="0.25">
      <c r="A31" s="39">
        <f t="shared" si="51"/>
        <v>43820</v>
      </c>
      <c r="D31" s="93">
        <f t="shared" si="0"/>
        <v>0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(AC31*AD31)/'[15]Input Sheet'!$B$11</f>
        <v>0</v>
      </c>
      <c r="AH31" s="93">
        <f>(AF31*AG31)/'[15]Input Sheet'!$B$11</f>
        <v>0</v>
      </c>
      <c r="AI31" s="124">
        <f>50575000</f>
        <v>50575000</v>
      </c>
      <c r="AJ31" s="125">
        <v>1.7999999999999999E-2</v>
      </c>
      <c r="AK31" s="93">
        <f t="shared" si="9"/>
        <v>2528.7499999999995</v>
      </c>
      <c r="AL31" s="124">
        <f t="shared" si="52"/>
        <v>55000000</v>
      </c>
      <c r="AM31" s="125">
        <v>2.0500000000000001E-2</v>
      </c>
      <c r="AN31" s="93">
        <f t="shared" si="10"/>
        <v>3131.9444444444443</v>
      </c>
      <c r="AO31" s="124">
        <f>7160000+40000000</f>
        <v>47160000</v>
      </c>
      <c r="AP31" s="125">
        <v>2.1000000000000001E-2</v>
      </c>
      <c r="AQ31" s="93">
        <f t="shared" si="11"/>
        <v>2751.0000000000005</v>
      </c>
      <c r="AR31" s="124"/>
      <c r="AS31" s="125"/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152735000</v>
      </c>
      <c r="EC31" s="126">
        <f t="shared" si="41"/>
        <v>0</v>
      </c>
      <c r="ED31" s="93">
        <f t="shared" si="42"/>
        <v>8411.6944444444434</v>
      </c>
      <c r="EE31" s="94">
        <f t="shared" si="43"/>
        <v>1.9826562346547942E-2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152735000</v>
      </c>
      <c r="EL31" s="126">
        <f t="shared" si="48"/>
        <v>0</v>
      </c>
      <c r="EM31" s="126">
        <f t="shared" si="49"/>
        <v>8411.6944444444453</v>
      </c>
      <c r="EN31" s="94">
        <f t="shared" si="50"/>
        <v>1.9826562346547942E-2</v>
      </c>
      <c r="EP31" s="93"/>
    </row>
    <row r="32" spans="1:146" x14ac:dyDescent="0.25">
      <c r="A32" s="39">
        <f t="shared" si="51"/>
        <v>43821</v>
      </c>
      <c r="D32" s="93">
        <f t="shared" si="0"/>
        <v>0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(AC32*AD32)/'[15]Input Sheet'!$B$11</f>
        <v>0</v>
      </c>
      <c r="AH32" s="93">
        <f>(AF32*AG32)/'[15]Input Sheet'!$B$11</f>
        <v>0</v>
      </c>
      <c r="AI32" s="124">
        <f>50575000</f>
        <v>50575000</v>
      </c>
      <c r="AJ32" s="125">
        <v>1.7999999999999999E-2</v>
      </c>
      <c r="AK32" s="93">
        <f t="shared" si="9"/>
        <v>2528.7499999999995</v>
      </c>
      <c r="AL32" s="124">
        <f t="shared" si="52"/>
        <v>55000000</v>
      </c>
      <c r="AM32" s="125">
        <v>2.0500000000000001E-2</v>
      </c>
      <c r="AN32" s="93">
        <f t="shared" si="10"/>
        <v>3131.9444444444443</v>
      </c>
      <c r="AO32" s="124">
        <f>7160000+40000000</f>
        <v>47160000</v>
      </c>
      <c r="AP32" s="125">
        <v>2.1000000000000001E-2</v>
      </c>
      <c r="AQ32" s="93">
        <f t="shared" si="11"/>
        <v>2751.0000000000005</v>
      </c>
      <c r="AR32" s="124"/>
      <c r="AS32" s="125"/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152735000</v>
      </c>
      <c r="EC32" s="126">
        <f t="shared" si="41"/>
        <v>0</v>
      </c>
      <c r="ED32" s="93">
        <f t="shared" si="42"/>
        <v>8411.6944444444434</v>
      </c>
      <c r="EE32" s="94">
        <f t="shared" si="43"/>
        <v>1.9826562346547942E-2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152735000</v>
      </c>
      <c r="EL32" s="126">
        <f t="shared" si="48"/>
        <v>0</v>
      </c>
      <c r="EM32" s="126">
        <f t="shared" si="49"/>
        <v>8411.6944444444453</v>
      </c>
      <c r="EN32" s="94">
        <f t="shared" si="50"/>
        <v>1.9826562346547942E-2</v>
      </c>
      <c r="EP32" s="93"/>
    </row>
    <row r="33" spans="1:146" x14ac:dyDescent="0.25">
      <c r="A33" s="39">
        <f t="shared" si="51"/>
        <v>43822</v>
      </c>
      <c r="D33" s="93">
        <f t="shared" si="0"/>
        <v>0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(AC33*AD33)/'[15]Input Sheet'!$B$11</f>
        <v>0</v>
      </c>
      <c r="AH33" s="93">
        <f>(AF33*AG33)/'[15]Input Sheet'!$B$11</f>
        <v>0</v>
      </c>
      <c r="AI33" s="124">
        <f>9100000</f>
        <v>9100000</v>
      </c>
      <c r="AJ33" s="125">
        <v>1.7999999999999999E-2</v>
      </c>
      <c r="AK33" s="93">
        <f t="shared" si="9"/>
        <v>455</v>
      </c>
      <c r="AL33" s="124">
        <f t="shared" si="52"/>
        <v>55000000</v>
      </c>
      <c r="AM33" s="125">
        <v>2.0500000000000001E-2</v>
      </c>
      <c r="AN33" s="93">
        <f t="shared" si="10"/>
        <v>3131.9444444444443</v>
      </c>
      <c r="AO33" s="124">
        <f t="shared" ref="AO33:AO41" si="53">7160000+40000000+30000000</f>
        <v>77160000</v>
      </c>
      <c r="AP33" s="125">
        <v>2.1000000000000001E-2</v>
      </c>
      <c r="AQ33" s="93">
        <f t="shared" si="11"/>
        <v>4501</v>
      </c>
      <c r="AR33" s="124">
        <f>15000000</f>
        <v>15000000</v>
      </c>
      <c r="AS33" s="125">
        <v>1.7999999999999999E-2</v>
      </c>
      <c r="AT33" s="93">
        <f t="shared" si="12"/>
        <v>750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156260000</v>
      </c>
      <c r="EC33" s="126">
        <f t="shared" si="41"/>
        <v>0</v>
      </c>
      <c r="ED33" s="93">
        <f t="shared" si="42"/>
        <v>8837.9444444444453</v>
      </c>
      <c r="EE33" s="94">
        <f t="shared" si="43"/>
        <v>2.0361320875463971E-2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156260000</v>
      </c>
      <c r="EL33" s="126">
        <f t="shared" si="48"/>
        <v>0</v>
      </c>
      <c r="EM33" s="126">
        <f t="shared" si="49"/>
        <v>8837.9444444444453</v>
      </c>
      <c r="EN33" s="94">
        <f t="shared" si="50"/>
        <v>2.0361320875463971E-2</v>
      </c>
      <c r="EP33" s="93"/>
    </row>
    <row r="34" spans="1:146" x14ac:dyDescent="0.25">
      <c r="A34" s="39">
        <f t="shared" si="51"/>
        <v>43823</v>
      </c>
      <c r="B34" s="93">
        <f>IF([15]BALANCES!$F328&gt;0,[15]BALANCES!$F328,0)</f>
        <v>2075000</v>
      </c>
      <c r="C34" s="94">
        <f>[15]RATES!$D101/100</f>
        <v>1.9166530000000001E-2</v>
      </c>
      <c r="D34" s="93">
        <f t="shared" si="0"/>
        <v>110.47374930555557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(AC34*AD34)/'[15]Input Sheet'!$B$11</f>
        <v>0</v>
      </c>
      <c r="AH34" s="93">
        <f>(AF34*AG34)/'[15]Input Sheet'!$B$11</f>
        <v>0</v>
      </c>
      <c r="AI34" s="124"/>
      <c r="AJ34" s="125"/>
      <c r="AK34" s="93">
        <f t="shared" si="9"/>
        <v>0</v>
      </c>
      <c r="AL34" s="124">
        <f t="shared" si="52"/>
        <v>55000000</v>
      </c>
      <c r="AM34" s="125">
        <v>2.0500000000000001E-2</v>
      </c>
      <c r="AN34" s="93">
        <f t="shared" si="10"/>
        <v>3131.9444444444443</v>
      </c>
      <c r="AO34" s="124">
        <f t="shared" si="53"/>
        <v>77160000</v>
      </c>
      <c r="AP34" s="125">
        <v>2.1000000000000001E-2</v>
      </c>
      <c r="AQ34" s="93">
        <f t="shared" si="11"/>
        <v>4501</v>
      </c>
      <c r="AR34" s="124">
        <f>15000000</f>
        <v>15000000</v>
      </c>
      <c r="AS34" s="125">
        <v>1.7999999999999999E-2</v>
      </c>
      <c r="AT34" s="93">
        <f t="shared" si="12"/>
        <v>750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149235000</v>
      </c>
      <c r="EC34" s="126">
        <f t="shared" si="41"/>
        <v>2075000</v>
      </c>
      <c r="ED34" s="93">
        <f t="shared" si="42"/>
        <v>8493.4181937499998</v>
      </c>
      <c r="EE34" s="94">
        <f t="shared" si="43"/>
        <v>2.0488696014674842E-2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147160000</v>
      </c>
      <c r="EL34" s="126">
        <f t="shared" si="48"/>
        <v>0</v>
      </c>
      <c r="EM34" s="126">
        <f t="shared" si="49"/>
        <v>8382.9444444444453</v>
      </c>
      <c r="EN34" s="94">
        <f t="shared" si="50"/>
        <v>2.050733895080185E-2</v>
      </c>
      <c r="EP34" s="93"/>
    </row>
    <row r="35" spans="1:146" x14ac:dyDescent="0.25">
      <c r="A35" s="39">
        <f t="shared" si="51"/>
        <v>43824</v>
      </c>
      <c r="B35" s="93">
        <f>IF([15]BALANCES!$F329&gt;0,[15]BALANCES!$F329,0)</f>
        <v>2075000</v>
      </c>
      <c r="C35" s="94">
        <f>[15]RATES!$D102/100</f>
        <v>1.9166530000000001E-2</v>
      </c>
      <c r="D35" s="93">
        <f t="shared" si="0"/>
        <v>110.47374930555557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(AC35*AD35)/'[15]Input Sheet'!$B$11</f>
        <v>0</v>
      </c>
      <c r="AH35" s="93">
        <f>(AF35*AG35)/'[15]Input Sheet'!$B$11</f>
        <v>0</v>
      </c>
      <c r="AI35" s="124"/>
      <c r="AJ35" s="125"/>
      <c r="AK35" s="93">
        <f t="shared" si="9"/>
        <v>0</v>
      </c>
      <c r="AL35" s="124">
        <f t="shared" si="52"/>
        <v>55000000</v>
      </c>
      <c r="AM35" s="125">
        <v>2.0500000000000001E-2</v>
      </c>
      <c r="AN35" s="93">
        <f t="shared" si="10"/>
        <v>3131.9444444444443</v>
      </c>
      <c r="AO35" s="124">
        <f t="shared" si="53"/>
        <v>77160000</v>
      </c>
      <c r="AP35" s="125">
        <v>2.1000000000000001E-2</v>
      </c>
      <c r="AQ35" s="93">
        <f t="shared" si="11"/>
        <v>4501</v>
      </c>
      <c r="AR35" s="124">
        <f>15000000</f>
        <v>15000000</v>
      </c>
      <c r="AS35" s="125">
        <v>1.7999999999999999E-2</v>
      </c>
      <c r="AT35" s="93">
        <f t="shared" si="12"/>
        <v>750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149235000</v>
      </c>
      <c r="EC35" s="126">
        <f t="shared" si="41"/>
        <v>2075000</v>
      </c>
      <c r="ED35" s="93">
        <f t="shared" si="42"/>
        <v>8493.4181937499998</v>
      </c>
      <c r="EE35" s="94">
        <f t="shared" si="43"/>
        <v>2.0488696014674842E-2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147160000</v>
      </c>
      <c r="EL35" s="126">
        <f t="shared" si="48"/>
        <v>0</v>
      </c>
      <c r="EM35" s="126">
        <f t="shared" si="49"/>
        <v>8382.9444444444453</v>
      </c>
      <c r="EN35" s="94">
        <f t="shared" si="50"/>
        <v>2.050733895080185E-2</v>
      </c>
      <c r="EP35" s="93"/>
    </row>
    <row r="36" spans="1:146" x14ac:dyDescent="0.25">
      <c r="A36" s="39">
        <f t="shared" si="51"/>
        <v>43825</v>
      </c>
      <c r="D36" s="93">
        <f t="shared" si="0"/>
        <v>0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(AC36*AD36)/'[15]Input Sheet'!$B$11</f>
        <v>0</v>
      </c>
      <c r="AH36" s="93">
        <f>(AF36*AG36)/'[15]Input Sheet'!$B$11</f>
        <v>0</v>
      </c>
      <c r="AI36" s="124">
        <f>31725000</f>
        <v>31725000</v>
      </c>
      <c r="AJ36" s="125">
        <v>1.7999999999999999E-2</v>
      </c>
      <c r="AK36" s="93">
        <f t="shared" si="9"/>
        <v>1586.25</v>
      </c>
      <c r="AL36" s="124">
        <f t="shared" si="52"/>
        <v>55000000</v>
      </c>
      <c r="AM36" s="125">
        <v>2.0500000000000001E-2</v>
      </c>
      <c r="AN36" s="93">
        <f t="shared" si="10"/>
        <v>3131.9444444444443</v>
      </c>
      <c r="AO36" s="124">
        <f t="shared" si="53"/>
        <v>77160000</v>
      </c>
      <c r="AP36" s="125">
        <v>2.1000000000000001E-2</v>
      </c>
      <c r="AQ36" s="93">
        <f t="shared" si="11"/>
        <v>4501</v>
      </c>
      <c r="AR36" s="124"/>
      <c r="AS36" s="125"/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163885000</v>
      </c>
      <c r="EC36" s="126">
        <f t="shared" si="41"/>
        <v>0</v>
      </c>
      <c r="ED36" s="93">
        <f t="shared" si="42"/>
        <v>9219.1944444444453</v>
      </c>
      <c r="EE36" s="94">
        <f t="shared" si="43"/>
        <v>2.025145681422949E-2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163885000</v>
      </c>
      <c r="EL36" s="126">
        <f t="shared" si="48"/>
        <v>0</v>
      </c>
      <c r="EM36" s="126">
        <f t="shared" si="49"/>
        <v>9219.1944444444453</v>
      </c>
      <c r="EN36" s="94">
        <f t="shared" si="50"/>
        <v>2.025145681422949E-2</v>
      </c>
      <c r="EP36" s="93"/>
    </row>
    <row r="37" spans="1:146" x14ac:dyDescent="0.25">
      <c r="A37" s="39">
        <f t="shared" si="51"/>
        <v>43826</v>
      </c>
      <c r="D37" s="93">
        <f t="shared" si="0"/>
        <v>0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(AC37*AD37)/'[15]Input Sheet'!$B$11</f>
        <v>0</v>
      </c>
      <c r="AH37" s="93">
        <f>(AF37*AG37)/'[15]Input Sheet'!$B$11</f>
        <v>0</v>
      </c>
      <c r="AI37" s="124">
        <v>43150000</v>
      </c>
      <c r="AJ37" s="125">
        <v>1.7999999999999999E-2</v>
      </c>
      <c r="AK37" s="93">
        <f t="shared" si="9"/>
        <v>2157.4999999999995</v>
      </c>
      <c r="AL37" s="124">
        <f t="shared" si="52"/>
        <v>55000000</v>
      </c>
      <c r="AM37" s="125">
        <v>2.0500000000000001E-2</v>
      </c>
      <c r="AN37" s="93">
        <f t="shared" si="10"/>
        <v>3131.9444444444443</v>
      </c>
      <c r="AO37" s="124">
        <f t="shared" si="53"/>
        <v>77160000</v>
      </c>
      <c r="AP37" s="125">
        <v>2.1000000000000001E-2</v>
      </c>
      <c r="AQ37" s="93">
        <f t="shared" si="11"/>
        <v>4501</v>
      </c>
      <c r="AR37" s="124"/>
      <c r="AS37" s="125"/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175310000</v>
      </c>
      <c r="EC37" s="126">
        <f t="shared" si="41"/>
        <v>0</v>
      </c>
      <c r="ED37" s="93">
        <f t="shared" si="42"/>
        <v>9790.4444444444434</v>
      </c>
      <c r="EE37" s="94">
        <f t="shared" si="43"/>
        <v>2.010472876618561E-2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175310000</v>
      </c>
      <c r="EL37" s="126">
        <f t="shared" si="48"/>
        <v>0</v>
      </c>
      <c r="EM37" s="126">
        <f t="shared" si="49"/>
        <v>9790.4444444444434</v>
      </c>
      <c r="EN37" s="94">
        <f t="shared" si="50"/>
        <v>2.010472876618561E-2</v>
      </c>
      <c r="EP37" s="93"/>
    </row>
    <row r="38" spans="1:146" x14ac:dyDescent="0.25">
      <c r="A38" s="39">
        <f t="shared" si="51"/>
        <v>43827</v>
      </c>
      <c r="D38" s="93">
        <f t="shared" si="0"/>
        <v>0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(AC38*AD38)/'[15]Input Sheet'!$B$11</f>
        <v>0</v>
      </c>
      <c r="AH38" s="93">
        <f>(AF38*AG38)/'[15]Input Sheet'!$B$11</f>
        <v>0</v>
      </c>
      <c r="AI38" s="124">
        <v>43150000</v>
      </c>
      <c r="AJ38" s="125">
        <v>1.7999999999999999E-2</v>
      </c>
      <c r="AK38" s="93">
        <f t="shared" si="9"/>
        <v>2157.4999999999995</v>
      </c>
      <c r="AL38" s="124">
        <f t="shared" si="52"/>
        <v>55000000</v>
      </c>
      <c r="AM38" s="125">
        <v>2.0500000000000001E-2</v>
      </c>
      <c r="AN38" s="93">
        <f t="shared" si="10"/>
        <v>3131.9444444444443</v>
      </c>
      <c r="AO38" s="124">
        <f t="shared" si="53"/>
        <v>77160000</v>
      </c>
      <c r="AP38" s="125">
        <v>2.1000000000000001E-2</v>
      </c>
      <c r="AQ38" s="93">
        <f t="shared" si="11"/>
        <v>4501</v>
      </c>
      <c r="AR38" s="124"/>
      <c r="AS38" s="125"/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175310000</v>
      </c>
      <c r="EC38" s="126">
        <f t="shared" si="41"/>
        <v>0</v>
      </c>
      <c r="ED38" s="93">
        <f t="shared" si="42"/>
        <v>9790.4444444444434</v>
      </c>
      <c r="EE38" s="94">
        <f t="shared" si="43"/>
        <v>2.010472876618561E-2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175310000</v>
      </c>
      <c r="EL38" s="126">
        <f t="shared" si="48"/>
        <v>0</v>
      </c>
      <c r="EM38" s="126">
        <f t="shared" si="49"/>
        <v>9790.4444444444434</v>
      </c>
      <c r="EN38" s="94">
        <f t="shared" si="50"/>
        <v>2.010472876618561E-2</v>
      </c>
      <c r="EP38" s="93"/>
    </row>
    <row r="39" spans="1:146" x14ac:dyDescent="0.25">
      <c r="A39" s="39">
        <f t="shared" si="51"/>
        <v>43828</v>
      </c>
      <c r="D39" s="93">
        <f t="shared" si="0"/>
        <v>0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(AC39*AD39)/'[15]Input Sheet'!$B$11</f>
        <v>0</v>
      </c>
      <c r="AH39" s="93">
        <f>(AF39*AG39)/'[15]Input Sheet'!$B$11</f>
        <v>0</v>
      </c>
      <c r="AI39" s="124">
        <v>43150000</v>
      </c>
      <c r="AJ39" s="125">
        <v>1.7999999999999999E-2</v>
      </c>
      <c r="AK39" s="93">
        <f t="shared" si="9"/>
        <v>2157.4999999999995</v>
      </c>
      <c r="AL39" s="124">
        <f t="shared" si="52"/>
        <v>55000000</v>
      </c>
      <c r="AM39" s="125">
        <v>2.0500000000000001E-2</v>
      </c>
      <c r="AN39" s="93">
        <f t="shared" si="10"/>
        <v>3131.9444444444443</v>
      </c>
      <c r="AO39" s="124">
        <f t="shared" si="53"/>
        <v>77160000</v>
      </c>
      <c r="AP39" s="125">
        <v>2.1000000000000001E-2</v>
      </c>
      <c r="AQ39" s="93">
        <f t="shared" si="11"/>
        <v>4501</v>
      </c>
      <c r="AR39" s="124"/>
      <c r="AS39" s="125"/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175310000</v>
      </c>
      <c r="EC39" s="126">
        <f t="shared" si="41"/>
        <v>0</v>
      </c>
      <c r="ED39" s="93">
        <f t="shared" si="42"/>
        <v>9790.4444444444434</v>
      </c>
      <c r="EE39" s="94">
        <f t="shared" si="43"/>
        <v>2.010472876618561E-2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175310000</v>
      </c>
      <c r="EL39" s="126">
        <f t="shared" si="48"/>
        <v>0</v>
      </c>
      <c r="EM39" s="126">
        <f t="shared" si="49"/>
        <v>9790.4444444444434</v>
      </c>
      <c r="EN39" s="94">
        <f t="shared" si="50"/>
        <v>2.010472876618561E-2</v>
      </c>
      <c r="EP39" s="93"/>
    </row>
    <row r="40" spans="1:146" x14ac:dyDescent="0.25">
      <c r="A40" s="39">
        <f t="shared" si="51"/>
        <v>43829</v>
      </c>
      <c r="D40" s="93">
        <f t="shared" si="0"/>
        <v>0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(AC40*AD40)/'[15]Input Sheet'!$B$11</f>
        <v>0</v>
      </c>
      <c r="AH40" s="93">
        <f>(AF40*AG40)/'[15]Input Sheet'!$B$11</f>
        <v>0</v>
      </c>
      <c r="AI40" s="124">
        <f>43375000</f>
        <v>43375000</v>
      </c>
      <c r="AJ40" s="125">
        <v>1.7999999999999999E-2</v>
      </c>
      <c r="AK40" s="93">
        <f t="shared" si="9"/>
        <v>2168.7499999999995</v>
      </c>
      <c r="AL40" s="124">
        <f t="shared" si="52"/>
        <v>55000000</v>
      </c>
      <c r="AM40" s="125">
        <v>2.0500000000000001E-2</v>
      </c>
      <c r="AN40" s="93">
        <f t="shared" si="10"/>
        <v>3131.9444444444443</v>
      </c>
      <c r="AO40" s="124">
        <f t="shared" si="53"/>
        <v>77160000</v>
      </c>
      <c r="AP40" s="125">
        <v>2.1000000000000001E-2</v>
      </c>
      <c r="AQ40" s="93">
        <f t="shared" si="11"/>
        <v>4501</v>
      </c>
      <c r="AR40" s="124"/>
      <c r="AS40" s="125"/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175535000</v>
      </c>
      <c r="EC40" s="126">
        <f t="shared" si="41"/>
        <v>0</v>
      </c>
      <c r="ED40" s="93">
        <f t="shared" si="42"/>
        <v>9801.6944444444434</v>
      </c>
      <c r="EE40" s="94">
        <f t="shared" si="43"/>
        <v>2.0102030934001765E-2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175535000</v>
      </c>
      <c r="EL40" s="126">
        <f t="shared" si="48"/>
        <v>0</v>
      </c>
      <c r="EM40" s="126">
        <f t="shared" si="49"/>
        <v>9801.6944444444434</v>
      </c>
      <c r="EN40" s="94">
        <f t="shared" si="50"/>
        <v>2.0102030934001765E-2</v>
      </c>
      <c r="EP40" s="93"/>
    </row>
    <row r="41" spans="1:146" x14ac:dyDescent="0.25">
      <c r="A41" s="39">
        <f t="shared" si="51"/>
        <v>43830</v>
      </c>
      <c r="D41" s="93">
        <f t="shared" si="0"/>
        <v>0</v>
      </c>
      <c r="G41" s="93">
        <f t="shared" si="1"/>
        <v>0</v>
      </c>
      <c r="J41" s="93">
        <f t="shared" si="2"/>
        <v>0</v>
      </c>
      <c r="M41" s="93">
        <f t="shared" si="3"/>
        <v>0</v>
      </c>
      <c r="P41" s="93">
        <f t="shared" si="4"/>
        <v>0</v>
      </c>
      <c r="S41" s="93">
        <f t="shared" si="5"/>
        <v>0</v>
      </c>
      <c r="V41" s="93">
        <f t="shared" si="6"/>
        <v>0</v>
      </c>
      <c r="Y41" s="93">
        <f t="shared" si="7"/>
        <v>0</v>
      </c>
      <c r="AB41" s="93">
        <f t="shared" si="8"/>
        <v>0</v>
      </c>
      <c r="AE41" s="93">
        <f>(AC41*AD41)/'[15]Input Sheet'!$B$11</f>
        <v>0</v>
      </c>
      <c r="AH41" s="93">
        <f>(AF41*AG41)/'[15]Input Sheet'!$B$11</f>
        <v>0</v>
      </c>
      <c r="AI41" s="124">
        <f>101425000</f>
        <v>101425000</v>
      </c>
      <c r="AJ41" s="125">
        <v>1.7999999999999999E-2</v>
      </c>
      <c r="AK41" s="93">
        <f t="shared" si="9"/>
        <v>5071.2499999999991</v>
      </c>
      <c r="AL41" s="124">
        <f t="shared" si="52"/>
        <v>55000000</v>
      </c>
      <c r="AM41" s="125">
        <v>2.0500000000000001E-2</v>
      </c>
      <c r="AN41" s="93">
        <f t="shared" si="10"/>
        <v>3131.9444444444443</v>
      </c>
      <c r="AO41" s="124">
        <f t="shared" si="53"/>
        <v>77160000</v>
      </c>
      <c r="AP41" s="125">
        <v>2.1000000000000001E-2</v>
      </c>
      <c r="AQ41" s="93">
        <f t="shared" si="11"/>
        <v>4501</v>
      </c>
      <c r="AR41" s="124"/>
      <c r="AS41" s="125"/>
      <c r="AT41" s="93">
        <f t="shared" si="12"/>
        <v>0</v>
      </c>
      <c r="AW41" s="93">
        <f t="shared" si="13"/>
        <v>0</v>
      </c>
      <c r="AZ41" s="93">
        <f t="shared" si="14"/>
        <v>0</v>
      </c>
      <c r="BC41" s="93">
        <f t="shared" si="15"/>
        <v>0</v>
      </c>
      <c r="BF41" s="93">
        <f t="shared" si="16"/>
        <v>0</v>
      </c>
      <c r="BI41" s="93">
        <f t="shared" si="17"/>
        <v>0</v>
      </c>
      <c r="BL41" s="93">
        <f t="shared" si="18"/>
        <v>0</v>
      </c>
      <c r="BO41" s="93">
        <f t="shared" si="19"/>
        <v>0</v>
      </c>
      <c r="BR41" s="93">
        <f t="shared" si="20"/>
        <v>0</v>
      </c>
      <c r="BU41" s="93">
        <f t="shared" si="21"/>
        <v>0</v>
      </c>
      <c r="BX41" s="93">
        <f t="shared" si="22"/>
        <v>0</v>
      </c>
      <c r="CA41" s="93">
        <f t="shared" si="23"/>
        <v>0</v>
      </c>
      <c r="CD41" s="93">
        <f t="shared" si="24"/>
        <v>0</v>
      </c>
      <c r="CG41" s="93">
        <f t="shared" si="25"/>
        <v>0</v>
      </c>
      <c r="CJ41" s="93">
        <f t="shared" si="26"/>
        <v>0</v>
      </c>
      <c r="CM41" s="93">
        <f t="shared" si="27"/>
        <v>0</v>
      </c>
      <c r="CP41" s="93">
        <f t="shared" si="28"/>
        <v>0</v>
      </c>
      <c r="CS41" s="93">
        <f t="shared" si="29"/>
        <v>0</v>
      </c>
      <c r="CV41" s="93">
        <f t="shared" si="30"/>
        <v>0</v>
      </c>
      <c r="CY41" s="93">
        <f t="shared" si="31"/>
        <v>0</v>
      </c>
      <c r="DB41" s="93">
        <f t="shared" si="32"/>
        <v>0</v>
      </c>
      <c r="DE41" s="93">
        <f t="shared" si="33"/>
        <v>0</v>
      </c>
      <c r="DH41" s="93">
        <f t="shared" si="34"/>
        <v>0</v>
      </c>
      <c r="DK41" s="93">
        <f t="shared" si="35"/>
        <v>0</v>
      </c>
      <c r="DN41" s="93">
        <f t="shared" si="36"/>
        <v>0</v>
      </c>
      <c r="DQ41" s="93">
        <f t="shared" si="37"/>
        <v>0</v>
      </c>
      <c r="DT41" s="93">
        <f t="shared" si="38"/>
        <v>0</v>
      </c>
      <c r="DW41" s="93">
        <f t="shared" si="39"/>
        <v>0</v>
      </c>
      <c r="DZ41" s="91"/>
      <c r="EA41" s="93"/>
      <c r="EB41" s="126">
        <f t="shared" si="40"/>
        <v>233585000</v>
      </c>
      <c r="EC41" s="126">
        <f t="shared" si="41"/>
        <v>0</v>
      </c>
      <c r="ED41" s="93">
        <f t="shared" si="42"/>
        <v>12704.194444444443</v>
      </c>
      <c r="EE41" s="94">
        <f t="shared" si="43"/>
        <v>1.9579639103538323E-2</v>
      </c>
      <c r="EG41" s="126">
        <f t="shared" si="44"/>
        <v>0</v>
      </c>
      <c r="EH41" s="93">
        <f t="shared" si="45"/>
        <v>0</v>
      </c>
      <c r="EI41" s="94">
        <f t="shared" si="46"/>
        <v>0</v>
      </c>
      <c r="EJ41" s="94"/>
      <c r="EK41" s="126">
        <f t="shared" si="47"/>
        <v>233585000</v>
      </c>
      <c r="EL41" s="126">
        <f t="shared" si="48"/>
        <v>0</v>
      </c>
      <c r="EM41" s="126">
        <f t="shared" si="49"/>
        <v>12704.194444444443</v>
      </c>
      <c r="EN41" s="94">
        <f t="shared" si="50"/>
        <v>1.9579639103538323E-2</v>
      </c>
      <c r="EP41" s="93"/>
    </row>
    <row r="42" spans="1:146" x14ac:dyDescent="0.25">
      <c r="A42" s="127" t="s">
        <v>88</v>
      </c>
      <c r="D42" s="128">
        <f>SUM(D11:D41)</f>
        <v>220.94749861111114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0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0</v>
      </c>
      <c r="AH42" s="128">
        <f>SUM(AH11:AH41)</f>
        <v>0</v>
      </c>
      <c r="AK42" s="128">
        <f>SUM(AK11:AK41)</f>
        <v>109732.97222222222</v>
      </c>
      <c r="AN42" s="128">
        <f>SUM(AN11:AN41)</f>
        <v>45912.500000000007</v>
      </c>
      <c r="AQ42" s="128">
        <f>SUM(AQ11:AQ41)</f>
        <v>49179.666666666672</v>
      </c>
      <c r="AT42" s="128">
        <f>SUM(AT11:AT41)</f>
        <v>2250</v>
      </c>
      <c r="AW42" s="128">
        <f>SUM(AW11:AW41)</f>
        <v>0</v>
      </c>
      <c r="AZ42" s="128">
        <f>SUM(AZ11:AZ41)</f>
        <v>0</v>
      </c>
      <c r="BC42" s="128">
        <f>SUM(BC11:BC41)</f>
        <v>0</v>
      </c>
      <c r="BF42" s="128">
        <f>SUM(BF11:BF41)</f>
        <v>0</v>
      </c>
      <c r="BI42" s="128">
        <f>SUM(BI11:BI41)</f>
        <v>0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207296.08638749993</v>
      </c>
      <c r="EE42" s="94"/>
      <c r="EG42" s="93"/>
      <c r="EH42" s="128">
        <f>SUM(EH11:EH41)</f>
        <v>0</v>
      </c>
      <c r="EI42" s="94"/>
      <c r="EJ42" s="94"/>
      <c r="EK42" s="93"/>
      <c r="EL42" s="93"/>
      <c r="EM42" s="128">
        <f>SUM(EM11:EM41)</f>
        <v>207075.13888888882</v>
      </c>
      <c r="EN42" s="94"/>
    </row>
    <row r="44" spans="1:146" x14ac:dyDescent="0.25">
      <c r="EM44" s="129"/>
    </row>
    <row r="46" spans="1:146" x14ac:dyDescent="0.25">
      <c r="EM46" s="93"/>
    </row>
    <row r="48" spans="1:146" x14ac:dyDescent="0.25">
      <c r="EM48" s="9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1.7109375" bestFit="1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420450000</v>
      </c>
      <c r="EI2" s="91">
        <f>EG40</f>
        <v>0</v>
      </c>
      <c r="EM2" s="91"/>
      <c r="EN2" s="91">
        <f>EK41</f>
        <v>420450000</v>
      </c>
      <c r="EO2" s="84">
        <v>-269857.71000000002</v>
      </c>
      <c r="EP2" s="84">
        <f>EN2+EO2</f>
        <v>420180142.29000002</v>
      </c>
      <c r="EQ2" s="84">
        <f>EE2+EO2</f>
        <v>420180142.29000002</v>
      </c>
    </row>
    <row r="3" spans="1:147" ht="16.5" thickTop="1" x14ac:dyDescent="0.25">
      <c r="A3" s="92" t="s">
        <v>187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339886612.90322578</v>
      </c>
      <c r="EI3" s="91">
        <f>AVERAGE(EG11:EG40)</f>
        <v>0</v>
      </c>
      <c r="EM3" s="91"/>
      <c r="EN3" s="91">
        <f>AVERAGE(EK11:EK41)</f>
        <v>339886612.90322578</v>
      </c>
    </row>
    <row r="4" spans="1:147" x14ac:dyDescent="0.25">
      <c r="D4" s="37"/>
      <c r="E4" s="99" t="s">
        <v>114</v>
      </c>
      <c r="F4" s="91"/>
      <c r="G4" s="100">
        <f>EQ2</f>
        <v>420180142.29000002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1.8890784735137001E-2</v>
      </c>
      <c r="EI4" s="98">
        <f>IF(EI3=0,0,360*(AVERAGE(EH11:EH40)/EI3))</f>
        <v>0</v>
      </c>
      <c r="EM4" s="98"/>
      <c r="EN4" s="98">
        <f>IF(EN3=0,0,360*(AVERAGE(EM11:EM41)/EN3))</f>
        <v>1.8890784735137001E-2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339886612.90322578</v>
      </c>
      <c r="AI5" s="104" t="s">
        <v>109</v>
      </c>
      <c r="EB5" s="105" t="s">
        <v>120</v>
      </c>
      <c r="EC5" s="105"/>
      <c r="ED5" s="91"/>
      <c r="EE5" s="91">
        <f>MAX(EB11:EB41)</f>
        <v>420450000</v>
      </c>
      <c r="EI5" s="91">
        <f>MAX(EG11:EG40)</f>
        <v>0</v>
      </c>
      <c r="EM5" s="91"/>
      <c r="EN5" s="91">
        <f>MAX(EK11:EK41)</f>
        <v>420450000</v>
      </c>
    </row>
    <row r="6" spans="1:147" x14ac:dyDescent="0.25">
      <c r="D6" s="37"/>
      <c r="E6" s="99" t="s">
        <v>118</v>
      </c>
      <c r="F6" s="91"/>
      <c r="G6" s="106">
        <f>EE4</f>
        <v>1.8890784735137001E-2</v>
      </c>
    </row>
    <row r="7" spans="1:147" ht="16.5" thickBot="1" x14ac:dyDescent="0.3">
      <c r="D7" s="37"/>
      <c r="E7" s="107" t="s">
        <v>120</v>
      </c>
      <c r="F7" s="108"/>
      <c r="G7" s="109">
        <f>EE5</f>
        <v>420450000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43831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(AC11*AD11)/'[16]Input Sheet'!$B$11</f>
        <v>0</v>
      </c>
      <c r="AH11" s="93">
        <f>(AF11*AG11)/'[16]Input Sheet'!$B$11</f>
        <v>0</v>
      </c>
      <c r="AI11" s="124">
        <f>101425000</f>
        <v>101425000</v>
      </c>
      <c r="AJ11" s="125">
        <v>1.7999999999999999E-2</v>
      </c>
      <c r="AK11" s="93">
        <f>(AI11*AJ11)/360</f>
        <v>5071.2499999999991</v>
      </c>
      <c r="AL11" s="124">
        <f>5000000+50000000</f>
        <v>55000000</v>
      </c>
      <c r="AM11" s="125">
        <v>2.0500000000000001E-2</v>
      </c>
      <c r="AN11" s="93">
        <f>(AL11*AM11)/360</f>
        <v>3131.9444444444443</v>
      </c>
      <c r="AO11" s="124">
        <f t="shared" ref="AO11:AO16" si="0">30000000+40000000+7160000</f>
        <v>77160000</v>
      </c>
      <c r="AP11" s="125">
        <v>2.1000000000000001E-2</v>
      </c>
      <c r="AQ11" s="93">
        <f>(AO11*AP11)/360</f>
        <v>4501</v>
      </c>
      <c r="AR11" s="124"/>
      <c r="AS11" s="125"/>
      <c r="AT11" s="93">
        <f>(AR11*AS11)/360</f>
        <v>0</v>
      </c>
      <c r="AU11" s="124"/>
      <c r="AV11" s="125"/>
      <c r="AW11" s="93">
        <f>(AU11*AV11)/360</f>
        <v>0</v>
      </c>
      <c r="AX11" s="124"/>
      <c r="AY11" s="125"/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233585000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12704.194444444443</v>
      </c>
      <c r="EE11" s="94">
        <f>IF(EB11&lt;&gt;0,((ED11/EB11)*360),0)</f>
        <v>1.9579639103538323E-2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233585000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12704.194444444443</v>
      </c>
      <c r="EN11" s="94">
        <f>IF(EK11&lt;&gt;0,((EM11/EK11)*360),0)</f>
        <v>1.9579639103538323E-2</v>
      </c>
      <c r="EP11" s="93"/>
    </row>
    <row r="12" spans="1:147" x14ac:dyDescent="0.25">
      <c r="A12" s="39">
        <f>1+A11</f>
        <v>43832</v>
      </c>
      <c r="D12" s="93">
        <f t="shared" ref="D12:D41" si="1">(B12*C12)/360</f>
        <v>0</v>
      </c>
      <c r="G12" s="93">
        <f t="shared" ref="G12:G41" si="2">(E12*F12)/360</f>
        <v>0</v>
      </c>
      <c r="J12" s="93">
        <f t="shared" ref="J12:J41" si="3">(H12*I12)/360</f>
        <v>0</v>
      </c>
      <c r="M12" s="93">
        <f t="shared" ref="M12:M41" si="4">(K12*L12)/360</f>
        <v>0</v>
      </c>
      <c r="P12" s="93">
        <f t="shared" ref="P12:P41" si="5">(N12*O12)/360</f>
        <v>0</v>
      </c>
      <c r="S12" s="93">
        <f t="shared" ref="S12:S41" si="6">(Q12*R12)/360</f>
        <v>0</v>
      </c>
      <c r="V12" s="93">
        <f t="shared" ref="V12:V41" si="7">(T12*U12)/360</f>
        <v>0</v>
      </c>
      <c r="Y12" s="93">
        <f t="shared" ref="Y12:Y41" si="8">(W12*X12)/360</f>
        <v>0</v>
      </c>
      <c r="AB12" s="93">
        <f t="shared" ref="AB12:AB41" si="9">(Z12*AA12)/360</f>
        <v>0</v>
      </c>
      <c r="AE12" s="93">
        <f>(AC12*AD12)/'[16]Input Sheet'!$B$11</f>
        <v>0</v>
      </c>
      <c r="AH12" s="93">
        <f>(AF12*AG12)/'[16]Input Sheet'!$B$11</f>
        <v>0</v>
      </c>
      <c r="AI12" s="124">
        <f>91550000</f>
        <v>91550000</v>
      </c>
      <c r="AJ12" s="125">
        <v>1.7999999999999999E-2</v>
      </c>
      <c r="AK12" s="93">
        <f t="shared" ref="AK12:AK41" si="10">(AI12*AJ12)/360</f>
        <v>4577.4999999999991</v>
      </c>
      <c r="AL12" s="124">
        <f>5000000+50000000</f>
        <v>55000000</v>
      </c>
      <c r="AM12" s="125">
        <v>2.0500000000000001E-2</v>
      </c>
      <c r="AN12" s="93">
        <f t="shared" ref="AN12:AN41" si="11">(AL12*AM12)/360</f>
        <v>3131.9444444444443</v>
      </c>
      <c r="AO12" s="124">
        <f t="shared" si="0"/>
        <v>77160000</v>
      </c>
      <c r="AP12" s="125">
        <v>2.1000000000000001E-2</v>
      </c>
      <c r="AQ12" s="93">
        <f t="shared" ref="AQ12:AQ41" si="12">(AO12*AP12)/360</f>
        <v>4501</v>
      </c>
      <c r="AR12" s="124"/>
      <c r="AS12" s="125"/>
      <c r="AT12" s="93">
        <f t="shared" ref="AT12:AT41" si="13">(AR12*AS12)/360</f>
        <v>0</v>
      </c>
      <c r="AU12" s="124"/>
      <c r="AV12" s="125"/>
      <c r="AW12" s="93">
        <f t="shared" ref="AW12:AW41" si="14">(AU12*AV12)/360</f>
        <v>0</v>
      </c>
      <c r="AX12" s="124"/>
      <c r="AY12" s="125"/>
      <c r="AZ12" s="93">
        <f t="shared" ref="AZ12:AZ41" si="15">(AX12*AY12)/360</f>
        <v>0</v>
      </c>
      <c r="BC12" s="93">
        <f t="shared" ref="BC12:BC41" si="16">(BA12*BB12)/360</f>
        <v>0</v>
      </c>
      <c r="BF12" s="93">
        <f t="shared" ref="BF12:BF41" si="17">(BD12*BE12)/360</f>
        <v>0</v>
      </c>
      <c r="BI12" s="93">
        <f t="shared" ref="BI12:BI41" si="18">(BG12*BH12)/360</f>
        <v>0</v>
      </c>
      <c r="BL12" s="93">
        <f t="shared" ref="BL12:BL41" si="19">(BJ12*BK12)/360</f>
        <v>0</v>
      </c>
      <c r="BO12" s="93">
        <f t="shared" ref="BO12:BO41" si="20">(BM12*BN12)/360</f>
        <v>0</v>
      </c>
      <c r="BR12" s="93">
        <f t="shared" ref="BR12:BR41" si="21">(BP12*BQ12)/360</f>
        <v>0</v>
      </c>
      <c r="BU12" s="93">
        <f t="shared" ref="BU12:BU41" si="22">(BS12*BT12)/360</f>
        <v>0</v>
      </c>
      <c r="BX12" s="93">
        <f t="shared" ref="BX12:BX41" si="23">(BV12*BW12)/360</f>
        <v>0</v>
      </c>
      <c r="CA12" s="93">
        <f t="shared" ref="CA12:CA41" si="24">(BY12*BZ12)/360</f>
        <v>0</v>
      </c>
      <c r="CD12" s="93">
        <f t="shared" ref="CD12:CD41" si="25">(CB12*CC12)/360</f>
        <v>0</v>
      </c>
      <c r="CG12" s="93">
        <f t="shared" ref="CG12:CG41" si="26">(CE12*CF12)/360</f>
        <v>0</v>
      </c>
      <c r="CJ12" s="93">
        <f t="shared" ref="CJ12:CJ41" si="27">(CH12*CI12)/360</f>
        <v>0</v>
      </c>
      <c r="CM12" s="93">
        <f t="shared" ref="CM12:CM41" si="28">(CK12*CL12)/360</f>
        <v>0</v>
      </c>
      <c r="CP12" s="93">
        <f t="shared" ref="CP12:CP41" si="29">(CN12*CO12)/360</f>
        <v>0</v>
      </c>
      <c r="CS12" s="93">
        <f t="shared" ref="CS12:CS41" si="30">(CQ12*CR12)/360</f>
        <v>0</v>
      </c>
      <c r="CV12" s="93">
        <f t="shared" ref="CV12:CV41" si="31">(CT12*CU12)/360</f>
        <v>0</v>
      </c>
      <c r="CY12" s="93">
        <f t="shared" ref="CY12:CY41" si="32">(CW12*CX12)/360</f>
        <v>0</v>
      </c>
      <c r="DB12" s="93">
        <f t="shared" ref="DB12:DB41" si="33">(CZ12*DA12)/360</f>
        <v>0</v>
      </c>
      <c r="DE12" s="93">
        <f t="shared" ref="DE12:DE41" si="34">(DC12*DD12)/360</f>
        <v>0</v>
      </c>
      <c r="DH12" s="93">
        <f t="shared" ref="DH12:DH41" si="35">(DF12*DG12)/360</f>
        <v>0</v>
      </c>
      <c r="DK12" s="93">
        <f t="shared" ref="DK12:DK41" si="36">(DI12*DJ12)/360</f>
        <v>0</v>
      </c>
      <c r="DN12" s="93">
        <f t="shared" ref="DN12:DN41" si="37">(DL12*DM12)/360</f>
        <v>0</v>
      </c>
      <c r="DQ12" s="93">
        <f t="shared" ref="DQ12:DQ41" si="38">(DO12*DP12)/360</f>
        <v>0</v>
      </c>
      <c r="DT12" s="93">
        <f t="shared" ref="DT12:DT41" si="39">(DR12*DS12)/360</f>
        <v>0</v>
      </c>
      <c r="DW12" s="93">
        <f t="shared" ref="DW12:DW41" si="40">(DU12*DV12)/360</f>
        <v>0</v>
      </c>
      <c r="DZ12" s="93"/>
      <c r="EA12" s="93"/>
      <c r="EB12" s="126">
        <f t="shared" ref="EB12:EB41" si="41">B12+E12+H12+K12+N12+Q12+T12+W12+Z12+AC12+AF12+AL12+AO12+AR12+AU12+AX12+BA12+BD12+BG12+DU12+AI12+DR12+DO12+DL12+DI12+DF12+DC12+CZ12+CW12+CT12+CQ12+CN12+CK12+CH12+CE12+CB12+BY12+BV12+BS12+BP12+BM12+BJ12</f>
        <v>223710000</v>
      </c>
      <c r="EC12" s="126">
        <f t="shared" ref="EC12:EC41" si="42">EB12-EK12+EL12</f>
        <v>0</v>
      </c>
      <c r="ED12" s="93">
        <f t="shared" ref="ED12:ED41" si="43">D12+G12+J12+M12+P12+S12+V12+Y12+AB12+AE12+AH12+AK12+AN12+AQ12+AT12+AW12+AZ12+BC12+BF12+BI12+DW12+DT12+DQ12+DN12+DK12+DH12+DE12+DB12+CY12+CV12+CS12+CP12+CM12+CJ12+CG12+CD12+CA12+BX12+BU12+BR12+BO12+BL12</f>
        <v>12210.444444444443</v>
      </c>
      <c r="EE12" s="94">
        <f t="shared" ref="EE12:EE41" si="44">IF(EB12&lt;&gt;0,((ED12/EB12)*360),0)</f>
        <v>1.9649367484690001E-2</v>
      </c>
      <c r="EG12" s="126">
        <f t="shared" ref="EG12:EG41" si="45">Q12+T12+W12+Z12+AC12+AF12</f>
        <v>0</v>
      </c>
      <c r="EH12" s="93">
        <f t="shared" ref="EH12:EH41" si="46">S12+V12+Y12+AB12+AE12+AH12</f>
        <v>0</v>
      </c>
      <c r="EI12" s="94">
        <f t="shared" ref="EI12:EI41" si="47">IF(EG12&lt;&gt;0,((EH12/EG12)*360),0)</f>
        <v>0</v>
      </c>
      <c r="EJ12" s="94"/>
      <c r="EK12" s="126">
        <f t="shared" ref="EK12:EK41" si="48">DR12+DL12+DI12+DF12+DC12+CZ12+CW12+CT12+CQ12+CN12+CK12+CH12+CE12+CB12+BY12+BV12+BS12+BP12+BM12+BJ12+BG12+BD12+BA12+AX12+AU12+AR12+AO12+AL12+AI12+DO12</f>
        <v>223710000</v>
      </c>
      <c r="EL12" s="126">
        <f t="shared" ref="EL12:EL41" si="49">DX12</f>
        <v>0</v>
      </c>
      <c r="EM12" s="126">
        <f t="shared" ref="EM12:EM41" si="50">DT12+DQ12+DN12+DK12+DH12+DE12+DB12+CY12+CV12+CS12+CP12+CM12+CJ12+CG12+CD12+CA12+BX12+BU12+BR12+BO12+BL12+BI12+BF12+BC12+AZ12+AW12+AT12+AQ12+AN12+AK12</f>
        <v>12210.444444444443</v>
      </c>
      <c r="EN12" s="94">
        <f t="shared" ref="EN12:EN41" si="51">IF(EK12&lt;&gt;0,((EM12/EK12)*360),0)</f>
        <v>1.9649367484690001E-2</v>
      </c>
      <c r="EP12" s="93"/>
    </row>
    <row r="13" spans="1:147" x14ac:dyDescent="0.25">
      <c r="A13" s="39">
        <f t="shared" ref="A13:A41" si="52">1+A12</f>
        <v>43833</v>
      </c>
      <c r="D13" s="93">
        <f t="shared" si="1"/>
        <v>0</v>
      </c>
      <c r="G13" s="93">
        <f t="shared" si="2"/>
        <v>0</v>
      </c>
      <c r="J13" s="93">
        <f t="shared" si="3"/>
        <v>0</v>
      </c>
      <c r="M13" s="93">
        <f t="shared" si="4"/>
        <v>0</v>
      </c>
      <c r="P13" s="93">
        <f t="shared" si="5"/>
        <v>0</v>
      </c>
      <c r="S13" s="93">
        <f t="shared" si="6"/>
        <v>0</v>
      </c>
      <c r="V13" s="93">
        <f t="shared" si="7"/>
        <v>0</v>
      </c>
      <c r="Y13" s="93">
        <f t="shared" si="8"/>
        <v>0</v>
      </c>
      <c r="AB13" s="93">
        <f t="shared" si="9"/>
        <v>0</v>
      </c>
      <c r="AE13" s="93">
        <f>(AC13*AD13)/'[16]Input Sheet'!$B$11</f>
        <v>0</v>
      </c>
      <c r="AH13" s="93">
        <f>(AF13*AG13)/'[16]Input Sheet'!$B$11</f>
        <v>0</v>
      </c>
      <c r="AI13" s="124"/>
      <c r="AJ13" s="125"/>
      <c r="AK13" s="93">
        <f t="shared" si="10"/>
        <v>0</v>
      </c>
      <c r="AL13" s="124">
        <f>5000000+50000000</f>
        <v>55000000</v>
      </c>
      <c r="AM13" s="125">
        <v>2.0500000000000001E-2</v>
      </c>
      <c r="AN13" s="93">
        <f t="shared" si="11"/>
        <v>3131.9444444444443</v>
      </c>
      <c r="AO13" s="124">
        <f t="shared" si="0"/>
        <v>77160000</v>
      </c>
      <c r="AP13" s="125">
        <v>2.1000000000000001E-2</v>
      </c>
      <c r="AQ13" s="93">
        <f t="shared" si="12"/>
        <v>4501</v>
      </c>
      <c r="AR13" s="124">
        <f t="shared" ref="AR13:AR41" si="53">110375000</f>
        <v>110375000</v>
      </c>
      <c r="AS13" s="125">
        <v>1.9099999999999999E-2</v>
      </c>
      <c r="AT13" s="93">
        <f t="shared" si="13"/>
        <v>5856.0069444444443</v>
      </c>
      <c r="AU13" s="124"/>
      <c r="AV13" s="125"/>
      <c r="AW13" s="93">
        <f t="shared" si="14"/>
        <v>0</v>
      </c>
      <c r="AX13" s="124"/>
      <c r="AY13" s="125"/>
      <c r="AZ13" s="93">
        <f t="shared" si="15"/>
        <v>0</v>
      </c>
      <c r="BC13" s="93">
        <f t="shared" si="16"/>
        <v>0</v>
      </c>
      <c r="BF13" s="93">
        <f t="shared" si="17"/>
        <v>0</v>
      </c>
      <c r="BI13" s="93">
        <f t="shared" si="18"/>
        <v>0</v>
      </c>
      <c r="BL13" s="93">
        <f t="shared" si="19"/>
        <v>0</v>
      </c>
      <c r="BO13" s="93">
        <f t="shared" si="20"/>
        <v>0</v>
      </c>
      <c r="BR13" s="93">
        <f t="shared" si="21"/>
        <v>0</v>
      </c>
      <c r="BU13" s="93">
        <f t="shared" si="22"/>
        <v>0</v>
      </c>
      <c r="BX13" s="93">
        <f t="shared" si="23"/>
        <v>0</v>
      </c>
      <c r="CA13" s="93">
        <f t="shared" si="24"/>
        <v>0</v>
      </c>
      <c r="CD13" s="93">
        <f t="shared" si="25"/>
        <v>0</v>
      </c>
      <c r="CG13" s="93">
        <f t="shared" si="26"/>
        <v>0</v>
      </c>
      <c r="CJ13" s="93">
        <f t="shared" si="27"/>
        <v>0</v>
      </c>
      <c r="CM13" s="93">
        <f t="shared" si="28"/>
        <v>0</v>
      </c>
      <c r="CP13" s="93">
        <f t="shared" si="29"/>
        <v>0</v>
      </c>
      <c r="CS13" s="93">
        <f t="shared" si="30"/>
        <v>0</v>
      </c>
      <c r="CV13" s="93">
        <f t="shared" si="31"/>
        <v>0</v>
      </c>
      <c r="CY13" s="93">
        <f t="shared" si="32"/>
        <v>0</v>
      </c>
      <c r="DB13" s="93">
        <f t="shared" si="33"/>
        <v>0</v>
      </c>
      <c r="DE13" s="93">
        <f t="shared" si="34"/>
        <v>0</v>
      </c>
      <c r="DH13" s="93">
        <f t="shared" si="35"/>
        <v>0</v>
      </c>
      <c r="DK13" s="93">
        <f t="shared" si="36"/>
        <v>0</v>
      </c>
      <c r="DN13" s="93">
        <f t="shared" si="37"/>
        <v>0</v>
      </c>
      <c r="DQ13" s="93">
        <f t="shared" si="38"/>
        <v>0</v>
      </c>
      <c r="DT13" s="93">
        <f t="shared" si="39"/>
        <v>0</v>
      </c>
      <c r="DW13" s="93">
        <f t="shared" si="40"/>
        <v>0</v>
      </c>
      <c r="DZ13" s="93"/>
      <c r="EA13" s="93"/>
      <c r="EB13" s="126">
        <f t="shared" si="41"/>
        <v>242535000</v>
      </c>
      <c r="EC13" s="126">
        <f t="shared" si="42"/>
        <v>0</v>
      </c>
      <c r="ED13" s="93">
        <f t="shared" si="43"/>
        <v>13488.951388888889</v>
      </c>
      <c r="EE13" s="94">
        <f t="shared" si="44"/>
        <v>2.0021945286247345E-2</v>
      </c>
      <c r="EG13" s="126">
        <f t="shared" si="45"/>
        <v>0</v>
      </c>
      <c r="EH13" s="93">
        <f t="shared" si="46"/>
        <v>0</v>
      </c>
      <c r="EI13" s="94">
        <f t="shared" si="47"/>
        <v>0</v>
      </c>
      <c r="EJ13" s="94"/>
      <c r="EK13" s="126">
        <f t="shared" si="48"/>
        <v>242535000</v>
      </c>
      <c r="EL13" s="126">
        <f t="shared" si="49"/>
        <v>0</v>
      </c>
      <c r="EM13" s="126">
        <f t="shared" si="50"/>
        <v>13488.951388888891</v>
      </c>
      <c r="EN13" s="94">
        <f t="shared" si="51"/>
        <v>2.0021945286247348E-2</v>
      </c>
      <c r="EP13" s="93"/>
    </row>
    <row r="14" spans="1:147" x14ac:dyDescent="0.25">
      <c r="A14" s="39">
        <f t="shared" si="52"/>
        <v>43834</v>
      </c>
      <c r="D14" s="93">
        <f t="shared" si="1"/>
        <v>0</v>
      </c>
      <c r="G14" s="93">
        <f t="shared" si="2"/>
        <v>0</v>
      </c>
      <c r="J14" s="93">
        <f t="shared" si="3"/>
        <v>0</v>
      </c>
      <c r="M14" s="93">
        <f t="shared" si="4"/>
        <v>0</v>
      </c>
      <c r="P14" s="93">
        <f t="shared" si="5"/>
        <v>0</v>
      </c>
      <c r="S14" s="93">
        <f t="shared" si="6"/>
        <v>0</v>
      </c>
      <c r="V14" s="93">
        <f t="shared" si="7"/>
        <v>0</v>
      </c>
      <c r="Y14" s="93">
        <f t="shared" si="8"/>
        <v>0</v>
      </c>
      <c r="AB14" s="93">
        <f t="shared" si="9"/>
        <v>0</v>
      </c>
      <c r="AE14" s="93">
        <f>(AC14*AD14)/'[16]Input Sheet'!$B$11</f>
        <v>0</v>
      </c>
      <c r="AH14" s="93">
        <f>(AF14*AG14)/'[16]Input Sheet'!$B$11</f>
        <v>0</v>
      </c>
      <c r="AI14" s="124"/>
      <c r="AJ14" s="125"/>
      <c r="AK14" s="93">
        <f t="shared" si="10"/>
        <v>0</v>
      </c>
      <c r="AL14" s="124">
        <f>5000000+50000000</f>
        <v>55000000</v>
      </c>
      <c r="AM14" s="125">
        <v>2.0500000000000001E-2</v>
      </c>
      <c r="AN14" s="93">
        <f t="shared" si="11"/>
        <v>3131.9444444444443</v>
      </c>
      <c r="AO14" s="124">
        <f t="shared" si="0"/>
        <v>77160000</v>
      </c>
      <c r="AP14" s="125">
        <v>2.1000000000000001E-2</v>
      </c>
      <c r="AQ14" s="93">
        <f t="shared" si="12"/>
        <v>4501</v>
      </c>
      <c r="AR14" s="124">
        <f t="shared" si="53"/>
        <v>110375000</v>
      </c>
      <c r="AS14" s="125">
        <v>1.9099999999999999E-2</v>
      </c>
      <c r="AT14" s="93">
        <f t="shared" si="13"/>
        <v>5856.0069444444443</v>
      </c>
      <c r="AU14" s="124"/>
      <c r="AV14" s="125"/>
      <c r="AW14" s="93">
        <f t="shared" si="14"/>
        <v>0</v>
      </c>
      <c r="AX14" s="124"/>
      <c r="AY14" s="125"/>
      <c r="AZ14" s="93">
        <f t="shared" si="15"/>
        <v>0</v>
      </c>
      <c r="BC14" s="93">
        <f t="shared" si="16"/>
        <v>0</v>
      </c>
      <c r="BF14" s="93">
        <f t="shared" si="17"/>
        <v>0</v>
      </c>
      <c r="BI14" s="93">
        <f t="shared" si="18"/>
        <v>0</v>
      </c>
      <c r="BL14" s="93">
        <f t="shared" si="19"/>
        <v>0</v>
      </c>
      <c r="BO14" s="93">
        <f t="shared" si="20"/>
        <v>0</v>
      </c>
      <c r="BR14" s="93">
        <f t="shared" si="21"/>
        <v>0</v>
      </c>
      <c r="BU14" s="93">
        <f t="shared" si="22"/>
        <v>0</v>
      </c>
      <c r="BX14" s="93">
        <f t="shared" si="23"/>
        <v>0</v>
      </c>
      <c r="CA14" s="93">
        <f t="shared" si="24"/>
        <v>0</v>
      </c>
      <c r="CD14" s="93">
        <f t="shared" si="25"/>
        <v>0</v>
      </c>
      <c r="CG14" s="93">
        <f t="shared" si="26"/>
        <v>0</v>
      </c>
      <c r="CJ14" s="93">
        <f t="shared" si="27"/>
        <v>0</v>
      </c>
      <c r="CM14" s="93">
        <f t="shared" si="28"/>
        <v>0</v>
      </c>
      <c r="CP14" s="93">
        <f t="shared" si="29"/>
        <v>0</v>
      </c>
      <c r="CS14" s="93">
        <f t="shared" si="30"/>
        <v>0</v>
      </c>
      <c r="CV14" s="93">
        <f t="shared" si="31"/>
        <v>0</v>
      </c>
      <c r="CY14" s="93">
        <f t="shared" si="32"/>
        <v>0</v>
      </c>
      <c r="DB14" s="93">
        <f t="shared" si="33"/>
        <v>0</v>
      </c>
      <c r="DE14" s="93">
        <f t="shared" si="34"/>
        <v>0</v>
      </c>
      <c r="DH14" s="93">
        <f t="shared" si="35"/>
        <v>0</v>
      </c>
      <c r="DK14" s="93">
        <f t="shared" si="36"/>
        <v>0</v>
      </c>
      <c r="DN14" s="93">
        <f t="shared" si="37"/>
        <v>0</v>
      </c>
      <c r="DQ14" s="93">
        <f t="shared" si="38"/>
        <v>0</v>
      </c>
      <c r="DT14" s="93">
        <f t="shared" si="39"/>
        <v>0</v>
      </c>
      <c r="DW14" s="93">
        <f t="shared" si="40"/>
        <v>0</v>
      </c>
      <c r="DZ14" s="93"/>
      <c r="EA14" s="93"/>
      <c r="EB14" s="126">
        <f t="shared" si="41"/>
        <v>242535000</v>
      </c>
      <c r="EC14" s="126">
        <f t="shared" si="42"/>
        <v>0</v>
      </c>
      <c r="ED14" s="93">
        <f t="shared" si="43"/>
        <v>13488.951388888889</v>
      </c>
      <c r="EE14" s="94">
        <f t="shared" si="44"/>
        <v>2.0021945286247345E-2</v>
      </c>
      <c r="EG14" s="126">
        <f t="shared" si="45"/>
        <v>0</v>
      </c>
      <c r="EH14" s="93">
        <f t="shared" si="46"/>
        <v>0</v>
      </c>
      <c r="EI14" s="94">
        <f t="shared" si="47"/>
        <v>0</v>
      </c>
      <c r="EJ14" s="94"/>
      <c r="EK14" s="126">
        <f t="shared" si="48"/>
        <v>242535000</v>
      </c>
      <c r="EL14" s="126">
        <f t="shared" si="49"/>
        <v>0</v>
      </c>
      <c r="EM14" s="126">
        <f t="shared" si="50"/>
        <v>13488.951388888891</v>
      </c>
      <c r="EN14" s="94">
        <f t="shared" si="51"/>
        <v>2.0021945286247348E-2</v>
      </c>
      <c r="EP14" s="93"/>
    </row>
    <row r="15" spans="1:147" x14ac:dyDescent="0.25">
      <c r="A15" s="39">
        <f t="shared" si="52"/>
        <v>43835</v>
      </c>
      <c r="D15" s="93">
        <f t="shared" si="1"/>
        <v>0</v>
      </c>
      <c r="G15" s="93">
        <f t="shared" si="2"/>
        <v>0</v>
      </c>
      <c r="J15" s="93">
        <f t="shared" si="3"/>
        <v>0</v>
      </c>
      <c r="M15" s="93">
        <f t="shared" si="4"/>
        <v>0</v>
      </c>
      <c r="P15" s="93">
        <f t="shared" si="5"/>
        <v>0</v>
      </c>
      <c r="S15" s="93">
        <f t="shared" si="6"/>
        <v>0</v>
      </c>
      <c r="V15" s="93">
        <f t="shared" si="7"/>
        <v>0</v>
      </c>
      <c r="Y15" s="93">
        <f t="shared" si="8"/>
        <v>0</v>
      </c>
      <c r="AB15" s="93">
        <f t="shared" si="9"/>
        <v>0</v>
      </c>
      <c r="AE15" s="93">
        <f>(AC15*AD15)/'[16]Input Sheet'!$B$11</f>
        <v>0</v>
      </c>
      <c r="AH15" s="93">
        <f>(AF15*AG15)/'[16]Input Sheet'!$B$11</f>
        <v>0</v>
      </c>
      <c r="AI15" s="124"/>
      <c r="AJ15" s="125"/>
      <c r="AK15" s="93">
        <f t="shared" si="10"/>
        <v>0</v>
      </c>
      <c r="AL15" s="124">
        <f>5000000+50000000</f>
        <v>55000000</v>
      </c>
      <c r="AM15" s="125">
        <v>2.0500000000000001E-2</v>
      </c>
      <c r="AN15" s="93">
        <f t="shared" si="11"/>
        <v>3131.9444444444443</v>
      </c>
      <c r="AO15" s="124">
        <f t="shared" si="0"/>
        <v>77160000</v>
      </c>
      <c r="AP15" s="125">
        <v>2.1000000000000001E-2</v>
      </c>
      <c r="AQ15" s="93">
        <f t="shared" si="12"/>
        <v>4501</v>
      </c>
      <c r="AR15" s="124">
        <f t="shared" si="53"/>
        <v>110375000</v>
      </c>
      <c r="AS15" s="125">
        <v>1.9099999999999999E-2</v>
      </c>
      <c r="AT15" s="93">
        <f t="shared" si="13"/>
        <v>5856.0069444444443</v>
      </c>
      <c r="AU15" s="124"/>
      <c r="AV15" s="125"/>
      <c r="AW15" s="93">
        <f t="shared" si="14"/>
        <v>0</v>
      </c>
      <c r="AX15" s="124"/>
      <c r="AY15" s="125"/>
      <c r="AZ15" s="93">
        <f t="shared" si="15"/>
        <v>0</v>
      </c>
      <c r="BC15" s="93">
        <f t="shared" si="16"/>
        <v>0</v>
      </c>
      <c r="BF15" s="93">
        <f t="shared" si="17"/>
        <v>0</v>
      </c>
      <c r="BI15" s="93">
        <f t="shared" si="18"/>
        <v>0</v>
      </c>
      <c r="BL15" s="93">
        <f t="shared" si="19"/>
        <v>0</v>
      </c>
      <c r="BO15" s="93">
        <f t="shared" si="20"/>
        <v>0</v>
      </c>
      <c r="BR15" s="93">
        <f t="shared" si="21"/>
        <v>0</v>
      </c>
      <c r="BU15" s="93">
        <f t="shared" si="22"/>
        <v>0</v>
      </c>
      <c r="BX15" s="93">
        <f t="shared" si="23"/>
        <v>0</v>
      </c>
      <c r="CA15" s="93">
        <f t="shared" si="24"/>
        <v>0</v>
      </c>
      <c r="CD15" s="93">
        <f t="shared" si="25"/>
        <v>0</v>
      </c>
      <c r="CG15" s="93">
        <f t="shared" si="26"/>
        <v>0</v>
      </c>
      <c r="CJ15" s="93">
        <f t="shared" si="27"/>
        <v>0</v>
      </c>
      <c r="CM15" s="93">
        <f t="shared" si="28"/>
        <v>0</v>
      </c>
      <c r="CP15" s="93">
        <f t="shared" si="29"/>
        <v>0</v>
      </c>
      <c r="CS15" s="93">
        <f t="shared" si="30"/>
        <v>0</v>
      </c>
      <c r="CV15" s="93">
        <f t="shared" si="31"/>
        <v>0</v>
      </c>
      <c r="CY15" s="93">
        <f t="shared" si="32"/>
        <v>0</v>
      </c>
      <c r="DB15" s="93">
        <f t="shared" si="33"/>
        <v>0</v>
      </c>
      <c r="DE15" s="93">
        <f t="shared" si="34"/>
        <v>0</v>
      </c>
      <c r="DH15" s="93">
        <f t="shared" si="35"/>
        <v>0</v>
      </c>
      <c r="DK15" s="93">
        <f t="shared" si="36"/>
        <v>0</v>
      </c>
      <c r="DN15" s="93">
        <f t="shared" si="37"/>
        <v>0</v>
      </c>
      <c r="DQ15" s="93">
        <f t="shared" si="38"/>
        <v>0</v>
      </c>
      <c r="DT15" s="93">
        <f t="shared" si="39"/>
        <v>0</v>
      </c>
      <c r="DW15" s="93">
        <f t="shared" si="40"/>
        <v>0</v>
      </c>
      <c r="DZ15" s="93"/>
      <c r="EA15" s="93"/>
      <c r="EB15" s="126">
        <f t="shared" si="41"/>
        <v>242535000</v>
      </c>
      <c r="EC15" s="126">
        <f t="shared" si="42"/>
        <v>0</v>
      </c>
      <c r="ED15" s="93">
        <f t="shared" si="43"/>
        <v>13488.951388888889</v>
      </c>
      <c r="EE15" s="94">
        <f t="shared" si="44"/>
        <v>2.0021945286247345E-2</v>
      </c>
      <c r="EG15" s="126">
        <f t="shared" si="45"/>
        <v>0</v>
      </c>
      <c r="EH15" s="93">
        <f t="shared" si="46"/>
        <v>0</v>
      </c>
      <c r="EI15" s="94">
        <f t="shared" si="47"/>
        <v>0</v>
      </c>
      <c r="EJ15" s="94"/>
      <c r="EK15" s="126">
        <f t="shared" si="48"/>
        <v>242535000</v>
      </c>
      <c r="EL15" s="126">
        <f t="shared" si="49"/>
        <v>0</v>
      </c>
      <c r="EM15" s="126">
        <f t="shared" si="50"/>
        <v>13488.951388888891</v>
      </c>
      <c r="EN15" s="94">
        <f t="shared" si="51"/>
        <v>2.0021945286247348E-2</v>
      </c>
      <c r="EP15" s="93"/>
    </row>
    <row r="16" spans="1:147" x14ac:dyDescent="0.25">
      <c r="A16" s="39">
        <f t="shared" si="52"/>
        <v>43836</v>
      </c>
      <c r="D16" s="93">
        <f t="shared" si="1"/>
        <v>0</v>
      </c>
      <c r="G16" s="93">
        <f t="shared" si="2"/>
        <v>0</v>
      </c>
      <c r="J16" s="93">
        <f t="shared" si="3"/>
        <v>0</v>
      </c>
      <c r="M16" s="93">
        <f t="shared" si="4"/>
        <v>0</v>
      </c>
      <c r="P16" s="93">
        <f t="shared" si="5"/>
        <v>0</v>
      </c>
      <c r="S16" s="93">
        <f t="shared" si="6"/>
        <v>0</v>
      </c>
      <c r="V16" s="93">
        <f t="shared" si="7"/>
        <v>0</v>
      </c>
      <c r="Y16" s="93">
        <f t="shared" si="8"/>
        <v>0</v>
      </c>
      <c r="AB16" s="93">
        <f t="shared" si="9"/>
        <v>0</v>
      </c>
      <c r="AE16" s="93">
        <f>(AC16*AD16)/'[16]Input Sheet'!$B$11</f>
        <v>0</v>
      </c>
      <c r="AH16" s="93">
        <f>(AF16*AG16)/'[16]Input Sheet'!$B$11</f>
        <v>0</v>
      </c>
      <c r="AI16" s="124">
        <f>41150000</f>
        <v>41150000</v>
      </c>
      <c r="AJ16" s="125">
        <v>1.78E-2</v>
      </c>
      <c r="AK16" s="93">
        <f t="shared" si="10"/>
        <v>2034.6388888888889</v>
      </c>
      <c r="AL16" s="124">
        <f>5000000</f>
        <v>5000000</v>
      </c>
      <c r="AM16" s="125">
        <v>2.0500000000000001E-2</v>
      </c>
      <c r="AN16" s="93">
        <f t="shared" si="11"/>
        <v>284.72222222222223</v>
      </c>
      <c r="AO16" s="124">
        <f t="shared" si="0"/>
        <v>77160000</v>
      </c>
      <c r="AP16" s="125">
        <v>2.1000000000000001E-2</v>
      </c>
      <c r="AQ16" s="93">
        <f t="shared" si="12"/>
        <v>4501</v>
      </c>
      <c r="AR16" s="124">
        <f t="shared" si="53"/>
        <v>110375000</v>
      </c>
      <c r="AS16" s="125">
        <v>1.9099999999999999E-2</v>
      </c>
      <c r="AT16" s="93">
        <f t="shared" si="13"/>
        <v>5856.0069444444443</v>
      </c>
      <c r="AU16" s="124">
        <f>50000000</f>
        <v>50000000</v>
      </c>
      <c r="AV16" s="125">
        <v>1.9E-2</v>
      </c>
      <c r="AW16" s="93">
        <f t="shared" si="14"/>
        <v>2638.8888888888887</v>
      </c>
      <c r="AX16" s="124"/>
      <c r="AY16" s="125"/>
      <c r="AZ16" s="93">
        <f t="shared" si="15"/>
        <v>0</v>
      </c>
      <c r="BC16" s="93">
        <f t="shared" si="16"/>
        <v>0</v>
      </c>
      <c r="BF16" s="93">
        <f t="shared" si="17"/>
        <v>0</v>
      </c>
      <c r="BI16" s="93">
        <f t="shared" si="18"/>
        <v>0</v>
      </c>
      <c r="BL16" s="93">
        <f t="shared" si="19"/>
        <v>0</v>
      </c>
      <c r="BO16" s="93">
        <f t="shared" si="20"/>
        <v>0</v>
      </c>
      <c r="BR16" s="93">
        <f t="shared" si="21"/>
        <v>0</v>
      </c>
      <c r="BU16" s="93">
        <f t="shared" si="22"/>
        <v>0</v>
      </c>
      <c r="BX16" s="93">
        <f t="shared" si="23"/>
        <v>0</v>
      </c>
      <c r="CA16" s="93">
        <f t="shared" si="24"/>
        <v>0</v>
      </c>
      <c r="CD16" s="93">
        <f t="shared" si="25"/>
        <v>0</v>
      </c>
      <c r="CG16" s="93">
        <f t="shared" si="26"/>
        <v>0</v>
      </c>
      <c r="CJ16" s="93">
        <f t="shared" si="27"/>
        <v>0</v>
      </c>
      <c r="CM16" s="93">
        <f t="shared" si="28"/>
        <v>0</v>
      </c>
      <c r="CP16" s="93">
        <f t="shared" si="29"/>
        <v>0</v>
      </c>
      <c r="CS16" s="93">
        <f t="shared" si="30"/>
        <v>0</v>
      </c>
      <c r="CV16" s="93">
        <f t="shared" si="31"/>
        <v>0</v>
      </c>
      <c r="CY16" s="93">
        <f t="shared" si="32"/>
        <v>0</v>
      </c>
      <c r="DB16" s="93">
        <f t="shared" si="33"/>
        <v>0</v>
      </c>
      <c r="DE16" s="93">
        <f t="shared" si="34"/>
        <v>0</v>
      </c>
      <c r="DH16" s="93">
        <f t="shared" si="35"/>
        <v>0</v>
      </c>
      <c r="DK16" s="93">
        <f t="shared" si="36"/>
        <v>0</v>
      </c>
      <c r="DN16" s="93">
        <f t="shared" si="37"/>
        <v>0</v>
      </c>
      <c r="DQ16" s="93">
        <f t="shared" si="38"/>
        <v>0</v>
      </c>
      <c r="DT16" s="93">
        <f t="shared" si="39"/>
        <v>0</v>
      </c>
      <c r="DW16" s="93">
        <f t="shared" si="40"/>
        <v>0</v>
      </c>
      <c r="DZ16" s="93"/>
      <c r="EA16" s="93"/>
      <c r="EB16" s="126">
        <f t="shared" si="41"/>
        <v>283685000</v>
      </c>
      <c r="EC16" s="126">
        <f t="shared" si="42"/>
        <v>0</v>
      </c>
      <c r="ED16" s="93">
        <f t="shared" si="43"/>
        <v>15315.256944444443</v>
      </c>
      <c r="EE16" s="94">
        <f t="shared" si="44"/>
        <v>1.9435262703350546E-2</v>
      </c>
      <c r="EG16" s="126">
        <f t="shared" si="45"/>
        <v>0</v>
      </c>
      <c r="EH16" s="93">
        <f t="shared" si="46"/>
        <v>0</v>
      </c>
      <c r="EI16" s="94">
        <f t="shared" si="47"/>
        <v>0</v>
      </c>
      <c r="EJ16" s="94"/>
      <c r="EK16" s="126">
        <f t="shared" si="48"/>
        <v>283685000</v>
      </c>
      <c r="EL16" s="126">
        <f t="shared" si="49"/>
        <v>0</v>
      </c>
      <c r="EM16" s="126">
        <f t="shared" si="50"/>
        <v>15315.256944444443</v>
      </c>
      <c r="EN16" s="94">
        <f t="shared" si="51"/>
        <v>1.9435262703350546E-2</v>
      </c>
      <c r="EP16" s="93"/>
    </row>
    <row r="17" spans="1:146" x14ac:dyDescent="0.25">
      <c r="A17" s="39">
        <f t="shared" si="52"/>
        <v>43837</v>
      </c>
      <c r="D17" s="93">
        <f t="shared" si="1"/>
        <v>0</v>
      </c>
      <c r="G17" s="93">
        <f t="shared" si="2"/>
        <v>0</v>
      </c>
      <c r="J17" s="93">
        <f t="shared" si="3"/>
        <v>0</v>
      </c>
      <c r="M17" s="93">
        <f t="shared" si="4"/>
        <v>0</v>
      </c>
      <c r="P17" s="93">
        <f t="shared" si="5"/>
        <v>0</v>
      </c>
      <c r="S17" s="93">
        <f t="shared" si="6"/>
        <v>0</v>
      </c>
      <c r="V17" s="93">
        <f t="shared" si="7"/>
        <v>0</v>
      </c>
      <c r="Y17" s="93">
        <f t="shared" si="8"/>
        <v>0</v>
      </c>
      <c r="AB17" s="93">
        <f t="shared" si="9"/>
        <v>0</v>
      </c>
      <c r="AE17" s="93">
        <f>(AC17*AD17)/'[16]Input Sheet'!$B$11</f>
        <v>0</v>
      </c>
      <c r="AH17" s="93">
        <f>(AF17*AG17)/'[16]Input Sheet'!$B$11</f>
        <v>0</v>
      </c>
      <c r="AI17" s="124"/>
      <c r="AJ17" s="125"/>
      <c r="AK17" s="93">
        <f t="shared" si="10"/>
        <v>0</v>
      </c>
      <c r="AL17" s="124"/>
      <c r="AM17" s="125"/>
      <c r="AN17" s="93">
        <f t="shared" si="11"/>
        <v>0</v>
      </c>
      <c r="AO17" s="124">
        <f>30000000+40000000</f>
        <v>70000000</v>
      </c>
      <c r="AP17" s="125">
        <v>2.1000000000000001E-2</v>
      </c>
      <c r="AQ17" s="93">
        <f t="shared" si="12"/>
        <v>4083.3333333333335</v>
      </c>
      <c r="AR17" s="124">
        <f t="shared" si="53"/>
        <v>110375000</v>
      </c>
      <c r="AS17" s="125">
        <v>1.9099999999999999E-2</v>
      </c>
      <c r="AT17" s="93">
        <f t="shared" si="13"/>
        <v>5856.0069444444443</v>
      </c>
      <c r="AU17" s="124">
        <f t="shared" ref="AU17:AU41" si="54">50000000+51625000</f>
        <v>101625000</v>
      </c>
      <c r="AV17" s="125">
        <v>1.9E-2</v>
      </c>
      <c r="AW17" s="93">
        <f t="shared" si="14"/>
        <v>5363.541666666667</v>
      </c>
      <c r="AX17" s="124"/>
      <c r="AY17" s="125"/>
      <c r="AZ17" s="93">
        <f t="shared" si="15"/>
        <v>0</v>
      </c>
      <c r="BC17" s="93">
        <f t="shared" si="16"/>
        <v>0</v>
      </c>
      <c r="BF17" s="93">
        <f t="shared" si="17"/>
        <v>0</v>
      </c>
      <c r="BI17" s="93">
        <f t="shared" si="18"/>
        <v>0</v>
      </c>
      <c r="BL17" s="93">
        <f t="shared" si="19"/>
        <v>0</v>
      </c>
      <c r="BO17" s="93">
        <f t="shared" si="20"/>
        <v>0</v>
      </c>
      <c r="BR17" s="93">
        <f t="shared" si="21"/>
        <v>0</v>
      </c>
      <c r="BU17" s="93">
        <f t="shared" si="22"/>
        <v>0</v>
      </c>
      <c r="BX17" s="93">
        <f t="shared" si="23"/>
        <v>0</v>
      </c>
      <c r="CA17" s="93">
        <f t="shared" si="24"/>
        <v>0</v>
      </c>
      <c r="CD17" s="93">
        <f t="shared" si="25"/>
        <v>0</v>
      </c>
      <c r="CG17" s="93">
        <f t="shared" si="26"/>
        <v>0</v>
      </c>
      <c r="CJ17" s="93">
        <f t="shared" si="27"/>
        <v>0</v>
      </c>
      <c r="CM17" s="93">
        <f t="shared" si="28"/>
        <v>0</v>
      </c>
      <c r="CP17" s="93">
        <f t="shared" si="29"/>
        <v>0</v>
      </c>
      <c r="CS17" s="93">
        <f t="shared" si="30"/>
        <v>0</v>
      </c>
      <c r="CV17" s="93">
        <f t="shared" si="31"/>
        <v>0</v>
      </c>
      <c r="CY17" s="93">
        <f t="shared" si="32"/>
        <v>0</v>
      </c>
      <c r="DB17" s="93">
        <f t="shared" si="33"/>
        <v>0</v>
      </c>
      <c r="DE17" s="93">
        <f t="shared" si="34"/>
        <v>0</v>
      </c>
      <c r="DH17" s="93">
        <f t="shared" si="35"/>
        <v>0</v>
      </c>
      <c r="DK17" s="93">
        <f t="shared" si="36"/>
        <v>0</v>
      </c>
      <c r="DN17" s="93">
        <f t="shared" si="37"/>
        <v>0</v>
      </c>
      <c r="DQ17" s="93">
        <f t="shared" si="38"/>
        <v>0</v>
      </c>
      <c r="DT17" s="93">
        <f t="shared" si="39"/>
        <v>0</v>
      </c>
      <c r="DW17" s="93">
        <f t="shared" si="40"/>
        <v>0</v>
      </c>
      <c r="DZ17" s="93"/>
      <c r="EA17" s="93"/>
      <c r="EB17" s="126">
        <f t="shared" si="41"/>
        <v>282000000</v>
      </c>
      <c r="EC17" s="126">
        <f t="shared" si="42"/>
        <v>0</v>
      </c>
      <c r="ED17" s="93">
        <f t="shared" si="43"/>
        <v>15302.881944444445</v>
      </c>
      <c r="EE17" s="94">
        <f t="shared" si="44"/>
        <v>1.9535593971631206E-2</v>
      </c>
      <c r="EG17" s="126">
        <f t="shared" si="45"/>
        <v>0</v>
      </c>
      <c r="EH17" s="93">
        <f t="shared" si="46"/>
        <v>0</v>
      </c>
      <c r="EI17" s="94">
        <f t="shared" si="47"/>
        <v>0</v>
      </c>
      <c r="EJ17" s="94"/>
      <c r="EK17" s="126">
        <f t="shared" si="48"/>
        <v>282000000</v>
      </c>
      <c r="EL17" s="126">
        <f t="shared" si="49"/>
        <v>0</v>
      </c>
      <c r="EM17" s="126">
        <f t="shared" si="50"/>
        <v>15302.881944444445</v>
      </c>
      <c r="EN17" s="94">
        <f t="shared" si="51"/>
        <v>1.9535593971631206E-2</v>
      </c>
      <c r="EP17" s="93"/>
    </row>
    <row r="18" spans="1:146" x14ac:dyDescent="0.25">
      <c r="A18" s="39">
        <f t="shared" si="52"/>
        <v>43838</v>
      </c>
      <c r="D18" s="93">
        <f t="shared" si="1"/>
        <v>0</v>
      </c>
      <c r="G18" s="93">
        <f t="shared" si="2"/>
        <v>0</v>
      </c>
      <c r="J18" s="93">
        <f t="shared" si="3"/>
        <v>0</v>
      </c>
      <c r="M18" s="93">
        <f t="shared" si="4"/>
        <v>0</v>
      </c>
      <c r="P18" s="93">
        <f t="shared" si="5"/>
        <v>0</v>
      </c>
      <c r="S18" s="93">
        <f t="shared" si="6"/>
        <v>0</v>
      </c>
      <c r="V18" s="93">
        <f t="shared" si="7"/>
        <v>0</v>
      </c>
      <c r="Y18" s="93">
        <f t="shared" si="8"/>
        <v>0</v>
      </c>
      <c r="AB18" s="93">
        <f t="shared" si="9"/>
        <v>0</v>
      </c>
      <c r="AE18" s="93">
        <f>(AC18*AD18)/'[16]Input Sheet'!$B$11</f>
        <v>0</v>
      </c>
      <c r="AH18" s="93">
        <f>(AF18*AG18)/'[16]Input Sheet'!$B$11</f>
        <v>0</v>
      </c>
      <c r="AI18" s="124">
        <f>74400000</f>
        <v>74400000</v>
      </c>
      <c r="AJ18" s="125">
        <v>1.78E-2</v>
      </c>
      <c r="AK18" s="93">
        <f t="shared" si="10"/>
        <v>3678.6666666666665</v>
      </c>
      <c r="AL18" s="124"/>
      <c r="AM18" s="125"/>
      <c r="AN18" s="93">
        <f t="shared" si="11"/>
        <v>0</v>
      </c>
      <c r="AO18" s="124"/>
      <c r="AP18" s="125"/>
      <c r="AQ18" s="93">
        <f t="shared" si="12"/>
        <v>0</v>
      </c>
      <c r="AR18" s="124">
        <f t="shared" si="53"/>
        <v>110375000</v>
      </c>
      <c r="AS18" s="125">
        <v>1.9099999999999999E-2</v>
      </c>
      <c r="AT18" s="93">
        <f t="shared" si="13"/>
        <v>5856.0069444444443</v>
      </c>
      <c r="AU18" s="124">
        <f t="shared" si="54"/>
        <v>101625000</v>
      </c>
      <c r="AV18" s="125">
        <v>1.9E-2</v>
      </c>
      <c r="AW18" s="93">
        <f t="shared" si="14"/>
        <v>5363.541666666667</v>
      </c>
      <c r="AX18" s="124"/>
      <c r="AY18" s="125"/>
      <c r="AZ18" s="93">
        <f t="shared" si="15"/>
        <v>0</v>
      </c>
      <c r="BC18" s="93">
        <f t="shared" si="16"/>
        <v>0</v>
      </c>
      <c r="BF18" s="93">
        <f t="shared" si="17"/>
        <v>0</v>
      </c>
      <c r="BI18" s="93">
        <f t="shared" si="18"/>
        <v>0</v>
      </c>
      <c r="BL18" s="93">
        <f t="shared" si="19"/>
        <v>0</v>
      </c>
      <c r="BO18" s="93">
        <f t="shared" si="20"/>
        <v>0</v>
      </c>
      <c r="BR18" s="93">
        <f t="shared" si="21"/>
        <v>0</v>
      </c>
      <c r="BU18" s="93">
        <f t="shared" si="22"/>
        <v>0</v>
      </c>
      <c r="BX18" s="93">
        <f t="shared" si="23"/>
        <v>0</v>
      </c>
      <c r="CA18" s="93">
        <f t="shared" si="24"/>
        <v>0</v>
      </c>
      <c r="CD18" s="93">
        <f t="shared" si="25"/>
        <v>0</v>
      </c>
      <c r="CG18" s="93">
        <f t="shared" si="26"/>
        <v>0</v>
      </c>
      <c r="CJ18" s="93">
        <f t="shared" si="27"/>
        <v>0</v>
      </c>
      <c r="CM18" s="93">
        <f t="shared" si="28"/>
        <v>0</v>
      </c>
      <c r="CP18" s="93">
        <f t="shared" si="29"/>
        <v>0</v>
      </c>
      <c r="CS18" s="93">
        <f t="shared" si="30"/>
        <v>0</v>
      </c>
      <c r="CV18" s="93">
        <f t="shared" si="31"/>
        <v>0</v>
      </c>
      <c r="CY18" s="93">
        <f t="shared" si="32"/>
        <v>0</v>
      </c>
      <c r="DB18" s="93">
        <f t="shared" si="33"/>
        <v>0</v>
      </c>
      <c r="DE18" s="93">
        <f t="shared" si="34"/>
        <v>0</v>
      </c>
      <c r="DH18" s="93">
        <f t="shared" si="35"/>
        <v>0</v>
      </c>
      <c r="DK18" s="93">
        <f t="shared" si="36"/>
        <v>0</v>
      </c>
      <c r="DN18" s="93">
        <f t="shared" si="37"/>
        <v>0</v>
      </c>
      <c r="DQ18" s="93">
        <f t="shared" si="38"/>
        <v>0</v>
      </c>
      <c r="DT18" s="93">
        <f t="shared" si="39"/>
        <v>0</v>
      </c>
      <c r="DW18" s="93">
        <f t="shared" si="40"/>
        <v>0</v>
      </c>
      <c r="DZ18" s="93"/>
      <c r="EA18" s="93"/>
      <c r="EB18" s="126">
        <f t="shared" si="41"/>
        <v>286400000</v>
      </c>
      <c r="EC18" s="126">
        <f t="shared" si="42"/>
        <v>0</v>
      </c>
      <c r="ED18" s="93">
        <f t="shared" si="43"/>
        <v>14898.215277777777</v>
      </c>
      <c r="EE18" s="94">
        <f t="shared" si="44"/>
        <v>1.872680691340782E-2</v>
      </c>
      <c r="EG18" s="126">
        <f t="shared" si="45"/>
        <v>0</v>
      </c>
      <c r="EH18" s="93">
        <f t="shared" si="46"/>
        <v>0</v>
      </c>
      <c r="EI18" s="94">
        <f t="shared" si="47"/>
        <v>0</v>
      </c>
      <c r="EJ18" s="94"/>
      <c r="EK18" s="126">
        <f t="shared" si="48"/>
        <v>286400000</v>
      </c>
      <c r="EL18" s="126">
        <f t="shared" si="49"/>
        <v>0</v>
      </c>
      <c r="EM18" s="126">
        <f t="shared" si="50"/>
        <v>14898.215277777777</v>
      </c>
      <c r="EN18" s="94">
        <f t="shared" si="51"/>
        <v>1.872680691340782E-2</v>
      </c>
      <c r="EP18" s="93"/>
    </row>
    <row r="19" spans="1:146" x14ac:dyDescent="0.25">
      <c r="A19" s="39">
        <f t="shared" si="52"/>
        <v>43839</v>
      </c>
      <c r="D19" s="93">
        <f t="shared" si="1"/>
        <v>0</v>
      </c>
      <c r="G19" s="93">
        <f t="shared" si="2"/>
        <v>0</v>
      </c>
      <c r="J19" s="93">
        <f t="shared" si="3"/>
        <v>0</v>
      </c>
      <c r="M19" s="93">
        <f t="shared" si="4"/>
        <v>0</v>
      </c>
      <c r="P19" s="93">
        <f t="shared" si="5"/>
        <v>0</v>
      </c>
      <c r="S19" s="93">
        <f t="shared" si="6"/>
        <v>0</v>
      </c>
      <c r="V19" s="93">
        <f t="shared" si="7"/>
        <v>0</v>
      </c>
      <c r="Y19" s="93">
        <f t="shared" si="8"/>
        <v>0</v>
      </c>
      <c r="AB19" s="93">
        <f t="shared" si="9"/>
        <v>0</v>
      </c>
      <c r="AE19" s="93">
        <f>(AC19*AD19)/'[16]Input Sheet'!$B$11</f>
        <v>0</v>
      </c>
      <c r="AH19" s="93">
        <f>(AF19*AG19)/'[16]Input Sheet'!$B$11</f>
        <v>0</v>
      </c>
      <c r="AI19" s="124">
        <f>82575000</f>
        <v>82575000</v>
      </c>
      <c r="AJ19" s="125">
        <v>1.78E-2</v>
      </c>
      <c r="AK19" s="93">
        <f t="shared" si="10"/>
        <v>4082.875</v>
      </c>
      <c r="AL19" s="124"/>
      <c r="AM19" s="125"/>
      <c r="AN19" s="93">
        <f t="shared" si="11"/>
        <v>0</v>
      </c>
      <c r="AO19" s="124"/>
      <c r="AP19" s="125"/>
      <c r="AQ19" s="93">
        <f t="shared" si="12"/>
        <v>0</v>
      </c>
      <c r="AR19" s="124">
        <f t="shared" si="53"/>
        <v>110375000</v>
      </c>
      <c r="AS19" s="125">
        <v>1.9099999999999999E-2</v>
      </c>
      <c r="AT19" s="93">
        <f t="shared" si="13"/>
        <v>5856.0069444444443</v>
      </c>
      <c r="AU19" s="124">
        <f t="shared" si="54"/>
        <v>101625000</v>
      </c>
      <c r="AV19" s="125">
        <v>1.9E-2</v>
      </c>
      <c r="AW19" s="93">
        <f t="shared" si="14"/>
        <v>5363.541666666667</v>
      </c>
      <c r="AX19" s="124"/>
      <c r="AY19" s="125"/>
      <c r="AZ19" s="93">
        <f t="shared" si="15"/>
        <v>0</v>
      </c>
      <c r="BC19" s="93">
        <f t="shared" si="16"/>
        <v>0</v>
      </c>
      <c r="BF19" s="93">
        <f t="shared" si="17"/>
        <v>0</v>
      </c>
      <c r="BI19" s="93">
        <f t="shared" si="18"/>
        <v>0</v>
      </c>
      <c r="BL19" s="93">
        <f t="shared" si="19"/>
        <v>0</v>
      </c>
      <c r="BO19" s="93">
        <f t="shared" si="20"/>
        <v>0</v>
      </c>
      <c r="BR19" s="93">
        <f t="shared" si="21"/>
        <v>0</v>
      </c>
      <c r="BU19" s="93">
        <f t="shared" si="22"/>
        <v>0</v>
      </c>
      <c r="BX19" s="93">
        <f t="shared" si="23"/>
        <v>0</v>
      </c>
      <c r="CA19" s="93">
        <f t="shared" si="24"/>
        <v>0</v>
      </c>
      <c r="CD19" s="93">
        <f t="shared" si="25"/>
        <v>0</v>
      </c>
      <c r="CG19" s="93">
        <f t="shared" si="26"/>
        <v>0</v>
      </c>
      <c r="CJ19" s="93">
        <f t="shared" si="27"/>
        <v>0</v>
      </c>
      <c r="CM19" s="93">
        <f t="shared" si="28"/>
        <v>0</v>
      </c>
      <c r="CP19" s="93">
        <f t="shared" si="29"/>
        <v>0</v>
      </c>
      <c r="CS19" s="93">
        <f t="shared" si="30"/>
        <v>0</v>
      </c>
      <c r="CV19" s="93">
        <f t="shared" si="31"/>
        <v>0</v>
      </c>
      <c r="CY19" s="93">
        <f t="shared" si="32"/>
        <v>0</v>
      </c>
      <c r="DB19" s="93">
        <f t="shared" si="33"/>
        <v>0</v>
      </c>
      <c r="DE19" s="93">
        <f t="shared" si="34"/>
        <v>0</v>
      </c>
      <c r="DH19" s="93">
        <f t="shared" si="35"/>
        <v>0</v>
      </c>
      <c r="DK19" s="93">
        <f t="shared" si="36"/>
        <v>0</v>
      </c>
      <c r="DN19" s="93">
        <f t="shared" si="37"/>
        <v>0</v>
      </c>
      <c r="DQ19" s="93">
        <f t="shared" si="38"/>
        <v>0</v>
      </c>
      <c r="DT19" s="93">
        <f t="shared" si="39"/>
        <v>0</v>
      </c>
      <c r="DW19" s="93">
        <f t="shared" si="40"/>
        <v>0</v>
      </c>
      <c r="DZ19" s="93"/>
      <c r="EA19" s="93"/>
      <c r="EB19" s="126">
        <f t="shared" si="41"/>
        <v>294575000</v>
      </c>
      <c r="EC19" s="126">
        <f t="shared" si="42"/>
        <v>0</v>
      </c>
      <c r="ED19" s="93">
        <f t="shared" si="43"/>
        <v>15302.423611111113</v>
      </c>
      <c r="EE19" s="94">
        <f t="shared" si="44"/>
        <v>1.8701086310786728E-2</v>
      </c>
      <c r="EG19" s="126">
        <f t="shared" si="45"/>
        <v>0</v>
      </c>
      <c r="EH19" s="93">
        <f t="shared" si="46"/>
        <v>0</v>
      </c>
      <c r="EI19" s="94">
        <f t="shared" si="47"/>
        <v>0</v>
      </c>
      <c r="EJ19" s="94"/>
      <c r="EK19" s="126">
        <f t="shared" si="48"/>
        <v>294575000</v>
      </c>
      <c r="EL19" s="126">
        <f t="shared" si="49"/>
        <v>0</v>
      </c>
      <c r="EM19" s="126">
        <f t="shared" si="50"/>
        <v>15302.423611111111</v>
      </c>
      <c r="EN19" s="94">
        <f t="shared" si="51"/>
        <v>1.8701086310786728E-2</v>
      </c>
      <c r="EP19" s="93"/>
    </row>
    <row r="20" spans="1:146" x14ac:dyDescent="0.25">
      <c r="A20" s="39">
        <f t="shared" si="52"/>
        <v>43840</v>
      </c>
      <c r="D20" s="93">
        <f t="shared" si="1"/>
        <v>0</v>
      </c>
      <c r="G20" s="93">
        <f t="shared" si="2"/>
        <v>0</v>
      </c>
      <c r="J20" s="93">
        <f t="shared" si="3"/>
        <v>0</v>
      </c>
      <c r="M20" s="93">
        <f t="shared" si="4"/>
        <v>0</v>
      </c>
      <c r="P20" s="93">
        <f t="shared" si="5"/>
        <v>0</v>
      </c>
      <c r="S20" s="93">
        <f t="shared" si="6"/>
        <v>0</v>
      </c>
      <c r="V20" s="93">
        <f t="shared" si="7"/>
        <v>0</v>
      </c>
      <c r="Y20" s="93">
        <f t="shared" si="8"/>
        <v>0</v>
      </c>
      <c r="AB20" s="93">
        <f t="shared" si="9"/>
        <v>0</v>
      </c>
      <c r="AE20" s="93">
        <f>(AC20*AD20)/'[16]Input Sheet'!$B$11</f>
        <v>0</v>
      </c>
      <c r="AH20" s="93">
        <f>(AF20*AG20)/'[16]Input Sheet'!$B$11</f>
        <v>0</v>
      </c>
      <c r="AI20" s="124">
        <f>46675000</f>
        <v>46675000</v>
      </c>
      <c r="AJ20" s="125">
        <v>1.78E-2</v>
      </c>
      <c r="AK20" s="93">
        <f t="shared" si="10"/>
        <v>2307.8194444444443</v>
      </c>
      <c r="AL20" s="124"/>
      <c r="AM20" s="125"/>
      <c r="AN20" s="93">
        <f t="shared" si="11"/>
        <v>0</v>
      </c>
      <c r="AO20" s="124">
        <f t="shared" ref="AO20:AO41" si="55">50000000</f>
        <v>50000000</v>
      </c>
      <c r="AP20" s="125">
        <v>1.8800000000000001E-2</v>
      </c>
      <c r="AQ20" s="93">
        <f t="shared" si="12"/>
        <v>2611.1111111111113</v>
      </c>
      <c r="AR20" s="124">
        <f t="shared" si="53"/>
        <v>110375000</v>
      </c>
      <c r="AS20" s="125">
        <v>1.9099999999999999E-2</v>
      </c>
      <c r="AT20" s="93">
        <f t="shared" si="13"/>
        <v>5856.0069444444443</v>
      </c>
      <c r="AU20" s="124">
        <f t="shared" si="54"/>
        <v>101625000</v>
      </c>
      <c r="AV20" s="125">
        <v>1.9E-2</v>
      </c>
      <c r="AW20" s="93">
        <f t="shared" si="14"/>
        <v>5363.541666666667</v>
      </c>
      <c r="AX20" s="124"/>
      <c r="AY20" s="125"/>
      <c r="AZ20" s="93">
        <f t="shared" si="15"/>
        <v>0</v>
      </c>
      <c r="BC20" s="93">
        <f t="shared" si="16"/>
        <v>0</v>
      </c>
      <c r="BF20" s="93">
        <f t="shared" si="17"/>
        <v>0</v>
      </c>
      <c r="BI20" s="93">
        <f t="shared" si="18"/>
        <v>0</v>
      </c>
      <c r="BL20" s="93">
        <f t="shared" si="19"/>
        <v>0</v>
      </c>
      <c r="BO20" s="93">
        <f t="shared" si="20"/>
        <v>0</v>
      </c>
      <c r="BR20" s="93">
        <f t="shared" si="21"/>
        <v>0</v>
      </c>
      <c r="BU20" s="93">
        <f t="shared" si="22"/>
        <v>0</v>
      </c>
      <c r="BX20" s="93">
        <f t="shared" si="23"/>
        <v>0</v>
      </c>
      <c r="CA20" s="93">
        <f t="shared" si="24"/>
        <v>0</v>
      </c>
      <c r="CD20" s="93">
        <f t="shared" si="25"/>
        <v>0</v>
      </c>
      <c r="CG20" s="93">
        <f t="shared" si="26"/>
        <v>0</v>
      </c>
      <c r="CJ20" s="93">
        <f t="shared" si="27"/>
        <v>0</v>
      </c>
      <c r="CM20" s="93">
        <f t="shared" si="28"/>
        <v>0</v>
      </c>
      <c r="CP20" s="93">
        <f t="shared" si="29"/>
        <v>0</v>
      </c>
      <c r="CS20" s="93">
        <f t="shared" si="30"/>
        <v>0</v>
      </c>
      <c r="CV20" s="93">
        <f t="shared" si="31"/>
        <v>0</v>
      </c>
      <c r="CY20" s="93">
        <f t="shared" si="32"/>
        <v>0</v>
      </c>
      <c r="DB20" s="93">
        <f t="shared" si="33"/>
        <v>0</v>
      </c>
      <c r="DE20" s="93">
        <f t="shared" si="34"/>
        <v>0</v>
      </c>
      <c r="DH20" s="93">
        <f t="shared" si="35"/>
        <v>0</v>
      </c>
      <c r="DK20" s="93">
        <f t="shared" si="36"/>
        <v>0</v>
      </c>
      <c r="DN20" s="93">
        <f t="shared" si="37"/>
        <v>0</v>
      </c>
      <c r="DQ20" s="93">
        <f t="shared" si="38"/>
        <v>0</v>
      </c>
      <c r="DT20" s="93">
        <f t="shared" si="39"/>
        <v>0</v>
      </c>
      <c r="DW20" s="93">
        <f t="shared" si="40"/>
        <v>0</v>
      </c>
      <c r="DZ20" s="93"/>
      <c r="EA20" s="93"/>
      <c r="EB20" s="126">
        <f t="shared" si="41"/>
        <v>308675000</v>
      </c>
      <c r="EC20" s="126">
        <f t="shared" si="42"/>
        <v>0</v>
      </c>
      <c r="ED20" s="93">
        <f t="shared" si="43"/>
        <v>16138.479166666668</v>
      </c>
      <c r="EE20" s="94">
        <f t="shared" si="44"/>
        <v>1.8821908155827329E-2</v>
      </c>
      <c r="EG20" s="126">
        <f t="shared" si="45"/>
        <v>0</v>
      </c>
      <c r="EH20" s="93">
        <f t="shared" si="46"/>
        <v>0</v>
      </c>
      <c r="EI20" s="94">
        <f t="shared" si="47"/>
        <v>0</v>
      </c>
      <c r="EJ20" s="94"/>
      <c r="EK20" s="126">
        <f t="shared" si="48"/>
        <v>308675000</v>
      </c>
      <c r="EL20" s="126">
        <f t="shared" si="49"/>
        <v>0</v>
      </c>
      <c r="EM20" s="126">
        <f t="shared" si="50"/>
        <v>16138.479166666668</v>
      </c>
      <c r="EN20" s="94">
        <f t="shared" si="51"/>
        <v>1.8821908155827329E-2</v>
      </c>
      <c r="EP20" s="93"/>
    </row>
    <row r="21" spans="1:146" x14ac:dyDescent="0.25">
      <c r="A21" s="39">
        <f t="shared" si="52"/>
        <v>43841</v>
      </c>
      <c r="D21" s="93">
        <f t="shared" si="1"/>
        <v>0</v>
      </c>
      <c r="G21" s="93">
        <f t="shared" si="2"/>
        <v>0</v>
      </c>
      <c r="J21" s="93">
        <f t="shared" si="3"/>
        <v>0</v>
      </c>
      <c r="M21" s="93">
        <f t="shared" si="4"/>
        <v>0</v>
      </c>
      <c r="P21" s="93">
        <f t="shared" si="5"/>
        <v>0</v>
      </c>
      <c r="S21" s="93">
        <f t="shared" si="6"/>
        <v>0</v>
      </c>
      <c r="V21" s="93">
        <f t="shared" si="7"/>
        <v>0</v>
      </c>
      <c r="Y21" s="93">
        <f t="shared" si="8"/>
        <v>0</v>
      </c>
      <c r="AB21" s="93">
        <f t="shared" si="9"/>
        <v>0</v>
      </c>
      <c r="AE21" s="93">
        <f>(AC21*AD21)/'[16]Input Sheet'!$B$11</f>
        <v>0</v>
      </c>
      <c r="AH21" s="93">
        <f>(AF21*AG21)/'[16]Input Sheet'!$B$11</f>
        <v>0</v>
      </c>
      <c r="AI21" s="124">
        <f>46675000</f>
        <v>46675000</v>
      </c>
      <c r="AJ21" s="125">
        <v>1.78E-2</v>
      </c>
      <c r="AK21" s="93">
        <f t="shared" si="10"/>
        <v>2307.8194444444443</v>
      </c>
      <c r="AL21" s="124"/>
      <c r="AM21" s="125"/>
      <c r="AN21" s="93">
        <f t="shared" si="11"/>
        <v>0</v>
      </c>
      <c r="AO21" s="124">
        <f t="shared" si="55"/>
        <v>50000000</v>
      </c>
      <c r="AP21" s="125">
        <v>1.8800000000000001E-2</v>
      </c>
      <c r="AQ21" s="93">
        <f t="shared" si="12"/>
        <v>2611.1111111111113</v>
      </c>
      <c r="AR21" s="124">
        <f t="shared" si="53"/>
        <v>110375000</v>
      </c>
      <c r="AS21" s="125">
        <v>1.9099999999999999E-2</v>
      </c>
      <c r="AT21" s="93">
        <f t="shared" si="13"/>
        <v>5856.0069444444443</v>
      </c>
      <c r="AU21" s="124">
        <f t="shared" si="54"/>
        <v>101625000</v>
      </c>
      <c r="AV21" s="125">
        <v>1.9E-2</v>
      </c>
      <c r="AW21" s="93">
        <f t="shared" si="14"/>
        <v>5363.541666666667</v>
      </c>
      <c r="AX21" s="124"/>
      <c r="AY21" s="125"/>
      <c r="AZ21" s="93">
        <f t="shared" si="15"/>
        <v>0</v>
      </c>
      <c r="BC21" s="93">
        <f t="shared" si="16"/>
        <v>0</v>
      </c>
      <c r="BF21" s="93">
        <f t="shared" si="17"/>
        <v>0</v>
      </c>
      <c r="BI21" s="93">
        <f t="shared" si="18"/>
        <v>0</v>
      </c>
      <c r="BL21" s="93">
        <f t="shared" si="19"/>
        <v>0</v>
      </c>
      <c r="BO21" s="93">
        <f t="shared" si="20"/>
        <v>0</v>
      </c>
      <c r="BR21" s="93">
        <f t="shared" si="21"/>
        <v>0</v>
      </c>
      <c r="BU21" s="93">
        <f t="shared" si="22"/>
        <v>0</v>
      </c>
      <c r="BX21" s="93">
        <f t="shared" si="23"/>
        <v>0</v>
      </c>
      <c r="CA21" s="93">
        <f t="shared" si="24"/>
        <v>0</v>
      </c>
      <c r="CD21" s="93">
        <f t="shared" si="25"/>
        <v>0</v>
      </c>
      <c r="CG21" s="93">
        <f t="shared" si="26"/>
        <v>0</v>
      </c>
      <c r="CJ21" s="93">
        <f t="shared" si="27"/>
        <v>0</v>
      </c>
      <c r="CM21" s="93">
        <f t="shared" si="28"/>
        <v>0</v>
      </c>
      <c r="CP21" s="93">
        <f t="shared" si="29"/>
        <v>0</v>
      </c>
      <c r="CS21" s="93">
        <f t="shared" si="30"/>
        <v>0</v>
      </c>
      <c r="CV21" s="93">
        <f t="shared" si="31"/>
        <v>0</v>
      </c>
      <c r="CY21" s="93">
        <f t="shared" si="32"/>
        <v>0</v>
      </c>
      <c r="DB21" s="93">
        <f t="shared" si="33"/>
        <v>0</v>
      </c>
      <c r="DE21" s="93">
        <f t="shared" si="34"/>
        <v>0</v>
      </c>
      <c r="DH21" s="93">
        <f t="shared" si="35"/>
        <v>0</v>
      </c>
      <c r="DK21" s="93">
        <f t="shared" si="36"/>
        <v>0</v>
      </c>
      <c r="DN21" s="93">
        <f t="shared" si="37"/>
        <v>0</v>
      </c>
      <c r="DQ21" s="93">
        <f t="shared" si="38"/>
        <v>0</v>
      </c>
      <c r="DT21" s="93">
        <f t="shared" si="39"/>
        <v>0</v>
      </c>
      <c r="DW21" s="93">
        <f t="shared" si="40"/>
        <v>0</v>
      </c>
      <c r="DZ21" s="93"/>
      <c r="EA21" s="93"/>
      <c r="EB21" s="126">
        <f t="shared" si="41"/>
        <v>308675000</v>
      </c>
      <c r="EC21" s="126">
        <f t="shared" si="42"/>
        <v>0</v>
      </c>
      <c r="ED21" s="93">
        <f t="shared" si="43"/>
        <v>16138.479166666668</v>
      </c>
      <c r="EE21" s="94">
        <f t="shared" si="44"/>
        <v>1.8821908155827329E-2</v>
      </c>
      <c r="EG21" s="126">
        <f t="shared" si="45"/>
        <v>0</v>
      </c>
      <c r="EH21" s="93">
        <f t="shared" si="46"/>
        <v>0</v>
      </c>
      <c r="EI21" s="94">
        <f t="shared" si="47"/>
        <v>0</v>
      </c>
      <c r="EJ21" s="94"/>
      <c r="EK21" s="126">
        <f t="shared" si="48"/>
        <v>308675000</v>
      </c>
      <c r="EL21" s="126">
        <f t="shared" si="49"/>
        <v>0</v>
      </c>
      <c r="EM21" s="126">
        <f t="shared" si="50"/>
        <v>16138.479166666668</v>
      </c>
      <c r="EN21" s="94">
        <f t="shared" si="51"/>
        <v>1.8821908155827329E-2</v>
      </c>
      <c r="EP21" s="93"/>
    </row>
    <row r="22" spans="1:146" x14ac:dyDescent="0.25">
      <c r="A22" s="39">
        <f t="shared" si="52"/>
        <v>43842</v>
      </c>
      <c r="D22" s="93">
        <f t="shared" si="1"/>
        <v>0</v>
      </c>
      <c r="G22" s="93">
        <f t="shared" si="2"/>
        <v>0</v>
      </c>
      <c r="J22" s="93">
        <f t="shared" si="3"/>
        <v>0</v>
      </c>
      <c r="M22" s="93">
        <f t="shared" si="4"/>
        <v>0</v>
      </c>
      <c r="P22" s="93">
        <f t="shared" si="5"/>
        <v>0</v>
      </c>
      <c r="S22" s="93">
        <f t="shared" si="6"/>
        <v>0</v>
      </c>
      <c r="V22" s="93">
        <f t="shared" si="7"/>
        <v>0</v>
      </c>
      <c r="Y22" s="93">
        <f t="shared" si="8"/>
        <v>0</v>
      </c>
      <c r="AB22" s="93">
        <f t="shared" si="9"/>
        <v>0</v>
      </c>
      <c r="AE22" s="93">
        <f>(AC22*AD22)/'[16]Input Sheet'!$B$11</f>
        <v>0</v>
      </c>
      <c r="AH22" s="93">
        <f>(AF22*AG22)/'[16]Input Sheet'!$B$11</f>
        <v>0</v>
      </c>
      <c r="AI22" s="124">
        <f>46675000</f>
        <v>46675000</v>
      </c>
      <c r="AJ22" s="125">
        <v>1.78E-2</v>
      </c>
      <c r="AK22" s="93">
        <f t="shared" si="10"/>
        <v>2307.8194444444443</v>
      </c>
      <c r="AL22" s="124"/>
      <c r="AM22" s="125"/>
      <c r="AN22" s="93">
        <f t="shared" si="11"/>
        <v>0</v>
      </c>
      <c r="AO22" s="124">
        <f t="shared" si="55"/>
        <v>50000000</v>
      </c>
      <c r="AP22" s="125">
        <v>1.8800000000000001E-2</v>
      </c>
      <c r="AQ22" s="93">
        <f t="shared" si="12"/>
        <v>2611.1111111111113</v>
      </c>
      <c r="AR22" s="124">
        <f t="shared" si="53"/>
        <v>110375000</v>
      </c>
      <c r="AS22" s="125">
        <v>1.9099999999999999E-2</v>
      </c>
      <c r="AT22" s="93">
        <f t="shared" si="13"/>
        <v>5856.0069444444443</v>
      </c>
      <c r="AU22" s="124">
        <f t="shared" si="54"/>
        <v>101625000</v>
      </c>
      <c r="AV22" s="125">
        <v>1.9E-2</v>
      </c>
      <c r="AW22" s="93">
        <f t="shared" si="14"/>
        <v>5363.541666666667</v>
      </c>
      <c r="AX22" s="124"/>
      <c r="AY22" s="125"/>
      <c r="AZ22" s="93">
        <f t="shared" si="15"/>
        <v>0</v>
      </c>
      <c r="BC22" s="93">
        <f t="shared" si="16"/>
        <v>0</v>
      </c>
      <c r="BF22" s="93">
        <f t="shared" si="17"/>
        <v>0</v>
      </c>
      <c r="BI22" s="93">
        <f t="shared" si="18"/>
        <v>0</v>
      </c>
      <c r="BL22" s="93">
        <f t="shared" si="19"/>
        <v>0</v>
      </c>
      <c r="BO22" s="93">
        <f t="shared" si="20"/>
        <v>0</v>
      </c>
      <c r="BR22" s="93">
        <f t="shared" si="21"/>
        <v>0</v>
      </c>
      <c r="BU22" s="93">
        <f t="shared" si="22"/>
        <v>0</v>
      </c>
      <c r="BX22" s="93">
        <f t="shared" si="23"/>
        <v>0</v>
      </c>
      <c r="CA22" s="93">
        <f t="shared" si="24"/>
        <v>0</v>
      </c>
      <c r="CD22" s="93">
        <f t="shared" si="25"/>
        <v>0</v>
      </c>
      <c r="CG22" s="93">
        <f t="shared" si="26"/>
        <v>0</v>
      </c>
      <c r="CJ22" s="93">
        <f t="shared" si="27"/>
        <v>0</v>
      </c>
      <c r="CM22" s="93">
        <f t="shared" si="28"/>
        <v>0</v>
      </c>
      <c r="CP22" s="93">
        <f t="shared" si="29"/>
        <v>0</v>
      </c>
      <c r="CS22" s="93">
        <f t="shared" si="30"/>
        <v>0</v>
      </c>
      <c r="CV22" s="93">
        <f t="shared" si="31"/>
        <v>0</v>
      </c>
      <c r="CY22" s="93">
        <f t="shared" si="32"/>
        <v>0</v>
      </c>
      <c r="DB22" s="93">
        <f t="shared" si="33"/>
        <v>0</v>
      </c>
      <c r="DE22" s="93">
        <f t="shared" si="34"/>
        <v>0</v>
      </c>
      <c r="DH22" s="93">
        <f t="shared" si="35"/>
        <v>0</v>
      </c>
      <c r="DK22" s="93">
        <f t="shared" si="36"/>
        <v>0</v>
      </c>
      <c r="DN22" s="93">
        <f t="shared" si="37"/>
        <v>0</v>
      </c>
      <c r="DQ22" s="93">
        <f t="shared" si="38"/>
        <v>0</v>
      </c>
      <c r="DT22" s="93">
        <f t="shared" si="39"/>
        <v>0</v>
      </c>
      <c r="DW22" s="93">
        <f t="shared" si="40"/>
        <v>0</v>
      </c>
      <c r="DZ22" s="93"/>
      <c r="EA22" s="93"/>
      <c r="EB22" s="126">
        <f t="shared" si="41"/>
        <v>308675000</v>
      </c>
      <c r="EC22" s="126">
        <f t="shared" si="42"/>
        <v>0</v>
      </c>
      <c r="ED22" s="93">
        <f t="shared" si="43"/>
        <v>16138.479166666668</v>
      </c>
      <c r="EE22" s="94">
        <f t="shared" si="44"/>
        <v>1.8821908155827329E-2</v>
      </c>
      <c r="EG22" s="126">
        <f t="shared" si="45"/>
        <v>0</v>
      </c>
      <c r="EH22" s="93">
        <f t="shared" si="46"/>
        <v>0</v>
      </c>
      <c r="EI22" s="94">
        <f t="shared" si="47"/>
        <v>0</v>
      </c>
      <c r="EJ22" s="94"/>
      <c r="EK22" s="126">
        <f t="shared" si="48"/>
        <v>308675000</v>
      </c>
      <c r="EL22" s="126">
        <f t="shared" si="49"/>
        <v>0</v>
      </c>
      <c r="EM22" s="126">
        <f t="shared" si="50"/>
        <v>16138.479166666668</v>
      </c>
      <c r="EN22" s="94">
        <f t="shared" si="51"/>
        <v>1.8821908155827329E-2</v>
      </c>
      <c r="EP22" s="93"/>
    </row>
    <row r="23" spans="1:146" x14ac:dyDescent="0.25">
      <c r="A23" s="39">
        <f t="shared" si="52"/>
        <v>43843</v>
      </c>
      <c r="D23" s="93">
        <f t="shared" si="1"/>
        <v>0</v>
      </c>
      <c r="G23" s="93">
        <f t="shared" si="2"/>
        <v>0</v>
      </c>
      <c r="J23" s="93">
        <f t="shared" si="3"/>
        <v>0</v>
      </c>
      <c r="M23" s="93">
        <f t="shared" si="4"/>
        <v>0</v>
      </c>
      <c r="P23" s="93">
        <f t="shared" si="5"/>
        <v>0</v>
      </c>
      <c r="S23" s="93">
        <f t="shared" si="6"/>
        <v>0</v>
      </c>
      <c r="V23" s="93">
        <f t="shared" si="7"/>
        <v>0</v>
      </c>
      <c r="Y23" s="93">
        <f t="shared" si="8"/>
        <v>0</v>
      </c>
      <c r="AB23" s="93">
        <f t="shared" si="9"/>
        <v>0</v>
      </c>
      <c r="AE23" s="93">
        <f>(AC23*AD23)/'[16]Input Sheet'!$B$11</f>
        <v>0</v>
      </c>
      <c r="AH23" s="93">
        <f>(AF23*AG23)/'[16]Input Sheet'!$B$11</f>
        <v>0</v>
      </c>
      <c r="AI23" s="124">
        <f>68775000+2450000</f>
        <v>71225000</v>
      </c>
      <c r="AJ23" s="125">
        <v>1.7600000000000001E-2</v>
      </c>
      <c r="AK23" s="93">
        <f t="shared" si="10"/>
        <v>3482.1111111111113</v>
      </c>
      <c r="AL23" s="124"/>
      <c r="AM23" s="125"/>
      <c r="AN23" s="93">
        <f t="shared" si="11"/>
        <v>0</v>
      </c>
      <c r="AO23" s="124">
        <f t="shared" si="55"/>
        <v>50000000</v>
      </c>
      <c r="AP23" s="125">
        <v>1.8800000000000001E-2</v>
      </c>
      <c r="AQ23" s="93">
        <f t="shared" si="12"/>
        <v>2611.1111111111113</v>
      </c>
      <c r="AR23" s="124">
        <f t="shared" si="53"/>
        <v>110375000</v>
      </c>
      <c r="AS23" s="125">
        <v>1.9099999999999999E-2</v>
      </c>
      <c r="AT23" s="93">
        <f t="shared" si="13"/>
        <v>5856.0069444444443</v>
      </c>
      <c r="AU23" s="124">
        <f t="shared" si="54"/>
        <v>101625000</v>
      </c>
      <c r="AV23" s="125">
        <v>1.9E-2</v>
      </c>
      <c r="AW23" s="93">
        <f t="shared" si="14"/>
        <v>5363.541666666667</v>
      </c>
      <c r="AX23" s="124"/>
      <c r="AY23" s="125"/>
      <c r="AZ23" s="93">
        <f t="shared" si="15"/>
        <v>0</v>
      </c>
      <c r="BC23" s="93">
        <f t="shared" si="16"/>
        <v>0</v>
      </c>
      <c r="BF23" s="93">
        <f t="shared" si="17"/>
        <v>0</v>
      </c>
      <c r="BI23" s="93">
        <f t="shared" si="18"/>
        <v>0</v>
      </c>
      <c r="BL23" s="93">
        <f t="shared" si="19"/>
        <v>0</v>
      </c>
      <c r="BO23" s="93">
        <f t="shared" si="20"/>
        <v>0</v>
      </c>
      <c r="BR23" s="93">
        <f t="shared" si="21"/>
        <v>0</v>
      </c>
      <c r="BU23" s="93">
        <f t="shared" si="22"/>
        <v>0</v>
      </c>
      <c r="BX23" s="93">
        <f t="shared" si="23"/>
        <v>0</v>
      </c>
      <c r="CA23" s="93">
        <f t="shared" si="24"/>
        <v>0</v>
      </c>
      <c r="CD23" s="93">
        <f t="shared" si="25"/>
        <v>0</v>
      </c>
      <c r="CG23" s="93">
        <f t="shared" si="26"/>
        <v>0</v>
      </c>
      <c r="CJ23" s="93">
        <f t="shared" si="27"/>
        <v>0</v>
      </c>
      <c r="CM23" s="93">
        <f t="shared" si="28"/>
        <v>0</v>
      </c>
      <c r="CP23" s="93">
        <f t="shared" si="29"/>
        <v>0</v>
      </c>
      <c r="CS23" s="93">
        <f t="shared" si="30"/>
        <v>0</v>
      </c>
      <c r="CV23" s="93">
        <f t="shared" si="31"/>
        <v>0</v>
      </c>
      <c r="CY23" s="93">
        <f t="shared" si="32"/>
        <v>0</v>
      </c>
      <c r="DB23" s="93">
        <f t="shared" si="33"/>
        <v>0</v>
      </c>
      <c r="DE23" s="93">
        <f t="shared" si="34"/>
        <v>0</v>
      </c>
      <c r="DH23" s="93">
        <f t="shared" si="35"/>
        <v>0</v>
      </c>
      <c r="DK23" s="93">
        <f t="shared" si="36"/>
        <v>0</v>
      </c>
      <c r="DN23" s="93">
        <f t="shared" si="37"/>
        <v>0</v>
      </c>
      <c r="DQ23" s="93">
        <f t="shared" si="38"/>
        <v>0</v>
      </c>
      <c r="DT23" s="93">
        <f t="shared" si="39"/>
        <v>0</v>
      </c>
      <c r="DW23" s="93">
        <f t="shared" si="40"/>
        <v>0</v>
      </c>
      <c r="DZ23" s="93"/>
      <c r="EA23" s="93"/>
      <c r="EB23" s="126">
        <f t="shared" si="41"/>
        <v>333225000</v>
      </c>
      <c r="EC23" s="126">
        <f t="shared" si="42"/>
        <v>0</v>
      </c>
      <c r="ED23" s="93">
        <f t="shared" si="43"/>
        <v>17312.770833333336</v>
      </c>
      <c r="EE23" s="94">
        <f t="shared" si="44"/>
        <v>1.8703871258158904E-2</v>
      </c>
      <c r="EG23" s="126">
        <f t="shared" si="45"/>
        <v>0</v>
      </c>
      <c r="EH23" s="93">
        <f t="shared" si="46"/>
        <v>0</v>
      </c>
      <c r="EI23" s="94">
        <f t="shared" si="47"/>
        <v>0</v>
      </c>
      <c r="EJ23" s="94"/>
      <c r="EK23" s="126">
        <f t="shared" si="48"/>
        <v>333225000</v>
      </c>
      <c r="EL23" s="126">
        <f t="shared" si="49"/>
        <v>0</v>
      </c>
      <c r="EM23" s="126">
        <f t="shared" si="50"/>
        <v>17312.770833333336</v>
      </c>
      <c r="EN23" s="94">
        <f t="shared" si="51"/>
        <v>1.8703871258158904E-2</v>
      </c>
      <c r="EP23" s="93"/>
    </row>
    <row r="24" spans="1:146" x14ac:dyDescent="0.25">
      <c r="A24" s="39">
        <f t="shared" si="52"/>
        <v>43844</v>
      </c>
      <c r="D24" s="93">
        <f t="shared" si="1"/>
        <v>0</v>
      </c>
      <c r="G24" s="93">
        <f t="shared" si="2"/>
        <v>0</v>
      </c>
      <c r="J24" s="93">
        <f t="shared" si="3"/>
        <v>0</v>
      </c>
      <c r="M24" s="93">
        <f t="shared" si="4"/>
        <v>0</v>
      </c>
      <c r="P24" s="93">
        <f t="shared" si="5"/>
        <v>0</v>
      </c>
      <c r="S24" s="93">
        <f t="shared" si="6"/>
        <v>0</v>
      </c>
      <c r="V24" s="93">
        <f t="shared" si="7"/>
        <v>0</v>
      </c>
      <c r="Y24" s="93">
        <f t="shared" si="8"/>
        <v>0</v>
      </c>
      <c r="AB24" s="93">
        <f t="shared" si="9"/>
        <v>0</v>
      </c>
      <c r="AE24" s="93">
        <f>(AC24*AD24)/'[16]Input Sheet'!$B$11</f>
        <v>0</v>
      </c>
      <c r="AH24" s="93">
        <f>(AF24*AG24)/'[16]Input Sheet'!$B$11</f>
        <v>0</v>
      </c>
      <c r="AI24" s="124">
        <f>44350000</f>
        <v>44350000</v>
      </c>
      <c r="AJ24" s="125">
        <v>1.7600000000000001E-2</v>
      </c>
      <c r="AK24" s="93">
        <f t="shared" si="10"/>
        <v>2168.2222222222222</v>
      </c>
      <c r="AL24" s="124">
        <f t="shared" ref="AL24:AL41" si="56">60000000</f>
        <v>60000000</v>
      </c>
      <c r="AM24" s="125">
        <v>1.8499999999999999E-2</v>
      </c>
      <c r="AN24" s="93">
        <f t="shared" si="11"/>
        <v>3083.3333333333335</v>
      </c>
      <c r="AO24" s="124">
        <f t="shared" si="55"/>
        <v>50000000</v>
      </c>
      <c r="AP24" s="125">
        <v>1.8800000000000001E-2</v>
      </c>
      <c r="AQ24" s="93">
        <f t="shared" si="12"/>
        <v>2611.1111111111113</v>
      </c>
      <c r="AR24" s="124">
        <f t="shared" si="53"/>
        <v>110375000</v>
      </c>
      <c r="AS24" s="125">
        <v>1.9099999999999999E-2</v>
      </c>
      <c r="AT24" s="93">
        <f t="shared" si="13"/>
        <v>5856.0069444444443</v>
      </c>
      <c r="AU24" s="124">
        <f t="shared" si="54"/>
        <v>101625000</v>
      </c>
      <c r="AV24" s="125">
        <v>1.9E-2</v>
      </c>
      <c r="AW24" s="93">
        <f t="shared" si="14"/>
        <v>5363.541666666667</v>
      </c>
      <c r="AX24" s="124"/>
      <c r="AY24" s="125"/>
      <c r="AZ24" s="93">
        <f t="shared" si="15"/>
        <v>0</v>
      </c>
      <c r="BC24" s="93">
        <f t="shared" si="16"/>
        <v>0</v>
      </c>
      <c r="BF24" s="93">
        <f t="shared" si="17"/>
        <v>0</v>
      </c>
      <c r="BI24" s="93">
        <f t="shared" si="18"/>
        <v>0</v>
      </c>
      <c r="BL24" s="93">
        <f t="shared" si="19"/>
        <v>0</v>
      </c>
      <c r="BO24" s="93">
        <f t="shared" si="20"/>
        <v>0</v>
      </c>
      <c r="BR24" s="93">
        <f t="shared" si="21"/>
        <v>0</v>
      </c>
      <c r="BU24" s="93">
        <f t="shared" si="22"/>
        <v>0</v>
      </c>
      <c r="BX24" s="93">
        <f t="shared" si="23"/>
        <v>0</v>
      </c>
      <c r="CA24" s="93">
        <f t="shared" si="24"/>
        <v>0</v>
      </c>
      <c r="CD24" s="93">
        <f t="shared" si="25"/>
        <v>0</v>
      </c>
      <c r="CG24" s="93">
        <f t="shared" si="26"/>
        <v>0</v>
      </c>
      <c r="CJ24" s="93">
        <f t="shared" si="27"/>
        <v>0</v>
      </c>
      <c r="CM24" s="93">
        <f t="shared" si="28"/>
        <v>0</v>
      </c>
      <c r="CP24" s="93">
        <f t="shared" si="29"/>
        <v>0</v>
      </c>
      <c r="CS24" s="93">
        <f t="shared" si="30"/>
        <v>0</v>
      </c>
      <c r="CV24" s="93">
        <f t="shared" si="31"/>
        <v>0</v>
      </c>
      <c r="CY24" s="93">
        <f t="shared" si="32"/>
        <v>0</v>
      </c>
      <c r="DB24" s="93">
        <f t="shared" si="33"/>
        <v>0</v>
      </c>
      <c r="DE24" s="93">
        <f t="shared" si="34"/>
        <v>0</v>
      </c>
      <c r="DH24" s="93">
        <f t="shared" si="35"/>
        <v>0</v>
      </c>
      <c r="DK24" s="93">
        <f t="shared" si="36"/>
        <v>0</v>
      </c>
      <c r="DN24" s="93">
        <f t="shared" si="37"/>
        <v>0</v>
      </c>
      <c r="DQ24" s="93">
        <f t="shared" si="38"/>
        <v>0</v>
      </c>
      <c r="DT24" s="93">
        <f t="shared" si="39"/>
        <v>0</v>
      </c>
      <c r="DW24" s="93">
        <f t="shared" si="40"/>
        <v>0</v>
      </c>
      <c r="DZ24" s="93"/>
      <c r="EA24" s="93"/>
      <c r="EB24" s="126">
        <f t="shared" si="41"/>
        <v>366350000</v>
      </c>
      <c r="EC24" s="126">
        <f t="shared" si="42"/>
        <v>0</v>
      </c>
      <c r="ED24" s="93">
        <f t="shared" si="43"/>
        <v>19082.215277777777</v>
      </c>
      <c r="EE24" s="94">
        <f t="shared" si="44"/>
        <v>1.8751460352122287E-2</v>
      </c>
      <c r="EG24" s="126">
        <f t="shared" si="45"/>
        <v>0</v>
      </c>
      <c r="EH24" s="93">
        <f t="shared" si="46"/>
        <v>0</v>
      </c>
      <c r="EI24" s="94">
        <f t="shared" si="47"/>
        <v>0</v>
      </c>
      <c r="EJ24" s="94"/>
      <c r="EK24" s="126">
        <f t="shared" si="48"/>
        <v>366350000</v>
      </c>
      <c r="EL24" s="126">
        <f t="shared" si="49"/>
        <v>0</v>
      </c>
      <c r="EM24" s="126">
        <f t="shared" si="50"/>
        <v>19082.215277777777</v>
      </c>
      <c r="EN24" s="94">
        <f t="shared" si="51"/>
        <v>1.8751460352122287E-2</v>
      </c>
      <c r="EP24" s="93"/>
    </row>
    <row r="25" spans="1:146" x14ac:dyDescent="0.25">
      <c r="A25" s="39">
        <f t="shared" si="52"/>
        <v>43845</v>
      </c>
      <c r="D25" s="93">
        <f t="shared" si="1"/>
        <v>0</v>
      </c>
      <c r="G25" s="93">
        <f t="shared" si="2"/>
        <v>0</v>
      </c>
      <c r="J25" s="93">
        <f t="shared" si="3"/>
        <v>0</v>
      </c>
      <c r="M25" s="93">
        <f t="shared" si="4"/>
        <v>0</v>
      </c>
      <c r="P25" s="93">
        <f t="shared" si="5"/>
        <v>0</v>
      </c>
      <c r="S25" s="93">
        <f t="shared" si="6"/>
        <v>0</v>
      </c>
      <c r="V25" s="93">
        <f t="shared" si="7"/>
        <v>0</v>
      </c>
      <c r="Y25" s="93">
        <f t="shared" si="8"/>
        <v>0</v>
      </c>
      <c r="AB25" s="93">
        <f t="shared" si="9"/>
        <v>0</v>
      </c>
      <c r="AE25" s="93">
        <f>(AC25*AD25)/'[16]Input Sheet'!$B$11</f>
        <v>0</v>
      </c>
      <c r="AH25" s="93">
        <f>(AF25*AG25)/'[16]Input Sheet'!$B$11</f>
        <v>0</v>
      </c>
      <c r="AI25" s="124">
        <f>44050000</f>
        <v>44050000</v>
      </c>
      <c r="AJ25" s="125">
        <v>1.7600000000000001E-2</v>
      </c>
      <c r="AK25" s="93">
        <f t="shared" si="10"/>
        <v>2153.5555555555557</v>
      </c>
      <c r="AL25" s="124">
        <f t="shared" si="56"/>
        <v>60000000</v>
      </c>
      <c r="AM25" s="125">
        <v>1.8499999999999999E-2</v>
      </c>
      <c r="AN25" s="93">
        <f t="shared" si="11"/>
        <v>3083.3333333333335</v>
      </c>
      <c r="AO25" s="124">
        <f t="shared" si="55"/>
        <v>50000000</v>
      </c>
      <c r="AP25" s="125">
        <v>1.8800000000000001E-2</v>
      </c>
      <c r="AQ25" s="93">
        <f t="shared" si="12"/>
        <v>2611.1111111111113</v>
      </c>
      <c r="AR25" s="124">
        <f t="shared" si="53"/>
        <v>110375000</v>
      </c>
      <c r="AS25" s="125">
        <v>1.9099999999999999E-2</v>
      </c>
      <c r="AT25" s="93">
        <f t="shared" si="13"/>
        <v>5856.0069444444443</v>
      </c>
      <c r="AU25" s="124">
        <f t="shared" si="54"/>
        <v>101625000</v>
      </c>
      <c r="AV25" s="125">
        <v>1.9E-2</v>
      </c>
      <c r="AW25" s="93">
        <f t="shared" si="14"/>
        <v>5363.541666666667</v>
      </c>
      <c r="AX25" s="124"/>
      <c r="AY25" s="125"/>
      <c r="AZ25" s="93">
        <f t="shared" si="15"/>
        <v>0</v>
      </c>
      <c r="BC25" s="93">
        <f t="shared" si="16"/>
        <v>0</v>
      </c>
      <c r="BF25" s="93">
        <f t="shared" si="17"/>
        <v>0</v>
      </c>
      <c r="BI25" s="93">
        <f t="shared" si="18"/>
        <v>0</v>
      </c>
      <c r="BL25" s="93">
        <f t="shared" si="19"/>
        <v>0</v>
      </c>
      <c r="BO25" s="93">
        <f t="shared" si="20"/>
        <v>0</v>
      </c>
      <c r="BR25" s="93">
        <f t="shared" si="21"/>
        <v>0</v>
      </c>
      <c r="BU25" s="93">
        <f t="shared" si="22"/>
        <v>0</v>
      </c>
      <c r="BX25" s="93">
        <f t="shared" si="23"/>
        <v>0</v>
      </c>
      <c r="CA25" s="93">
        <f t="shared" si="24"/>
        <v>0</v>
      </c>
      <c r="CD25" s="93">
        <f t="shared" si="25"/>
        <v>0</v>
      </c>
      <c r="CG25" s="93">
        <f t="shared" si="26"/>
        <v>0</v>
      </c>
      <c r="CJ25" s="93">
        <f t="shared" si="27"/>
        <v>0</v>
      </c>
      <c r="CM25" s="93">
        <f t="shared" si="28"/>
        <v>0</v>
      </c>
      <c r="CP25" s="93">
        <f t="shared" si="29"/>
        <v>0</v>
      </c>
      <c r="CS25" s="93">
        <f t="shared" si="30"/>
        <v>0</v>
      </c>
      <c r="CV25" s="93">
        <f t="shared" si="31"/>
        <v>0</v>
      </c>
      <c r="CY25" s="93">
        <f t="shared" si="32"/>
        <v>0</v>
      </c>
      <c r="DB25" s="93">
        <f t="shared" si="33"/>
        <v>0</v>
      </c>
      <c r="DE25" s="93">
        <f t="shared" si="34"/>
        <v>0</v>
      </c>
      <c r="DH25" s="93">
        <f t="shared" si="35"/>
        <v>0</v>
      </c>
      <c r="DK25" s="93">
        <f t="shared" si="36"/>
        <v>0</v>
      </c>
      <c r="DN25" s="93">
        <f t="shared" si="37"/>
        <v>0</v>
      </c>
      <c r="DQ25" s="93">
        <f t="shared" si="38"/>
        <v>0</v>
      </c>
      <c r="DT25" s="93">
        <f t="shared" si="39"/>
        <v>0</v>
      </c>
      <c r="DW25" s="93">
        <f t="shared" si="40"/>
        <v>0</v>
      </c>
      <c r="DZ25" s="93"/>
      <c r="EA25" s="93"/>
      <c r="EB25" s="126">
        <f t="shared" si="41"/>
        <v>366050000</v>
      </c>
      <c r="EC25" s="126">
        <f t="shared" si="42"/>
        <v>0</v>
      </c>
      <c r="ED25" s="93">
        <f t="shared" si="43"/>
        <v>19067.548611111113</v>
      </c>
      <c r="EE25" s="94">
        <f t="shared" si="44"/>
        <v>1.8752404043163504E-2</v>
      </c>
      <c r="EG25" s="126">
        <f t="shared" si="45"/>
        <v>0</v>
      </c>
      <c r="EH25" s="93">
        <f t="shared" si="46"/>
        <v>0</v>
      </c>
      <c r="EI25" s="94">
        <f t="shared" si="47"/>
        <v>0</v>
      </c>
      <c r="EJ25" s="94"/>
      <c r="EK25" s="126">
        <f t="shared" si="48"/>
        <v>366050000</v>
      </c>
      <c r="EL25" s="126">
        <f t="shared" si="49"/>
        <v>0</v>
      </c>
      <c r="EM25" s="126">
        <f t="shared" si="50"/>
        <v>19067.548611111109</v>
      </c>
      <c r="EN25" s="94">
        <f t="shared" si="51"/>
        <v>1.8752404043163501E-2</v>
      </c>
      <c r="EP25" s="93"/>
    </row>
    <row r="26" spans="1:146" x14ac:dyDescent="0.25">
      <c r="A26" s="39">
        <f t="shared" si="52"/>
        <v>43846</v>
      </c>
      <c r="D26" s="93">
        <f t="shared" si="1"/>
        <v>0</v>
      </c>
      <c r="G26" s="93">
        <f t="shared" si="2"/>
        <v>0</v>
      </c>
      <c r="J26" s="93">
        <f t="shared" si="3"/>
        <v>0</v>
      </c>
      <c r="M26" s="93">
        <f t="shared" si="4"/>
        <v>0</v>
      </c>
      <c r="P26" s="93">
        <f t="shared" si="5"/>
        <v>0</v>
      </c>
      <c r="S26" s="93">
        <f t="shared" si="6"/>
        <v>0</v>
      </c>
      <c r="V26" s="93">
        <f t="shared" si="7"/>
        <v>0</v>
      </c>
      <c r="Y26" s="93">
        <f t="shared" si="8"/>
        <v>0</v>
      </c>
      <c r="AB26" s="93">
        <f t="shared" si="9"/>
        <v>0</v>
      </c>
      <c r="AE26" s="93">
        <f>(AC26*AD26)/'[16]Input Sheet'!$B$11</f>
        <v>0</v>
      </c>
      <c r="AH26" s="93">
        <f>(AF26*AG26)/'[16]Input Sheet'!$B$11</f>
        <v>0</v>
      </c>
      <c r="AI26" s="124">
        <f>35000000+3200000</f>
        <v>38200000</v>
      </c>
      <c r="AJ26" s="125">
        <v>1.7600000000000001E-2</v>
      </c>
      <c r="AK26" s="93">
        <f t="shared" si="10"/>
        <v>1867.5555555555557</v>
      </c>
      <c r="AL26" s="124">
        <f t="shared" si="56"/>
        <v>60000000</v>
      </c>
      <c r="AM26" s="125">
        <v>1.8499999999999999E-2</v>
      </c>
      <c r="AN26" s="93">
        <f t="shared" si="11"/>
        <v>3083.3333333333335</v>
      </c>
      <c r="AO26" s="124">
        <f t="shared" si="55"/>
        <v>50000000</v>
      </c>
      <c r="AP26" s="125">
        <v>1.8800000000000001E-2</v>
      </c>
      <c r="AQ26" s="93">
        <f t="shared" si="12"/>
        <v>2611.1111111111113</v>
      </c>
      <c r="AR26" s="124">
        <f t="shared" si="53"/>
        <v>110375000</v>
      </c>
      <c r="AS26" s="125">
        <v>1.9099999999999999E-2</v>
      </c>
      <c r="AT26" s="93">
        <f t="shared" si="13"/>
        <v>5856.0069444444443</v>
      </c>
      <c r="AU26" s="124">
        <f t="shared" si="54"/>
        <v>101625000</v>
      </c>
      <c r="AV26" s="125">
        <v>1.9E-2</v>
      </c>
      <c r="AW26" s="93">
        <f t="shared" si="14"/>
        <v>5363.541666666667</v>
      </c>
      <c r="AX26" s="124"/>
      <c r="AY26" s="125"/>
      <c r="AZ26" s="93">
        <f t="shared" si="15"/>
        <v>0</v>
      </c>
      <c r="BC26" s="93">
        <f t="shared" si="16"/>
        <v>0</v>
      </c>
      <c r="BF26" s="93">
        <f t="shared" si="17"/>
        <v>0</v>
      </c>
      <c r="BI26" s="93">
        <f t="shared" si="18"/>
        <v>0</v>
      </c>
      <c r="BL26" s="93">
        <f t="shared" si="19"/>
        <v>0</v>
      </c>
      <c r="BO26" s="93">
        <f t="shared" si="20"/>
        <v>0</v>
      </c>
      <c r="BR26" s="93">
        <f t="shared" si="21"/>
        <v>0</v>
      </c>
      <c r="BU26" s="93">
        <f t="shared" si="22"/>
        <v>0</v>
      </c>
      <c r="BX26" s="93">
        <f t="shared" si="23"/>
        <v>0</v>
      </c>
      <c r="CA26" s="93">
        <f t="shared" si="24"/>
        <v>0</v>
      </c>
      <c r="CD26" s="93">
        <f t="shared" si="25"/>
        <v>0</v>
      </c>
      <c r="CG26" s="93">
        <f t="shared" si="26"/>
        <v>0</v>
      </c>
      <c r="CJ26" s="93">
        <f t="shared" si="27"/>
        <v>0</v>
      </c>
      <c r="CM26" s="93">
        <f t="shared" si="28"/>
        <v>0</v>
      </c>
      <c r="CP26" s="93">
        <f t="shared" si="29"/>
        <v>0</v>
      </c>
      <c r="CS26" s="93">
        <f t="shared" si="30"/>
        <v>0</v>
      </c>
      <c r="CV26" s="93">
        <f t="shared" si="31"/>
        <v>0</v>
      </c>
      <c r="CY26" s="93">
        <f t="shared" si="32"/>
        <v>0</v>
      </c>
      <c r="DB26" s="93">
        <f t="shared" si="33"/>
        <v>0</v>
      </c>
      <c r="DE26" s="93">
        <f t="shared" si="34"/>
        <v>0</v>
      </c>
      <c r="DH26" s="93">
        <f t="shared" si="35"/>
        <v>0</v>
      </c>
      <c r="DK26" s="93">
        <f t="shared" si="36"/>
        <v>0</v>
      </c>
      <c r="DN26" s="93">
        <f t="shared" si="37"/>
        <v>0</v>
      </c>
      <c r="DQ26" s="93">
        <f t="shared" si="38"/>
        <v>0</v>
      </c>
      <c r="DT26" s="93">
        <f t="shared" si="39"/>
        <v>0</v>
      </c>
      <c r="DW26" s="93">
        <f t="shared" si="40"/>
        <v>0</v>
      </c>
      <c r="DZ26" s="93"/>
      <c r="EA26" s="93"/>
      <c r="EB26" s="126">
        <f t="shared" si="41"/>
        <v>360200000</v>
      </c>
      <c r="EC26" s="126">
        <f t="shared" si="42"/>
        <v>0</v>
      </c>
      <c r="ED26" s="93">
        <f t="shared" si="43"/>
        <v>18781.548611111113</v>
      </c>
      <c r="EE26" s="94">
        <f t="shared" si="44"/>
        <v>1.8771120210993895E-2</v>
      </c>
      <c r="EG26" s="126">
        <f t="shared" si="45"/>
        <v>0</v>
      </c>
      <c r="EH26" s="93">
        <f t="shared" si="46"/>
        <v>0</v>
      </c>
      <c r="EI26" s="94">
        <f t="shared" si="47"/>
        <v>0</v>
      </c>
      <c r="EJ26" s="94"/>
      <c r="EK26" s="126">
        <f t="shared" si="48"/>
        <v>360200000</v>
      </c>
      <c r="EL26" s="126">
        <f t="shared" si="49"/>
        <v>0</v>
      </c>
      <c r="EM26" s="126">
        <f t="shared" si="50"/>
        <v>18781.548611111109</v>
      </c>
      <c r="EN26" s="94">
        <f t="shared" si="51"/>
        <v>1.8771120210993891E-2</v>
      </c>
      <c r="EP26" s="93"/>
    </row>
    <row r="27" spans="1:146" x14ac:dyDescent="0.25">
      <c r="A27" s="39">
        <f t="shared" si="52"/>
        <v>43847</v>
      </c>
      <c r="D27" s="93">
        <f t="shared" si="1"/>
        <v>0</v>
      </c>
      <c r="G27" s="93">
        <f t="shared" si="2"/>
        <v>0</v>
      </c>
      <c r="J27" s="93">
        <f t="shared" si="3"/>
        <v>0</v>
      </c>
      <c r="M27" s="93">
        <f t="shared" si="4"/>
        <v>0</v>
      </c>
      <c r="P27" s="93">
        <f t="shared" si="5"/>
        <v>0</v>
      </c>
      <c r="S27" s="93">
        <f t="shared" si="6"/>
        <v>0</v>
      </c>
      <c r="V27" s="93">
        <f t="shared" si="7"/>
        <v>0</v>
      </c>
      <c r="Y27" s="93">
        <f t="shared" si="8"/>
        <v>0</v>
      </c>
      <c r="AB27" s="93">
        <f t="shared" si="9"/>
        <v>0</v>
      </c>
      <c r="AE27" s="93">
        <f>(AC27*AD27)/'[16]Input Sheet'!$B$11</f>
        <v>0</v>
      </c>
      <c r="AH27" s="93">
        <f>(AF27*AG27)/'[16]Input Sheet'!$B$11</f>
        <v>0</v>
      </c>
      <c r="AI27" s="124">
        <f>44000000+1050000</f>
        <v>45050000</v>
      </c>
      <c r="AJ27" s="125">
        <v>1.7600000000000001E-2</v>
      </c>
      <c r="AK27" s="93">
        <f t="shared" si="10"/>
        <v>2202.4444444444443</v>
      </c>
      <c r="AL27" s="124">
        <f t="shared" si="56"/>
        <v>60000000</v>
      </c>
      <c r="AM27" s="125">
        <v>1.8499999999999999E-2</v>
      </c>
      <c r="AN27" s="93">
        <f t="shared" si="11"/>
        <v>3083.3333333333335</v>
      </c>
      <c r="AO27" s="124">
        <f t="shared" si="55"/>
        <v>50000000</v>
      </c>
      <c r="AP27" s="125">
        <v>1.8800000000000001E-2</v>
      </c>
      <c r="AQ27" s="93">
        <f t="shared" si="12"/>
        <v>2611.1111111111113</v>
      </c>
      <c r="AR27" s="124">
        <f t="shared" si="53"/>
        <v>110375000</v>
      </c>
      <c r="AS27" s="125">
        <v>1.9099999999999999E-2</v>
      </c>
      <c r="AT27" s="93">
        <f t="shared" si="13"/>
        <v>5856.0069444444443</v>
      </c>
      <c r="AU27" s="124">
        <f t="shared" si="54"/>
        <v>101625000</v>
      </c>
      <c r="AV27" s="125">
        <v>1.9E-2</v>
      </c>
      <c r="AW27" s="93">
        <f t="shared" si="14"/>
        <v>5363.541666666667</v>
      </c>
      <c r="AX27" s="124"/>
      <c r="AY27" s="125"/>
      <c r="AZ27" s="93">
        <f t="shared" si="15"/>
        <v>0</v>
      </c>
      <c r="BC27" s="93">
        <f t="shared" si="16"/>
        <v>0</v>
      </c>
      <c r="BF27" s="93">
        <f t="shared" si="17"/>
        <v>0</v>
      </c>
      <c r="BI27" s="93">
        <f t="shared" si="18"/>
        <v>0</v>
      </c>
      <c r="BL27" s="93">
        <f t="shared" si="19"/>
        <v>0</v>
      </c>
      <c r="BO27" s="93">
        <f t="shared" si="20"/>
        <v>0</v>
      </c>
      <c r="BR27" s="93">
        <f t="shared" si="21"/>
        <v>0</v>
      </c>
      <c r="BU27" s="93">
        <f t="shared" si="22"/>
        <v>0</v>
      </c>
      <c r="BX27" s="93">
        <f t="shared" si="23"/>
        <v>0</v>
      </c>
      <c r="CA27" s="93">
        <f t="shared" si="24"/>
        <v>0</v>
      </c>
      <c r="CD27" s="93">
        <f t="shared" si="25"/>
        <v>0</v>
      </c>
      <c r="CG27" s="93">
        <f t="shared" si="26"/>
        <v>0</v>
      </c>
      <c r="CJ27" s="93">
        <f t="shared" si="27"/>
        <v>0</v>
      </c>
      <c r="CM27" s="93">
        <f t="shared" si="28"/>
        <v>0</v>
      </c>
      <c r="CP27" s="93">
        <f t="shared" si="29"/>
        <v>0</v>
      </c>
      <c r="CS27" s="93">
        <f t="shared" si="30"/>
        <v>0</v>
      </c>
      <c r="CV27" s="93">
        <f t="shared" si="31"/>
        <v>0</v>
      </c>
      <c r="CY27" s="93">
        <f t="shared" si="32"/>
        <v>0</v>
      </c>
      <c r="DB27" s="93">
        <f t="shared" si="33"/>
        <v>0</v>
      </c>
      <c r="DE27" s="93">
        <f t="shared" si="34"/>
        <v>0</v>
      </c>
      <c r="DH27" s="93">
        <f t="shared" si="35"/>
        <v>0</v>
      </c>
      <c r="DK27" s="93">
        <f t="shared" si="36"/>
        <v>0</v>
      </c>
      <c r="DN27" s="93">
        <f t="shared" si="37"/>
        <v>0</v>
      </c>
      <c r="DQ27" s="93">
        <f t="shared" si="38"/>
        <v>0</v>
      </c>
      <c r="DT27" s="93">
        <f t="shared" si="39"/>
        <v>0</v>
      </c>
      <c r="DW27" s="93">
        <f t="shared" si="40"/>
        <v>0</v>
      </c>
      <c r="DZ27" s="93"/>
      <c r="EA27" s="93"/>
      <c r="EB27" s="126">
        <f t="shared" si="41"/>
        <v>367050000</v>
      </c>
      <c r="EC27" s="126">
        <f t="shared" si="42"/>
        <v>0</v>
      </c>
      <c r="ED27" s="93">
        <f t="shared" si="43"/>
        <v>19116.4375</v>
      </c>
      <c r="EE27" s="94">
        <f t="shared" si="44"/>
        <v>1.8749264405394362E-2</v>
      </c>
      <c r="EG27" s="126">
        <f t="shared" si="45"/>
        <v>0</v>
      </c>
      <c r="EH27" s="93">
        <f t="shared" si="46"/>
        <v>0</v>
      </c>
      <c r="EI27" s="94">
        <f t="shared" si="47"/>
        <v>0</v>
      </c>
      <c r="EJ27" s="94"/>
      <c r="EK27" s="126">
        <f t="shared" si="48"/>
        <v>367050000</v>
      </c>
      <c r="EL27" s="126">
        <f t="shared" si="49"/>
        <v>0</v>
      </c>
      <c r="EM27" s="126">
        <f t="shared" si="50"/>
        <v>19116.4375</v>
      </c>
      <c r="EN27" s="94">
        <f t="shared" si="51"/>
        <v>1.8749264405394362E-2</v>
      </c>
      <c r="EP27" s="93"/>
    </row>
    <row r="28" spans="1:146" x14ac:dyDescent="0.25">
      <c r="A28" s="39">
        <f t="shared" si="52"/>
        <v>43848</v>
      </c>
      <c r="D28" s="93">
        <f t="shared" si="1"/>
        <v>0</v>
      </c>
      <c r="G28" s="93">
        <f t="shared" si="2"/>
        <v>0</v>
      </c>
      <c r="J28" s="93">
        <f t="shared" si="3"/>
        <v>0</v>
      </c>
      <c r="M28" s="93">
        <f t="shared" si="4"/>
        <v>0</v>
      </c>
      <c r="P28" s="93">
        <f t="shared" si="5"/>
        <v>0</v>
      </c>
      <c r="S28" s="93">
        <f t="shared" si="6"/>
        <v>0</v>
      </c>
      <c r="V28" s="93">
        <f t="shared" si="7"/>
        <v>0</v>
      </c>
      <c r="Y28" s="93">
        <f t="shared" si="8"/>
        <v>0</v>
      </c>
      <c r="AB28" s="93">
        <f t="shared" si="9"/>
        <v>0</v>
      </c>
      <c r="AE28" s="93">
        <f>(AC28*AD28)/'[16]Input Sheet'!$B$11</f>
        <v>0</v>
      </c>
      <c r="AH28" s="93">
        <f>(AF28*AG28)/'[16]Input Sheet'!$B$11</f>
        <v>0</v>
      </c>
      <c r="AI28" s="124">
        <f>44000000+1050000</f>
        <v>45050000</v>
      </c>
      <c r="AJ28" s="125">
        <v>1.7600000000000001E-2</v>
      </c>
      <c r="AK28" s="93">
        <f t="shared" si="10"/>
        <v>2202.4444444444443</v>
      </c>
      <c r="AL28" s="124">
        <f t="shared" si="56"/>
        <v>60000000</v>
      </c>
      <c r="AM28" s="125">
        <v>1.8499999999999999E-2</v>
      </c>
      <c r="AN28" s="93">
        <f t="shared" si="11"/>
        <v>3083.3333333333335</v>
      </c>
      <c r="AO28" s="124">
        <f t="shared" si="55"/>
        <v>50000000</v>
      </c>
      <c r="AP28" s="125">
        <v>1.8800000000000001E-2</v>
      </c>
      <c r="AQ28" s="93">
        <f t="shared" si="12"/>
        <v>2611.1111111111113</v>
      </c>
      <c r="AR28" s="124">
        <f t="shared" si="53"/>
        <v>110375000</v>
      </c>
      <c r="AS28" s="125">
        <v>1.9099999999999999E-2</v>
      </c>
      <c r="AT28" s="93">
        <f t="shared" si="13"/>
        <v>5856.0069444444443</v>
      </c>
      <c r="AU28" s="124">
        <f t="shared" si="54"/>
        <v>101625000</v>
      </c>
      <c r="AV28" s="125">
        <v>1.9E-2</v>
      </c>
      <c r="AW28" s="93">
        <f t="shared" si="14"/>
        <v>5363.541666666667</v>
      </c>
      <c r="AX28" s="124"/>
      <c r="AY28" s="125"/>
      <c r="AZ28" s="93">
        <f t="shared" si="15"/>
        <v>0</v>
      </c>
      <c r="BC28" s="93">
        <f t="shared" si="16"/>
        <v>0</v>
      </c>
      <c r="BF28" s="93">
        <f t="shared" si="17"/>
        <v>0</v>
      </c>
      <c r="BI28" s="93">
        <f t="shared" si="18"/>
        <v>0</v>
      </c>
      <c r="BL28" s="93">
        <f t="shared" si="19"/>
        <v>0</v>
      </c>
      <c r="BO28" s="93">
        <f t="shared" si="20"/>
        <v>0</v>
      </c>
      <c r="BR28" s="93">
        <f t="shared" si="21"/>
        <v>0</v>
      </c>
      <c r="BU28" s="93">
        <f t="shared" si="22"/>
        <v>0</v>
      </c>
      <c r="BX28" s="93">
        <f t="shared" si="23"/>
        <v>0</v>
      </c>
      <c r="CA28" s="93">
        <f t="shared" si="24"/>
        <v>0</v>
      </c>
      <c r="CD28" s="93">
        <f t="shared" si="25"/>
        <v>0</v>
      </c>
      <c r="CG28" s="93">
        <f t="shared" si="26"/>
        <v>0</v>
      </c>
      <c r="CJ28" s="93">
        <f t="shared" si="27"/>
        <v>0</v>
      </c>
      <c r="CM28" s="93">
        <f t="shared" si="28"/>
        <v>0</v>
      </c>
      <c r="CP28" s="93">
        <f t="shared" si="29"/>
        <v>0</v>
      </c>
      <c r="CS28" s="93">
        <f t="shared" si="30"/>
        <v>0</v>
      </c>
      <c r="CV28" s="93">
        <f t="shared" si="31"/>
        <v>0</v>
      </c>
      <c r="CY28" s="93">
        <f t="shared" si="32"/>
        <v>0</v>
      </c>
      <c r="DB28" s="93">
        <f t="shared" si="33"/>
        <v>0</v>
      </c>
      <c r="DE28" s="93">
        <f t="shared" si="34"/>
        <v>0</v>
      </c>
      <c r="DH28" s="93">
        <f t="shared" si="35"/>
        <v>0</v>
      </c>
      <c r="DK28" s="93">
        <f t="shared" si="36"/>
        <v>0</v>
      </c>
      <c r="DN28" s="93">
        <f t="shared" si="37"/>
        <v>0</v>
      </c>
      <c r="DQ28" s="93">
        <f t="shared" si="38"/>
        <v>0</v>
      </c>
      <c r="DT28" s="93">
        <f t="shared" si="39"/>
        <v>0</v>
      </c>
      <c r="DW28" s="93">
        <f t="shared" si="40"/>
        <v>0</v>
      </c>
      <c r="DZ28" s="93"/>
      <c r="EA28" s="93"/>
      <c r="EB28" s="126">
        <f t="shared" si="41"/>
        <v>367050000</v>
      </c>
      <c r="EC28" s="126">
        <f t="shared" si="42"/>
        <v>0</v>
      </c>
      <c r="ED28" s="93">
        <f t="shared" si="43"/>
        <v>19116.4375</v>
      </c>
      <c r="EE28" s="94">
        <f t="shared" si="44"/>
        <v>1.8749264405394362E-2</v>
      </c>
      <c r="EG28" s="126">
        <f t="shared" si="45"/>
        <v>0</v>
      </c>
      <c r="EH28" s="93">
        <f t="shared" si="46"/>
        <v>0</v>
      </c>
      <c r="EI28" s="94">
        <f t="shared" si="47"/>
        <v>0</v>
      </c>
      <c r="EJ28" s="94"/>
      <c r="EK28" s="126">
        <f t="shared" si="48"/>
        <v>367050000</v>
      </c>
      <c r="EL28" s="126">
        <f t="shared" si="49"/>
        <v>0</v>
      </c>
      <c r="EM28" s="126">
        <f t="shared" si="50"/>
        <v>19116.4375</v>
      </c>
      <c r="EN28" s="94">
        <f t="shared" si="51"/>
        <v>1.8749264405394362E-2</v>
      </c>
      <c r="EP28" s="93"/>
    </row>
    <row r="29" spans="1:146" x14ac:dyDescent="0.25">
      <c r="A29" s="39">
        <f t="shared" si="52"/>
        <v>43849</v>
      </c>
      <c r="D29" s="93">
        <f t="shared" si="1"/>
        <v>0</v>
      </c>
      <c r="G29" s="93">
        <f t="shared" si="2"/>
        <v>0</v>
      </c>
      <c r="J29" s="93">
        <f t="shared" si="3"/>
        <v>0</v>
      </c>
      <c r="M29" s="93">
        <f t="shared" si="4"/>
        <v>0</v>
      </c>
      <c r="P29" s="93">
        <f t="shared" si="5"/>
        <v>0</v>
      </c>
      <c r="S29" s="93">
        <f t="shared" si="6"/>
        <v>0</v>
      </c>
      <c r="V29" s="93">
        <f t="shared" si="7"/>
        <v>0</v>
      </c>
      <c r="Y29" s="93">
        <f t="shared" si="8"/>
        <v>0</v>
      </c>
      <c r="AB29" s="93">
        <f t="shared" si="9"/>
        <v>0</v>
      </c>
      <c r="AE29" s="93">
        <f>(AC29*AD29)/'[16]Input Sheet'!$B$11</f>
        <v>0</v>
      </c>
      <c r="AH29" s="93">
        <f>(AF29*AG29)/'[16]Input Sheet'!$B$11</f>
        <v>0</v>
      </c>
      <c r="AI29" s="124">
        <f>44000000+1050000</f>
        <v>45050000</v>
      </c>
      <c r="AJ29" s="125">
        <v>1.7600000000000001E-2</v>
      </c>
      <c r="AK29" s="93">
        <f t="shared" si="10"/>
        <v>2202.4444444444443</v>
      </c>
      <c r="AL29" s="124">
        <f t="shared" si="56"/>
        <v>60000000</v>
      </c>
      <c r="AM29" s="125">
        <v>1.8499999999999999E-2</v>
      </c>
      <c r="AN29" s="93">
        <f t="shared" si="11"/>
        <v>3083.3333333333335</v>
      </c>
      <c r="AO29" s="124">
        <f t="shared" si="55"/>
        <v>50000000</v>
      </c>
      <c r="AP29" s="125">
        <v>1.8800000000000001E-2</v>
      </c>
      <c r="AQ29" s="93">
        <f t="shared" si="12"/>
        <v>2611.1111111111113</v>
      </c>
      <c r="AR29" s="124">
        <f t="shared" si="53"/>
        <v>110375000</v>
      </c>
      <c r="AS29" s="125">
        <v>1.9099999999999999E-2</v>
      </c>
      <c r="AT29" s="93">
        <f t="shared" si="13"/>
        <v>5856.0069444444443</v>
      </c>
      <c r="AU29" s="124">
        <f t="shared" si="54"/>
        <v>101625000</v>
      </c>
      <c r="AV29" s="125">
        <v>1.9E-2</v>
      </c>
      <c r="AW29" s="93">
        <f t="shared" si="14"/>
        <v>5363.541666666667</v>
      </c>
      <c r="AX29" s="124"/>
      <c r="AY29" s="125"/>
      <c r="AZ29" s="93">
        <f t="shared" si="15"/>
        <v>0</v>
      </c>
      <c r="BC29" s="93">
        <f t="shared" si="16"/>
        <v>0</v>
      </c>
      <c r="BF29" s="93">
        <f t="shared" si="17"/>
        <v>0</v>
      </c>
      <c r="BI29" s="93">
        <f t="shared" si="18"/>
        <v>0</v>
      </c>
      <c r="BL29" s="93">
        <f t="shared" si="19"/>
        <v>0</v>
      </c>
      <c r="BO29" s="93">
        <f t="shared" si="20"/>
        <v>0</v>
      </c>
      <c r="BR29" s="93">
        <f t="shared" si="21"/>
        <v>0</v>
      </c>
      <c r="BU29" s="93">
        <f t="shared" si="22"/>
        <v>0</v>
      </c>
      <c r="BX29" s="93">
        <f t="shared" si="23"/>
        <v>0</v>
      </c>
      <c r="CA29" s="93">
        <f t="shared" si="24"/>
        <v>0</v>
      </c>
      <c r="CD29" s="93">
        <f t="shared" si="25"/>
        <v>0</v>
      </c>
      <c r="CG29" s="93">
        <f t="shared" si="26"/>
        <v>0</v>
      </c>
      <c r="CJ29" s="93">
        <f t="shared" si="27"/>
        <v>0</v>
      </c>
      <c r="CM29" s="93">
        <f t="shared" si="28"/>
        <v>0</v>
      </c>
      <c r="CP29" s="93">
        <f t="shared" si="29"/>
        <v>0</v>
      </c>
      <c r="CS29" s="93">
        <f t="shared" si="30"/>
        <v>0</v>
      </c>
      <c r="CV29" s="93">
        <f t="shared" si="31"/>
        <v>0</v>
      </c>
      <c r="CY29" s="93">
        <f t="shared" si="32"/>
        <v>0</v>
      </c>
      <c r="DB29" s="93">
        <f t="shared" si="33"/>
        <v>0</v>
      </c>
      <c r="DE29" s="93">
        <f t="shared" si="34"/>
        <v>0</v>
      </c>
      <c r="DH29" s="93">
        <f t="shared" si="35"/>
        <v>0</v>
      </c>
      <c r="DK29" s="93">
        <f t="shared" si="36"/>
        <v>0</v>
      </c>
      <c r="DN29" s="93">
        <f t="shared" si="37"/>
        <v>0</v>
      </c>
      <c r="DQ29" s="93">
        <f t="shared" si="38"/>
        <v>0</v>
      </c>
      <c r="DT29" s="93">
        <f t="shared" si="39"/>
        <v>0</v>
      </c>
      <c r="DW29" s="93">
        <f t="shared" si="40"/>
        <v>0</v>
      </c>
      <c r="DZ29" s="93"/>
      <c r="EA29" s="93"/>
      <c r="EB29" s="126">
        <f t="shared" si="41"/>
        <v>367050000</v>
      </c>
      <c r="EC29" s="126">
        <f t="shared" si="42"/>
        <v>0</v>
      </c>
      <c r="ED29" s="93">
        <f t="shared" si="43"/>
        <v>19116.4375</v>
      </c>
      <c r="EE29" s="94">
        <f t="shared" si="44"/>
        <v>1.8749264405394362E-2</v>
      </c>
      <c r="EG29" s="126">
        <f t="shared" si="45"/>
        <v>0</v>
      </c>
      <c r="EH29" s="93">
        <f t="shared" si="46"/>
        <v>0</v>
      </c>
      <c r="EI29" s="94">
        <f t="shared" si="47"/>
        <v>0</v>
      </c>
      <c r="EJ29" s="94"/>
      <c r="EK29" s="126">
        <f t="shared" si="48"/>
        <v>367050000</v>
      </c>
      <c r="EL29" s="126">
        <f t="shared" si="49"/>
        <v>0</v>
      </c>
      <c r="EM29" s="126">
        <f t="shared" si="50"/>
        <v>19116.4375</v>
      </c>
      <c r="EN29" s="94">
        <f t="shared" si="51"/>
        <v>1.8749264405394362E-2</v>
      </c>
      <c r="EP29" s="93"/>
    </row>
    <row r="30" spans="1:146" x14ac:dyDescent="0.25">
      <c r="A30" s="39">
        <f t="shared" si="52"/>
        <v>43850</v>
      </c>
      <c r="D30" s="93">
        <f t="shared" si="1"/>
        <v>0</v>
      </c>
      <c r="G30" s="93">
        <f t="shared" si="2"/>
        <v>0</v>
      </c>
      <c r="J30" s="93">
        <f t="shared" si="3"/>
        <v>0</v>
      </c>
      <c r="M30" s="93">
        <f t="shared" si="4"/>
        <v>0</v>
      </c>
      <c r="P30" s="93">
        <f t="shared" si="5"/>
        <v>0</v>
      </c>
      <c r="S30" s="93">
        <f t="shared" si="6"/>
        <v>0</v>
      </c>
      <c r="V30" s="93">
        <f t="shared" si="7"/>
        <v>0</v>
      </c>
      <c r="Y30" s="93">
        <f t="shared" si="8"/>
        <v>0</v>
      </c>
      <c r="AB30" s="93">
        <f t="shared" si="9"/>
        <v>0</v>
      </c>
      <c r="AE30" s="93">
        <f>(AC30*AD30)/'[16]Input Sheet'!$B$11</f>
        <v>0</v>
      </c>
      <c r="AH30" s="93">
        <f>(AF30*AG30)/'[16]Input Sheet'!$B$11</f>
        <v>0</v>
      </c>
      <c r="AI30" s="124">
        <f>44000000+1050000</f>
        <v>45050000</v>
      </c>
      <c r="AJ30" s="125">
        <v>1.7600000000000001E-2</v>
      </c>
      <c r="AK30" s="93">
        <f t="shared" si="10"/>
        <v>2202.4444444444443</v>
      </c>
      <c r="AL30" s="124">
        <f t="shared" si="56"/>
        <v>60000000</v>
      </c>
      <c r="AM30" s="125">
        <v>1.8499999999999999E-2</v>
      </c>
      <c r="AN30" s="93">
        <f t="shared" si="11"/>
        <v>3083.3333333333335</v>
      </c>
      <c r="AO30" s="124">
        <f t="shared" si="55"/>
        <v>50000000</v>
      </c>
      <c r="AP30" s="125">
        <v>1.8800000000000001E-2</v>
      </c>
      <c r="AQ30" s="93">
        <f t="shared" si="12"/>
        <v>2611.1111111111113</v>
      </c>
      <c r="AR30" s="124">
        <f t="shared" si="53"/>
        <v>110375000</v>
      </c>
      <c r="AS30" s="125">
        <v>1.9099999999999999E-2</v>
      </c>
      <c r="AT30" s="93">
        <f t="shared" si="13"/>
        <v>5856.0069444444443</v>
      </c>
      <c r="AU30" s="124">
        <f t="shared" si="54"/>
        <v>101625000</v>
      </c>
      <c r="AV30" s="125">
        <v>1.9E-2</v>
      </c>
      <c r="AW30" s="93">
        <f t="shared" si="14"/>
        <v>5363.541666666667</v>
      </c>
      <c r="AX30" s="124"/>
      <c r="AY30" s="125"/>
      <c r="AZ30" s="93">
        <f t="shared" si="15"/>
        <v>0</v>
      </c>
      <c r="BC30" s="93">
        <f t="shared" si="16"/>
        <v>0</v>
      </c>
      <c r="BF30" s="93">
        <f t="shared" si="17"/>
        <v>0</v>
      </c>
      <c r="BI30" s="93">
        <f t="shared" si="18"/>
        <v>0</v>
      </c>
      <c r="BL30" s="93">
        <f t="shared" si="19"/>
        <v>0</v>
      </c>
      <c r="BO30" s="93">
        <f t="shared" si="20"/>
        <v>0</v>
      </c>
      <c r="BR30" s="93">
        <f t="shared" si="21"/>
        <v>0</v>
      </c>
      <c r="BU30" s="93">
        <f t="shared" si="22"/>
        <v>0</v>
      </c>
      <c r="BX30" s="93">
        <f t="shared" si="23"/>
        <v>0</v>
      </c>
      <c r="CA30" s="93">
        <f t="shared" si="24"/>
        <v>0</v>
      </c>
      <c r="CD30" s="93">
        <f t="shared" si="25"/>
        <v>0</v>
      </c>
      <c r="CG30" s="93">
        <f t="shared" si="26"/>
        <v>0</v>
      </c>
      <c r="CJ30" s="93">
        <f t="shared" si="27"/>
        <v>0</v>
      </c>
      <c r="CM30" s="93">
        <f t="shared" si="28"/>
        <v>0</v>
      </c>
      <c r="CP30" s="93">
        <f t="shared" si="29"/>
        <v>0</v>
      </c>
      <c r="CS30" s="93">
        <f t="shared" si="30"/>
        <v>0</v>
      </c>
      <c r="CV30" s="93">
        <f t="shared" si="31"/>
        <v>0</v>
      </c>
      <c r="CY30" s="93">
        <f t="shared" si="32"/>
        <v>0</v>
      </c>
      <c r="DB30" s="93">
        <f t="shared" si="33"/>
        <v>0</v>
      </c>
      <c r="DE30" s="93">
        <f t="shared" si="34"/>
        <v>0</v>
      </c>
      <c r="DH30" s="93">
        <f t="shared" si="35"/>
        <v>0</v>
      </c>
      <c r="DK30" s="93">
        <f t="shared" si="36"/>
        <v>0</v>
      </c>
      <c r="DN30" s="93">
        <f t="shared" si="37"/>
        <v>0</v>
      </c>
      <c r="DQ30" s="93">
        <f t="shared" si="38"/>
        <v>0</v>
      </c>
      <c r="DT30" s="93">
        <f t="shared" si="39"/>
        <v>0</v>
      </c>
      <c r="DW30" s="93">
        <f t="shared" si="40"/>
        <v>0</v>
      </c>
      <c r="DZ30" s="93"/>
      <c r="EA30" s="93"/>
      <c r="EB30" s="126">
        <f t="shared" si="41"/>
        <v>367050000</v>
      </c>
      <c r="EC30" s="126">
        <f t="shared" si="42"/>
        <v>0</v>
      </c>
      <c r="ED30" s="93">
        <f t="shared" si="43"/>
        <v>19116.4375</v>
      </c>
      <c r="EE30" s="94">
        <f t="shared" si="44"/>
        <v>1.8749264405394362E-2</v>
      </c>
      <c r="EG30" s="126">
        <f t="shared" si="45"/>
        <v>0</v>
      </c>
      <c r="EH30" s="93">
        <f t="shared" si="46"/>
        <v>0</v>
      </c>
      <c r="EI30" s="94">
        <f t="shared" si="47"/>
        <v>0</v>
      </c>
      <c r="EJ30" s="94"/>
      <c r="EK30" s="126">
        <f t="shared" si="48"/>
        <v>367050000</v>
      </c>
      <c r="EL30" s="126">
        <f t="shared" si="49"/>
        <v>0</v>
      </c>
      <c r="EM30" s="126">
        <f t="shared" si="50"/>
        <v>19116.4375</v>
      </c>
      <c r="EN30" s="94">
        <f t="shared" si="51"/>
        <v>1.8749264405394362E-2</v>
      </c>
      <c r="EP30" s="93"/>
    </row>
    <row r="31" spans="1:146" x14ac:dyDescent="0.25">
      <c r="A31" s="39">
        <f t="shared" si="52"/>
        <v>43851</v>
      </c>
      <c r="D31" s="93">
        <f t="shared" si="1"/>
        <v>0</v>
      </c>
      <c r="G31" s="93">
        <f t="shared" si="2"/>
        <v>0</v>
      </c>
      <c r="J31" s="93">
        <f t="shared" si="3"/>
        <v>0</v>
      </c>
      <c r="M31" s="93">
        <f t="shared" si="4"/>
        <v>0</v>
      </c>
      <c r="P31" s="93">
        <f t="shared" si="5"/>
        <v>0</v>
      </c>
      <c r="S31" s="93">
        <f t="shared" si="6"/>
        <v>0</v>
      </c>
      <c r="V31" s="93">
        <f t="shared" si="7"/>
        <v>0</v>
      </c>
      <c r="Y31" s="93">
        <f t="shared" si="8"/>
        <v>0</v>
      </c>
      <c r="AB31" s="93">
        <f t="shared" si="9"/>
        <v>0</v>
      </c>
      <c r="AE31" s="93">
        <f>(AC31*AD31)/'[16]Input Sheet'!$B$11</f>
        <v>0</v>
      </c>
      <c r="AH31" s="93">
        <f>(AF31*AG31)/'[16]Input Sheet'!$B$11</f>
        <v>0</v>
      </c>
      <c r="AI31" s="124">
        <f>62775000</f>
        <v>62775000</v>
      </c>
      <c r="AJ31" s="125">
        <v>1.7600000000000001E-2</v>
      </c>
      <c r="AK31" s="93">
        <f t="shared" si="10"/>
        <v>3069</v>
      </c>
      <c r="AL31" s="124">
        <f t="shared" si="56"/>
        <v>60000000</v>
      </c>
      <c r="AM31" s="125">
        <v>1.8499999999999999E-2</v>
      </c>
      <c r="AN31" s="93">
        <f t="shared" si="11"/>
        <v>3083.3333333333335</v>
      </c>
      <c r="AO31" s="124">
        <f t="shared" si="55"/>
        <v>50000000</v>
      </c>
      <c r="AP31" s="125">
        <v>1.8800000000000001E-2</v>
      </c>
      <c r="AQ31" s="93">
        <f t="shared" si="12"/>
        <v>2611.1111111111113</v>
      </c>
      <c r="AR31" s="124">
        <f t="shared" si="53"/>
        <v>110375000</v>
      </c>
      <c r="AS31" s="125">
        <v>1.9099999999999999E-2</v>
      </c>
      <c r="AT31" s="93">
        <f t="shared" si="13"/>
        <v>5856.0069444444443</v>
      </c>
      <c r="AU31" s="124">
        <f t="shared" si="54"/>
        <v>101625000</v>
      </c>
      <c r="AV31" s="125">
        <v>1.9E-2</v>
      </c>
      <c r="AW31" s="93">
        <f t="shared" si="14"/>
        <v>5363.541666666667</v>
      </c>
      <c r="AX31" s="124"/>
      <c r="AY31" s="125"/>
      <c r="AZ31" s="93">
        <f t="shared" si="15"/>
        <v>0</v>
      </c>
      <c r="BC31" s="93">
        <f t="shared" si="16"/>
        <v>0</v>
      </c>
      <c r="BF31" s="93">
        <f t="shared" si="17"/>
        <v>0</v>
      </c>
      <c r="BI31" s="93">
        <f t="shared" si="18"/>
        <v>0</v>
      </c>
      <c r="BL31" s="93">
        <f t="shared" si="19"/>
        <v>0</v>
      </c>
      <c r="BO31" s="93">
        <f t="shared" si="20"/>
        <v>0</v>
      </c>
      <c r="BR31" s="93">
        <f t="shared" si="21"/>
        <v>0</v>
      </c>
      <c r="BU31" s="93">
        <f t="shared" si="22"/>
        <v>0</v>
      </c>
      <c r="BX31" s="93">
        <f t="shared" si="23"/>
        <v>0</v>
      </c>
      <c r="CA31" s="93">
        <f t="shared" si="24"/>
        <v>0</v>
      </c>
      <c r="CD31" s="93">
        <f t="shared" si="25"/>
        <v>0</v>
      </c>
      <c r="CG31" s="93">
        <f t="shared" si="26"/>
        <v>0</v>
      </c>
      <c r="CJ31" s="93">
        <f t="shared" si="27"/>
        <v>0</v>
      </c>
      <c r="CM31" s="93">
        <f t="shared" si="28"/>
        <v>0</v>
      </c>
      <c r="CP31" s="93">
        <f t="shared" si="29"/>
        <v>0</v>
      </c>
      <c r="CS31" s="93">
        <f t="shared" si="30"/>
        <v>0</v>
      </c>
      <c r="CV31" s="93">
        <f t="shared" si="31"/>
        <v>0</v>
      </c>
      <c r="CY31" s="93">
        <f t="shared" si="32"/>
        <v>0</v>
      </c>
      <c r="DB31" s="93">
        <f t="shared" si="33"/>
        <v>0</v>
      </c>
      <c r="DE31" s="93">
        <f t="shared" si="34"/>
        <v>0</v>
      </c>
      <c r="DH31" s="93">
        <f t="shared" si="35"/>
        <v>0</v>
      </c>
      <c r="DK31" s="93">
        <f t="shared" si="36"/>
        <v>0</v>
      </c>
      <c r="DN31" s="93">
        <f t="shared" si="37"/>
        <v>0</v>
      </c>
      <c r="DQ31" s="93">
        <f t="shared" si="38"/>
        <v>0</v>
      </c>
      <c r="DT31" s="93">
        <f t="shared" si="39"/>
        <v>0</v>
      </c>
      <c r="DW31" s="93">
        <f t="shared" si="40"/>
        <v>0</v>
      </c>
      <c r="DZ31" s="93"/>
      <c r="EA31" s="93"/>
      <c r="EB31" s="126">
        <f t="shared" si="41"/>
        <v>384775000</v>
      </c>
      <c r="EC31" s="126">
        <f t="shared" si="42"/>
        <v>0</v>
      </c>
      <c r="ED31" s="93">
        <f t="shared" si="43"/>
        <v>19982.993055555558</v>
      </c>
      <c r="EE31" s="94">
        <f t="shared" si="44"/>
        <v>1.8696322526151651E-2</v>
      </c>
      <c r="EG31" s="126">
        <f t="shared" si="45"/>
        <v>0</v>
      </c>
      <c r="EH31" s="93">
        <f t="shared" si="46"/>
        <v>0</v>
      </c>
      <c r="EI31" s="94">
        <f t="shared" si="47"/>
        <v>0</v>
      </c>
      <c r="EJ31" s="94"/>
      <c r="EK31" s="126">
        <f t="shared" si="48"/>
        <v>384775000</v>
      </c>
      <c r="EL31" s="126">
        <f t="shared" si="49"/>
        <v>0</v>
      </c>
      <c r="EM31" s="126">
        <f t="shared" si="50"/>
        <v>19982.993055555555</v>
      </c>
      <c r="EN31" s="94">
        <f t="shared" si="51"/>
        <v>1.8696322526151644E-2</v>
      </c>
      <c r="EP31" s="93"/>
    </row>
    <row r="32" spans="1:146" x14ac:dyDescent="0.25">
      <c r="A32" s="39">
        <f t="shared" si="52"/>
        <v>43852</v>
      </c>
      <c r="D32" s="93">
        <f t="shared" si="1"/>
        <v>0</v>
      </c>
      <c r="G32" s="93">
        <f t="shared" si="2"/>
        <v>0</v>
      </c>
      <c r="J32" s="93">
        <f t="shared" si="3"/>
        <v>0</v>
      </c>
      <c r="M32" s="93">
        <f t="shared" si="4"/>
        <v>0</v>
      </c>
      <c r="P32" s="93">
        <f t="shared" si="5"/>
        <v>0</v>
      </c>
      <c r="S32" s="93">
        <f t="shared" si="6"/>
        <v>0</v>
      </c>
      <c r="V32" s="93">
        <f t="shared" si="7"/>
        <v>0</v>
      </c>
      <c r="Y32" s="93">
        <f t="shared" si="8"/>
        <v>0</v>
      </c>
      <c r="AB32" s="93">
        <f t="shared" si="9"/>
        <v>0</v>
      </c>
      <c r="AE32" s="93">
        <f>(AC32*AD32)/'[16]Input Sheet'!$B$11</f>
        <v>0</v>
      </c>
      <c r="AH32" s="93">
        <f>(AF32*AG32)/'[16]Input Sheet'!$B$11</f>
        <v>0</v>
      </c>
      <c r="AI32" s="124">
        <f>85575000</f>
        <v>85575000</v>
      </c>
      <c r="AJ32" s="125">
        <v>1.7500000000000002E-2</v>
      </c>
      <c r="AK32" s="93">
        <f t="shared" si="10"/>
        <v>4159.8958333333339</v>
      </c>
      <c r="AL32" s="124">
        <f t="shared" si="56"/>
        <v>60000000</v>
      </c>
      <c r="AM32" s="125">
        <v>1.8499999999999999E-2</v>
      </c>
      <c r="AN32" s="93">
        <f t="shared" si="11"/>
        <v>3083.3333333333335</v>
      </c>
      <c r="AO32" s="124">
        <f t="shared" si="55"/>
        <v>50000000</v>
      </c>
      <c r="AP32" s="125">
        <v>1.8800000000000001E-2</v>
      </c>
      <c r="AQ32" s="93">
        <f t="shared" si="12"/>
        <v>2611.1111111111113</v>
      </c>
      <c r="AR32" s="124">
        <f t="shared" si="53"/>
        <v>110375000</v>
      </c>
      <c r="AS32" s="125">
        <v>1.9099999999999999E-2</v>
      </c>
      <c r="AT32" s="93">
        <f t="shared" si="13"/>
        <v>5856.0069444444443</v>
      </c>
      <c r="AU32" s="124">
        <f t="shared" si="54"/>
        <v>101625000</v>
      </c>
      <c r="AV32" s="125">
        <v>1.9E-2</v>
      </c>
      <c r="AW32" s="93">
        <f t="shared" si="14"/>
        <v>5363.541666666667</v>
      </c>
      <c r="AX32" s="124"/>
      <c r="AY32" s="125"/>
      <c r="AZ32" s="93">
        <f t="shared" si="15"/>
        <v>0</v>
      </c>
      <c r="BC32" s="93">
        <f t="shared" si="16"/>
        <v>0</v>
      </c>
      <c r="BF32" s="93">
        <f t="shared" si="17"/>
        <v>0</v>
      </c>
      <c r="BI32" s="93">
        <f t="shared" si="18"/>
        <v>0</v>
      </c>
      <c r="BL32" s="93">
        <f t="shared" si="19"/>
        <v>0</v>
      </c>
      <c r="BO32" s="93">
        <f t="shared" si="20"/>
        <v>0</v>
      </c>
      <c r="BR32" s="93">
        <f t="shared" si="21"/>
        <v>0</v>
      </c>
      <c r="BU32" s="93">
        <f t="shared" si="22"/>
        <v>0</v>
      </c>
      <c r="BX32" s="93">
        <f t="shared" si="23"/>
        <v>0</v>
      </c>
      <c r="CA32" s="93">
        <f t="shared" si="24"/>
        <v>0</v>
      </c>
      <c r="CD32" s="93">
        <f t="shared" si="25"/>
        <v>0</v>
      </c>
      <c r="CG32" s="93">
        <f t="shared" si="26"/>
        <v>0</v>
      </c>
      <c r="CJ32" s="93">
        <f t="shared" si="27"/>
        <v>0</v>
      </c>
      <c r="CM32" s="93">
        <f t="shared" si="28"/>
        <v>0</v>
      </c>
      <c r="CP32" s="93">
        <f t="shared" si="29"/>
        <v>0</v>
      </c>
      <c r="CS32" s="93">
        <f t="shared" si="30"/>
        <v>0</v>
      </c>
      <c r="CV32" s="93">
        <f t="shared" si="31"/>
        <v>0</v>
      </c>
      <c r="CY32" s="93">
        <f t="shared" si="32"/>
        <v>0</v>
      </c>
      <c r="DB32" s="93">
        <f t="shared" si="33"/>
        <v>0</v>
      </c>
      <c r="DE32" s="93">
        <f t="shared" si="34"/>
        <v>0</v>
      </c>
      <c r="DH32" s="93">
        <f t="shared" si="35"/>
        <v>0</v>
      </c>
      <c r="DK32" s="93">
        <f t="shared" si="36"/>
        <v>0</v>
      </c>
      <c r="DN32" s="93">
        <f t="shared" si="37"/>
        <v>0</v>
      </c>
      <c r="DQ32" s="93">
        <f t="shared" si="38"/>
        <v>0</v>
      </c>
      <c r="DT32" s="93">
        <f t="shared" si="39"/>
        <v>0</v>
      </c>
      <c r="DW32" s="93">
        <f t="shared" si="40"/>
        <v>0</v>
      </c>
      <c r="DZ32" s="93"/>
      <c r="EA32" s="93"/>
      <c r="EB32" s="126">
        <f t="shared" si="41"/>
        <v>407575000</v>
      </c>
      <c r="EC32" s="126">
        <f t="shared" si="42"/>
        <v>0</v>
      </c>
      <c r="ED32" s="93">
        <f t="shared" si="43"/>
        <v>21073.888888888891</v>
      </c>
      <c r="EE32" s="94">
        <f t="shared" si="44"/>
        <v>1.8613997423787037E-2</v>
      </c>
      <c r="EG32" s="126">
        <f t="shared" si="45"/>
        <v>0</v>
      </c>
      <c r="EH32" s="93">
        <f t="shared" si="46"/>
        <v>0</v>
      </c>
      <c r="EI32" s="94">
        <f t="shared" si="47"/>
        <v>0</v>
      </c>
      <c r="EJ32" s="94"/>
      <c r="EK32" s="126">
        <f t="shared" si="48"/>
        <v>407575000</v>
      </c>
      <c r="EL32" s="126">
        <f t="shared" si="49"/>
        <v>0</v>
      </c>
      <c r="EM32" s="126">
        <f t="shared" si="50"/>
        <v>21073.888888888891</v>
      </c>
      <c r="EN32" s="94">
        <f t="shared" si="51"/>
        <v>1.8613997423787037E-2</v>
      </c>
      <c r="EP32" s="93"/>
    </row>
    <row r="33" spans="1:146" x14ac:dyDescent="0.25">
      <c r="A33" s="39">
        <f t="shared" si="52"/>
        <v>43853</v>
      </c>
      <c r="D33" s="93">
        <f t="shared" si="1"/>
        <v>0</v>
      </c>
      <c r="G33" s="93">
        <f t="shared" si="2"/>
        <v>0</v>
      </c>
      <c r="J33" s="93">
        <f t="shared" si="3"/>
        <v>0</v>
      </c>
      <c r="M33" s="93">
        <f t="shared" si="4"/>
        <v>0</v>
      </c>
      <c r="P33" s="93">
        <f t="shared" si="5"/>
        <v>0</v>
      </c>
      <c r="S33" s="93">
        <f t="shared" si="6"/>
        <v>0</v>
      </c>
      <c r="V33" s="93">
        <f t="shared" si="7"/>
        <v>0</v>
      </c>
      <c r="Y33" s="93">
        <f t="shared" si="8"/>
        <v>0</v>
      </c>
      <c r="AB33" s="93">
        <f t="shared" si="9"/>
        <v>0</v>
      </c>
      <c r="AE33" s="93">
        <f>(AC33*AD33)/'[16]Input Sheet'!$B$11</f>
        <v>0</v>
      </c>
      <c r="AH33" s="93">
        <f>(AF33*AG33)/'[16]Input Sheet'!$B$11</f>
        <v>0</v>
      </c>
      <c r="AI33" s="124">
        <f>72750000</f>
        <v>72750000</v>
      </c>
      <c r="AJ33" s="125">
        <v>1.7500000000000002E-2</v>
      </c>
      <c r="AK33" s="93">
        <f t="shared" si="10"/>
        <v>3536.4583333333339</v>
      </c>
      <c r="AL33" s="124">
        <f t="shared" si="56"/>
        <v>60000000</v>
      </c>
      <c r="AM33" s="125">
        <v>1.8499999999999999E-2</v>
      </c>
      <c r="AN33" s="93">
        <f t="shared" si="11"/>
        <v>3083.3333333333335</v>
      </c>
      <c r="AO33" s="124">
        <f t="shared" si="55"/>
        <v>50000000</v>
      </c>
      <c r="AP33" s="125">
        <v>1.8800000000000001E-2</v>
      </c>
      <c r="AQ33" s="93">
        <f t="shared" si="12"/>
        <v>2611.1111111111113</v>
      </c>
      <c r="AR33" s="124">
        <f t="shared" si="53"/>
        <v>110375000</v>
      </c>
      <c r="AS33" s="125">
        <v>1.9099999999999999E-2</v>
      </c>
      <c r="AT33" s="93">
        <f t="shared" si="13"/>
        <v>5856.0069444444443</v>
      </c>
      <c r="AU33" s="124">
        <f t="shared" si="54"/>
        <v>101625000</v>
      </c>
      <c r="AV33" s="125">
        <v>1.9E-2</v>
      </c>
      <c r="AW33" s="93">
        <f t="shared" si="14"/>
        <v>5363.541666666667</v>
      </c>
      <c r="AX33" s="124"/>
      <c r="AY33" s="125"/>
      <c r="AZ33" s="93">
        <f t="shared" si="15"/>
        <v>0</v>
      </c>
      <c r="BC33" s="93">
        <f t="shared" si="16"/>
        <v>0</v>
      </c>
      <c r="BF33" s="93">
        <f t="shared" si="17"/>
        <v>0</v>
      </c>
      <c r="BI33" s="93">
        <f t="shared" si="18"/>
        <v>0</v>
      </c>
      <c r="BL33" s="93">
        <f t="shared" si="19"/>
        <v>0</v>
      </c>
      <c r="BO33" s="93">
        <f t="shared" si="20"/>
        <v>0</v>
      </c>
      <c r="BR33" s="93">
        <f t="shared" si="21"/>
        <v>0</v>
      </c>
      <c r="BU33" s="93">
        <f t="shared" si="22"/>
        <v>0</v>
      </c>
      <c r="BX33" s="93">
        <f t="shared" si="23"/>
        <v>0</v>
      </c>
      <c r="CA33" s="93">
        <f t="shared" si="24"/>
        <v>0</v>
      </c>
      <c r="CD33" s="93">
        <f t="shared" si="25"/>
        <v>0</v>
      </c>
      <c r="CG33" s="93">
        <f t="shared" si="26"/>
        <v>0</v>
      </c>
      <c r="CJ33" s="93">
        <f t="shared" si="27"/>
        <v>0</v>
      </c>
      <c r="CM33" s="93">
        <f t="shared" si="28"/>
        <v>0</v>
      </c>
      <c r="CP33" s="93">
        <f t="shared" si="29"/>
        <v>0</v>
      </c>
      <c r="CS33" s="93">
        <f t="shared" si="30"/>
        <v>0</v>
      </c>
      <c r="CV33" s="93">
        <f t="shared" si="31"/>
        <v>0</v>
      </c>
      <c r="CY33" s="93">
        <f t="shared" si="32"/>
        <v>0</v>
      </c>
      <c r="DB33" s="93">
        <f t="shared" si="33"/>
        <v>0</v>
      </c>
      <c r="DE33" s="93">
        <f t="shared" si="34"/>
        <v>0</v>
      </c>
      <c r="DH33" s="93">
        <f t="shared" si="35"/>
        <v>0</v>
      </c>
      <c r="DK33" s="93">
        <f t="shared" si="36"/>
        <v>0</v>
      </c>
      <c r="DN33" s="93">
        <f t="shared" si="37"/>
        <v>0</v>
      </c>
      <c r="DQ33" s="93">
        <f t="shared" si="38"/>
        <v>0</v>
      </c>
      <c r="DT33" s="93">
        <f t="shared" si="39"/>
        <v>0</v>
      </c>
      <c r="DW33" s="93">
        <f t="shared" si="40"/>
        <v>0</v>
      </c>
      <c r="DZ33" s="93"/>
      <c r="EA33" s="93"/>
      <c r="EB33" s="126">
        <f t="shared" si="41"/>
        <v>394750000</v>
      </c>
      <c r="EC33" s="126">
        <f t="shared" si="42"/>
        <v>0</v>
      </c>
      <c r="ED33" s="93">
        <f t="shared" si="43"/>
        <v>20450.451388888891</v>
      </c>
      <c r="EE33" s="94">
        <f t="shared" si="44"/>
        <v>1.8650189993666879E-2</v>
      </c>
      <c r="EG33" s="126">
        <f t="shared" si="45"/>
        <v>0</v>
      </c>
      <c r="EH33" s="93">
        <f t="shared" si="46"/>
        <v>0</v>
      </c>
      <c r="EI33" s="94">
        <f t="shared" si="47"/>
        <v>0</v>
      </c>
      <c r="EJ33" s="94"/>
      <c r="EK33" s="126">
        <f t="shared" si="48"/>
        <v>394750000</v>
      </c>
      <c r="EL33" s="126">
        <f t="shared" si="49"/>
        <v>0</v>
      </c>
      <c r="EM33" s="126">
        <f t="shared" si="50"/>
        <v>20450.451388888891</v>
      </c>
      <c r="EN33" s="94">
        <f t="shared" si="51"/>
        <v>1.8650189993666879E-2</v>
      </c>
      <c r="EP33" s="93"/>
    </row>
    <row r="34" spans="1:146" x14ac:dyDescent="0.25">
      <c r="A34" s="39">
        <f t="shared" si="52"/>
        <v>43854</v>
      </c>
      <c r="D34" s="93">
        <f t="shared" si="1"/>
        <v>0</v>
      </c>
      <c r="G34" s="93">
        <f t="shared" si="2"/>
        <v>0</v>
      </c>
      <c r="J34" s="93">
        <f t="shared" si="3"/>
        <v>0</v>
      </c>
      <c r="M34" s="93">
        <f t="shared" si="4"/>
        <v>0</v>
      </c>
      <c r="P34" s="93">
        <f t="shared" si="5"/>
        <v>0</v>
      </c>
      <c r="S34" s="93">
        <f t="shared" si="6"/>
        <v>0</v>
      </c>
      <c r="V34" s="93">
        <f t="shared" si="7"/>
        <v>0</v>
      </c>
      <c r="Y34" s="93">
        <f t="shared" si="8"/>
        <v>0</v>
      </c>
      <c r="AB34" s="93">
        <f t="shared" si="9"/>
        <v>0</v>
      </c>
      <c r="AE34" s="93">
        <f>(AC34*AD34)/'[16]Input Sheet'!$B$11</f>
        <v>0</v>
      </c>
      <c r="AH34" s="93">
        <f>(AF34*AG34)/'[16]Input Sheet'!$B$11</f>
        <v>0</v>
      </c>
      <c r="AI34" s="124">
        <v>75500000</v>
      </c>
      <c r="AJ34" s="125">
        <v>1.7500000000000002E-2</v>
      </c>
      <c r="AK34" s="93">
        <f t="shared" si="10"/>
        <v>3670.1388888888896</v>
      </c>
      <c r="AL34" s="124">
        <f t="shared" si="56"/>
        <v>60000000</v>
      </c>
      <c r="AM34" s="125">
        <v>1.8499999999999999E-2</v>
      </c>
      <c r="AN34" s="93">
        <f t="shared" si="11"/>
        <v>3083.3333333333335</v>
      </c>
      <c r="AO34" s="124">
        <f t="shared" si="55"/>
        <v>50000000</v>
      </c>
      <c r="AP34" s="125">
        <v>1.8800000000000001E-2</v>
      </c>
      <c r="AQ34" s="93">
        <f t="shared" si="12"/>
        <v>2611.1111111111113</v>
      </c>
      <c r="AR34" s="124">
        <f t="shared" si="53"/>
        <v>110375000</v>
      </c>
      <c r="AS34" s="125">
        <v>1.9099999999999999E-2</v>
      </c>
      <c r="AT34" s="93">
        <f t="shared" si="13"/>
        <v>5856.0069444444443</v>
      </c>
      <c r="AU34" s="124">
        <f t="shared" si="54"/>
        <v>101625000</v>
      </c>
      <c r="AV34" s="125">
        <v>1.9E-2</v>
      </c>
      <c r="AW34" s="93">
        <f t="shared" si="14"/>
        <v>5363.541666666667</v>
      </c>
      <c r="AX34" s="124"/>
      <c r="AY34" s="125"/>
      <c r="AZ34" s="93">
        <f t="shared" si="15"/>
        <v>0</v>
      </c>
      <c r="BC34" s="93">
        <f t="shared" si="16"/>
        <v>0</v>
      </c>
      <c r="BF34" s="93">
        <f t="shared" si="17"/>
        <v>0</v>
      </c>
      <c r="BI34" s="93">
        <f t="shared" si="18"/>
        <v>0</v>
      </c>
      <c r="BL34" s="93">
        <f t="shared" si="19"/>
        <v>0</v>
      </c>
      <c r="BO34" s="93">
        <f t="shared" si="20"/>
        <v>0</v>
      </c>
      <c r="BR34" s="93">
        <f t="shared" si="21"/>
        <v>0</v>
      </c>
      <c r="BU34" s="93">
        <f t="shared" si="22"/>
        <v>0</v>
      </c>
      <c r="BX34" s="93">
        <f t="shared" si="23"/>
        <v>0</v>
      </c>
      <c r="CA34" s="93">
        <f t="shared" si="24"/>
        <v>0</v>
      </c>
      <c r="CD34" s="93">
        <f t="shared" si="25"/>
        <v>0</v>
      </c>
      <c r="CG34" s="93">
        <f t="shared" si="26"/>
        <v>0</v>
      </c>
      <c r="CJ34" s="93">
        <f t="shared" si="27"/>
        <v>0</v>
      </c>
      <c r="CM34" s="93">
        <f t="shared" si="28"/>
        <v>0</v>
      </c>
      <c r="CP34" s="93">
        <f t="shared" si="29"/>
        <v>0</v>
      </c>
      <c r="CS34" s="93">
        <f t="shared" si="30"/>
        <v>0</v>
      </c>
      <c r="CV34" s="93">
        <f t="shared" si="31"/>
        <v>0</v>
      </c>
      <c r="CY34" s="93">
        <f t="shared" si="32"/>
        <v>0</v>
      </c>
      <c r="DB34" s="93">
        <f t="shared" si="33"/>
        <v>0</v>
      </c>
      <c r="DE34" s="93">
        <f t="shared" si="34"/>
        <v>0</v>
      </c>
      <c r="DH34" s="93">
        <f t="shared" si="35"/>
        <v>0</v>
      </c>
      <c r="DK34" s="93">
        <f t="shared" si="36"/>
        <v>0</v>
      </c>
      <c r="DN34" s="93">
        <f t="shared" si="37"/>
        <v>0</v>
      </c>
      <c r="DQ34" s="93">
        <f t="shared" si="38"/>
        <v>0</v>
      </c>
      <c r="DT34" s="93">
        <f t="shared" si="39"/>
        <v>0</v>
      </c>
      <c r="DW34" s="93">
        <f t="shared" si="40"/>
        <v>0</v>
      </c>
      <c r="DZ34" s="93"/>
      <c r="EA34" s="93"/>
      <c r="EB34" s="126">
        <f t="shared" si="41"/>
        <v>397500000</v>
      </c>
      <c r="EC34" s="126">
        <f t="shared" si="42"/>
        <v>0</v>
      </c>
      <c r="ED34" s="93">
        <f t="shared" si="43"/>
        <v>20584.131944444445</v>
      </c>
      <c r="EE34" s="94">
        <f t="shared" si="44"/>
        <v>1.8642232704402517E-2</v>
      </c>
      <c r="EG34" s="126">
        <f t="shared" si="45"/>
        <v>0</v>
      </c>
      <c r="EH34" s="93">
        <f t="shared" si="46"/>
        <v>0</v>
      </c>
      <c r="EI34" s="94">
        <f t="shared" si="47"/>
        <v>0</v>
      </c>
      <c r="EJ34" s="94"/>
      <c r="EK34" s="126">
        <f t="shared" si="48"/>
        <v>397500000</v>
      </c>
      <c r="EL34" s="126">
        <f t="shared" si="49"/>
        <v>0</v>
      </c>
      <c r="EM34" s="126">
        <f t="shared" si="50"/>
        <v>20584.131944444445</v>
      </c>
      <c r="EN34" s="94">
        <f t="shared" si="51"/>
        <v>1.8642232704402517E-2</v>
      </c>
      <c r="EP34" s="93"/>
    </row>
    <row r="35" spans="1:146" x14ac:dyDescent="0.25">
      <c r="A35" s="39">
        <f t="shared" si="52"/>
        <v>43855</v>
      </c>
      <c r="D35" s="93">
        <f t="shared" si="1"/>
        <v>0</v>
      </c>
      <c r="G35" s="93">
        <f t="shared" si="2"/>
        <v>0</v>
      </c>
      <c r="J35" s="93">
        <f t="shared" si="3"/>
        <v>0</v>
      </c>
      <c r="M35" s="93">
        <f t="shared" si="4"/>
        <v>0</v>
      </c>
      <c r="P35" s="93">
        <f t="shared" si="5"/>
        <v>0</v>
      </c>
      <c r="S35" s="93">
        <f t="shared" si="6"/>
        <v>0</v>
      </c>
      <c r="V35" s="93">
        <f t="shared" si="7"/>
        <v>0</v>
      </c>
      <c r="Y35" s="93">
        <f t="shared" si="8"/>
        <v>0</v>
      </c>
      <c r="AB35" s="93">
        <f t="shared" si="9"/>
        <v>0</v>
      </c>
      <c r="AE35" s="93">
        <f>(AC35*AD35)/'[16]Input Sheet'!$B$11</f>
        <v>0</v>
      </c>
      <c r="AH35" s="93">
        <f>(AF35*AG35)/'[16]Input Sheet'!$B$11</f>
        <v>0</v>
      </c>
      <c r="AI35" s="124">
        <v>75500000</v>
      </c>
      <c r="AJ35" s="125">
        <v>1.7500000000000002E-2</v>
      </c>
      <c r="AK35" s="93">
        <f t="shared" si="10"/>
        <v>3670.1388888888896</v>
      </c>
      <c r="AL35" s="124">
        <f t="shared" si="56"/>
        <v>60000000</v>
      </c>
      <c r="AM35" s="125">
        <v>1.8499999999999999E-2</v>
      </c>
      <c r="AN35" s="93">
        <f t="shared" si="11"/>
        <v>3083.3333333333335</v>
      </c>
      <c r="AO35" s="124">
        <f t="shared" si="55"/>
        <v>50000000</v>
      </c>
      <c r="AP35" s="125">
        <v>1.8800000000000001E-2</v>
      </c>
      <c r="AQ35" s="93">
        <f t="shared" si="12"/>
        <v>2611.1111111111113</v>
      </c>
      <c r="AR35" s="124">
        <f t="shared" si="53"/>
        <v>110375000</v>
      </c>
      <c r="AS35" s="125">
        <v>1.9099999999999999E-2</v>
      </c>
      <c r="AT35" s="93">
        <f t="shared" si="13"/>
        <v>5856.0069444444443</v>
      </c>
      <c r="AU35" s="124">
        <f t="shared" si="54"/>
        <v>101625000</v>
      </c>
      <c r="AV35" s="125">
        <v>1.9E-2</v>
      </c>
      <c r="AW35" s="93">
        <f t="shared" si="14"/>
        <v>5363.541666666667</v>
      </c>
      <c r="AX35" s="124"/>
      <c r="AY35" s="125"/>
      <c r="AZ35" s="93">
        <f t="shared" si="15"/>
        <v>0</v>
      </c>
      <c r="BC35" s="93">
        <f t="shared" si="16"/>
        <v>0</v>
      </c>
      <c r="BF35" s="93">
        <f t="shared" si="17"/>
        <v>0</v>
      </c>
      <c r="BI35" s="93">
        <f t="shared" si="18"/>
        <v>0</v>
      </c>
      <c r="BL35" s="93">
        <f t="shared" si="19"/>
        <v>0</v>
      </c>
      <c r="BO35" s="93">
        <f t="shared" si="20"/>
        <v>0</v>
      </c>
      <c r="BR35" s="93">
        <f t="shared" si="21"/>
        <v>0</v>
      </c>
      <c r="BU35" s="93">
        <f t="shared" si="22"/>
        <v>0</v>
      </c>
      <c r="BX35" s="93">
        <f t="shared" si="23"/>
        <v>0</v>
      </c>
      <c r="CA35" s="93">
        <f t="shared" si="24"/>
        <v>0</v>
      </c>
      <c r="CD35" s="93">
        <f t="shared" si="25"/>
        <v>0</v>
      </c>
      <c r="CG35" s="93">
        <f t="shared" si="26"/>
        <v>0</v>
      </c>
      <c r="CJ35" s="93">
        <f t="shared" si="27"/>
        <v>0</v>
      </c>
      <c r="CM35" s="93">
        <f t="shared" si="28"/>
        <v>0</v>
      </c>
      <c r="CP35" s="93">
        <f t="shared" si="29"/>
        <v>0</v>
      </c>
      <c r="CS35" s="93">
        <f t="shared" si="30"/>
        <v>0</v>
      </c>
      <c r="CV35" s="93">
        <f t="shared" si="31"/>
        <v>0</v>
      </c>
      <c r="CY35" s="93">
        <f t="shared" si="32"/>
        <v>0</v>
      </c>
      <c r="DB35" s="93">
        <f t="shared" si="33"/>
        <v>0</v>
      </c>
      <c r="DE35" s="93">
        <f t="shared" si="34"/>
        <v>0</v>
      </c>
      <c r="DH35" s="93">
        <f t="shared" si="35"/>
        <v>0</v>
      </c>
      <c r="DK35" s="93">
        <f t="shared" si="36"/>
        <v>0</v>
      </c>
      <c r="DN35" s="93">
        <f t="shared" si="37"/>
        <v>0</v>
      </c>
      <c r="DQ35" s="93">
        <f t="shared" si="38"/>
        <v>0</v>
      </c>
      <c r="DT35" s="93">
        <f t="shared" si="39"/>
        <v>0</v>
      </c>
      <c r="DW35" s="93">
        <f t="shared" si="40"/>
        <v>0</v>
      </c>
      <c r="DZ35" s="93"/>
      <c r="EA35" s="93"/>
      <c r="EB35" s="126">
        <f t="shared" si="41"/>
        <v>397500000</v>
      </c>
      <c r="EC35" s="126">
        <f t="shared" si="42"/>
        <v>0</v>
      </c>
      <c r="ED35" s="93">
        <f t="shared" si="43"/>
        <v>20584.131944444445</v>
      </c>
      <c r="EE35" s="94">
        <f t="shared" si="44"/>
        <v>1.8642232704402517E-2</v>
      </c>
      <c r="EG35" s="126">
        <f t="shared" si="45"/>
        <v>0</v>
      </c>
      <c r="EH35" s="93">
        <f t="shared" si="46"/>
        <v>0</v>
      </c>
      <c r="EI35" s="94">
        <f t="shared" si="47"/>
        <v>0</v>
      </c>
      <c r="EJ35" s="94"/>
      <c r="EK35" s="126">
        <f t="shared" si="48"/>
        <v>397500000</v>
      </c>
      <c r="EL35" s="126">
        <f t="shared" si="49"/>
        <v>0</v>
      </c>
      <c r="EM35" s="126">
        <f t="shared" si="50"/>
        <v>20584.131944444445</v>
      </c>
      <c r="EN35" s="94">
        <f t="shared" si="51"/>
        <v>1.8642232704402517E-2</v>
      </c>
      <c r="EP35" s="93"/>
    </row>
    <row r="36" spans="1:146" x14ac:dyDescent="0.25">
      <c r="A36" s="39">
        <f t="shared" si="52"/>
        <v>43856</v>
      </c>
      <c r="D36" s="93">
        <f t="shared" si="1"/>
        <v>0</v>
      </c>
      <c r="G36" s="93">
        <f t="shared" si="2"/>
        <v>0</v>
      </c>
      <c r="J36" s="93">
        <f t="shared" si="3"/>
        <v>0</v>
      </c>
      <c r="M36" s="93">
        <f t="shared" si="4"/>
        <v>0</v>
      </c>
      <c r="P36" s="93">
        <f t="shared" si="5"/>
        <v>0</v>
      </c>
      <c r="S36" s="93">
        <f t="shared" si="6"/>
        <v>0</v>
      </c>
      <c r="V36" s="93">
        <f t="shared" si="7"/>
        <v>0</v>
      </c>
      <c r="Y36" s="93">
        <f t="shared" si="8"/>
        <v>0</v>
      </c>
      <c r="AB36" s="93">
        <f t="shared" si="9"/>
        <v>0</v>
      </c>
      <c r="AE36" s="93">
        <f>(AC36*AD36)/'[16]Input Sheet'!$B$11</f>
        <v>0</v>
      </c>
      <c r="AH36" s="93">
        <f>(AF36*AG36)/'[16]Input Sheet'!$B$11</f>
        <v>0</v>
      </c>
      <c r="AI36" s="124">
        <v>75500000</v>
      </c>
      <c r="AJ36" s="125">
        <v>1.7500000000000002E-2</v>
      </c>
      <c r="AK36" s="93">
        <f t="shared" si="10"/>
        <v>3670.1388888888896</v>
      </c>
      <c r="AL36" s="124">
        <f t="shared" si="56"/>
        <v>60000000</v>
      </c>
      <c r="AM36" s="125">
        <v>1.8499999999999999E-2</v>
      </c>
      <c r="AN36" s="93">
        <f t="shared" si="11"/>
        <v>3083.3333333333335</v>
      </c>
      <c r="AO36" s="124">
        <f t="shared" si="55"/>
        <v>50000000</v>
      </c>
      <c r="AP36" s="125">
        <v>1.8800000000000001E-2</v>
      </c>
      <c r="AQ36" s="93">
        <f t="shared" si="12"/>
        <v>2611.1111111111113</v>
      </c>
      <c r="AR36" s="124">
        <f t="shared" si="53"/>
        <v>110375000</v>
      </c>
      <c r="AS36" s="125">
        <v>1.9099999999999999E-2</v>
      </c>
      <c r="AT36" s="93">
        <f t="shared" si="13"/>
        <v>5856.0069444444443</v>
      </c>
      <c r="AU36" s="124">
        <f t="shared" si="54"/>
        <v>101625000</v>
      </c>
      <c r="AV36" s="125">
        <v>1.9E-2</v>
      </c>
      <c r="AW36" s="93">
        <f t="shared" si="14"/>
        <v>5363.541666666667</v>
      </c>
      <c r="AX36" s="124"/>
      <c r="AY36" s="125"/>
      <c r="AZ36" s="93">
        <f t="shared" si="15"/>
        <v>0</v>
      </c>
      <c r="BC36" s="93">
        <f t="shared" si="16"/>
        <v>0</v>
      </c>
      <c r="BF36" s="93">
        <f t="shared" si="17"/>
        <v>0</v>
      </c>
      <c r="BI36" s="93">
        <f t="shared" si="18"/>
        <v>0</v>
      </c>
      <c r="BL36" s="93">
        <f t="shared" si="19"/>
        <v>0</v>
      </c>
      <c r="BO36" s="93">
        <f t="shared" si="20"/>
        <v>0</v>
      </c>
      <c r="BR36" s="93">
        <f t="shared" si="21"/>
        <v>0</v>
      </c>
      <c r="BU36" s="93">
        <f t="shared" si="22"/>
        <v>0</v>
      </c>
      <c r="BX36" s="93">
        <f t="shared" si="23"/>
        <v>0</v>
      </c>
      <c r="CA36" s="93">
        <f t="shared" si="24"/>
        <v>0</v>
      </c>
      <c r="CD36" s="93">
        <f t="shared" si="25"/>
        <v>0</v>
      </c>
      <c r="CG36" s="93">
        <f t="shared" si="26"/>
        <v>0</v>
      </c>
      <c r="CJ36" s="93">
        <f t="shared" si="27"/>
        <v>0</v>
      </c>
      <c r="CM36" s="93">
        <f t="shared" si="28"/>
        <v>0</v>
      </c>
      <c r="CP36" s="93">
        <f t="shared" si="29"/>
        <v>0</v>
      </c>
      <c r="CS36" s="93">
        <f t="shared" si="30"/>
        <v>0</v>
      </c>
      <c r="CV36" s="93">
        <f t="shared" si="31"/>
        <v>0</v>
      </c>
      <c r="CY36" s="93">
        <f t="shared" si="32"/>
        <v>0</v>
      </c>
      <c r="DB36" s="93">
        <f t="shared" si="33"/>
        <v>0</v>
      </c>
      <c r="DE36" s="93">
        <f t="shared" si="34"/>
        <v>0</v>
      </c>
      <c r="DH36" s="93">
        <f t="shared" si="35"/>
        <v>0</v>
      </c>
      <c r="DK36" s="93">
        <f t="shared" si="36"/>
        <v>0</v>
      </c>
      <c r="DN36" s="93">
        <f t="shared" si="37"/>
        <v>0</v>
      </c>
      <c r="DQ36" s="93">
        <f t="shared" si="38"/>
        <v>0</v>
      </c>
      <c r="DT36" s="93">
        <f t="shared" si="39"/>
        <v>0</v>
      </c>
      <c r="DW36" s="93">
        <f t="shared" si="40"/>
        <v>0</v>
      </c>
      <c r="DZ36" s="93"/>
      <c r="EA36" s="93"/>
      <c r="EB36" s="126">
        <f t="shared" si="41"/>
        <v>397500000</v>
      </c>
      <c r="EC36" s="126">
        <f t="shared" si="42"/>
        <v>0</v>
      </c>
      <c r="ED36" s="93">
        <f t="shared" si="43"/>
        <v>20584.131944444445</v>
      </c>
      <c r="EE36" s="94">
        <f t="shared" si="44"/>
        <v>1.8642232704402517E-2</v>
      </c>
      <c r="EG36" s="126">
        <f t="shared" si="45"/>
        <v>0</v>
      </c>
      <c r="EH36" s="93">
        <f t="shared" si="46"/>
        <v>0</v>
      </c>
      <c r="EI36" s="94">
        <f t="shared" si="47"/>
        <v>0</v>
      </c>
      <c r="EJ36" s="94"/>
      <c r="EK36" s="126">
        <f t="shared" si="48"/>
        <v>397500000</v>
      </c>
      <c r="EL36" s="126">
        <f t="shared" si="49"/>
        <v>0</v>
      </c>
      <c r="EM36" s="126">
        <f t="shared" si="50"/>
        <v>20584.131944444445</v>
      </c>
      <c r="EN36" s="94">
        <f t="shared" si="51"/>
        <v>1.8642232704402517E-2</v>
      </c>
      <c r="EP36" s="93"/>
    </row>
    <row r="37" spans="1:146" x14ac:dyDescent="0.25">
      <c r="A37" s="39">
        <f t="shared" si="52"/>
        <v>43857</v>
      </c>
      <c r="D37" s="93">
        <f t="shared" si="1"/>
        <v>0</v>
      </c>
      <c r="G37" s="93">
        <f t="shared" si="2"/>
        <v>0</v>
      </c>
      <c r="J37" s="93">
        <f t="shared" si="3"/>
        <v>0</v>
      </c>
      <c r="M37" s="93">
        <f t="shared" si="4"/>
        <v>0</v>
      </c>
      <c r="P37" s="93">
        <f t="shared" si="5"/>
        <v>0</v>
      </c>
      <c r="S37" s="93">
        <f t="shared" si="6"/>
        <v>0</v>
      </c>
      <c r="V37" s="93">
        <f t="shared" si="7"/>
        <v>0</v>
      </c>
      <c r="Y37" s="93">
        <f t="shared" si="8"/>
        <v>0</v>
      </c>
      <c r="AB37" s="93">
        <f t="shared" si="9"/>
        <v>0</v>
      </c>
      <c r="AE37" s="93">
        <f>(AC37*AD37)/'[16]Input Sheet'!$B$11</f>
        <v>0</v>
      </c>
      <c r="AH37" s="93">
        <f>(AF37*AG37)/'[16]Input Sheet'!$B$11</f>
        <v>0</v>
      </c>
      <c r="AI37" s="124">
        <f>77750000</f>
        <v>77750000</v>
      </c>
      <c r="AJ37" s="125">
        <v>1.7500000000000002E-2</v>
      </c>
      <c r="AK37" s="93">
        <f t="shared" si="10"/>
        <v>3779.5138888888896</v>
      </c>
      <c r="AL37" s="124">
        <f t="shared" si="56"/>
        <v>60000000</v>
      </c>
      <c r="AM37" s="125">
        <v>1.8499999999999999E-2</v>
      </c>
      <c r="AN37" s="93">
        <f t="shared" si="11"/>
        <v>3083.3333333333335</v>
      </c>
      <c r="AO37" s="124">
        <f t="shared" si="55"/>
        <v>50000000</v>
      </c>
      <c r="AP37" s="125">
        <v>1.8800000000000001E-2</v>
      </c>
      <c r="AQ37" s="93">
        <f t="shared" si="12"/>
        <v>2611.1111111111113</v>
      </c>
      <c r="AR37" s="124">
        <f t="shared" si="53"/>
        <v>110375000</v>
      </c>
      <c r="AS37" s="125">
        <v>1.9099999999999999E-2</v>
      </c>
      <c r="AT37" s="93">
        <f t="shared" si="13"/>
        <v>5856.0069444444443</v>
      </c>
      <c r="AU37" s="124">
        <f t="shared" si="54"/>
        <v>101625000</v>
      </c>
      <c r="AV37" s="125">
        <v>1.9E-2</v>
      </c>
      <c r="AW37" s="93">
        <f t="shared" si="14"/>
        <v>5363.541666666667</v>
      </c>
      <c r="AX37" s="124"/>
      <c r="AY37" s="125"/>
      <c r="AZ37" s="93">
        <f t="shared" si="15"/>
        <v>0</v>
      </c>
      <c r="BC37" s="93">
        <f t="shared" si="16"/>
        <v>0</v>
      </c>
      <c r="BF37" s="93">
        <f t="shared" si="17"/>
        <v>0</v>
      </c>
      <c r="BI37" s="93">
        <f t="shared" si="18"/>
        <v>0</v>
      </c>
      <c r="BL37" s="93">
        <f t="shared" si="19"/>
        <v>0</v>
      </c>
      <c r="BO37" s="93">
        <f t="shared" si="20"/>
        <v>0</v>
      </c>
      <c r="BR37" s="93">
        <f t="shared" si="21"/>
        <v>0</v>
      </c>
      <c r="BU37" s="93">
        <f t="shared" si="22"/>
        <v>0</v>
      </c>
      <c r="BX37" s="93">
        <f t="shared" si="23"/>
        <v>0</v>
      </c>
      <c r="CA37" s="93">
        <f t="shared" si="24"/>
        <v>0</v>
      </c>
      <c r="CD37" s="93">
        <f t="shared" si="25"/>
        <v>0</v>
      </c>
      <c r="CG37" s="93">
        <f t="shared" si="26"/>
        <v>0</v>
      </c>
      <c r="CJ37" s="93">
        <f t="shared" si="27"/>
        <v>0</v>
      </c>
      <c r="CM37" s="93">
        <f t="shared" si="28"/>
        <v>0</v>
      </c>
      <c r="CP37" s="93">
        <f t="shared" si="29"/>
        <v>0</v>
      </c>
      <c r="CS37" s="93">
        <f t="shared" si="30"/>
        <v>0</v>
      </c>
      <c r="CV37" s="93">
        <f t="shared" si="31"/>
        <v>0</v>
      </c>
      <c r="CY37" s="93">
        <f t="shared" si="32"/>
        <v>0</v>
      </c>
      <c r="DB37" s="93">
        <f t="shared" si="33"/>
        <v>0</v>
      </c>
      <c r="DE37" s="93">
        <f t="shared" si="34"/>
        <v>0</v>
      </c>
      <c r="DH37" s="93">
        <f t="shared" si="35"/>
        <v>0</v>
      </c>
      <c r="DK37" s="93">
        <f t="shared" si="36"/>
        <v>0</v>
      </c>
      <c r="DN37" s="93">
        <f t="shared" si="37"/>
        <v>0</v>
      </c>
      <c r="DQ37" s="93">
        <f t="shared" si="38"/>
        <v>0</v>
      </c>
      <c r="DT37" s="93">
        <f t="shared" si="39"/>
        <v>0</v>
      </c>
      <c r="DW37" s="93">
        <f t="shared" si="40"/>
        <v>0</v>
      </c>
      <c r="DZ37" s="93"/>
      <c r="EA37" s="93"/>
      <c r="EB37" s="126">
        <f t="shared" si="41"/>
        <v>399750000</v>
      </c>
      <c r="EC37" s="126">
        <f t="shared" si="42"/>
        <v>0</v>
      </c>
      <c r="ED37" s="93">
        <f t="shared" si="43"/>
        <v>20693.506944444445</v>
      </c>
      <c r="EE37" s="94">
        <f t="shared" si="44"/>
        <v>1.8635803627267043E-2</v>
      </c>
      <c r="EG37" s="126">
        <f t="shared" si="45"/>
        <v>0</v>
      </c>
      <c r="EH37" s="93">
        <f t="shared" si="46"/>
        <v>0</v>
      </c>
      <c r="EI37" s="94">
        <f t="shared" si="47"/>
        <v>0</v>
      </c>
      <c r="EJ37" s="94"/>
      <c r="EK37" s="126">
        <f t="shared" si="48"/>
        <v>399750000</v>
      </c>
      <c r="EL37" s="126">
        <f t="shared" si="49"/>
        <v>0</v>
      </c>
      <c r="EM37" s="126">
        <f t="shared" si="50"/>
        <v>20693.506944444445</v>
      </c>
      <c r="EN37" s="94">
        <f t="shared" si="51"/>
        <v>1.8635803627267043E-2</v>
      </c>
      <c r="EP37" s="93"/>
    </row>
    <row r="38" spans="1:146" x14ac:dyDescent="0.25">
      <c r="A38" s="39">
        <f t="shared" si="52"/>
        <v>43858</v>
      </c>
      <c r="D38" s="93">
        <f t="shared" si="1"/>
        <v>0</v>
      </c>
      <c r="G38" s="93">
        <f t="shared" si="2"/>
        <v>0</v>
      </c>
      <c r="J38" s="93">
        <f t="shared" si="3"/>
        <v>0</v>
      </c>
      <c r="M38" s="93">
        <f t="shared" si="4"/>
        <v>0</v>
      </c>
      <c r="P38" s="93">
        <f t="shared" si="5"/>
        <v>0</v>
      </c>
      <c r="S38" s="93">
        <f t="shared" si="6"/>
        <v>0</v>
      </c>
      <c r="V38" s="93">
        <f t="shared" si="7"/>
        <v>0</v>
      </c>
      <c r="Y38" s="93">
        <f t="shared" si="8"/>
        <v>0</v>
      </c>
      <c r="AB38" s="93">
        <f t="shared" si="9"/>
        <v>0</v>
      </c>
      <c r="AE38" s="93">
        <f>(AC38*AD38)/'[16]Input Sheet'!$B$11</f>
        <v>0</v>
      </c>
      <c r="AH38" s="93">
        <f>(AF38*AG38)/'[16]Input Sheet'!$B$11</f>
        <v>0</v>
      </c>
      <c r="AI38" s="124">
        <v>28850000</v>
      </c>
      <c r="AJ38" s="125">
        <v>1.7399999999999999E-2</v>
      </c>
      <c r="AK38" s="93">
        <f t="shared" si="10"/>
        <v>1394.4166666666665</v>
      </c>
      <c r="AL38" s="124">
        <f t="shared" si="56"/>
        <v>60000000</v>
      </c>
      <c r="AM38" s="125">
        <v>1.8499999999999999E-2</v>
      </c>
      <c r="AN38" s="93">
        <f t="shared" si="11"/>
        <v>3083.3333333333335</v>
      </c>
      <c r="AO38" s="124">
        <f t="shared" si="55"/>
        <v>50000000</v>
      </c>
      <c r="AP38" s="125">
        <v>1.8800000000000001E-2</v>
      </c>
      <c r="AQ38" s="93">
        <f t="shared" si="12"/>
        <v>2611.1111111111113</v>
      </c>
      <c r="AR38" s="124">
        <f t="shared" si="53"/>
        <v>110375000</v>
      </c>
      <c r="AS38" s="125">
        <v>1.9099999999999999E-2</v>
      </c>
      <c r="AT38" s="93">
        <f t="shared" si="13"/>
        <v>5856.0069444444443</v>
      </c>
      <c r="AU38" s="124">
        <f t="shared" si="54"/>
        <v>101625000</v>
      </c>
      <c r="AV38" s="125">
        <v>1.9E-2</v>
      </c>
      <c r="AW38" s="93">
        <f t="shared" si="14"/>
        <v>5363.541666666667</v>
      </c>
      <c r="AX38" s="124">
        <f>50000000</f>
        <v>50000000</v>
      </c>
      <c r="AY38" s="125">
        <v>1.84E-2</v>
      </c>
      <c r="AZ38" s="93">
        <f t="shared" si="15"/>
        <v>2555.5555555555557</v>
      </c>
      <c r="BC38" s="93">
        <f t="shared" si="16"/>
        <v>0</v>
      </c>
      <c r="BF38" s="93">
        <f t="shared" si="17"/>
        <v>0</v>
      </c>
      <c r="BI38" s="93">
        <f t="shared" si="18"/>
        <v>0</v>
      </c>
      <c r="BL38" s="93">
        <f t="shared" si="19"/>
        <v>0</v>
      </c>
      <c r="BO38" s="93">
        <f t="shared" si="20"/>
        <v>0</v>
      </c>
      <c r="BR38" s="93">
        <f t="shared" si="21"/>
        <v>0</v>
      </c>
      <c r="BU38" s="93">
        <f t="shared" si="22"/>
        <v>0</v>
      </c>
      <c r="BX38" s="93">
        <f t="shared" si="23"/>
        <v>0</v>
      </c>
      <c r="CA38" s="93">
        <f t="shared" si="24"/>
        <v>0</v>
      </c>
      <c r="CD38" s="93">
        <f t="shared" si="25"/>
        <v>0</v>
      </c>
      <c r="CG38" s="93">
        <f t="shared" si="26"/>
        <v>0</v>
      </c>
      <c r="CJ38" s="93">
        <f t="shared" si="27"/>
        <v>0</v>
      </c>
      <c r="CM38" s="93">
        <f t="shared" si="28"/>
        <v>0</v>
      </c>
      <c r="CP38" s="93">
        <f t="shared" si="29"/>
        <v>0</v>
      </c>
      <c r="CS38" s="93">
        <f t="shared" si="30"/>
        <v>0</v>
      </c>
      <c r="CV38" s="93">
        <f t="shared" si="31"/>
        <v>0</v>
      </c>
      <c r="CY38" s="93">
        <f t="shared" si="32"/>
        <v>0</v>
      </c>
      <c r="DB38" s="93">
        <f t="shared" si="33"/>
        <v>0</v>
      </c>
      <c r="DE38" s="93">
        <f t="shared" si="34"/>
        <v>0</v>
      </c>
      <c r="DH38" s="93">
        <f t="shared" si="35"/>
        <v>0</v>
      </c>
      <c r="DK38" s="93">
        <f t="shared" si="36"/>
        <v>0</v>
      </c>
      <c r="DN38" s="93">
        <f t="shared" si="37"/>
        <v>0</v>
      </c>
      <c r="DQ38" s="93">
        <f t="shared" si="38"/>
        <v>0</v>
      </c>
      <c r="DT38" s="93">
        <f t="shared" si="39"/>
        <v>0</v>
      </c>
      <c r="DW38" s="93">
        <f t="shared" si="40"/>
        <v>0</v>
      </c>
      <c r="DZ38" s="93"/>
      <c r="EA38" s="93"/>
      <c r="EB38" s="126">
        <f t="shared" si="41"/>
        <v>400850000</v>
      </c>
      <c r="EC38" s="126">
        <f t="shared" si="42"/>
        <v>0</v>
      </c>
      <c r="ED38" s="93">
        <f t="shared" si="43"/>
        <v>20863.965277777777</v>
      </c>
      <c r="EE38" s="94">
        <f t="shared" si="44"/>
        <v>1.8737751029063238E-2</v>
      </c>
      <c r="EG38" s="126">
        <f t="shared" si="45"/>
        <v>0</v>
      </c>
      <c r="EH38" s="93">
        <f t="shared" si="46"/>
        <v>0</v>
      </c>
      <c r="EI38" s="94">
        <f t="shared" si="47"/>
        <v>0</v>
      </c>
      <c r="EJ38" s="94"/>
      <c r="EK38" s="126">
        <f t="shared" si="48"/>
        <v>400850000</v>
      </c>
      <c r="EL38" s="126">
        <f t="shared" si="49"/>
        <v>0</v>
      </c>
      <c r="EM38" s="126">
        <f t="shared" si="50"/>
        <v>20863.965277777781</v>
      </c>
      <c r="EN38" s="94">
        <f t="shared" si="51"/>
        <v>1.8737751029063245E-2</v>
      </c>
      <c r="EP38" s="93"/>
    </row>
    <row r="39" spans="1:146" x14ac:dyDescent="0.25">
      <c r="A39" s="39">
        <f t="shared" si="52"/>
        <v>43859</v>
      </c>
      <c r="D39" s="93">
        <f t="shared" si="1"/>
        <v>0</v>
      </c>
      <c r="G39" s="93">
        <f t="shared" si="2"/>
        <v>0</v>
      </c>
      <c r="J39" s="93">
        <f t="shared" si="3"/>
        <v>0</v>
      </c>
      <c r="M39" s="93">
        <f t="shared" si="4"/>
        <v>0</v>
      </c>
      <c r="P39" s="93">
        <f t="shared" si="5"/>
        <v>0</v>
      </c>
      <c r="S39" s="93">
        <f t="shared" si="6"/>
        <v>0</v>
      </c>
      <c r="V39" s="93">
        <f t="shared" si="7"/>
        <v>0</v>
      </c>
      <c r="Y39" s="93">
        <f t="shared" si="8"/>
        <v>0</v>
      </c>
      <c r="AB39" s="93">
        <f t="shared" si="9"/>
        <v>0</v>
      </c>
      <c r="AE39" s="93">
        <f>(AC39*AD39)/'[16]Input Sheet'!$B$11</f>
        <v>0</v>
      </c>
      <c r="AH39" s="93">
        <f>(AF39*AG39)/'[16]Input Sheet'!$B$11</f>
        <v>0</v>
      </c>
      <c r="AI39" s="124">
        <v>21300000</v>
      </c>
      <c r="AJ39" s="125">
        <v>1.72E-2</v>
      </c>
      <c r="AK39" s="93">
        <f t="shared" si="10"/>
        <v>1017.6666666666666</v>
      </c>
      <c r="AL39" s="124">
        <f t="shared" si="56"/>
        <v>60000000</v>
      </c>
      <c r="AM39" s="125">
        <v>1.8499999999999999E-2</v>
      </c>
      <c r="AN39" s="93">
        <f t="shared" si="11"/>
        <v>3083.3333333333335</v>
      </c>
      <c r="AO39" s="124">
        <f t="shared" si="55"/>
        <v>50000000</v>
      </c>
      <c r="AP39" s="125">
        <v>1.8800000000000001E-2</v>
      </c>
      <c r="AQ39" s="93">
        <f t="shared" si="12"/>
        <v>2611.1111111111113</v>
      </c>
      <c r="AR39" s="124">
        <f t="shared" si="53"/>
        <v>110375000</v>
      </c>
      <c r="AS39" s="125">
        <v>1.9099999999999999E-2</v>
      </c>
      <c r="AT39" s="93">
        <f t="shared" si="13"/>
        <v>5856.0069444444443</v>
      </c>
      <c r="AU39" s="124">
        <f t="shared" si="54"/>
        <v>101625000</v>
      </c>
      <c r="AV39" s="125">
        <v>1.9E-2</v>
      </c>
      <c r="AW39" s="93">
        <f t="shared" si="14"/>
        <v>5363.541666666667</v>
      </c>
      <c r="AX39" s="124">
        <f>50000000</f>
        <v>50000000</v>
      </c>
      <c r="AY39" s="125">
        <v>1.84E-2</v>
      </c>
      <c r="AZ39" s="93">
        <f t="shared" si="15"/>
        <v>2555.5555555555557</v>
      </c>
      <c r="BC39" s="93">
        <f t="shared" si="16"/>
        <v>0</v>
      </c>
      <c r="BF39" s="93">
        <f t="shared" si="17"/>
        <v>0</v>
      </c>
      <c r="BI39" s="93">
        <f t="shared" si="18"/>
        <v>0</v>
      </c>
      <c r="BL39" s="93">
        <f t="shared" si="19"/>
        <v>0</v>
      </c>
      <c r="BO39" s="93">
        <f t="shared" si="20"/>
        <v>0</v>
      </c>
      <c r="BR39" s="93">
        <f t="shared" si="21"/>
        <v>0</v>
      </c>
      <c r="BU39" s="93">
        <f t="shared" si="22"/>
        <v>0</v>
      </c>
      <c r="BX39" s="93">
        <f t="shared" si="23"/>
        <v>0</v>
      </c>
      <c r="CA39" s="93">
        <f t="shared" si="24"/>
        <v>0</v>
      </c>
      <c r="CD39" s="93">
        <f t="shared" si="25"/>
        <v>0</v>
      </c>
      <c r="CG39" s="93">
        <f t="shared" si="26"/>
        <v>0</v>
      </c>
      <c r="CJ39" s="93">
        <f t="shared" si="27"/>
        <v>0</v>
      </c>
      <c r="CM39" s="93">
        <f t="shared" si="28"/>
        <v>0</v>
      </c>
      <c r="CP39" s="93">
        <f t="shared" si="29"/>
        <v>0</v>
      </c>
      <c r="CS39" s="93">
        <f t="shared" si="30"/>
        <v>0</v>
      </c>
      <c r="CV39" s="93">
        <f t="shared" si="31"/>
        <v>0</v>
      </c>
      <c r="CY39" s="93">
        <f t="shared" si="32"/>
        <v>0</v>
      </c>
      <c r="DB39" s="93">
        <f t="shared" si="33"/>
        <v>0</v>
      </c>
      <c r="DE39" s="93">
        <f t="shared" si="34"/>
        <v>0</v>
      </c>
      <c r="DH39" s="93">
        <f t="shared" si="35"/>
        <v>0</v>
      </c>
      <c r="DK39" s="93">
        <f t="shared" si="36"/>
        <v>0</v>
      </c>
      <c r="DN39" s="93">
        <f t="shared" si="37"/>
        <v>0</v>
      </c>
      <c r="DQ39" s="93">
        <f t="shared" si="38"/>
        <v>0</v>
      </c>
      <c r="DT39" s="93">
        <f t="shared" si="39"/>
        <v>0</v>
      </c>
      <c r="DW39" s="93">
        <f t="shared" si="40"/>
        <v>0</v>
      </c>
      <c r="DZ39" s="93"/>
      <c r="EA39" s="93"/>
      <c r="EB39" s="126">
        <f t="shared" si="41"/>
        <v>393300000</v>
      </c>
      <c r="EC39" s="126">
        <f t="shared" si="42"/>
        <v>0</v>
      </c>
      <c r="ED39" s="93">
        <f t="shared" si="43"/>
        <v>20487.215277777777</v>
      </c>
      <c r="EE39" s="94">
        <f t="shared" si="44"/>
        <v>1.8752599796592932E-2</v>
      </c>
      <c r="EG39" s="126">
        <f t="shared" si="45"/>
        <v>0</v>
      </c>
      <c r="EH39" s="93">
        <f t="shared" si="46"/>
        <v>0</v>
      </c>
      <c r="EI39" s="94">
        <f t="shared" si="47"/>
        <v>0</v>
      </c>
      <c r="EJ39" s="94"/>
      <c r="EK39" s="126">
        <f t="shared" si="48"/>
        <v>393300000</v>
      </c>
      <c r="EL39" s="126">
        <f t="shared" si="49"/>
        <v>0</v>
      </c>
      <c r="EM39" s="126">
        <f t="shared" si="50"/>
        <v>20487.215277777781</v>
      </c>
      <c r="EN39" s="94">
        <f t="shared" si="51"/>
        <v>1.8752599796592932E-2</v>
      </c>
      <c r="EP39" s="93"/>
    </row>
    <row r="40" spans="1:146" x14ac:dyDescent="0.25">
      <c r="A40" s="39">
        <f t="shared" si="52"/>
        <v>43860</v>
      </c>
      <c r="D40" s="93">
        <f t="shared" si="1"/>
        <v>0</v>
      </c>
      <c r="G40" s="93">
        <f t="shared" si="2"/>
        <v>0</v>
      </c>
      <c r="J40" s="93">
        <f t="shared" si="3"/>
        <v>0</v>
      </c>
      <c r="M40" s="93">
        <f t="shared" si="4"/>
        <v>0</v>
      </c>
      <c r="P40" s="93">
        <f t="shared" si="5"/>
        <v>0</v>
      </c>
      <c r="S40" s="93">
        <f t="shared" si="6"/>
        <v>0</v>
      </c>
      <c r="V40" s="93">
        <f t="shared" si="7"/>
        <v>0</v>
      </c>
      <c r="Y40" s="93">
        <f t="shared" si="8"/>
        <v>0</v>
      </c>
      <c r="AB40" s="93">
        <f t="shared" si="9"/>
        <v>0</v>
      </c>
      <c r="AE40" s="93">
        <f>(AC40*AD40)/'[16]Input Sheet'!$B$11</f>
        <v>0</v>
      </c>
      <c r="AH40" s="93">
        <f>(AF40*AG40)/'[16]Input Sheet'!$B$11</f>
        <v>0</v>
      </c>
      <c r="AI40" s="124">
        <v>18925000</v>
      </c>
      <c r="AJ40" s="125">
        <v>1.72E-2</v>
      </c>
      <c r="AK40" s="93">
        <f t="shared" si="10"/>
        <v>904.19444444444446</v>
      </c>
      <c r="AL40" s="124">
        <f t="shared" si="56"/>
        <v>60000000</v>
      </c>
      <c r="AM40" s="125">
        <v>1.8499999999999999E-2</v>
      </c>
      <c r="AN40" s="93">
        <f t="shared" si="11"/>
        <v>3083.3333333333335</v>
      </c>
      <c r="AO40" s="124">
        <f t="shared" si="55"/>
        <v>50000000</v>
      </c>
      <c r="AP40" s="125">
        <v>1.8800000000000001E-2</v>
      </c>
      <c r="AQ40" s="93">
        <f t="shared" si="12"/>
        <v>2611.1111111111113</v>
      </c>
      <c r="AR40" s="124">
        <f t="shared" si="53"/>
        <v>110375000</v>
      </c>
      <c r="AS40" s="125">
        <v>1.9099999999999999E-2</v>
      </c>
      <c r="AT40" s="93">
        <f t="shared" si="13"/>
        <v>5856.0069444444443</v>
      </c>
      <c r="AU40" s="124">
        <f t="shared" si="54"/>
        <v>101625000</v>
      </c>
      <c r="AV40" s="125">
        <v>1.9E-2</v>
      </c>
      <c r="AW40" s="93">
        <f t="shared" si="14"/>
        <v>5363.541666666667</v>
      </c>
      <c r="AX40" s="124">
        <f>50000000</f>
        <v>50000000</v>
      </c>
      <c r="AY40" s="125">
        <v>1.84E-2</v>
      </c>
      <c r="AZ40" s="93">
        <f t="shared" si="15"/>
        <v>2555.5555555555557</v>
      </c>
      <c r="BC40" s="93">
        <f t="shared" si="16"/>
        <v>0</v>
      </c>
      <c r="BF40" s="93">
        <f t="shared" si="17"/>
        <v>0</v>
      </c>
      <c r="BI40" s="93">
        <f t="shared" si="18"/>
        <v>0</v>
      </c>
      <c r="BL40" s="93">
        <f t="shared" si="19"/>
        <v>0</v>
      </c>
      <c r="BO40" s="93">
        <f t="shared" si="20"/>
        <v>0</v>
      </c>
      <c r="BR40" s="93">
        <f t="shared" si="21"/>
        <v>0</v>
      </c>
      <c r="BU40" s="93">
        <f t="shared" si="22"/>
        <v>0</v>
      </c>
      <c r="BX40" s="93">
        <f t="shared" si="23"/>
        <v>0</v>
      </c>
      <c r="CA40" s="93">
        <f t="shared" si="24"/>
        <v>0</v>
      </c>
      <c r="CD40" s="93">
        <f t="shared" si="25"/>
        <v>0</v>
      </c>
      <c r="CG40" s="93">
        <f t="shared" si="26"/>
        <v>0</v>
      </c>
      <c r="CJ40" s="93">
        <f t="shared" si="27"/>
        <v>0</v>
      </c>
      <c r="CM40" s="93">
        <f t="shared" si="28"/>
        <v>0</v>
      </c>
      <c r="CP40" s="93">
        <f t="shared" si="29"/>
        <v>0</v>
      </c>
      <c r="CS40" s="93">
        <f t="shared" si="30"/>
        <v>0</v>
      </c>
      <c r="CV40" s="93">
        <f t="shared" si="31"/>
        <v>0</v>
      </c>
      <c r="CY40" s="93">
        <f t="shared" si="32"/>
        <v>0</v>
      </c>
      <c r="DB40" s="93">
        <f t="shared" si="33"/>
        <v>0</v>
      </c>
      <c r="DE40" s="93">
        <f t="shared" si="34"/>
        <v>0</v>
      </c>
      <c r="DH40" s="93">
        <f t="shared" si="35"/>
        <v>0</v>
      </c>
      <c r="DK40" s="93">
        <f t="shared" si="36"/>
        <v>0</v>
      </c>
      <c r="DN40" s="93">
        <f t="shared" si="37"/>
        <v>0</v>
      </c>
      <c r="DQ40" s="93">
        <f t="shared" si="38"/>
        <v>0</v>
      </c>
      <c r="DT40" s="93">
        <f t="shared" si="39"/>
        <v>0</v>
      </c>
      <c r="DW40" s="93">
        <f t="shared" si="40"/>
        <v>0</v>
      </c>
      <c r="DZ40" s="91"/>
      <c r="EA40" s="93"/>
      <c r="EB40" s="126">
        <f t="shared" si="41"/>
        <v>390925000</v>
      </c>
      <c r="EC40" s="126">
        <f t="shared" si="42"/>
        <v>0</v>
      </c>
      <c r="ED40" s="93">
        <f t="shared" si="43"/>
        <v>20373.743055555555</v>
      </c>
      <c r="EE40" s="94">
        <f t="shared" si="44"/>
        <v>1.8762032359148174E-2</v>
      </c>
      <c r="EG40" s="126">
        <f t="shared" si="45"/>
        <v>0</v>
      </c>
      <c r="EH40" s="93">
        <f t="shared" si="46"/>
        <v>0</v>
      </c>
      <c r="EI40" s="94">
        <f t="shared" si="47"/>
        <v>0</v>
      </c>
      <c r="EJ40" s="94"/>
      <c r="EK40" s="126">
        <f t="shared" si="48"/>
        <v>390925000</v>
      </c>
      <c r="EL40" s="126">
        <f t="shared" si="49"/>
        <v>0</v>
      </c>
      <c r="EM40" s="126">
        <f t="shared" si="50"/>
        <v>20373.743055555558</v>
      </c>
      <c r="EN40" s="94">
        <f t="shared" si="51"/>
        <v>1.8762032359148178E-2</v>
      </c>
      <c r="EP40" s="93"/>
    </row>
    <row r="41" spans="1:146" x14ac:dyDescent="0.25">
      <c r="A41" s="39">
        <f t="shared" si="52"/>
        <v>43861</v>
      </c>
      <c r="D41" s="93">
        <f t="shared" si="1"/>
        <v>0</v>
      </c>
      <c r="G41" s="93">
        <f t="shared" si="2"/>
        <v>0</v>
      </c>
      <c r="J41" s="93">
        <f t="shared" si="3"/>
        <v>0</v>
      </c>
      <c r="M41" s="93">
        <f t="shared" si="4"/>
        <v>0</v>
      </c>
      <c r="P41" s="93">
        <f t="shared" si="5"/>
        <v>0</v>
      </c>
      <c r="S41" s="93">
        <f t="shared" si="6"/>
        <v>0</v>
      </c>
      <c r="V41" s="93">
        <f t="shared" si="7"/>
        <v>0</v>
      </c>
      <c r="Y41" s="93">
        <f t="shared" si="8"/>
        <v>0</v>
      </c>
      <c r="AB41" s="93">
        <f t="shared" si="9"/>
        <v>0</v>
      </c>
      <c r="AE41" s="93">
        <f>(AC41*AD41)/'[16]Input Sheet'!$B$11</f>
        <v>0</v>
      </c>
      <c r="AH41" s="93">
        <f>(AF41*AG41)/'[16]Input Sheet'!$B$11</f>
        <v>0</v>
      </c>
      <c r="AI41" s="124">
        <v>48450000</v>
      </c>
      <c r="AJ41" s="125">
        <v>1.7999999999999999E-2</v>
      </c>
      <c r="AK41" s="93">
        <f t="shared" si="10"/>
        <v>2422.4999999999995</v>
      </c>
      <c r="AL41" s="124">
        <f t="shared" si="56"/>
        <v>60000000</v>
      </c>
      <c r="AM41" s="125">
        <v>1.8499999999999999E-2</v>
      </c>
      <c r="AN41" s="93">
        <f t="shared" si="11"/>
        <v>3083.3333333333335</v>
      </c>
      <c r="AO41" s="124">
        <f t="shared" si="55"/>
        <v>50000000</v>
      </c>
      <c r="AP41" s="125">
        <v>1.8800000000000001E-2</v>
      </c>
      <c r="AQ41" s="93">
        <f t="shared" si="12"/>
        <v>2611.1111111111113</v>
      </c>
      <c r="AR41" s="124">
        <f t="shared" si="53"/>
        <v>110375000</v>
      </c>
      <c r="AS41" s="125">
        <v>1.9099999999999999E-2</v>
      </c>
      <c r="AT41" s="93">
        <f t="shared" si="13"/>
        <v>5856.0069444444443</v>
      </c>
      <c r="AU41" s="124">
        <f t="shared" si="54"/>
        <v>101625000</v>
      </c>
      <c r="AV41" s="125">
        <v>1.9E-2</v>
      </c>
      <c r="AW41" s="93">
        <f t="shared" si="14"/>
        <v>5363.541666666667</v>
      </c>
      <c r="AX41" s="124">
        <f>50000000</f>
        <v>50000000</v>
      </c>
      <c r="AY41" s="125">
        <v>1.84E-2</v>
      </c>
      <c r="AZ41" s="93">
        <f t="shared" si="15"/>
        <v>2555.5555555555557</v>
      </c>
      <c r="BC41" s="93">
        <f t="shared" si="16"/>
        <v>0</v>
      </c>
      <c r="BF41" s="93">
        <f t="shared" si="17"/>
        <v>0</v>
      </c>
      <c r="BI41" s="93">
        <f t="shared" si="18"/>
        <v>0</v>
      </c>
      <c r="BL41" s="93">
        <f t="shared" si="19"/>
        <v>0</v>
      </c>
      <c r="BO41" s="93">
        <f t="shared" si="20"/>
        <v>0</v>
      </c>
      <c r="BR41" s="93">
        <f t="shared" si="21"/>
        <v>0</v>
      </c>
      <c r="BU41" s="93">
        <f t="shared" si="22"/>
        <v>0</v>
      </c>
      <c r="BX41" s="93">
        <f t="shared" si="23"/>
        <v>0</v>
      </c>
      <c r="CA41" s="93">
        <f t="shared" si="24"/>
        <v>0</v>
      </c>
      <c r="CD41" s="93">
        <f t="shared" si="25"/>
        <v>0</v>
      </c>
      <c r="CG41" s="93">
        <f t="shared" si="26"/>
        <v>0</v>
      </c>
      <c r="CJ41" s="93">
        <f t="shared" si="27"/>
        <v>0</v>
      </c>
      <c r="CM41" s="93">
        <f t="shared" si="28"/>
        <v>0</v>
      </c>
      <c r="CP41" s="93">
        <f t="shared" si="29"/>
        <v>0</v>
      </c>
      <c r="CS41" s="93">
        <f t="shared" si="30"/>
        <v>0</v>
      </c>
      <c r="CV41" s="93">
        <f t="shared" si="31"/>
        <v>0</v>
      </c>
      <c r="CY41" s="93">
        <f t="shared" si="32"/>
        <v>0</v>
      </c>
      <c r="DB41" s="93">
        <f t="shared" si="33"/>
        <v>0</v>
      </c>
      <c r="DE41" s="93">
        <f t="shared" si="34"/>
        <v>0</v>
      </c>
      <c r="DH41" s="93">
        <f t="shared" si="35"/>
        <v>0</v>
      </c>
      <c r="DK41" s="93">
        <f t="shared" si="36"/>
        <v>0</v>
      </c>
      <c r="DN41" s="93">
        <f t="shared" si="37"/>
        <v>0</v>
      </c>
      <c r="DQ41" s="93">
        <f t="shared" si="38"/>
        <v>0</v>
      </c>
      <c r="DT41" s="93">
        <f t="shared" si="39"/>
        <v>0</v>
      </c>
      <c r="DW41" s="93">
        <f t="shared" si="40"/>
        <v>0</v>
      </c>
      <c r="DZ41" s="91"/>
      <c r="EA41" s="93"/>
      <c r="EB41" s="126">
        <f t="shared" si="41"/>
        <v>420450000</v>
      </c>
      <c r="EC41" s="126">
        <f t="shared" si="42"/>
        <v>0</v>
      </c>
      <c r="ED41" s="93">
        <f t="shared" si="43"/>
        <v>21892.048611111109</v>
      </c>
      <c r="EE41" s="94">
        <f t="shared" si="44"/>
        <v>1.8744529670591033E-2</v>
      </c>
      <c r="EG41" s="126">
        <f t="shared" si="45"/>
        <v>0</v>
      </c>
      <c r="EH41" s="93">
        <f t="shared" si="46"/>
        <v>0</v>
      </c>
      <c r="EI41" s="94">
        <f t="shared" si="47"/>
        <v>0</v>
      </c>
      <c r="EJ41" s="94"/>
      <c r="EK41" s="126">
        <f t="shared" si="48"/>
        <v>420450000</v>
      </c>
      <c r="EL41" s="126">
        <f t="shared" si="49"/>
        <v>0</v>
      </c>
      <c r="EM41" s="126">
        <f t="shared" si="50"/>
        <v>21892.048611111113</v>
      </c>
      <c r="EN41" s="94">
        <f t="shared" si="51"/>
        <v>1.8744529670591033E-2</v>
      </c>
      <c r="EP41" s="93"/>
    </row>
    <row r="42" spans="1:146" x14ac:dyDescent="0.25">
      <c r="A42" s="127" t="s">
        <v>88</v>
      </c>
      <c r="D42" s="128">
        <f>SUM(D11:D41)</f>
        <v>0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0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0</v>
      </c>
      <c r="AH42" s="128">
        <f>SUM(AH11:AH41)</f>
        <v>0</v>
      </c>
      <c r="AK42" s="128">
        <f>SUM(AK11:AK41)</f>
        <v>76143.673611111124</v>
      </c>
      <c r="AN42" s="128">
        <f>SUM(AN11:AN41)</f>
        <v>71444.444444444453</v>
      </c>
      <c r="AQ42" s="128">
        <f>SUM(AQ11:AQ41)</f>
        <v>88533.777777777752</v>
      </c>
      <c r="AT42" s="128">
        <f>SUM(AT11:AT41)</f>
        <v>169824.20138888879</v>
      </c>
      <c r="AW42" s="128">
        <f>SUM(AW11:AW41)</f>
        <v>136727.43055555559</v>
      </c>
      <c r="AZ42" s="128">
        <f>SUM(AZ11:AZ41)</f>
        <v>10222.222222222223</v>
      </c>
      <c r="BC42" s="128">
        <f>SUM(BC11:BC41)</f>
        <v>0</v>
      </c>
      <c r="BF42" s="128">
        <f>SUM(BF11:BF41)</f>
        <v>0</v>
      </c>
      <c r="BI42" s="128">
        <f>SUM(BI11:BI41)</f>
        <v>0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552895.74999999988</v>
      </c>
      <c r="EE42" s="94"/>
      <c r="EG42" s="93"/>
      <c r="EH42" s="128">
        <f>SUM(EH11:EH41)</f>
        <v>0</v>
      </c>
      <c r="EI42" s="94"/>
      <c r="EJ42" s="94"/>
      <c r="EK42" s="93"/>
      <c r="EL42" s="93"/>
      <c r="EM42" s="128">
        <f>SUM(EM11:EM41)</f>
        <v>552895.74999999988</v>
      </c>
      <c r="EN42" s="94"/>
    </row>
    <row r="44" spans="1:146" x14ac:dyDescent="0.25">
      <c r="EM44" s="129"/>
    </row>
    <row r="46" spans="1:146" x14ac:dyDescent="0.25">
      <c r="EM46" s="93"/>
    </row>
    <row r="48" spans="1:146" x14ac:dyDescent="0.25">
      <c r="EM48" s="9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Q46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2.75" x14ac:dyDescent="0.2"/>
  <cols>
    <col min="1" max="1" width="14.5703125" style="145" bestFit="1" customWidth="1"/>
    <col min="2" max="2" width="15.5703125" style="143" bestFit="1" customWidth="1"/>
    <col min="3" max="3" width="15.42578125" style="144" bestFit="1" customWidth="1"/>
    <col min="4" max="4" width="15.42578125" style="145" bestFit="1" customWidth="1"/>
    <col min="5" max="5" width="15.5703125" style="143" bestFit="1" customWidth="1"/>
    <col min="6" max="6" width="12.28515625" style="144" bestFit="1" customWidth="1"/>
    <col min="7" max="7" width="15.42578125" style="145" bestFit="1" customWidth="1"/>
    <col min="8" max="8" width="15.42578125" style="143" hidden="1" customWidth="1"/>
    <col min="9" max="9" width="10.28515625" style="144" hidden="1" customWidth="1"/>
    <col min="10" max="10" width="13.42578125" style="145" hidden="1" customWidth="1"/>
    <col min="11" max="11" width="14.42578125" style="143" hidden="1" customWidth="1"/>
    <col min="12" max="12" width="10.28515625" style="144" hidden="1" customWidth="1"/>
    <col min="13" max="13" width="11.7109375" style="145" hidden="1" customWidth="1"/>
    <col min="14" max="14" width="14.42578125" style="143" hidden="1" customWidth="1"/>
    <col min="15" max="15" width="10.28515625" style="144" hidden="1" customWidth="1"/>
    <col min="16" max="16" width="11.7109375" style="145" hidden="1" customWidth="1"/>
    <col min="17" max="17" width="15.42578125" style="143" hidden="1" customWidth="1"/>
    <col min="18" max="18" width="10.28515625" style="144" hidden="1" customWidth="1"/>
    <col min="19" max="19" width="11.7109375" style="145" hidden="1" customWidth="1"/>
    <col min="20" max="20" width="15.42578125" style="143" hidden="1" customWidth="1"/>
    <col min="21" max="21" width="10.28515625" style="144" hidden="1" customWidth="1"/>
    <col min="22" max="22" width="11.7109375" style="145" hidden="1" customWidth="1"/>
    <col min="23" max="23" width="15.42578125" style="143" hidden="1" customWidth="1"/>
    <col min="24" max="24" width="10.28515625" style="144" hidden="1" customWidth="1"/>
    <col min="25" max="25" width="11.7109375" style="145" hidden="1" customWidth="1"/>
    <col min="26" max="26" width="15.42578125" style="143" hidden="1" customWidth="1"/>
    <col min="27" max="27" width="10.28515625" style="144" hidden="1" customWidth="1"/>
    <col min="28" max="28" width="11.7109375" style="145" hidden="1" customWidth="1"/>
    <col min="29" max="29" width="15.42578125" style="143" hidden="1" customWidth="1"/>
    <col min="30" max="30" width="10.28515625" style="144" hidden="1" customWidth="1"/>
    <col min="31" max="31" width="11.7109375" style="145" hidden="1" customWidth="1"/>
    <col min="32" max="32" width="14.42578125" style="143" hidden="1" customWidth="1"/>
    <col min="33" max="33" width="10.28515625" style="144" hidden="1" customWidth="1"/>
    <col min="34" max="34" width="10.7109375" style="145" hidden="1" customWidth="1"/>
    <col min="35" max="35" width="14.42578125" style="143" customWidth="1"/>
    <col min="36" max="36" width="10.28515625" style="144" customWidth="1"/>
    <col min="37" max="37" width="11.7109375" style="145" bestFit="1" customWidth="1"/>
    <col min="38" max="38" width="14.42578125" style="143" customWidth="1"/>
    <col min="39" max="39" width="10.28515625" style="144" customWidth="1"/>
    <col min="40" max="40" width="11.7109375" style="145" bestFit="1" customWidth="1"/>
    <col min="41" max="41" width="15.42578125" style="143" bestFit="1" customWidth="1"/>
    <col min="42" max="42" width="12.28515625" style="144" bestFit="1" customWidth="1"/>
    <col min="43" max="43" width="11.7109375" style="145" bestFit="1" customWidth="1"/>
    <col min="44" max="44" width="15.42578125" style="143" bestFit="1" customWidth="1"/>
    <col min="45" max="45" width="10.28515625" style="144" bestFit="1" customWidth="1"/>
    <col min="46" max="46" width="11.7109375" style="145" bestFit="1" customWidth="1"/>
    <col min="47" max="47" width="14.42578125" style="143" customWidth="1"/>
    <col min="48" max="48" width="10.28515625" style="144" customWidth="1"/>
    <col min="49" max="49" width="10.7109375" style="145" customWidth="1"/>
    <col min="50" max="50" width="14.42578125" style="143" customWidth="1"/>
    <col min="51" max="51" width="10.28515625" style="144" customWidth="1"/>
    <col min="52" max="52" width="11.7109375" style="145" bestFit="1" customWidth="1"/>
    <col min="53" max="53" width="14.42578125" style="143" customWidth="1"/>
    <col min="54" max="54" width="10.28515625" style="144" customWidth="1"/>
    <col min="55" max="55" width="10.7109375" style="145" customWidth="1"/>
    <col min="56" max="56" width="14.42578125" style="143" customWidth="1"/>
    <col min="57" max="57" width="10.28515625" style="144" customWidth="1"/>
    <col min="58" max="58" width="10.7109375" style="145" customWidth="1"/>
    <col min="59" max="59" width="14.42578125" style="143" customWidth="1"/>
    <col min="60" max="60" width="10.28515625" style="144" customWidth="1"/>
    <col min="61" max="61" width="10.7109375" style="145" customWidth="1"/>
    <col min="62" max="62" width="14.42578125" style="143" customWidth="1"/>
    <col min="63" max="63" width="10.28515625" style="144" customWidth="1"/>
    <col min="64" max="64" width="10.7109375" style="145" customWidth="1"/>
    <col min="65" max="65" width="14.42578125" style="143" hidden="1" customWidth="1"/>
    <col min="66" max="66" width="10.28515625" style="144" hidden="1" customWidth="1"/>
    <col min="67" max="67" width="10.7109375" style="145" hidden="1" customWidth="1"/>
    <col min="68" max="68" width="14.42578125" style="143" hidden="1" customWidth="1"/>
    <col min="69" max="69" width="10.28515625" style="144" hidden="1" customWidth="1"/>
    <col min="70" max="70" width="10.7109375" style="145" hidden="1" customWidth="1"/>
    <col min="71" max="71" width="14.42578125" style="143" hidden="1" customWidth="1"/>
    <col min="72" max="72" width="10.28515625" style="144" hidden="1" customWidth="1"/>
    <col min="73" max="73" width="10.7109375" style="145" hidden="1" customWidth="1"/>
    <col min="74" max="74" width="14.42578125" style="143" hidden="1" customWidth="1"/>
    <col min="75" max="75" width="10.28515625" style="144" hidden="1" customWidth="1"/>
    <col min="76" max="76" width="10.7109375" style="145" hidden="1" customWidth="1"/>
    <col min="77" max="77" width="14.42578125" style="143" hidden="1" customWidth="1"/>
    <col min="78" max="78" width="10.28515625" style="144" hidden="1" customWidth="1"/>
    <col min="79" max="79" width="10.7109375" style="145" hidden="1" customWidth="1"/>
    <col min="80" max="80" width="14.42578125" style="143" hidden="1" customWidth="1"/>
    <col min="81" max="81" width="10.28515625" style="144" hidden="1" customWidth="1"/>
    <col min="82" max="82" width="10.7109375" style="145" hidden="1" customWidth="1"/>
    <col min="83" max="83" width="14.42578125" style="143" hidden="1" customWidth="1"/>
    <col min="84" max="84" width="10.28515625" style="144" hidden="1" customWidth="1"/>
    <col min="85" max="85" width="10.7109375" style="145" hidden="1" customWidth="1"/>
    <col min="86" max="86" width="14.42578125" style="143" hidden="1" customWidth="1"/>
    <col min="87" max="87" width="10.28515625" style="144" hidden="1" customWidth="1"/>
    <col min="88" max="88" width="10.7109375" style="145" hidden="1" customWidth="1"/>
    <col min="89" max="89" width="14.42578125" style="143" hidden="1" customWidth="1"/>
    <col min="90" max="90" width="10.28515625" style="144" hidden="1" customWidth="1"/>
    <col min="91" max="91" width="10.7109375" style="145" hidden="1" customWidth="1"/>
    <col min="92" max="92" width="14.42578125" style="143" hidden="1" customWidth="1"/>
    <col min="93" max="93" width="10.28515625" style="144" hidden="1" customWidth="1"/>
    <col min="94" max="94" width="10.7109375" style="145" hidden="1" customWidth="1"/>
    <col min="95" max="95" width="14.42578125" style="143" hidden="1" customWidth="1"/>
    <col min="96" max="96" width="10.28515625" style="144" hidden="1" customWidth="1"/>
    <col min="97" max="97" width="10.7109375" style="145" hidden="1" customWidth="1"/>
    <col min="98" max="98" width="14.42578125" style="143" hidden="1" customWidth="1"/>
    <col min="99" max="99" width="10.28515625" style="144" hidden="1" customWidth="1"/>
    <col min="100" max="100" width="10.7109375" style="145" hidden="1" customWidth="1"/>
    <col min="101" max="101" width="14.42578125" style="143" hidden="1" customWidth="1"/>
    <col min="102" max="102" width="10.28515625" style="144" hidden="1" customWidth="1"/>
    <col min="103" max="103" width="10.7109375" style="145" hidden="1" customWidth="1"/>
    <col min="104" max="104" width="14.42578125" style="143" hidden="1" customWidth="1"/>
    <col min="105" max="105" width="10.28515625" style="144" hidden="1" customWidth="1"/>
    <col min="106" max="106" width="10.7109375" style="145" hidden="1" customWidth="1"/>
    <col min="107" max="107" width="14.42578125" style="143" hidden="1" customWidth="1"/>
    <col min="108" max="108" width="10.28515625" style="144" hidden="1" customWidth="1"/>
    <col min="109" max="109" width="10.7109375" style="145" hidden="1" customWidth="1"/>
    <col min="110" max="110" width="14.42578125" style="143" hidden="1" customWidth="1"/>
    <col min="111" max="111" width="10.28515625" style="144" hidden="1" customWidth="1"/>
    <col min="112" max="112" width="10.7109375" style="145" hidden="1" customWidth="1"/>
    <col min="113" max="113" width="14.42578125" style="143" hidden="1" customWidth="1"/>
    <col min="114" max="114" width="10.28515625" style="144" hidden="1" customWidth="1"/>
    <col min="115" max="115" width="10.7109375" style="145" hidden="1" customWidth="1"/>
    <col min="116" max="116" width="14.42578125" style="143" hidden="1" customWidth="1"/>
    <col min="117" max="117" width="10.28515625" style="144" hidden="1" customWidth="1"/>
    <col min="118" max="118" width="10.7109375" style="145" hidden="1" customWidth="1"/>
    <col min="119" max="119" width="14.42578125" style="143" hidden="1" customWidth="1"/>
    <col min="120" max="120" width="10.28515625" style="144" hidden="1" customWidth="1"/>
    <col min="121" max="121" width="10.7109375" style="145" hidden="1" customWidth="1"/>
    <col min="122" max="122" width="14.42578125" style="143" hidden="1" customWidth="1"/>
    <col min="123" max="123" width="10.28515625" style="144" hidden="1" customWidth="1"/>
    <col min="124" max="124" width="10.7109375" style="145" hidden="1" customWidth="1"/>
    <col min="125" max="125" width="14.42578125" style="143" hidden="1" customWidth="1"/>
    <col min="126" max="126" width="10.28515625" style="144" hidden="1" customWidth="1"/>
    <col min="127" max="127" width="10.7109375" style="145" hidden="1" customWidth="1"/>
    <col min="128" max="128" width="14.42578125" style="143" hidden="1" customWidth="1"/>
    <col min="129" max="129" width="10.28515625" style="144" hidden="1" customWidth="1"/>
    <col min="130" max="130" width="10.7109375" style="145" hidden="1" customWidth="1"/>
    <col min="131" max="131" width="2.7109375" style="145" customWidth="1"/>
    <col min="132" max="132" width="15.42578125" style="145" bestFit="1" customWidth="1"/>
    <col min="133" max="133" width="15.42578125" style="145" hidden="1" customWidth="1"/>
    <col min="134" max="134" width="14.42578125" style="145" bestFit="1" customWidth="1"/>
    <col min="135" max="135" width="17.7109375" style="145" bestFit="1" customWidth="1"/>
    <col min="136" max="136" width="2.7109375" style="145" customWidth="1"/>
    <col min="137" max="137" width="15.42578125" style="145" hidden="1" customWidth="1"/>
    <col min="138" max="138" width="14.42578125" style="145" hidden="1" customWidth="1"/>
    <col min="139" max="139" width="12.42578125" style="145" hidden="1" customWidth="1"/>
    <col min="140" max="140" width="2.7109375" style="145" hidden="1" customWidth="1"/>
    <col min="141" max="141" width="15.42578125" style="145" bestFit="1" customWidth="1"/>
    <col min="142" max="142" width="15.42578125" style="145" hidden="1" customWidth="1"/>
    <col min="143" max="143" width="14.42578125" style="145" bestFit="1" customWidth="1"/>
    <col min="144" max="144" width="15.42578125" style="145" bestFit="1" customWidth="1"/>
    <col min="145" max="145" width="42.85546875" style="145" bestFit="1" customWidth="1"/>
    <col min="146" max="146" width="19.42578125" style="145" bestFit="1" customWidth="1"/>
    <col min="147" max="147" width="23.140625" style="145" bestFit="1" customWidth="1"/>
    <col min="148" max="16384" width="9" style="145"/>
  </cols>
  <sheetData>
    <row r="1" spans="1:147" s="135" customFormat="1" ht="15.75" x14ac:dyDescent="0.25">
      <c r="A1" s="132" t="s">
        <v>0</v>
      </c>
      <c r="B1" s="133"/>
      <c r="C1" s="134"/>
      <c r="E1" s="133"/>
      <c r="F1" s="134"/>
      <c r="H1" s="133"/>
      <c r="I1" s="134"/>
      <c r="K1" s="133"/>
      <c r="L1" s="134"/>
      <c r="N1" s="133"/>
      <c r="O1" s="134"/>
      <c r="Q1" s="133"/>
      <c r="R1" s="134"/>
      <c r="T1" s="133"/>
      <c r="U1" s="134"/>
      <c r="W1" s="133"/>
      <c r="X1" s="134"/>
      <c r="Z1" s="133"/>
      <c r="AA1" s="134"/>
      <c r="AC1" s="133"/>
      <c r="AD1" s="134"/>
      <c r="AF1" s="133"/>
      <c r="AG1" s="134"/>
      <c r="AI1" s="133"/>
      <c r="AJ1" s="134"/>
      <c r="AL1" s="133"/>
      <c r="AM1" s="134"/>
      <c r="AO1" s="133"/>
      <c r="AP1" s="134"/>
      <c r="AR1" s="133"/>
      <c r="AS1" s="134"/>
      <c r="AU1" s="133"/>
      <c r="AV1" s="134"/>
      <c r="AX1" s="133"/>
      <c r="AY1" s="134"/>
      <c r="BA1" s="133"/>
      <c r="BB1" s="134"/>
      <c r="BD1" s="133"/>
      <c r="BE1" s="134"/>
      <c r="BG1" s="133"/>
      <c r="BH1" s="134"/>
      <c r="BJ1" s="133"/>
      <c r="BK1" s="134"/>
      <c r="BM1" s="133"/>
      <c r="BN1" s="134"/>
      <c r="BP1" s="133"/>
      <c r="BQ1" s="134"/>
      <c r="BS1" s="133"/>
      <c r="BT1" s="134"/>
      <c r="BV1" s="133"/>
      <c r="BW1" s="134"/>
      <c r="BY1" s="133"/>
      <c r="BZ1" s="134"/>
      <c r="CB1" s="133"/>
      <c r="CC1" s="134"/>
      <c r="CE1" s="133"/>
      <c r="CF1" s="134"/>
      <c r="CH1" s="133"/>
      <c r="CI1" s="134"/>
      <c r="CK1" s="133"/>
      <c r="CL1" s="134"/>
      <c r="CN1" s="133"/>
      <c r="CO1" s="134"/>
      <c r="CQ1" s="133"/>
      <c r="CR1" s="134"/>
      <c r="CT1" s="133"/>
      <c r="CU1" s="134"/>
      <c r="CW1" s="133"/>
      <c r="CX1" s="134"/>
      <c r="CZ1" s="133"/>
      <c r="DA1" s="134"/>
      <c r="DC1" s="133"/>
      <c r="DD1" s="134"/>
      <c r="DF1" s="133"/>
      <c r="DG1" s="134"/>
      <c r="DI1" s="133"/>
      <c r="DJ1" s="134"/>
      <c r="DL1" s="133"/>
      <c r="DM1" s="134"/>
      <c r="DO1" s="133"/>
      <c r="DP1" s="134"/>
      <c r="DR1" s="133"/>
      <c r="DS1" s="134"/>
      <c r="DU1" s="133"/>
      <c r="DV1" s="134"/>
      <c r="DX1" s="133"/>
      <c r="DY1" s="134"/>
      <c r="DZ1" s="136"/>
      <c r="ED1" s="137"/>
      <c r="EE1" s="138" t="s">
        <v>107</v>
      </c>
      <c r="EI1" s="137" t="s">
        <v>108</v>
      </c>
      <c r="EM1" s="137"/>
      <c r="EN1" s="137" t="s">
        <v>109</v>
      </c>
      <c r="EO1" s="132" t="s">
        <v>110</v>
      </c>
      <c r="EP1" s="132" t="s">
        <v>111</v>
      </c>
      <c r="EQ1" s="132" t="s">
        <v>112</v>
      </c>
    </row>
    <row r="2" spans="1:147" s="135" customFormat="1" ht="16.5" thickBot="1" x14ac:dyDescent="0.3">
      <c r="A2" s="132" t="s">
        <v>113</v>
      </c>
      <c r="B2" s="133"/>
      <c r="C2" s="134"/>
      <c r="E2" s="139"/>
      <c r="F2" s="134"/>
      <c r="G2" s="137"/>
      <c r="H2" s="133"/>
      <c r="I2" s="134"/>
      <c r="K2" s="133"/>
      <c r="L2" s="134"/>
      <c r="N2" s="133"/>
      <c r="O2" s="134"/>
      <c r="Q2" s="133"/>
      <c r="R2" s="134"/>
      <c r="T2" s="133"/>
      <c r="U2" s="134"/>
      <c r="W2" s="133"/>
      <c r="X2" s="134"/>
      <c r="Z2" s="133"/>
      <c r="AA2" s="134"/>
      <c r="AC2" s="133"/>
      <c r="AD2" s="134"/>
      <c r="AF2" s="133"/>
      <c r="AG2" s="134"/>
      <c r="AI2" s="133"/>
      <c r="AJ2" s="134"/>
      <c r="AL2" s="133"/>
      <c r="AM2" s="134"/>
      <c r="AO2" s="133"/>
      <c r="AP2" s="134"/>
      <c r="AR2" s="133"/>
      <c r="AS2" s="134"/>
      <c r="AU2" s="133"/>
      <c r="AV2" s="134"/>
      <c r="AX2" s="133"/>
      <c r="AY2" s="134"/>
      <c r="BA2" s="133"/>
      <c r="BB2" s="134"/>
      <c r="BD2" s="133"/>
      <c r="BE2" s="134"/>
      <c r="BG2" s="133"/>
      <c r="BH2" s="134"/>
      <c r="BJ2" s="133"/>
      <c r="BK2" s="134"/>
      <c r="BM2" s="133"/>
      <c r="BN2" s="134"/>
      <c r="BP2" s="133"/>
      <c r="BQ2" s="134"/>
      <c r="BS2" s="133"/>
      <c r="BT2" s="134"/>
      <c r="BV2" s="133"/>
      <c r="BW2" s="134"/>
      <c r="BY2" s="133"/>
      <c r="BZ2" s="134"/>
      <c r="CB2" s="133"/>
      <c r="CC2" s="134"/>
      <c r="CE2" s="133"/>
      <c r="CF2" s="134"/>
      <c r="CH2" s="133"/>
      <c r="CI2" s="134"/>
      <c r="CK2" s="133"/>
      <c r="CL2" s="134"/>
      <c r="CN2" s="133"/>
      <c r="CO2" s="134"/>
      <c r="CQ2" s="133"/>
      <c r="CR2" s="134"/>
      <c r="CT2" s="133"/>
      <c r="CU2" s="134"/>
      <c r="CW2" s="133"/>
      <c r="CX2" s="134"/>
      <c r="CZ2" s="133"/>
      <c r="DA2" s="134"/>
      <c r="DC2" s="133"/>
      <c r="DD2" s="134"/>
      <c r="DF2" s="133"/>
      <c r="DG2" s="134"/>
      <c r="DI2" s="133"/>
      <c r="DJ2" s="134"/>
      <c r="DL2" s="133"/>
      <c r="DM2" s="134"/>
      <c r="DO2" s="133"/>
      <c r="DP2" s="134"/>
      <c r="DR2" s="133"/>
      <c r="DS2" s="134"/>
      <c r="DU2" s="133"/>
      <c r="DV2" s="134"/>
      <c r="DX2" s="133"/>
      <c r="DY2" s="134"/>
      <c r="EB2" s="140" t="s">
        <v>114</v>
      </c>
      <c r="EC2" s="140"/>
      <c r="ED2" s="141"/>
      <c r="EE2" s="141">
        <f>EB39</f>
        <v>502625000</v>
      </c>
      <c r="EI2" s="141" t="e">
        <f>#REF!</f>
        <v>#REF!</v>
      </c>
      <c r="EM2" s="141"/>
      <c r="EN2" s="141">
        <f>EK39</f>
        <v>502625000</v>
      </c>
      <c r="EO2" s="133">
        <v>-246997.3</v>
      </c>
      <c r="EP2" s="133">
        <f>EN2+EO2</f>
        <v>502378002.69999999</v>
      </c>
      <c r="EQ2" s="133">
        <f>EE2+EO2</f>
        <v>502378002.69999999</v>
      </c>
    </row>
    <row r="3" spans="1:147" ht="16.5" thickTop="1" x14ac:dyDescent="0.25">
      <c r="A3" s="142" t="s">
        <v>188</v>
      </c>
      <c r="E3" s="146" t="s">
        <v>115</v>
      </c>
      <c r="F3" s="147"/>
      <c r="G3" s="148"/>
      <c r="EB3" s="140" t="s">
        <v>116</v>
      </c>
      <c r="EC3" s="140"/>
      <c r="ED3" s="141"/>
      <c r="EE3" s="141">
        <f>AVERAGE(EB11:EB39)</f>
        <v>489002586.20689654</v>
      </c>
      <c r="EI3" s="141">
        <f>AVERAGE(EG11:EG39)</f>
        <v>0</v>
      </c>
      <c r="EM3" s="141"/>
      <c r="EN3" s="141">
        <f>AVERAGE(EK11:EK39)</f>
        <v>489002586.20689654</v>
      </c>
    </row>
    <row r="4" spans="1:147" x14ac:dyDescent="0.2">
      <c r="D4" s="140"/>
      <c r="E4" s="149" t="s">
        <v>114</v>
      </c>
      <c r="F4" s="141"/>
      <c r="G4" s="150">
        <f>EQ2</f>
        <v>502378002.69999999</v>
      </c>
      <c r="AI4" s="151" t="s">
        <v>117</v>
      </c>
      <c r="EB4" s="140" t="s">
        <v>118</v>
      </c>
      <c r="EC4" s="140"/>
      <c r="ED4" s="152"/>
      <c r="EE4" s="152">
        <f>IF(EE3=0,0,360*(AVERAGE(ED11:ED39)/EE3))</f>
        <v>1.8035825915877324E-2</v>
      </c>
      <c r="EI4" s="152">
        <f>IF(EI3=0,0,360*(AVERAGE(EH11:EH39)/EI3))</f>
        <v>0</v>
      </c>
      <c r="EM4" s="152"/>
      <c r="EN4" s="152">
        <f>IF(EN3=0,0,360*(AVERAGE(EM11:EM39)/EN3))</f>
        <v>1.8035825915877324E-2</v>
      </c>
      <c r="EO4" s="153" t="s">
        <v>119</v>
      </c>
      <c r="EQ4" s="154" t="s">
        <v>117</v>
      </c>
    </row>
    <row r="5" spans="1:147" ht="15.75" x14ac:dyDescent="0.25">
      <c r="D5" s="140"/>
      <c r="E5" s="149" t="s">
        <v>116</v>
      </c>
      <c r="F5" s="141"/>
      <c r="G5" s="150">
        <f>EE3</f>
        <v>489002586.20689654</v>
      </c>
      <c r="AI5" s="155" t="s">
        <v>109</v>
      </c>
      <c r="EB5" s="156" t="s">
        <v>120</v>
      </c>
      <c r="EC5" s="156"/>
      <c r="ED5" s="141"/>
      <c r="EE5" s="141">
        <f>MAX(EB11:EB39)</f>
        <v>517075000</v>
      </c>
      <c r="EI5" s="141">
        <f>MAX(EG11:EG39)</f>
        <v>0</v>
      </c>
      <c r="EM5" s="141"/>
      <c r="EN5" s="141">
        <f>MAX(EK11:EK39)</f>
        <v>517075000</v>
      </c>
    </row>
    <row r="6" spans="1:147" x14ac:dyDescent="0.2">
      <c r="D6" s="140"/>
      <c r="E6" s="149" t="s">
        <v>118</v>
      </c>
      <c r="F6" s="141"/>
      <c r="G6" s="157">
        <f>EE4</f>
        <v>1.8035825915877324E-2</v>
      </c>
    </row>
    <row r="7" spans="1:147" ht="16.5" thickBot="1" x14ac:dyDescent="0.3">
      <c r="D7" s="140"/>
      <c r="E7" s="158" t="s">
        <v>120</v>
      </c>
      <c r="F7" s="159"/>
      <c r="G7" s="160">
        <f>EE5</f>
        <v>517075000</v>
      </c>
      <c r="AI7" s="155" t="s">
        <v>109</v>
      </c>
      <c r="EB7" s="161" t="s">
        <v>121</v>
      </c>
      <c r="EC7" s="161"/>
      <c r="ED7" s="162"/>
      <c r="EE7" s="162"/>
      <c r="EG7" s="161" t="s">
        <v>122</v>
      </c>
      <c r="EH7" s="162"/>
      <c r="EI7" s="162"/>
      <c r="EJ7" s="163"/>
      <c r="EK7" s="161" t="s">
        <v>123</v>
      </c>
      <c r="EL7" s="161"/>
      <c r="EM7" s="162"/>
      <c r="EN7" s="162"/>
    </row>
    <row r="8" spans="1:147" ht="13.5" thickTop="1" x14ac:dyDescent="0.2">
      <c r="AI8" s="164" t="s">
        <v>124</v>
      </c>
      <c r="AL8" s="164" t="s">
        <v>124</v>
      </c>
      <c r="AO8" s="164" t="s">
        <v>124</v>
      </c>
      <c r="AR8" s="164" t="s">
        <v>124</v>
      </c>
      <c r="AU8" s="164" t="s">
        <v>124</v>
      </c>
      <c r="AX8" s="164" t="s">
        <v>124</v>
      </c>
      <c r="BA8" s="164" t="s">
        <v>124</v>
      </c>
      <c r="BD8" s="164" t="s">
        <v>124</v>
      </c>
      <c r="BG8" s="164" t="s">
        <v>124</v>
      </c>
      <c r="BJ8" s="164" t="s">
        <v>124</v>
      </c>
      <c r="BM8" s="164" t="s">
        <v>124</v>
      </c>
      <c r="BP8" s="164" t="s">
        <v>124</v>
      </c>
      <c r="BS8" s="164" t="s">
        <v>124</v>
      </c>
      <c r="BV8" s="164" t="s">
        <v>124</v>
      </c>
      <c r="BY8" s="164" t="s">
        <v>124</v>
      </c>
      <c r="CB8" s="164" t="s">
        <v>124</v>
      </c>
      <c r="CE8" s="164" t="s">
        <v>124</v>
      </c>
      <c r="CH8" s="164" t="s">
        <v>124</v>
      </c>
      <c r="CK8" s="164" t="s">
        <v>124</v>
      </c>
      <c r="CN8" s="164" t="s">
        <v>124</v>
      </c>
      <c r="CQ8" s="164" t="s">
        <v>124</v>
      </c>
      <c r="CT8" s="164" t="s">
        <v>124</v>
      </c>
      <c r="CW8" s="164" t="s">
        <v>124</v>
      </c>
      <c r="CZ8" s="164" t="s">
        <v>124</v>
      </c>
      <c r="DC8" s="164" t="s">
        <v>124</v>
      </c>
      <c r="DF8" s="164" t="s">
        <v>124</v>
      </c>
      <c r="DI8" s="164" t="s">
        <v>124</v>
      </c>
      <c r="DL8" s="164" t="s">
        <v>124</v>
      </c>
      <c r="DO8" s="164" t="s">
        <v>124</v>
      </c>
      <c r="DR8" s="164" t="s">
        <v>124</v>
      </c>
      <c r="EB8" s="165"/>
      <c r="EC8" s="165"/>
      <c r="ED8" s="165"/>
      <c r="EE8" s="165" t="s">
        <v>125</v>
      </c>
      <c r="EG8" s="165"/>
      <c r="EH8" s="166" t="s">
        <v>108</v>
      </c>
      <c r="EI8" s="165" t="s">
        <v>125</v>
      </c>
      <c r="EJ8" s="165"/>
      <c r="EK8" s="154" t="s">
        <v>126</v>
      </c>
      <c r="EL8" s="154" t="s">
        <v>127</v>
      </c>
      <c r="EM8" s="166" t="s">
        <v>128</v>
      </c>
      <c r="EN8" s="165" t="s">
        <v>125</v>
      </c>
    </row>
    <row r="9" spans="1:147" x14ac:dyDescent="0.2">
      <c r="B9" s="167" t="s">
        <v>129</v>
      </c>
      <c r="C9" s="168"/>
      <c r="D9" s="162"/>
      <c r="E9" s="167" t="s">
        <v>130</v>
      </c>
      <c r="F9" s="168"/>
      <c r="G9" s="162"/>
      <c r="H9" s="167" t="s">
        <v>131</v>
      </c>
      <c r="I9" s="168"/>
      <c r="J9" s="162"/>
      <c r="K9" s="167" t="s">
        <v>132</v>
      </c>
      <c r="L9" s="168"/>
      <c r="M9" s="162"/>
      <c r="N9" s="167" t="s">
        <v>133</v>
      </c>
      <c r="O9" s="168"/>
      <c r="P9" s="162"/>
      <c r="Q9" s="167" t="s">
        <v>134</v>
      </c>
      <c r="R9" s="168"/>
      <c r="S9" s="162"/>
      <c r="T9" s="167" t="s">
        <v>135</v>
      </c>
      <c r="U9" s="168"/>
      <c r="V9" s="162"/>
      <c r="W9" s="167" t="s">
        <v>136</v>
      </c>
      <c r="X9" s="168"/>
      <c r="Y9" s="162"/>
      <c r="Z9" s="167" t="s">
        <v>137</v>
      </c>
      <c r="AA9" s="168"/>
      <c r="AB9" s="162"/>
      <c r="AC9" s="169" t="s">
        <v>138</v>
      </c>
      <c r="AD9" s="168"/>
      <c r="AE9" s="162"/>
      <c r="AF9" s="169" t="s">
        <v>139</v>
      </c>
      <c r="AG9" s="168"/>
      <c r="AH9" s="162"/>
      <c r="AI9" s="167" t="s">
        <v>140</v>
      </c>
      <c r="AJ9" s="168"/>
      <c r="AK9" s="162"/>
      <c r="AL9" s="167" t="s">
        <v>141</v>
      </c>
      <c r="AM9" s="168"/>
      <c r="AN9" s="162"/>
      <c r="AO9" s="167" t="s">
        <v>142</v>
      </c>
      <c r="AP9" s="168"/>
      <c r="AQ9" s="162"/>
      <c r="AR9" s="167" t="s">
        <v>143</v>
      </c>
      <c r="AS9" s="168"/>
      <c r="AT9" s="162"/>
      <c r="AU9" s="167" t="s">
        <v>144</v>
      </c>
      <c r="AV9" s="168"/>
      <c r="AW9" s="162"/>
      <c r="AX9" s="167" t="s">
        <v>145</v>
      </c>
      <c r="AY9" s="168"/>
      <c r="AZ9" s="162"/>
      <c r="BA9" s="167" t="s">
        <v>146</v>
      </c>
      <c r="BB9" s="168"/>
      <c r="BC9" s="162"/>
      <c r="BD9" s="167" t="s">
        <v>147</v>
      </c>
      <c r="BE9" s="168"/>
      <c r="BF9" s="162"/>
      <c r="BG9" s="167" t="s">
        <v>148</v>
      </c>
      <c r="BH9" s="168"/>
      <c r="BI9" s="162"/>
      <c r="BJ9" s="167" t="s">
        <v>149</v>
      </c>
      <c r="BK9" s="168"/>
      <c r="BL9" s="162"/>
      <c r="BM9" s="167" t="s">
        <v>150</v>
      </c>
      <c r="BN9" s="168"/>
      <c r="BO9" s="162"/>
      <c r="BP9" s="167" t="s">
        <v>151</v>
      </c>
      <c r="BQ9" s="168"/>
      <c r="BR9" s="162"/>
      <c r="BS9" s="167" t="s">
        <v>152</v>
      </c>
      <c r="BT9" s="168"/>
      <c r="BU9" s="162"/>
      <c r="BV9" s="167" t="s">
        <v>153</v>
      </c>
      <c r="BW9" s="168"/>
      <c r="BX9" s="162"/>
      <c r="BY9" s="167" t="s">
        <v>154</v>
      </c>
      <c r="BZ9" s="168"/>
      <c r="CA9" s="162"/>
      <c r="CB9" s="167" t="s">
        <v>155</v>
      </c>
      <c r="CC9" s="168"/>
      <c r="CD9" s="162"/>
      <c r="CE9" s="167" t="s">
        <v>156</v>
      </c>
      <c r="CF9" s="168"/>
      <c r="CG9" s="162"/>
      <c r="CH9" s="167" t="s">
        <v>157</v>
      </c>
      <c r="CI9" s="168"/>
      <c r="CJ9" s="162"/>
      <c r="CK9" s="167" t="s">
        <v>158</v>
      </c>
      <c r="CL9" s="168"/>
      <c r="CM9" s="162"/>
      <c r="CN9" s="167" t="s">
        <v>159</v>
      </c>
      <c r="CO9" s="168"/>
      <c r="CP9" s="162"/>
      <c r="CQ9" s="167" t="s">
        <v>160</v>
      </c>
      <c r="CR9" s="168"/>
      <c r="CS9" s="162"/>
      <c r="CT9" s="167" t="s">
        <v>161</v>
      </c>
      <c r="CU9" s="168"/>
      <c r="CV9" s="162"/>
      <c r="CW9" s="167" t="s">
        <v>162</v>
      </c>
      <c r="CX9" s="168"/>
      <c r="CY9" s="162"/>
      <c r="CZ9" s="167" t="s">
        <v>163</v>
      </c>
      <c r="DA9" s="168"/>
      <c r="DB9" s="162"/>
      <c r="DC9" s="167" t="s">
        <v>164</v>
      </c>
      <c r="DD9" s="168"/>
      <c r="DE9" s="162"/>
      <c r="DF9" s="167" t="s">
        <v>165</v>
      </c>
      <c r="DG9" s="168"/>
      <c r="DH9" s="162"/>
      <c r="DI9" s="167" t="s">
        <v>166</v>
      </c>
      <c r="DJ9" s="168"/>
      <c r="DK9" s="162"/>
      <c r="DL9" s="167" t="s">
        <v>167</v>
      </c>
      <c r="DM9" s="168"/>
      <c r="DN9" s="162"/>
      <c r="DO9" s="167" t="s">
        <v>168</v>
      </c>
      <c r="DP9" s="168"/>
      <c r="DQ9" s="162"/>
      <c r="DR9" s="167" t="s">
        <v>169</v>
      </c>
      <c r="DS9" s="168"/>
      <c r="DT9" s="162"/>
      <c r="DU9" s="167" t="s">
        <v>170</v>
      </c>
      <c r="DV9" s="168"/>
      <c r="DW9" s="162"/>
      <c r="DX9" s="170" t="s">
        <v>171</v>
      </c>
      <c r="DY9" s="168"/>
      <c r="DZ9" s="162"/>
      <c r="EA9" s="163"/>
      <c r="EB9" s="154" t="s">
        <v>172</v>
      </c>
      <c r="EC9" s="154" t="s">
        <v>173</v>
      </c>
      <c r="ED9" s="165" t="s">
        <v>174</v>
      </c>
      <c r="EE9" s="165" t="s">
        <v>175</v>
      </c>
      <c r="EG9" s="166" t="s">
        <v>176</v>
      </c>
      <c r="EH9" s="165" t="s">
        <v>174</v>
      </c>
      <c r="EI9" s="165" t="s">
        <v>175</v>
      </c>
      <c r="EJ9" s="165"/>
      <c r="EK9" s="166" t="s">
        <v>128</v>
      </c>
      <c r="EL9" s="166" t="s">
        <v>128</v>
      </c>
      <c r="EM9" s="165" t="s">
        <v>174</v>
      </c>
      <c r="EN9" s="165" t="s">
        <v>175</v>
      </c>
    </row>
    <row r="10" spans="1:147" x14ac:dyDescent="0.2">
      <c r="A10" s="165" t="s">
        <v>177</v>
      </c>
      <c r="B10" s="171" t="s">
        <v>178</v>
      </c>
      <c r="C10" s="172" t="s">
        <v>179</v>
      </c>
      <c r="D10" s="173" t="s">
        <v>19</v>
      </c>
      <c r="E10" s="171" t="s">
        <v>178</v>
      </c>
      <c r="F10" s="172" t="s">
        <v>179</v>
      </c>
      <c r="G10" s="173" t="s">
        <v>19</v>
      </c>
      <c r="H10" s="171" t="s">
        <v>178</v>
      </c>
      <c r="I10" s="172" t="s">
        <v>179</v>
      </c>
      <c r="J10" s="173" t="s">
        <v>19</v>
      </c>
      <c r="K10" s="171" t="s">
        <v>178</v>
      </c>
      <c r="L10" s="172" t="s">
        <v>179</v>
      </c>
      <c r="M10" s="173" t="s">
        <v>19</v>
      </c>
      <c r="N10" s="171" t="s">
        <v>178</v>
      </c>
      <c r="O10" s="172" t="s">
        <v>179</v>
      </c>
      <c r="P10" s="173" t="s">
        <v>19</v>
      </c>
      <c r="Q10" s="171" t="s">
        <v>178</v>
      </c>
      <c r="R10" s="172" t="s">
        <v>179</v>
      </c>
      <c r="S10" s="173" t="s">
        <v>19</v>
      </c>
      <c r="T10" s="171" t="s">
        <v>178</v>
      </c>
      <c r="U10" s="172" t="s">
        <v>179</v>
      </c>
      <c r="V10" s="173" t="s">
        <v>19</v>
      </c>
      <c r="W10" s="171" t="s">
        <v>178</v>
      </c>
      <c r="X10" s="172" t="s">
        <v>179</v>
      </c>
      <c r="Y10" s="173" t="s">
        <v>19</v>
      </c>
      <c r="Z10" s="171" t="s">
        <v>178</v>
      </c>
      <c r="AA10" s="172" t="s">
        <v>179</v>
      </c>
      <c r="AB10" s="173" t="s">
        <v>19</v>
      </c>
      <c r="AC10" s="171" t="s">
        <v>178</v>
      </c>
      <c r="AD10" s="172" t="s">
        <v>179</v>
      </c>
      <c r="AE10" s="173" t="s">
        <v>19</v>
      </c>
      <c r="AF10" s="171" t="s">
        <v>178</v>
      </c>
      <c r="AG10" s="172" t="s">
        <v>179</v>
      </c>
      <c r="AH10" s="173" t="s">
        <v>19</v>
      </c>
      <c r="AI10" s="171" t="s">
        <v>178</v>
      </c>
      <c r="AJ10" s="172" t="s">
        <v>179</v>
      </c>
      <c r="AK10" s="173" t="s">
        <v>19</v>
      </c>
      <c r="AL10" s="171" t="s">
        <v>178</v>
      </c>
      <c r="AM10" s="172" t="s">
        <v>179</v>
      </c>
      <c r="AN10" s="173" t="s">
        <v>19</v>
      </c>
      <c r="AO10" s="171" t="s">
        <v>178</v>
      </c>
      <c r="AP10" s="172" t="s">
        <v>179</v>
      </c>
      <c r="AQ10" s="173" t="s">
        <v>19</v>
      </c>
      <c r="AR10" s="171" t="s">
        <v>178</v>
      </c>
      <c r="AS10" s="172" t="s">
        <v>179</v>
      </c>
      <c r="AT10" s="173" t="s">
        <v>19</v>
      </c>
      <c r="AU10" s="171" t="s">
        <v>178</v>
      </c>
      <c r="AV10" s="172" t="s">
        <v>179</v>
      </c>
      <c r="AW10" s="173" t="s">
        <v>19</v>
      </c>
      <c r="AX10" s="171" t="s">
        <v>178</v>
      </c>
      <c r="AY10" s="172" t="s">
        <v>179</v>
      </c>
      <c r="AZ10" s="173" t="s">
        <v>19</v>
      </c>
      <c r="BA10" s="171" t="s">
        <v>178</v>
      </c>
      <c r="BB10" s="172" t="s">
        <v>179</v>
      </c>
      <c r="BC10" s="173" t="s">
        <v>19</v>
      </c>
      <c r="BD10" s="171" t="s">
        <v>178</v>
      </c>
      <c r="BE10" s="172" t="s">
        <v>179</v>
      </c>
      <c r="BF10" s="173" t="s">
        <v>19</v>
      </c>
      <c r="BG10" s="171" t="s">
        <v>178</v>
      </c>
      <c r="BH10" s="172" t="s">
        <v>179</v>
      </c>
      <c r="BI10" s="173" t="s">
        <v>19</v>
      </c>
      <c r="BJ10" s="171" t="s">
        <v>178</v>
      </c>
      <c r="BK10" s="172" t="s">
        <v>179</v>
      </c>
      <c r="BL10" s="173" t="s">
        <v>19</v>
      </c>
      <c r="BM10" s="171" t="s">
        <v>178</v>
      </c>
      <c r="BN10" s="172" t="s">
        <v>179</v>
      </c>
      <c r="BO10" s="173" t="s">
        <v>19</v>
      </c>
      <c r="BP10" s="171" t="s">
        <v>178</v>
      </c>
      <c r="BQ10" s="172" t="s">
        <v>179</v>
      </c>
      <c r="BR10" s="173" t="s">
        <v>19</v>
      </c>
      <c r="BS10" s="171" t="s">
        <v>178</v>
      </c>
      <c r="BT10" s="172" t="s">
        <v>179</v>
      </c>
      <c r="BU10" s="173" t="s">
        <v>19</v>
      </c>
      <c r="BV10" s="171" t="s">
        <v>178</v>
      </c>
      <c r="BW10" s="172" t="s">
        <v>179</v>
      </c>
      <c r="BX10" s="173" t="s">
        <v>19</v>
      </c>
      <c r="BY10" s="171" t="s">
        <v>178</v>
      </c>
      <c r="BZ10" s="172" t="s">
        <v>179</v>
      </c>
      <c r="CA10" s="173" t="s">
        <v>19</v>
      </c>
      <c r="CB10" s="171" t="s">
        <v>178</v>
      </c>
      <c r="CC10" s="172" t="s">
        <v>179</v>
      </c>
      <c r="CD10" s="173" t="s">
        <v>19</v>
      </c>
      <c r="CE10" s="171" t="s">
        <v>178</v>
      </c>
      <c r="CF10" s="172" t="s">
        <v>179</v>
      </c>
      <c r="CG10" s="173" t="s">
        <v>19</v>
      </c>
      <c r="CH10" s="171" t="s">
        <v>178</v>
      </c>
      <c r="CI10" s="172" t="s">
        <v>179</v>
      </c>
      <c r="CJ10" s="173" t="s">
        <v>19</v>
      </c>
      <c r="CK10" s="171" t="s">
        <v>178</v>
      </c>
      <c r="CL10" s="172" t="s">
        <v>179</v>
      </c>
      <c r="CM10" s="173" t="s">
        <v>19</v>
      </c>
      <c r="CN10" s="171" t="s">
        <v>178</v>
      </c>
      <c r="CO10" s="172" t="s">
        <v>179</v>
      </c>
      <c r="CP10" s="173" t="s">
        <v>19</v>
      </c>
      <c r="CQ10" s="171" t="s">
        <v>178</v>
      </c>
      <c r="CR10" s="172" t="s">
        <v>179</v>
      </c>
      <c r="CS10" s="173" t="s">
        <v>19</v>
      </c>
      <c r="CT10" s="171" t="s">
        <v>178</v>
      </c>
      <c r="CU10" s="172" t="s">
        <v>179</v>
      </c>
      <c r="CV10" s="173" t="s">
        <v>19</v>
      </c>
      <c r="CW10" s="171" t="s">
        <v>178</v>
      </c>
      <c r="CX10" s="172" t="s">
        <v>179</v>
      </c>
      <c r="CY10" s="173" t="s">
        <v>19</v>
      </c>
      <c r="CZ10" s="171" t="s">
        <v>178</v>
      </c>
      <c r="DA10" s="172" t="s">
        <v>179</v>
      </c>
      <c r="DB10" s="173" t="s">
        <v>19</v>
      </c>
      <c r="DC10" s="171" t="s">
        <v>178</v>
      </c>
      <c r="DD10" s="172" t="s">
        <v>179</v>
      </c>
      <c r="DE10" s="173" t="s">
        <v>19</v>
      </c>
      <c r="DF10" s="171" t="s">
        <v>178</v>
      </c>
      <c r="DG10" s="172" t="s">
        <v>179</v>
      </c>
      <c r="DH10" s="173" t="s">
        <v>19</v>
      </c>
      <c r="DI10" s="171" t="s">
        <v>178</v>
      </c>
      <c r="DJ10" s="172" t="s">
        <v>179</v>
      </c>
      <c r="DK10" s="173" t="s">
        <v>19</v>
      </c>
      <c r="DL10" s="171" t="s">
        <v>178</v>
      </c>
      <c r="DM10" s="172" t="s">
        <v>179</v>
      </c>
      <c r="DN10" s="173" t="s">
        <v>19</v>
      </c>
      <c r="DO10" s="171" t="s">
        <v>178</v>
      </c>
      <c r="DP10" s="172" t="s">
        <v>179</v>
      </c>
      <c r="DQ10" s="173" t="s">
        <v>19</v>
      </c>
      <c r="DR10" s="171" t="s">
        <v>178</v>
      </c>
      <c r="DS10" s="172" t="s">
        <v>179</v>
      </c>
      <c r="DT10" s="173" t="s">
        <v>19</v>
      </c>
      <c r="DU10" s="171" t="s">
        <v>178</v>
      </c>
      <c r="DV10" s="172" t="s">
        <v>179</v>
      </c>
      <c r="DW10" s="173" t="s">
        <v>19</v>
      </c>
      <c r="DX10" s="171" t="s">
        <v>178</v>
      </c>
      <c r="DY10" s="172"/>
      <c r="DZ10" s="173"/>
      <c r="EA10" s="173"/>
      <c r="EB10" s="173" t="s">
        <v>180</v>
      </c>
      <c r="EC10" s="173" t="s">
        <v>180</v>
      </c>
      <c r="ED10" s="173" t="s">
        <v>19</v>
      </c>
      <c r="EE10" s="174" t="s">
        <v>179</v>
      </c>
      <c r="EG10" s="173" t="s">
        <v>180</v>
      </c>
      <c r="EH10" s="173" t="s">
        <v>19</v>
      </c>
      <c r="EI10" s="174" t="s">
        <v>179</v>
      </c>
      <c r="EJ10" s="174"/>
      <c r="EK10" s="173" t="s">
        <v>180</v>
      </c>
      <c r="EL10" s="173" t="s">
        <v>180</v>
      </c>
      <c r="EM10" s="173" t="s">
        <v>19</v>
      </c>
      <c r="EN10" s="174" t="s">
        <v>179</v>
      </c>
    </row>
    <row r="11" spans="1:147" x14ac:dyDescent="0.2">
      <c r="A11" s="175">
        <v>43862</v>
      </c>
      <c r="D11" s="143"/>
      <c r="G11" s="143">
        <f>(E11*F11)/360</f>
        <v>0</v>
      </c>
      <c r="J11" s="143">
        <f>(H11*I11)/360</f>
        <v>0</v>
      </c>
      <c r="M11" s="143">
        <f>(K11*L11)/360</f>
        <v>0</v>
      </c>
      <c r="P11" s="143">
        <f>(N11*O11)/360</f>
        <v>0</v>
      </c>
      <c r="S11" s="143">
        <f>(Q11*R11)/360</f>
        <v>0</v>
      </c>
      <c r="V11" s="143">
        <f>(T11*U11)/360</f>
        <v>0</v>
      </c>
      <c r="Y11" s="143">
        <f>(W11*X11)/360</f>
        <v>0</v>
      </c>
      <c r="AB11" s="143">
        <f>(Z11*AA11)/360</f>
        <v>0</v>
      </c>
      <c r="AE11" s="143">
        <f>(AC11*AD11)/'[17]Input Sheet'!$B$11</f>
        <v>0</v>
      </c>
      <c r="AH11" s="143">
        <f>(AF11*AG11)/'[17]Input Sheet'!$B$11</f>
        <v>0</v>
      </c>
      <c r="AI11" s="176"/>
      <c r="AJ11" s="177"/>
      <c r="AK11" s="143">
        <f>(AI11*AJ11)/360</f>
        <v>0</v>
      </c>
      <c r="AL11" s="176">
        <v>48450000</v>
      </c>
      <c r="AM11" s="177">
        <v>1.7999999999999999E-2</v>
      </c>
      <c r="AN11" s="143">
        <f>(AL11*AM11)/360</f>
        <v>2422.4999999999995</v>
      </c>
      <c r="AO11" s="176">
        <f t="shared" ref="AO11:AO39" si="0">50000000</f>
        <v>50000000</v>
      </c>
      <c r="AP11" s="177">
        <v>1.84E-2</v>
      </c>
      <c r="AQ11" s="143">
        <f>(AO11*AP11)/360</f>
        <v>2555.5555555555557</v>
      </c>
      <c r="AR11" s="176">
        <f>60000000</f>
        <v>60000000</v>
      </c>
      <c r="AS11" s="177">
        <v>1.8499999999999999E-2</v>
      </c>
      <c r="AT11" s="143">
        <f>(AR11*AS11)/360</f>
        <v>3083.3333333333335</v>
      </c>
      <c r="AU11" s="176">
        <f>50000000+51625000</f>
        <v>101625000</v>
      </c>
      <c r="AV11" s="177">
        <v>1.9E-2</v>
      </c>
      <c r="AW11" s="143">
        <f>(AU11*AV11)/360</f>
        <v>5363.541666666667</v>
      </c>
      <c r="AX11" s="176">
        <f>110375000</f>
        <v>110375000</v>
      </c>
      <c r="AY11" s="177">
        <v>1.9099999999999999E-2</v>
      </c>
      <c r="AZ11" s="143">
        <f>(AX11*AY11)/360</f>
        <v>5856.0069444444443</v>
      </c>
      <c r="BA11" s="176">
        <f t="shared" ref="BA11:BA19" si="1">50000000</f>
        <v>50000000</v>
      </c>
      <c r="BB11" s="177">
        <v>1.8800000000000001E-2</v>
      </c>
      <c r="BC11" s="143">
        <f>(BA11*BB11)/360</f>
        <v>2611.1111111111113</v>
      </c>
      <c r="BF11" s="143">
        <f>(BD11*BE11)/360</f>
        <v>0</v>
      </c>
      <c r="BI11" s="143">
        <f>(BG11*BH11)/360</f>
        <v>0</v>
      </c>
      <c r="BL11" s="143">
        <f>(BJ11*BK11)/360</f>
        <v>0</v>
      </c>
      <c r="BO11" s="143">
        <f>(BM11*BN11)/360</f>
        <v>0</v>
      </c>
      <c r="BR11" s="143">
        <f>(BP11*BQ11)/360</f>
        <v>0</v>
      </c>
      <c r="BU11" s="143">
        <f>(BS11*BT11)/360</f>
        <v>0</v>
      </c>
      <c r="BX11" s="143">
        <f>(BV11*BW11)/360</f>
        <v>0</v>
      </c>
      <c r="CA11" s="143">
        <f>(BY11*BZ11)/360</f>
        <v>0</v>
      </c>
      <c r="CD11" s="143">
        <f>(CB11*CC11)/360</f>
        <v>0</v>
      </c>
      <c r="CG11" s="143">
        <f>(CE11*CF11)/360</f>
        <v>0</v>
      </c>
      <c r="CJ11" s="143">
        <f>(CH11*CI11)/360</f>
        <v>0</v>
      </c>
      <c r="CM11" s="143">
        <f>(CK11*CL11)/360</f>
        <v>0</v>
      </c>
      <c r="CP11" s="143">
        <f>(CN11*CO11)/360</f>
        <v>0</v>
      </c>
      <c r="CS11" s="143">
        <f>(CQ11*CR11)/360</f>
        <v>0</v>
      </c>
      <c r="CV11" s="143">
        <f>(CT11*CU11)/360</f>
        <v>0</v>
      </c>
      <c r="CY11" s="143">
        <f>(CW11*CX11)/360</f>
        <v>0</v>
      </c>
      <c r="DB11" s="143">
        <f>(CZ11*DA11)/360</f>
        <v>0</v>
      </c>
      <c r="DE11" s="143">
        <f>(DC11*DD11)/360</f>
        <v>0</v>
      </c>
      <c r="DH11" s="143">
        <f>(DF11*DG11)/360</f>
        <v>0</v>
      </c>
      <c r="DK11" s="143">
        <f>(DI11*DJ11)/360</f>
        <v>0</v>
      </c>
      <c r="DN11" s="143">
        <f>(DL11*DM11)/360</f>
        <v>0</v>
      </c>
      <c r="DQ11" s="143">
        <f>(DO11*DP11)/360</f>
        <v>0</v>
      </c>
      <c r="DT11" s="143">
        <f>(DR11*DS11)/360</f>
        <v>0</v>
      </c>
      <c r="DW11" s="143">
        <f>(DU11*DV11)/360</f>
        <v>0</v>
      </c>
      <c r="DZ11" s="143"/>
      <c r="EA11" s="143"/>
      <c r="EB11" s="178">
        <f>B11+E11+H11+K11+N11+Q11+T11+W11+Z11+AC11+AF11+AL11+AO11+AR11+AU11+AX11+BA11+BD11+BG11+DU11+AI11+DR11+DO11+DL11+DI11+DF11+DC11+CZ11+CW11+CT11+CQ11+CN11+CK11+CH11+CE11+CB11+BY11+BV11+BS11+BP11+BM11+BJ11</f>
        <v>420450000</v>
      </c>
      <c r="EC11" s="178">
        <f>EB11-EK11+EL11</f>
        <v>0</v>
      </c>
      <c r="ED11" s="143">
        <f>D11+G11+J11+M11+P11+S11+V11+Y11+AB11+AE11+AH11+AK11+AN11+AQ11+AT11+AW11+AZ11+BC11+BF11+BI11+DW11+DT11+DQ11+DN11+DK11+DH11+DE11+DB11+CY11+CV11+CS11+CP11+CM11+CJ11+CG11+CD11+CA11+BX11+BU11+BR11+BO11+BL11</f>
        <v>21892.048611111109</v>
      </c>
      <c r="EE11" s="144">
        <f>IF(EB11&lt;&gt;0,((ED11/EB11)*360),0)</f>
        <v>1.8744529670591033E-2</v>
      </c>
      <c r="EG11" s="178">
        <f>Q11+T11+W11+Z11+AC11+AF11</f>
        <v>0</v>
      </c>
      <c r="EH11" s="143">
        <f>S11+V11+Y11+AB11+AE11+AH11</f>
        <v>0</v>
      </c>
      <c r="EI11" s="144">
        <f>IF(EG11&lt;&gt;0,((EH11/EG11)*360),0)</f>
        <v>0</v>
      </c>
      <c r="EJ11" s="144"/>
      <c r="EK11" s="178">
        <f>DR11+DL11+DI11+DF11+DC11+CZ11+CW11+CT11+CQ11+CN11+CK11+CH11+CE11+CB11+BY11+BV11+BS11+BP11+BM11+BJ11+BG11+BD11+BA11+AX11+AU11+AR11+AO11+AL11+AI11+DO11</f>
        <v>420450000</v>
      </c>
      <c r="EL11" s="178">
        <f>DX11</f>
        <v>0</v>
      </c>
      <c r="EM11" s="178">
        <f>DT11+DQ11+DN11+DK11+DH11+DE11+DB11+CY11+CV11+CS11+CP11+CM11+CJ11+CG11+CD11+CA11+BX11+BU11+BR11+BO11+BL11+BI11+BF11+BC11+AZ11+AW11+AT11+AQ11+AN11+AK11</f>
        <v>21892.048611111109</v>
      </c>
      <c r="EN11" s="144">
        <f>IF(EK11&lt;&gt;0,((EM11/EK11)*360),0)</f>
        <v>1.8744529670591033E-2</v>
      </c>
      <c r="EO11" s="179"/>
      <c r="EP11" s="143"/>
    </row>
    <row r="12" spans="1:147" x14ac:dyDescent="0.2">
      <c r="A12" s="175">
        <f>1+A11</f>
        <v>43863</v>
      </c>
      <c r="D12" s="143"/>
      <c r="G12" s="143">
        <f t="shared" ref="G12:G39" si="2">(E12*F12)/360</f>
        <v>0</v>
      </c>
      <c r="J12" s="143">
        <f t="shared" ref="J12:J39" si="3">(H12*I12)/360</f>
        <v>0</v>
      </c>
      <c r="M12" s="143">
        <f t="shared" ref="M12:M39" si="4">(K12*L12)/360</f>
        <v>0</v>
      </c>
      <c r="P12" s="143">
        <f t="shared" ref="P12:P39" si="5">(N12*O12)/360</f>
        <v>0</v>
      </c>
      <c r="S12" s="143">
        <f t="shared" ref="S12:S39" si="6">(Q12*R12)/360</f>
        <v>0</v>
      </c>
      <c r="V12" s="143">
        <f t="shared" ref="V12:V39" si="7">(T12*U12)/360</f>
        <v>0</v>
      </c>
      <c r="Y12" s="143">
        <f t="shared" ref="Y12:Y39" si="8">(W12*X12)/360</f>
        <v>0</v>
      </c>
      <c r="AB12" s="143">
        <f t="shared" ref="AB12:AB39" si="9">(Z12*AA12)/360</f>
        <v>0</v>
      </c>
      <c r="AE12" s="143">
        <f>(AC12*AD12)/'[17]Input Sheet'!$B$11</f>
        <v>0</v>
      </c>
      <c r="AH12" s="143">
        <f>(AF12*AG12)/'[17]Input Sheet'!$B$11</f>
        <v>0</v>
      </c>
      <c r="AI12" s="176"/>
      <c r="AJ12" s="177"/>
      <c r="AK12" s="143">
        <f t="shared" ref="AK12:AK39" si="10">(AI12*AJ12)/360</f>
        <v>0</v>
      </c>
      <c r="AL12" s="176">
        <v>48450000</v>
      </c>
      <c r="AM12" s="177">
        <v>1.7999999999999999E-2</v>
      </c>
      <c r="AN12" s="143">
        <f t="shared" ref="AN12:AN39" si="11">(AL12*AM12)/360</f>
        <v>2422.4999999999995</v>
      </c>
      <c r="AO12" s="176">
        <f t="shared" si="0"/>
        <v>50000000</v>
      </c>
      <c r="AP12" s="177">
        <v>1.84E-2</v>
      </c>
      <c r="AQ12" s="143">
        <f t="shared" ref="AQ12:AQ39" si="12">(AO12*AP12)/360</f>
        <v>2555.5555555555557</v>
      </c>
      <c r="AR12" s="176">
        <f t="shared" ref="AR12:AR29" si="13">60000000</f>
        <v>60000000</v>
      </c>
      <c r="AS12" s="177">
        <v>1.8499999999999999E-2</v>
      </c>
      <c r="AT12" s="143">
        <f t="shared" ref="AT12:AT39" si="14">(AR12*AS12)/360</f>
        <v>3083.3333333333335</v>
      </c>
      <c r="AU12" s="176">
        <f>50000000+51625000</f>
        <v>101625000</v>
      </c>
      <c r="AV12" s="177">
        <v>1.9E-2</v>
      </c>
      <c r="AW12" s="143">
        <f t="shared" ref="AW12:AW39" si="15">(AU12*AV12)/360</f>
        <v>5363.541666666667</v>
      </c>
      <c r="AX12" s="176">
        <f>110375000</f>
        <v>110375000</v>
      </c>
      <c r="AY12" s="177">
        <v>1.9099999999999999E-2</v>
      </c>
      <c r="AZ12" s="143">
        <f t="shared" ref="AZ12:AZ39" si="16">(AX12*AY12)/360</f>
        <v>5856.0069444444443</v>
      </c>
      <c r="BA12" s="176">
        <f t="shared" si="1"/>
        <v>50000000</v>
      </c>
      <c r="BB12" s="177">
        <v>1.8800000000000001E-2</v>
      </c>
      <c r="BC12" s="143">
        <f t="shared" ref="BC12:BC39" si="17">(BA12*BB12)/360</f>
        <v>2611.1111111111113</v>
      </c>
      <c r="BF12" s="143">
        <f t="shared" ref="BF12:BF39" si="18">(BD12*BE12)/360</f>
        <v>0</v>
      </c>
      <c r="BI12" s="143">
        <f t="shared" ref="BI12:BI39" si="19">(BG12*BH12)/360</f>
        <v>0</v>
      </c>
      <c r="BL12" s="143">
        <f t="shared" ref="BL12:BL39" si="20">(BJ12*BK12)/360</f>
        <v>0</v>
      </c>
      <c r="BO12" s="143">
        <f t="shared" ref="BO12:BO39" si="21">(BM12*BN12)/360</f>
        <v>0</v>
      </c>
      <c r="BR12" s="143">
        <f t="shared" ref="BR12:BR39" si="22">(BP12*BQ12)/360</f>
        <v>0</v>
      </c>
      <c r="BU12" s="143">
        <f t="shared" ref="BU12:BU39" si="23">(BS12*BT12)/360</f>
        <v>0</v>
      </c>
      <c r="BX12" s="143">
        <f t="shared" ref="BX12:BX39" si="24">(BV12*BW12)/360</f>
        <v>0</v>
      </c>
      <c r="CA12" s="143">
        <f t="shared" ref="CA12:CA39" si="25">(BY12*BZ12)/360</f>
        <v>0</v>
      </c>
      <c r="CD12" s="143">
        <f t="shared" ref="CD12:CD39" si="26">(CB12*CC12)/360</f>
        <v>0</v>
      </c>
      <c r="CG12" s="143">
        <f t="shared" ref="CG12:CG39" si="27">(CE12*CF12)/360</f>
        <v>0</v>
      </c>
      <c r="CJ12" s="143">
        <f t="shared" ref="CJ12:CJ39" si="28">(CH12*CI12)/360</f>
        <v>0</v>
      </c>
      <c r="CM12" s="143">
        <f t="shared" ref="CM12:CM39" si="29">(CK12*CL12)/360</f>
        <v>0</v>
      </c>
      <c r="CP12" s="143">
        <f t="shared" ref="CP12:CP39" si="30">(CN12*CO12)/360</f>
        <v>0</v>
      </c>
      <c r="CS12" s="143">
        <f t="shared" ref="CS12:CS39" si="31">(CQ12*CR12)/360</f>
        <v>0</v>
      </c>
      <c r="CV12" s="143">
        <f t="shared" ref="CV12:CV39" si="32">(CT12*CU12)/360</f>
        <v>0</v>
      </c>
      <c r="CY12" s="143">
        <f t="shared" ref="CY12:CY39" si="33">(CW12*CX12)/360</f>
        <v>0</v>
      </c>
      <c r="DB12" s="143">
        <f t="shared" ref="DB12:DB39" si="34">(CZ12*DA12)/360</f>
        <v>0</v>
      </c>
      <c r="DE12" s="143">
        <f t="shared" ref="DE12:DE39" si="35">(DC12*DD12)/360</f>
        <v>0</v>
      </c>
      <c r="DH12" s="143">
        <f t="shared" ref="DH12:DH39" si="36">(DF12*DG12)/360</f>
        <v>0</v>
      </c>
      <c r="DK12" s="143">
        <f t="shared" ref="DK12:DK39" si="37">(DI12*DJ12)/360</f>
        <v>0</v>
      </c>
      <c r="DN12" s="143">
        <f t="shared" ref="DN12:DN39" si="38">(DL12*DM12)/360</f>
        <v>0</v>
      </c>
      <c r="DQ12" s="143">
        <f t="shared" ref="DQ12:DQ39" si="39">(DO12*DP12)/360</f>
        <v>0</v>
      </c>
      <c r="DT12" s="143">
        <f t="shared" ref="DT12:DT39" si="40">(DR12*DS12)/360</f>
        <v>0</v>
      </c>
      <c r="DW12" s="143">
        <f t="shared" ref="DW12:DW39" si="41">(DU12*DV12)/360</f>
        <v>0</v>
      </c>
      <c r="DZ12" s="143"/>
      <c r="EA12" s="143"/>
      <c r="EB12" s="178">
        <f t="shared" ref="EB12:EB39" si="42">B12+E12+H12+K12+N12+Q12+T12+W12+Z12+AC12+AF12+AL12+AO12+AR12+AU12+AX12+BA12+BD12+BG12+DU12+AI12+DR12+DO12+DL12+DI12+DF12+DC12+CZ12+CW12+CT12+CQ12+CN12+CK12+CH12+CE12+CB12+BY12+BV12+BS12+BP12+BM12+BJ12</f>
        <v>420450000</v>
      </c>
      <c r="EC12" s="178">
        <f t="shared" ref="EC12:EC39" si="43">EB12-EK12+EL12</f>
        <v>0</v>
      </c>
      <c r="ED12" s="143">
        <f t="shared" ref="ED12:ED39" si="44">D12+G12+J12+M12+P12+S12+V12+Y12+AB12+AE12+AH12+AK12+AN12+AQ12+AT12+AW12+AZ12+BC12+BF12+BI12+DW12+DT12+DQ12+DN12+DK12+DH12+DE12+DB12+CY12+CV12+CS12+CP12+CM12+CJ12+CG12+CD12+CA12+BX12+BU12+BR12+BO12+BL12</f>
        <v>21892.048611111109</v>
      </c>
      <c r="EE12" s="144">
        <f t="shared" ref="EE12:EE39" si="45">IF(EB12&lt;&gt;0,((ED12/EB12)*360),0)</f>
        <v>1.8744529670591033E-2</v>
      </c>
      <c r="EG12" s="178">
        <f t="shared" ref="EG12:EG39" si="46">Q12+T12+W12+Z12+AC12+AF12</f>
        <v>0</v>
      </c>
      <c r="EH12" s="143">
        <f t="shared" ref="EH12:EH39" si="47">S12+V12+Y12+AB12+AE12+AH12</f>
        <v>0</v>
      </c>
      <c r="EI12" s="144">
        <f t="shared" ref="EI12:EI39" si="48">IF(EG12&lt;&gt;0,((EH12/EG12)*360),0)</f>
        <v>0</v>
      </c>
      <c r="EJ12" s="144"/>
      <c r="EK12" s="178">
        <f t="shared" ref="EK12:EK39" si="49">DR12+DL12+DI12+DF12+DC12+CZ12+CW12+CT12+CQ12+CN12+CK12+CH12+CE12+CB12+BY12+BV12+BS12+BP12+BM12+BJ12+BG12+BD12+BA12+AX12+AU12+AR12+AO12+AL12+AI12+DO12</f>
        <v>420450000</v>
      </c>
      <c r="EL12" s="178">
        <f t="shared" ref="EL12:EL39" si="50">DX12</f>
        <v>0</v>
      </c>
      <c r="EM12" s="178">
        <f t="shared" ref="EM12:EM39" si="51">DT12+DQ12+DN12+DK12+DH12+DE12+DB12+CY12+CV12+CS12+CP12+CM12+CJ12+CG12+CD12+CA12+BX12+BU12+BR12+BO12+BL12+BI12+BF12+BC12+AZ12+AW12+AT12+AQ12+AN12+AK12</f>
        <v>21892.048611111109</v>
      </c>
      <c r="EN12" s="144">
        <f t="shared" ref="EN12:EN39" si="52">IF(EK12&lt;&gt;0,((EM12/EK12)*360),0)</f>
        <v>1.8744529670591033E-2</v>
      </c>
      <c r="EP12" s="143"/>
    </row>
    <row r="13" spans="1:147" x14ac:dyDescent="0.2">
      <c r="A13" s="175">
        <f t="shared" ref="A13:A39" si="53">1+A12</f>
        <v>43864</v>
      </c>
      <c r="D13" s="143"/>
      <c r="G13" s="143">
        <f t="shared" si="2"/>
        <v>0</v>
      </c>
      <c r="J13" s="143">
        <f t="shared" si="3"/>
        <v>0</v>
      </c>
      <c r="M13" s="143">
        <f t="shared" si="4"/>
        <v>0</v>
      </c>
      <c r="P13" s="143">
        <f t="shared" si="5"/>
        <v>0</v>
      </c>
      <c r="S13" s="143">
        <f t="shared" si="6"/>
        <v>0</v>
      </c>
      <c r="V13" s="143">
        <f t="shared" si="7"/>
        <v>0</v>
      </c>
      <c r="Y13" s="143">
        <f t="shared" si="8"/>
        <v>0</v>
      </c>
      <c r="AB13" s="143">
        <f t="shared" si="9"/>
        <v>0</v>
      </c>
      <c r="AE13" s="143">
        <f>(AC13*AD13)/'[17]Input Sheet'!$B$11</f>
        <v>0</v>
      </c>
      <c r="AH13" s="143">
        <f>(AF13*AG13)/'[17]Input Sheet'!$B$11</f>
        <v>0</v>
      </c>
      <c r="AI13" s="176">
        <v>57000000</v>
      </c>
      <c r="AJ13" s="177">
        <v>1.7000000000000001E-2</v>
      </c>
      <c r="AK13" s="143">
        <f t="shared" si="10"/>
        <v>2691.666666666667</v>
      </c>
      <c r="AL13" s="176">
        <f t="shared" ref="AL13:AL39" si="54">48450000+96124000+3876000+50000000</f>
        <v>198450000</v>
      </c>
      <c r="AM13" s="177">
        <v>1.7999999999999999E-2</v>
      </c>
      <c r="AN13" s="143">
        <f t="shared" si="11"/>
        <v>9922.4999999999982</v>
      </c>
      <c r="AO13" s="176">
        <f t="shared" si="0"/>
        <v>50000000</v>
      </c>
      <c r="AP13" s="177">
        <v>1.84E-2</v>
      </c>
      <c r="AQ13" s="143">
        <f t="shared" si="12"/>
        <v>2555.5555555555557</v>
      </c>
      <c r="AR13" s="176">
        <f t="shared" si="13"/>
        <v>60000000</v>
      </c>
      <c r="AS13" s="177">
        <v>1.8499999999999999E-2</v>
      </c>
      <c r="AT13" s="143">
        <f t="shared" si="14"/>
        <v>3083.3333333333335</v>
      </c>
      <c r="AU13" s="176">
        <f>50000000+51625000</f>
        <v>101625000</v>
      </c>
      <c r="AV13" s="177">
        <v>1.9E-2</v>
      </c>
      <c r="AW13" s="143">
        <f t="shared" si="15"/>
        <v>5363.541666666667</v>
      </c>
      <c r="AX13" s="176"/>
      <c r="AY13" s="177"/>
      <c r="AZ13" s="143">
        <f t="shared" si="16"/>
        <v>0</v>
      </c>
      <c r="BA13" s="176">
        <f t="shared" si="1"/>
        <v>50000000</v>
      </c>
      <c r="BB13" s="177">
        <v>1.8800000000000001E-2</v>
      </c>
      <c r="BC13" s="143">
        <f t="shared" si="17"/>
        <v>2611.1111111111113</v>
      </c>
      <c r="BF13" s="143">
        <f t="shared" si="18"/>
        <v>0</v>
      </c>
      <c r="BI13" s="143">
        <f t="shared" si="19"/>
        <v>0</v>
      </c>
      <c r="BL13" s="143">
        <f t="shared" si="20"/>
        <v>0</v>
      </c>
      <c r="BO13" s="143">
        <f t="shared" si="21"/>
        <v>0</v>
      </c>
      <c r="BR13" s="143">
        <f t="shared" si="22"/>
        <v>0</v>
      </c>
      <c r="BU13" s="143">
        <f t="shared" si="23"/>
        <v>0</v>
      </c>
      <c r="BX13" s="143">
        <f t="shared" si="24"/>
        <v>0</v>
      </c>
      <c r="CA13" s="143">
        <f t="shared" si="25"/>
        <v>0</v>
      </c>
      <c r="CD13" s="143">
        <f t="shared" si="26"/>
        <v>0</v>
      </c>
      <c r="CG13" s="143">
        <f t="shared" si="27"/>
        <v>0</v>
      </c>
      <c r="CJ13" s="143">
        <f t="shared" si="28"/>
        <v>0</v>
      </c>
      <c r="CM13" s="143">
        <f t="shared" si="29"/>
        <v>0</v>
      </c>
      <c r="CP13" s="143">
        <f t="shared" si="30"/>
        <v>0</v>
      </c>
      <c r="CS13" s="143">
        <f t="shared" si="31"/>
        <v>0</v>
      </c>
      <c r="CV13" s="143">
        <f t="shared" si="32"/>
        <v>0</v>
      </c>
      <c r="CY13" s="143">
        <f t="shared" si="33"/>
        <v>0</v>
      </c>
      <c r="DB13" s="143">
        <f t="shared" si="34"/>
        <v>0</v>
      </c>
      <c r="DE13" s="143">
        <f t="shared" si="35"/>
        <v>0</v>
      </c>
      <c r="DH13" s="143">
        <f t="shared" si="36"/>
        <v>0</v>
      </c>
      <c r="DK13" s="143">
        <f t="shared" si="37"/>
        <v>0</v>
      </c>
      <c r="DN13" s="143">
        <f t="shared" si="38"/>
        <v>0</v>
      </c>
      <c r="DQ13" s="143">
        <f t="shared" si="39"/>
        <v>0</v>
      </c>
      <c r="DT13" s="143">
        <f t="shared" si="40"/>
        <v>0</v>
      </c>
      <c r="DW13" s="143">
        <f t="shared" si="41"/>
        <v>0</v>
      </c>
      <c r="DZ13" s="143"/>
      <c r="EA13" s="143"/>
      <c r="EB13" s="178">
        <f t="shared" si="42"/>
        <v>517075000</v>
      </c>
      <c r="EC13" s="178">
        <f t="shared" si="43"/>
        <v>0</v>
      </c>
      <c r="ED13" s="143">
        <f t="shared" si="44"/>
        <v>26227.708333333328</v>
      </c>
      <c r="EE13" s="144">
        <f t="shared" si="45"/>
        <v>1.8260358748730839E-2</v>
      </c>
      <c r="EG13" s="178">
        <f t="shared" si="46"/>
        <v>0</v>
      </c>
      <c r="EH13" s="143">
        <f t="shared" si="47"/>
        <v>0</v>
      </c>
      <c r="EI13" s="144">
        <f t="shared" si="48"/>
        <v>0</v>
      </c>
      <c r="EJ13" s="144"/>
      <c r="EK13" s="178">
        <f t="shared" si="49"/>
        <v>517075000</v>
      </c>
      <c r="EL13" s="178">
        <f t="shared" si="50"/>
        <v>0</v>
      </c>
      <c r="EM13" s="178">
        <f t="shared" si="51"/>
        <v>26227.708333333332</v>
      </c>
      <c r="EN13" s="144">
        <f t="shared" si="52"/>
        <v>1.8260358748730839E-2</v>
      </c>
      <c r="EP13" s="143"/>
    </row>
    <row r="14" spans="1:147" x14ac:dyDescent="0.2">
      <c r="A14" s="175">
        <f t="shared" si="53"/>
        <v>43865</v>
      </c>
      <c r="D14" s="143"/>
      <c r="G14" s="143">
        <f t="shared" si="2"/>
        <v>0</v>
      </c>
      <c r="J14" s="143">
        <f t="shared" si="3"/>
        <v>0</v>
      </c>
      <c r="M14" s="143">
        <f t="shared" si="4"/>
        <v>0</v>
      </c>
      <c r="P14" s="143">
        <f t="shared" si="5"/>
        <v>0</v>
      </c>
      <c r="S14" s="143">
        <f t="shared" si="6"/>
        <v>0</v>
      </c>
      <c r="V14" s="143">
        <f t="shared" si="7"/>
        <v>0</v>
      </c>
      <c r="Y14" s="143">
        <f t="shared" si="8"/>
        <v>0</v>
      </c>
      <c r="AB14" s="143">
        <f t="shared" si="9"/>
        <v>0</v>
      </c>
      <c r="AE14" s="143">
        <f>(AC14*AD14)/'[17]Input Sheet'!$B$11</f>
        <v>0</v>
      </c>
      <c r="AH14" s="143">
        <f>(AF14*AG14)/'[17]Input Sheet'!$B$11</f>
        <v>0</v>
      </c>
      <c r="AI14" s="176">
        <f>50300000</f>
        <v>50300000</v>
      </c>
      <c r="AJ14" s="177">
        <v>1.7000000000000001E-2</v>
      </c>
      <c r="AK14" s="143">
        <f t="shared" si="10"/>
        <v>2375.2777777777783</v>
      </c>
      <c r="AL14" s="176">
        <f t="shared" si="54"/>
        <v>198450000</v>
      </c>
      <c r="AM14" s="177">
        <v>1.7999999999999999E-2</v>
      </c>
      <c r="AN14" s="143">
        <f t="shared" si="11"/>
        <v>9922.4999999999982</v>
      </c>
      <c r="AO14" s="176">
        <f t="shared" si="0"/>
        <v>50000000</v>
      </c>
      <c r="AP14" s="177">
        <v>1.84E-2</v>
      </c>
      <c r="AQ14" s="143">
        <f t="shared" si="12"/>
        <v>2555.5555555555557</v>
      </c>
      <c r="AR14" s="176">
        <f t="shared" si="13"/>
        <v>60000000</v>
      </c>
      <c r="AS14" s="177">
        <v>1.8499999999999999E-2</v>
      </c>
      <c r="AT14" s="143">
        <f t="shared" si="14"/>
        <v>3083.3333333333335</v>
      </c>
      <c r="AU14" s="176">
        <f>50000000+51625000</f>
        <v>101625000</v>
      </c>
      <c r="AV14" s="177">
        <v>1.9E-2</v>
      </c>
      <c r="AW14" s="143">
        <f t="shared" si="15"/>
        <v>5363.541666666667</v>
      </c>
      <c r="AX14" s="176"/>
      <c r="AY14" s="177"/>
      <c r="AZ14" s="143">
        <f t="shared" si="16"/>
        <v>0</v>
      </c>
      <c r="BA14" s="176">
        <f t="shared" si="1"/>
        <v>50000000</v>
      </c>
      <c r="BB14" s="177">
        <v>1.8800000000000001E-2</v>
      </c>
      <c r="BC14" s="143">
        <f t="shared" si="17"/>
        <v>2611.1111111111113</v>
      </c>
      <c r="BF14" s="143">
        <f t="shared" si="18"/>
        <v>0</v>
      </c>
      <c r="BI14" s="143">
        <f t="shared" si="19"/>
        <v>0</v>
      </c>
      <c r="BL14" s="143">
        <f t="shared" si="20"/>
        <v>0</v>
      </c>
      <c r="BO14" s="143">
        <f t="shared" si="21"/>
        <v>0</v>
      </c>
      <c r="BR14" s="143">
        <f t="shared" si="22"/>
        <v>0</v>
      </c>
      <c r="BU14" s="143">
        <f t="shared" si="23"/>
        <v>0</v>
      </c>
      <c r="BX14" s="143">
        <f t="shared" si="24"/>
        <v>0</v>
      </c>
      <c r="CA14" s="143">
        <f t="shared" si="25"/>
        <v>0</v>
      </c>
      <c r="CD14" s="143">
        <f t="shared" si="26"/>
        <v>0</v>
      </c>
      <c r="CG14" s="143">
        <f t="shared" si="27"/>
        <v>0</v>
      </c>
      <c r="CJ14" s="143">
        <f t="shared" si="28"/>
        <v>0</v>
      </c>
      <c r="CM14" s="143">
        <f t="shared" si="29"/>
        <v>0</v>
      </c>
      <c r="CP14" s="143">
        <f t="shared" si="30"/>
        <v>0</v>
      </c>
      <c r="CS14" s="143">
        <f t="shared" si="31"/>
        <v>0</v>
      </c>
      <c r="CV14" s="143">
        <f t="shared" si="32"/>
        <v>0</v>
      </c>
      <c r="CY14" s="143">
        <f t="shared" si="33"/>
        <v>0</v>
      </c>
      <c r="DB14" s="143">
        <f t="shared" si="34"/>
        <v>0</v>
      </c>
      <c r="DE14" s="143">
        <f t="shared" si="35"/>
        <v>0</v>
      </c>
      <c r="DH14" s="143">
        <f t="shared" si="36"/>
        <v>0</v>
      </c>
      <c r="DK14" s="143">
        <f t="shared" si="37"/>
        <v>0</v>
      </c>
      <c r="DN14" s="143">
        <f t="shared" si="38"/>
        <v>0</v>
      </c>
      <c r="DQ14" s="143">
        <f t="shared" si="39"/>
        <v>0</v>
      </c>
      <c r="DT14" s="143">
        <f t="shared" si="40"/>
        <v>0</v>
      </c>
      <c r="DW14" s="143">
        <f t="shared" si="41"/>
        <v>0</v>
      </c>
      <c r="DZ14" s="143"/>
      <c r="EA14" s="143"/>
      <c r="EB14" s="178">
        <f t="shared" si="42"/>
        <v>510375000</v>
      </c>
      <c r="EC14" s="178">
        <f t="shared" si="43"/>
        <v>0</v>
      </c>
      <c r="ED14" s="143">
        <f t="shared" si="44"/>
        <v>25911.319444444445</v>
      </c>
      <c r="EE14" s="144">
        <f t="shared" si="45"/>
        <v>1.8276904237080581E-2</v>
      </c>
      <c r="EG14" s="178">
        <f t="shared" si="46"/>
        <v>0</v>
      </c>
      <c r="EH14" s="143">
        <f t="shared" si="47"/>
        <v>0</v>
      </c>
      <c r="EI14" s="144">
        <f t="shared" si="48"/>
        <v>0</v>
      </c>
      <c r="EJ14" s="144"/>
      <c r="EK14" s="178">
        <f t="shared" si="49"/>
        <v>510375000</v>
      </c>
      <c r="EL14" s="178">
        <f t="shared" si="50"/>
        <v>0</v>
      </c>
      <c r="EM14" s="178">
        <f t="shared" si="51"/>
        <v>25911.319444444442</v>
      </c>
      <c r="EN14" s="144">
        <f t="shared" si="52"/>
        <v>1.8276904237080577E-2</v>
      </c>
      <c r="EP14" s="143"/>
    </row>
    <row r="15" spans="1:147" x14ac:dyDescent="0.2">
      <c r="A15" s="175">
        <f t="shared" si="53"/>
        <v>43866</v>
      </c>
      <c r="D15" s="143"/>
      <c r="G15" s="143">
        <f t="shared" si="2"/>
        <v>0</v>
      </c>
      <c r="J15" s="143">
        <f t="shared" si="3"/>
        <v>0</v>
      </c>
      <c r="M15" s="143">
        <f t="shared" si="4"/>
        <v>0</v>
      </c>
      <c r="P15" s="143">
        <f t="shared" si="5"/>
        <v>0</v>
      </c>
      <c r="S15" s="143">
        <f t="shared" si="6"/>
        <v>0</v>
      </c>
      <c r="V15" s="143">
        <f t="shared" si="7"/>
        <v>0</v>
      </c>
      <c r="Y15" s="143">
        <f t="shared" si="8"/>
        <v>0</v>
      </c>
      <c r="AB15" s="143">
        <f t="shared" si="9"/>
        <v>0</v>
      </c>
      <c r="AE15" s="143">
        <f>(AC15*AD15)/'[17]Input Sheet'!$B$11</f>
        <v>0</v>
      </c>
      <c r="AH15" s="143">
        <f>(AF15*AG15)/'[17]Input Sheet'!$B$11</f>
        <v>0</v>
      </c>
      <c r="AI15" s="176">
        <f>40500000</f>
        <v>40500000</v>
      </c>
      <c r="AJ15" s="177">
        <v>1.7000000000000001E-2</v>
      </c>
      <c r="AK15" s="143">
        <f t="shared" si="10"/>
        <v>1912.5</v>
      </c>
      <c r="AL15" s="176">
        <f t="shared" si="54"/>
        <v>198450000</v>
      </c>
      <c r="AM15" s="177">
        <v>1.7999999999999999E-2</v>
      </c>
      <c r="AN15" s="143">
        <f t="shared" si="11"/>
        <v>9922.4999999999982</v>
      </c>
      <c r="AO15" s="176">
        <f t="shared" si="0"/>
        <v>50000000</v>
      </c>
      <c r="AP15" s="177">
        <v>1.84E-2</v>
      </c>
      <c r="AQ15" s="143">
        <f t="shared" si="12"/>
        <v>2555.5555555555557</v>
      </c>
      <c r="AR15" s="176">
        <f t="shared" si="13"/>
        <v>60000000</v>
      </c>
      <c r="AS15" s="177">
        <v>1.8499999999999999E-2</v>
      </c>
      <c r="AT15" s="143">
        <f t="shared" si="14"/>
        <v>3083.3333333333335</v>
      </c>
      <c r="AU15" s="176">
        <f>50000000+51625000</f>
        <v>101625000</v>
      </c>
      <c r="AV15" s="177">
        <v>1.9E-2</v>
      </c>
      <c r="AW15" s="143">
        <f t="shared" si="15"/>
        <v>5363.541666666667</v>
      </c>
      <c r="AX15" s="176"/>
      <c r="AY15" s="177"/>
      <c r="AZ15" s="143">
        <f t="shared" si="16"/>
        <v>0</v>
      </c>
      <c r="BA15" s="176">
        <f t="shared" si="1"/>
        <v>50000000</v>
      </c>
      <c r="BB15" s="177">
        <v>1.8800000000000001E-2</v>
      </c>
      <c r="BC15" s="143">
        <f t="shared" si="17"/>
        <v>2611.1111111111113</v>
      </c>
      <c r="BF15" s="143">
        <f t="shared" si="18"/>
        <v>0</v>
      </c>
      <c r="BI15" s="143">
        <f t="shared" si="19"/>
        <v>0</v>
      </c>
      <c r="BL15" s="143">
        <f t="shared" si="20"/>
        <v>0</v>
      </c>
      <c r="BO15" s="143">
        <f t="shared" si="21"/>
        <v>0</v>
      </c>
      <c r="BR15" s="143">
        <f t="shared" si="22"/>
        <v>0</v>
      </c>
      <c r="BU15" s="143">
        <f t="shared" si="23"/>
        <v>0</v>
      </c>
      <c r="BX15" s="143">
        <f t="shared" si="24"/>
        <v>0</v>
      </c>
      <c r="CA15" s="143">
        <f t="shared" si="25"/>
        <v>0</v>
      </c>
      <c r="CD15" s="143">
        <f t="shared" si="26"/>
        <v>0</v>
      </c>
      <c r="CG15" s="143">
        <f t="shared" si="27"/>
        <v>0</v>
      </c>
      <c r="CJ15" s="143">
        <f t="shared" si="28"/>
        <v>0</v>
      </c>
      <c r="CM15" s="143">
        <f t="shared" si="29"/>
        <v>0</v>
      </c>
      <c r="CP15" s="143">
        <f t="shared" si="30"/>
        <v>0</v>
      </c>
      <c r="CS15" s="143">
        <f t="shared" si="31"/>
        <v>0</v>
      </c>
      <c r="CV15" s="143">
        <f t="shared" si="32"/>
        <v>0</v>
      </c>
      <c r="CY15" s="143">
        <f t="shared" si="33"/>
        <v>0</v>
      </c>
      <c r="DB15" s="143">
        <f t="shared" si="34"/>
        <v>0</v>
      </c>
      <c r="DE15" s="143">
        <f t="shared" si="35"/>
        <v>0</v>
      </c>
      <c r="DH15" s="143">
        <f t="shared" si="36"/>
        <v>0</v>
      </c>
      <c r="DK15" s="143">
        <f t="shared" si="37"/>
        <v>0</v>
      </c>
      <c r="DN15" s="143">
        <f t="shared" si="38"/>
        <v>0</v>
      </c>
      <c r="DQ15" s="143">
        <f t="shared" si="39"/>
        <v>0</v>
      </c>
      <c r="DT15" s="143">
        <f t="shared" si="40"/>
        <v>0</v>
      </c>
      <c r="DW15" s="143">
        <f t="shared" si="41"/>
        <v>0</v>
      </c>
      <c r="DZ15" s="143"/>
      <c r="EA15" s="143"/>
      <c r="EB15" s="178">
        <f t="shared" si="42"/>
        <v>500575000</v>
      </c>
      <c r="EC15" s="178">
        <f t="shared" si="43"/>
        <v>0</v>
      </c>
      <c r="ED15" s="143">
        <f t="shared" si="44"/>
        <v>25448.541666666664</v>
      </c>
      <c r="EE15" s="144">
        <f t="shared" si="45"/>
        <v>1.8301902811766468E-2</v>
      </c>
      <c r="EG15" s="178">
        <f t="shared" si="46"/>
        <v>0</v>
      </c>
      <c r="EH15" s="143">
        <f t="shared" si="47"/>
        <v>0</v>
      </c>
      <c r="EI15" s="144">
        <f t="shared" si="48"/>
        <v>0</v>
      </c>
      <c r="EJ15" s="144"/>
      <c r="EK15" s="178">
        <f t="shared" si="49"/>
        <v>500575000</v>
      </c>
      <c r="EL15" s="178">
        <f t="shared" si="50"/>
        <v>0</v>
      </c>
      <c r="EM15" s="178">
        <f t="shared" si="51"/>
        <v>25448.541666666664</v>
      </c>
      <c r="EN15" s="144">
        <f t="shared" si="52"/>
        <v>1.8301902811766468E-2</v>
      </c>
      <c r="EP15" s="143"/>
    </row>
    <row r="16" spans="1:147" x14ac:dyDescent="0.2">
      <c r="A16" s="175">
        <f t="shared" si="53"/>
        <v>43867</v>
      </c>
      <c r="D16" s="143"/>
      <c r="G16" s="143">
        <f t="shared" si="2"/>
        <v>0</v>
      </c>
      <c r="J16" s="143">
        <f t="shared" si="3"/>
        <v>0</v>
      </c>
      <c r="M16" s="143">
        <f t="shared" si="4"/>
        <v>0</v>
      </c>
      <c r="P16" s="143">
        <f t="shared" si="5"/>
        <v>0</v>
      </c>
      <c r="S16" s="143">
        <f t="shared" si="6"/>
        <v>0</v>
      </c>
      <c r="V16" s="143">
        <f t="shared" si="7"/>
        <v>0</v>
      </c>
      <c r="Y16" s="143">
        <f t="shared" si="8"/>
        <v>0</v>
      </c>
      <c r="AB16" s="143">
        <f t="shared" si="9"/>
        <v>0</v>
      </c>
      <c r="AE16" s="143">
        <f>(AC16*AD16)/'[17]Input Sheet'!$B$11</f>
        <v>0</v>
      </c>
      <c r="AH16" s="143">
        <f>(AF16*AG16)/'[17]Input Sheet'!$B$11</f>
        <v>0</v>
      </c>
      <c r="AI16" s="176">
        <f>33650000</f>
        <v>33650000</v>
      </c>
      <c r="AJ16" s="177">
        <v>1.7000000000000001E-2</v>
      </c>
      <c r="AK16" s="143">
        <f t="shared" si="10"/>
        <v>1589.0277777777778</v>
      </c>
      <c r="AL16" s="176">
        <f t="shared" si="54"/>
        <v>198450000</v>
      </c>
      <c r="AM16" s="177">
        <v>1.7999999999999999E-2</v>
      </c>
      <c r="AN16" s="143">
        <f t="shared" si="11"/>
        <v>9922.4999999999982</v>
      </c>
      <c r="AO16" s="176">
        <f t="shared" si="0"/>
        <v>50000000</v>
      </c>
      <c r="AP16" s="177">
        <v>1.84E-2</v>
      </c>
      <c r="AQ16" s="143">
        <f t="shared" si="12"/>
        <v>2555.5555555555557</v>
      </c>
      <c r="AR16" s="176">
        <f t="shared" si="13"/>
        <v>60000000</v>
      </c>
      <c r="AS16" s="177">
        <v>1.8499999999999999E-2</v>
      </c>
      <c r="AT16" s="143">
        <f t="shared" si="14"/>
        <v>3083.3333333333335</v>
      </c>
      <c r="AU16" s="176">
        <f>51625000</f>
        <v>51625000</v>
      </c>
      <c r="AV16" s="177">
        <v>1.9E-2</v>
      </c>
      <c r="AW16" s="143">
        <f t="shared" si="15"/>
        <v>2724.6527777777778</v>
      </c>
      <c r="AX16" s="176">
        <f>50000000</f>
        <v>50000000</v>
      </c>
      <c r="AY16" s="177">
        <v>1.7899999999999999E-2</v>
      </c>
      <c r="AZ16" s="143">
        <f t="shared" si="16"/>
        <v>2486.1111111111113</v>
      </c>
      <c r="BA16" s="176">
        <f t="shared" si="1"/>
        <v>50000000</v>
      </c>
      <c r="BB16" s="177">
        <v>1.8800000000000001E-2</v>
      </c>
      <c r="BC16" s="143">
        <f t="shared" si="17"/>
        <v>2611.1111111111113</v>
      </c>
      <c r="BF16" s="143">
        <f t="shared" si="18"/>
        <v>0</v>
      </c>
      <c r="BI16" s="143">
        <f t="shared" si="19"/>
        <v>0</v>
      </c>
      <c r="BL16" s="143">
        <f t="shared" si="20"/>
        <v>0</v>
      </c>
      <c r="BO16" s="143">
        <f t="shared" si="21"/>
        <v>0</v>
      </c>
      <c r="BR16" s="143">
        <f t="shared" si="22"/>
        <v>0</v>
      </c>
      <c r="BU16" s="143">
        <f t="shared" si="23"/>
        <v>0</v>
      </c>
      <c r="BX16" s="143">
        <f t="shared" si="24"/>
        <v>0</v>
      </c>
      <c r="CA16" s="143">
        <f t="shared" si="25"/>
        <v>0</v>
      </c>
      <c r="CD16" s="143">
        <f t="shared" si="26"/>
        <v>0</v>
      </c>
      <c r="CG16" s="143">
        <f t="shared" si="27"/>
        <v>0</v>
      </c>
      <c r="CJ16" s="143">
        <f t="shared" si="28"/>
        <v>0</v>
      </c>
      <c r="CM16" s="143">
        <f t="shared" si="29"/>
        <v>0</v>
      </c>
      <c r="CP16" s="143">
        <f t="shared" si="30"/>
        <v>0</v>
      </c>
      <c r="CS16" s="143">
        <f t="shared" si="31"/>
        <v>0</v>
      </c>
      <c r="CV16" s="143">
        <f t="shared" si="32"/>
        <v>0</v>
      </c>
      <c r="CY16" s="143">
        <f t="shared" si="33"/>
        <v>0</v>
      </c>
      <c r="DB16" s="143">
        <f t="shared" si="34"/>
        <v>0</v>
      </c>
      <c r="DE16" s="143">
        <f t="shared" si="35"/>
        <v>0</v>
      </c>
      <c r="DH16" s="143">
        <f t="shared" si="36"/>
        <v>0</v>
      </c>
      <c r="DK16" s="143">
        <f t="shared" si="37"/>
        <v>0</v>
      </c>
      <c r="DN16" s="143">
        <f t="shared" si="38"/>
        <v>0</v>
      </c>
      <c r="DQ16" s="143">
        <f t="shared" si="39"/>
        <v>0</v>
      </c>
      <c r="DT16" s="143">
        <f t="shared" si="40"/>
        <v>0</v>
      </c>
      <c r="DW16" s="143">
        <f t="shared" si="41"/>
        <v>0</v>
      </c>
      <c r="DZ16" s="143"/>
      <c r="EA16" s="143"/>
      <c r="EB16" s="178">
        <f t="shared" si="42"/>
        <v>493725000</v>
      </c>
      <c r="EC16" s="178">
        <f t="shared" si="43"/>
        <v>0</v>
      </c>
      <c r="ED16" s="143">
        <f t="shared" si="44"/>
        <v>24972.291666666664</v>
      </c>
      <c r="EE16" s="144">
        <f t="shared" si="45"/>
        <v>1.8208567522406197E-2</v>
      </c>
      <c r="EG16" s="178">
        <f t="shared" si="46"/>
        <v>0</v>
      </c>
      <c r="EH16" s="143">
        <f t="shared" si="47"/>
        <v>0</v>
      </c>
      <c r="EI16" s="144">
        <f t="shared" si="48"/>
        <v>0</v>
      </c>
      <c r="EJ16" s="144"/>
      <c r="EK16" s="178">
        <f t="shared" si="49"/>
        <v>493725000</v>
      </c>
      <c r="EL16" s="178">
        <f t="shared" si="50"/>
        <v>0</v>
      </c>
      <c r="EM16" s="178">
        <f t="shared" si="51"/>
        <v>24972.291666666668</v>
      </c>
      <c r="EN16" s="144">
        <f t="shared" si="52"/>
        <v>1.82085675224062E-2</v>
      </c>
      <c r="EP16" s="143"/>
    </row>
    <row r="17" spans="1:146" x14ac:dyDescent="0.2">
      <c r="A17" s="175">
        <f t="shared" si="53"/>
        <v>43868</v>
      </c>
      <c r="D17" s="143"/>
      <c r="G17" s="143">
        <f t="shared" si="2"/>
        <v>0</v>
      </c>
      <c r="J17" s="143">
        <f t="shared" si="3"/>
        <v>0</v>
      </c>
      <c r="M17" s="143">
        <f t="shared" si="4"/>
        <v>0</v>
      </c>
      <c r="P17" s="143">
        <f t="shared" si="5"/>
        <v>0</v>
      </c>
      <c r="S17" s="143">
        <f t="shared" si="6"/>
        <v>0</v>
      </c>
      <c r="V17" s="143">
        <f t="shared" si="7"/>
        <v>0</v>
      </c>
      <c r="Y17" s="143">
        <f t="shared" si="8"/>
        <v>0</v>
      </c>
      <c r="AB17" s="143">
        <f t="shared" si="9"/>
        <v>0</v>
      </c>
      <c r="AE17" s="143">
        <f>(AC17*AD17)/'[17]Input Sheet'!$B$11</f>
        <v>0</v>
      </c>
      <c r="AH17" s="143">
        <f>(AF17*AG17)/'[17]Input Sheet'!$B$11</f>
        <v>0</v>
      </c>
      <c r="AI17" s="176">
        <f>55400000</f>
        <v>55400000</v>
      </c>
      <c r="AJ17" s="177">
        <v>1.7000000000000001E-2</v>
      </c>
      <c r="AK17" s="143">
        <f t="shared" si="10"/>
        <v>2616.1111111111113</v>
      </c>
      <c r="AL17" s="176">
        <f t="shared" si="54"/>
        <v>198450000</v>
      </c>
      <c r="AM17" s="177">
        <v>1.7999999999999999E-2</v>
      </c>
      <c r="AN17" s="143">
        <f t="shared" si="11"/>
        <v>9922.4999999999982</v>
      </c>
      <c r="AO17" s="176">
        <f t="shared" si="0"/>
        <v>50000000</v>
      </c>
      <c r="AP17" s="177">
        <v>1.84E-2</v>
      </c>
      <c r="AQ17" s="143">
        <f t="shared" si="12"/>
        <v>2555.5555555555557</v>
      </c>
      <c r="AR17" s="176">
        <f t="shared" si="13"/>
        <v>60000000</v>
      </c>
      <c r="AS17" s="177">
        <v>1.8499999999999999E-2</v>
      </c>
      <c r="AT17" s="143">
        <f t="shared" si="14"/>
        <v>3083.3333333333335</v>
      </c>
      <c r="AU17" s="176"/>
      <c r="AV17" s="177"/>
      <c r="AW17" s="143">
        <f t="shared" si="15"/>
        <v>0</v>
      </c>
      <c r="AX17" s="176">
        <f t="shared" ref="AX17:AX39" si="55">50000000+30000000</f>
        <v>80000000</v>
      </c>
      <c r="AY17" s="177">
        <v>1.7899999999999999E-2</v>
      </c>
      <c r="AZ17" s="143">
        <f t="shared" si="16"/>
        <v>3977.7777777777778</v>
      </c>
      <c r="BA17" s="176">
        <f t="shared" si="1"/>
        <v>50000000</v>
      </c>
      <c r="BB17" s="177">
        <v>1.8800000000000001E-2</v>
      </c>
      <c r="BC17" s="143">
        <f t="shared" si="17"/>
        <v>2611.1111111111113</v>
      </c>
      <c r="BF17" s="143">
        <f t="shared" si="18"/>
        <v>0</v>
      </c>
      <c r="BI17" s="143">
        <f t="shared" si="19"/>
        <v>0</v>
      </c>
      <c r="BL17" s="143">
        <f t="shared" si="20"/>
        <v>0</v>
      </c>
      <c r="BO17" s="143">
        <f t="shared" si="21"/>
        <v>0</v>
      </c>
      <c r="BR17" s="143">
        <f t="shared" si="22"/>
        <v>0</v>
      </c>
      <c r="BU17" s="143">
        <f t="shared" si="23"/>
        <v>0</v>
      </c>
      <c r="BX17" s="143">
        <f t="shared" si="24"/>
        <v>0</v>
      </c>
      <c r="CA17" s="143">
        <f t="shared" si="25"/>
        <v>0</v>
      </c>
      <c r="CD17" s="143">
        <f t="shared" si="26"/>
        <v>0</v>
      </c>
      <c r="CG17" s="143">
        <f t="shared" si="27"/>
        <v>0</v>
      </c>
      <c r="CJ17" s="143">
        <f t="shared" si="28"/>
        <v>0</v>
      </c>
      <c r="CM17" s="143">
        <f t="shared" si="29"/>
        <v>0</v>
      </c>
      <c r="CP17" s="143">
        <f t="shared" si="30"/>
        <v>0</v>
      </c>
      <c r="CS17" s="143">
        <f t="shared" si="31"/>
        <v>0</v>
      </c>
      <c r="CV17" s="143">
        <f t="shared" si="32"/>
        <v>0</v>
      </c>
      <c r="CY17" s="143">
        <f t="shared" si="33"/>
        <v>0</v>
      </c>
      <c r="DB17" s="143">
        <f t="shared" si="34"/>
        <v>0</v>
      </c>
      <c r="DE17" s="143">
        <f t="shared" si="35"/>
        <v>0</v>
      </c>
      <c r="DH17" s="143">
        <f t="shared" si="36"/>
        <v>0</v>
      </c>
      <c r="DK17" s="143">
        <f t="shared" si="37"/>
        <v>0</v>
      </c>
      <c r="DN17" s="143">
        <f t="shared" si="38"/>
        <v>0</v>
      </c>
      <c r="DQ17" s="143">
        <f t="shared" si="39"/>
        <v>0</v>
      </c>
      <c r="DT17" s="143">
        <f t="shared" si="40"/>
        <v>0</v>
      </c>
      <c r="DW17" s="143">
        <f t="shared" si="41"/>
        <v>0</v>
      </c>
      <c r="DZ17" s="143"/>
      <c r="EA17" s="143"/>
      <c r="EB17" s="178">
        <f t="shared" si="42"/>
        <v>493850000</v>
      </c>
      <c r="EC17" s="178">
        <f t="shared" si="43"/>
        <v>0</v>
      </c>
      <c r="ED17" s="143">
        <f t="shared" si="44"/>
        <v>24766.388888888883</v>
      </c>
      <c r="EE17" s="144">
        <f t="shared" si="45"/>
        <v>1.8053862508858962E-2</v>
      </c>
      <c r="EG17" s="178">
        <f t="shared" si="46"/>
        <v>0</v>
      </c>
      <c r="EH17" s="143">
        <f t="shared" si="47"/>
        <v>0</v>
      </c>
      <c r="EI17" s="144">
        <f t="shared" si="48"/>
        <v>0</v>
      </c>
      <c r="EJ17" s="144"/>
      <c r="EK17" s="178">
        <f t="shared" si="49"/>
        <v>493850000</v>
      </c>
      <c r="EL17" s="178">
        <f t="shared" si="50"/>
        <v>0</v>
      </c>
      <c r="EM17" s="178">
        <f t="shared" si="51"/>
        <v>24766.388888888883</v>
      </c>
      <c r="EN17" s="144">
        <f t="shared" si="52"/>
        <v>1.8053862508858962E-2</v>
      </c>
      <c r="EP17" s="143"/>
    </row>
    <row r="18" spans="1:146" x14ac:dyDescent="0.2">
      <c r="A18" s="175">
        <f t="shared" si="53"/>
        <v>43869</v>
      </c>
      <c r="D18" s="143"/>
      <c r="G18" s="143">
        <f t="shared" si="2"/>
        <v>0</v>
      </c>
      <c r="J18" s="143">
        <f t="shared" si="3"/>
        <v>0</v>
      </c>
      <c r="M18" s="143">
        <f t="shared" si="4"/>
        <v>0</v>
      </c>
      <c r="P18" s="143">
        <f t="shared" si="5"/>
        <v>0</v>
      </c>
      <c r="S18" s="143">
        <f t="shared" si="6"/>
        <v>0</v>
      </c>
      <c r="V18" s="143">
        <f t="shared" si="7"/>
        <v>0</v>
      </c>
      <c r="Y18" s="143">
        <f t="shared" si="8"/>
        <v>0</v>
      </c>
      <c r="AB18" s="143">
        <f t="shared" si="9"/>
        <v>0</v>
      </c>
      <c r="AE18" s="143">
        <f>(AC18*AD18)/'[17]Input Sheet'!$B$11</f>
        <v>0</v>
      </c>
      <c r="AH18" s="143">
        <f>(AF18*AG18)/'[17]Input Sheet'!$B$11</f>
        <v>0</v>
      </c>
      <c r="AI18" s="176">
        <f>55400000</f>
        <v>55400000</v>
      </c>
      <c r="AJ18" s="177">
        <v>1.7000000000000001E-2</v>
      </c>
      <c r="AK18" s="143">
        <f t="shared" si="10"/>
        <v>2616.1111111111113</v>
      </c>
      <c r="AL18" s="176">
        <f t="shared" si="54"/>
        <v>198450000</v>
      </c>
      <c r="AM18" s="177">
        <v>1.7999999999999999E-2</v>
      </c>
      <c r="AN18" s="143">
        <f t="shared" si="11"/>
        <v>9922.4999999999982</v>
      </c>
      <c r="AO18" s="176">
        <f t="shared" si="0"/>
        <v>50000000</v>
      </c>
      <c r="AP18" s="177">
        <v>1.84E-2</v>
      </c>
      <c r="AQ18" s="143">
        <f t="shared" si="12"/>
        <v>2555.5555555555557</v>
      </c>
      <c r="AR18" s="176">
        <f t="shared" si="13"/>
        <v>60000000</v>
      </c>
      <c r="AS18" s="177">
        <v>1.8499999999999999E-2</v>
      </c>
      <c r="AT18" s="143">
        <f t="shared" si="14"/>
        <v>3083.3333333333335</v>
      </c>
      <c r="AU18" s="176"/>
      <c r="AV18" s="177"/>
      <c r="AW18" s="143">
        <f t="shared" si="15"/>
        <v>0</v>
      </c>
      <c r="AX18" s="176">
        <f t="shared" si="55"/>
        <v>80000000</v>
      </c>
      <c r="AY18" s="177">
        <v>1.7899999999999999E-2</v>
      </c>
      <c r="AZ18" s="143">
        <f t="shared" si="16"/>
        <v>3977.7777777777778</v>
      </c>
      <c r="BA18" s="176">
        <f t="shared" si="1"/>
        <v>50000000</v>
      </c>
      <c r="BB18" s="177">
        <v>1.8800000000000001E-2</v>
      </c>
      <c r="BC18" s="143">
        <f t="shared" si="17"/>
        <v>2611.1111111111113</v>
      </c>
      <c r="BF18" s="143">
        <f t="shared" si="18"/>
        <v>0</v>
      </c>
      <c r="BI18" s="143">
        <f t="shared" si="19"/>
        <v>0</v>
      </c>
      <c r="BL18" s="143">
        <f t="shared" si="20"/>
        <v>0</v>
      </c>
      <c r="BO18" s="143">
        <f t="shared" si="21"/>
        <v>0</v>
      </c>
      <c r="BR18" s="143">
        <f t="shared" si="22"/>
        <v>0</v>
      </c>
      <c r="BU18" s="143">
        <f t="shared" si="23"/>
        <v>0</v>
      </c>
      <c r="BX18" s="143">
        <f t="shared" si="24"/>
        <v>0</v>
      </c>
      <c r="CA18" s="143">
        <f t="shared" si="25"/>
        <v>0</v>
      </c>
      <c r="CD18" s="143">
        <f t="shared" si="26"/>
        <v>0</v>
      </c>
      <c r="CG18" s="143">
        <f t="shared" si="27"/>
        <v>0</v>
      </c>
      <c r="CJ18" s="143">
        <f t="shared" si="28"/>
        <v>0</v>
      </c>
      <c r="CM18" s="143">
        <f t="shared" si="29"/>
        <v>0</v>
      </c>
      <c r="CP18" s="143">
        <f t="shared" si="30"/>
        <v>0</v>
      </c>
      <c r="CS18" s="143">
        <f t="shared" si="31"/>
        <v>0</v>
      </c>
      <c r="CV18" s="143">
        <f t="shared" si="32"/>
        <v>0</v>
      </c>
      <c r="CY18" s="143">
        <f t="shared" si="33"/>
        <v>0</v>
      </c>
      <c r="DB18" s="143">
        <f t="shared" si="34"/>
        <v>0</v>
      </c>
      <c r="DE18" s="143">
        <f t="shared" si="35"/>
        <v>0</v>
      </c>
      <c r="DH18" s="143">
        <f t="shared" si="36"/>
        <v>0</v>
      </c>
      <c r="DK18" s="143">
        <f t="shared" si="37"/>
        <v>0</v>
      </c>
      <c r="DN18" s="143">
        <f t="shared" si="38"/>
        <v>0</v>
      </c>
      <c r="DQ18" s="143">
        <f t="shared" si="39"/>
        <v>0</v>
      </c>
      <c r="DT18" s="143">
        <f t="shared" si="40"/>
        <v>0</v>
      </c>
      <c r="DW18" s="143">
        <f t="shared" si="41"/>
        <v>0</v>
      </c>
      <c r="DZ18" s="143"/>
      <c r="EA18" s="143"/>
      <c r="EB18" s="178">
        <f t="shared" si="42"/>
        <v>493850000</v>
      </c>
      <c r="EC18" s="178">
        <f t="shared" si="43"/>
        <v>0</v>
      </c>
      <c r="ED18" s="143">
        <f t="shared" si="44"/>
        <v>24766.388888888883</v>
      </c>
      <c r="EE18" s="144">
        <f t="shared" si="45"/>
        <v>1.8053862508858962E-2</v>
      </c>
      <c r="EG18" s="178">
        <f t="shared" si="46"/>
        <v>0</v>
      </c>
      <c r="EH18" s="143">
        <f t="shared" si="47"/>
        <v>0</v>
      </c>
      <c r="EI18" s="144">
        <f t="shared" si="48"/>
        <v>0</v>
      </c>
      <c r="EJ18" s="144"/>
      <c r="EK18" s="178">
        <f t="shared" si="49"/>
        <v>493850000</v>
      </c>
      <c r="EL18" s="178">
        <f t="shared" si="50"/>
        <v>0</v>
      </c>
      <c r="EM18" s="178">
        <f t="shared" si="51"/>
        <v>24766.388888888883</v>
      </c>
      <c r="EN18" s="144">
        <f t="shared" si="52"/>
        <v>1.8053862508858962E-2</v>
      </c>
      <c r="EP18" s="143"/>
    </row>
    <row r="19" spans="1:146" x14ac:dyDescent="0.2">
      <c r="A19" s="175">
        <f t="shared" si="53"/>
        <v>43870</v>
      </c>
      <c r="D19" s="143"/>
      <c r="G19" s="143">
        <f t="shared" si="2"/>
        <v>0</v>
      </c>
      <c r="J19" s="143">
        <f t="shared" si="3"/>
        <v>0</v>
      </c>
      <c r="M19" s="143">
        <f t="shared" si="4"/>
        <v>0</v>
      </c>
      <c r="P19" s="143">
        <f t="shared" si="5"/>
        <v>0</v>
      </c>
      <c r="S19" s="143">
        <f t="shared" si="6"/>
        <v>0</v>
      </c>
      <c r="V19" s="143">
        <f t="shared" si="7"/>
        <v>0</v>
      </c>
      <c r="Y19" s="143">
        <f t="shared" si="8"/>
        <v>0</v>
      </c>
      <c r="AB19" s="143">
        <f t="shared" si="9"/>
        <v>0</v>
      </c>
      <c r="AE19" s="143">
        <f>(AC19*AD19)/'[17]Input Sheet'!$B$11</f>
        <v>0</v>
      </c>
      <c r="AH19" s="143">
        <f>(AF19*AG19)/'[17]Input Sheet'!$B$11</f>
        <v>0</v>
      </c>
      <c r="AI19" s="176">
        <f>55400000</f>
        <v>55400000</v>
      </c>
      <c r="AJ19" s="177">
        <v>1.7000000000000001E-2</v>
      </c>
      <c r="AK19" s="143">
        <f t="shared" si="10"/>
        <v>2616.1111111111113</v>
      </c>
      <c r="AL19" s="176">
        <f t="shared" si="54"/>
        <v>198450000</v>
      </c>
      <c r="AM19" s="177">
        <v>1.7999999999999999E-2</v>
      </c>
      <c r="AN19" s="143">
        <f t="shared" si="11"/>
        <v>9922.4999999999982</v>
      </c>
      <c r="AO19" s="176">
        <f t="shared" si="0"/>
        <v>50000000</v>
      </c>
      <c r="AP19" s="177">
        <v>1.84E-2</v>
      </c>
      <c r="AQ19" s="143">
        <f t="shared" si="12"/>
        <v>2555.5555555555557</v>
      </c>
      <c r="AR19" s="176">
        <f t="shared" si="13"/>
        <v>60000000</v>
      </c>
      <c r="AS19" s="177">
        <v>1.8499999999999999E-2</v>
      </c>
      <c r="AT19" s="143">
        <f t="shared" si="14"/>
        <v>3083.3333333333335</v>
      </c>
      <c r="AU19" s="176"/>
      <c r="AV19" s="177"/>
      <c r="AW19" s="143">
        <f t="shared" si="15"/>
        <v>0</v>
      </c>
      <c r="AX19" s="176">
        <f t="shared" si="55"/>
        <v>80000000</v>
      </c>
      <c r="AY19" s="177">
        <v>1.7899999999999999E-2</v>
      </c>
      <c r="AZ19" s="143">
        <f t="shared" si="16"/>
        <v>3977.7777777777778</v>
      </c>
      <c r="BA19" s="176">
        <f t="shared" si="1"/>
        <v>50000000</v>
      </c>
      <c r="BB19" s="177">
        <v>1.8800000000000001E-2</v>
      </c>
      <c r="BC19" s="143">
        <f t="shared" si="17"/>
        <v>2611.1111111111113</v>
      </c>
      <c r="BF19" s="143">
        <f t="shared" si="18"/>
        <v>0</v>
      </c>
      <c r="BI19" s="143">
        <f t="shared" si="19"/>
        <v>0</v>
      </c>
      <c r="BL19" s="143">
        <f t="shared" si="20"/>
        <v>0</v>
      </c>
      <c r="BO19" s="143">
        <f t="shared" si="21"/>
        <v>0</v>
      </c>
      <c r="BR19" s="143">
        <f t="shared" si="22"/>
        <v>0</v>
      </c>
      <c r="BU19" s="143">
        <f t="shared" si="23"/>
        <v>0</v>
      </c>
      <c r="BX19" s="143">
        <f t="shared" si="24"/>
        <v>0</v>
      </c>
      <c r="CA19" s="143">
        <f t="shared" si="25"/>
        <v>0</v>
      </c>
      <c r="CD19" s="143">
        <f t="shared" si="26"/>
        <v>0</v>
      </c>
      <c r="CG19" s="143">
        <f t="shared" si="27"/>
        <v>0</v>
      </c>
      <c r="CJ19" s="143">
        <f t="shared" si="28"/>
        <v>0</v>
      </c>
      <c r="CM19" s="143">
        <f t="shared" si="29"/>
        <v>0</v>
      </c>
      <c r="CP19" s="143">
        <f t="shared" si="30"/>
        <v>0</v>
      </c>
      <c r="CS19" s="143">
        <f t="shared" si="31"/>
        <v>0</v>
      </c>
      <c r="CV19" s="143">
        <f t="shared" si="32"/>
        <v>0</v>
      </c>
      <c r="CY19" s="143">
        <f t="shared" si="33"/>
        <v>0</v>
      </c>
      <c r="DB19" s="143">
        <f t="shared" si="34"/>
        <v>0</v>
      </c>
      <c r="DE19" s="143">
        <f t="shared" si="35"/>
        <v>0</v>
      </c>
      <c r="DH19" s="143">
        <f t="shared" si="36"/>
        <v>0</v>
      </c>
      <c r="DK19" s="143">
        <f t="shared" si="37"/>
        <v>0</v>
      </c>
      <c r="DN19" s="143">
        <f t="shared" si="38"/>
        <v>0</v>
      </c>
      <c r="DQ19" s="143">
        <f t="shared" si="39"/>
        <v>0</v>
      </c>
      <c r="DT19" s="143">
        <f t="shared" si="40"/>
        <v>0</v>
      </c>
      <c r="DW19" s="143">
        <f t="shared" si="41"/>
        <v>0</v>
      </c>
      <c r="DZ19" s="143"/>
      <c r="EA19" s="143"/>
      <c r="EB19" s="178">
        <f t="shared" si="42"/>
        <v>493850000</v>
      </c>
      <c r="EC19" s="178">
        <f t="shared" si="43"/>
        <v>0</v>
      </c>
      <c r="ED19" s="143">
        <f t="shared" si="44"/>
        <v>24766.388888888883</v>
      </c>
      <c r="EE19" s="144">
        <f t="shared" si="45"/>
        <v>1.8053862508858962E-2</v>
      </c>
      <c r="EG19" s="178">
        <f t="shared" si="46"/>
        <v>0</v>
      </c>
      <c r="EH19" s="143">
        <f t="shared" si="47"/>
        <v>0</v>
      </c>
      <c r="EI19" s="144">
        <f t="shared" si="48"/>
        <v>0</v>
      </c>
      <c r="EJ19" s="144"/>
      <c r="EK19" s="178">
        <f t="shared" si="49"/>
        <v>493850000</v>
      </c>
      <c r="EL19" s="178">
        <f t="shared" si="50"/>
        <v>0</v>
      </c>
      <c r="EM19" s="178">
        <f t="shared" si="51"/>
        <v>24766.388888888883</v>
      </c>
      <c r="EN19" s="144">
        <f t="shared" si="52"/>
        <v>1.8053862508858962E-2</v>
      </c>
      <c r="EO19" s="143"/>
      <c r="EP19" s="143"/>
    </row>
    <row r="20" spans="1:146" x14ac:dyDescent="0.2">
      <c r="A20" s="175">
        <f t="shared" si="53"/>
        <v>43871</v>
      </c>
      <c r="D20" s="143"/>
      <c r="G20" s="143">
        <f t="shared" si="2"/>
        <v>0</v>
      </c>
      <c r="J20" s="143">
        <f t="shared" si="3"/>
        <v>0</v>
      </c>
      <c r="M20" s="143">
        <f t="shared" si="4"/>
        <v>0</v>
      </c>
      <c r="P20" s="143">
        <f t="shared" si="5"/>
        <v>0</v>
      </c>
      <c r="S20" s="143">
        <f t="shared" si="6"/>
        <v>0</v>
      </c>
      <c r="V20" s="143">
        <f t="shared" si="7"/>
        <v>0</v>
      </c>
      <c r="Y20" s="143">
        <f t="shared" si="8"/>
        <v>0</v>
      </c>
      <c r="AB20" s="143">
        <f t="shared" si="9"/>
        <v>0</v>
      </c>
      <c r="AE20" s="143">
        <f>(AC20*AD20)/'[17]Input Sheet'!$B$11</f>
        <v>0</v>
      </c>
      <c r="AH20" s="143">
        <f>(AF20*AG20)/'[17]Input Sheet'!$B$11</f>
        <v>0</v>
      </c>
      <c r="AI20" s="176">
        <f>54200000</f>
        <v>54200000</v>
      </c>
      <c r="AJ20" s="177">
        <v>1.7000000000000001E-2</v>
      </c>
      <c r="AK20" s="143">
        <f t="shared" si="10"/>
        <v>2559.4444444444448</v>
      </c>
      <c r="AL20" s="176">
        <f t="shared" si="54"/>
        <v>198450000</v>
      </c>
      <c r="AM20" s="177">
        <v>1.7999999999999999E-2</v>
      </c>
      <c r="AN20" s="143">
        <f t="shared" si="11"/>
        <v>9922.4999999999982</v>
      </c>
      <c r="AO20" s="176">
        <f t="shared" si="0"/>
        <v>50000000</v>
      </c>
      <c r="AP20" s="177">
        <v>1.84E-2</v>
      </c>
      <c r="AQ20" s="143">
        <f t="shared" si="12"/>
        <v>2555.5555555555557</v>
      </c>
      <c r="AR20" s="176">
        <f t="shared" si="13"/>
        <v>60000000</v>
      </c>
      <c r="AS20" s="177">
        <v>1.8499999999999999E-2</v>
      </c>
      <c r="AT20" s="143">
        <f t="shared" si="14"/>
        <v>3083.3333333333335</v>
      </c>
      <c r="AU20" s="176">
        <f t="shared" ref="AU20:AU39" si="56">50000000</f>
        <v>50000000</v>
      </c>
      <c r="AV20" s="177">
        <v>1.7899999999999999E-2</v>
      </c>
      <c r="AW20" s="143">
        <f t="shared" si="15"/>
        <v>2486.1111111111113</v>
      </c>
      <c r="AX20" s="176">
        <f t="shared" si="55"/>
        <v>80000000</v>
      </c>
      <c r="AY20" s="177">
        <v>1.7899999999999999E-2</v>
      </c>
      <c r="AZ20" s="143">
        <f t="shared" si="16"/>
        <v>3977.7777777777778</v>
      </c>
      <c r="BA20" s="176"/>
      <c r="BB20" s="177"/>
      <c r="BC20" s="143">
        <f t="shared" si="17"/>
        <v>0</v>
      </c>
      <c r="BF20" s="143">
        <f t="shared" si="18"/>
        <v>0</v>
      </c>
      <c r="BI20" s="143">
        <f t="shared" si="19"/>
        <v>0</v>
      </c>
      <c r="BL20" s="143">
        <f t="shared" si="20"/>
        <v>0</v>
      </c>
      <c r="BO20" s="143">
        <f t="shared" si="21"/>
        <v>0</v>
      </c>
      <c r="BR20" s="143">
        <f t="shared" si="22"/>
        <v>0</v>
      </c>
      <c r="BU20" s="143">
        <f t="shared" si="23"/>
        <v>0</v>
      </c>
      <c r="BX20" s="143">
        <f t="shared" si="24"/>
        <v>0</v>
      </c>
      <c r="CA20" s="143">
        <f t="shared" si="25"/>
        <v>0</v>
      </c>
      <c r="CD20" s="143">
        <f t="shared" si="26"/>
        <v>0</v>
      </c>
      <c r="CG20" s="143">
        <f t="shared" si="27"/>
        <v>0</v>
      </c>
      <c r="CJ20" s="143">
        <f t="shared" si="28"/>
        <v>0</v>
      </c>
      <c r="CM20" s="143">
        <f t="shared" si="29"/>
        <v>0</v>
      </c>
      <c r="CP20" s="143">
        <f t="shared" si="30"/>
        <v>0</v>
      </c>
      <c r="CS20" s="143">
        <f t="shared" si="31"/>
        <v>0</v>
      </c>
      <c r="CV20" s="143">
        <f t="shared" si="32"/>
        <v>0</v>
      </c>
      <c r="CY20" s="143">
        <f t="shared" si="33"/>
        <v>0</v>
      </c>
      <c r="DB20" s="143">
        <f t="shared" si="34"/>
        <v>0</v>
      </c>
      <c r="DE20" s="143">
        <f t="shared" si="35"/>
        <v>0</v>
      </c>
      <c r="DH20" s="143">
        <f t="shared" si="36"/>
        <v>0</v>
      </c>
      <c r="DK20" s="143">
        <f t="shared" si="37"/>
        <v>0</v>
      </c>
      <c r="DN20" s="143">
        <f t="shared" si="38"/>
        <v>0</v>
      </c>
      <c r="DQ20" s="143">
        <f t="shared" si="39"/>
        <v>0</v>
      </c>
      <c r="DT20" s="143">
        <f t="shared" si="40"/>
        <v>0</v>
      </c>
      <c r="DW20" s="143">
        <f t="shared" si="41"/>
        <v>0</v>
      </c>
      <c r="DZ20" s="143"/>
      <c r="EA20" s="143"/>
      <c r="EB20" s="178">
        <f t="shared" si="42"/>
        <v>492650000</v>
      </c>
      <c r="EC20" s="178">
        <f t="shared" si="43"/>
        <v>0</v>
      </c>
      <c r="ED20" s="143">
        <f t="shared" si="44"/>
        <v>24584.722222222223</v>
      </c>
      <c r="EE20" s="144">
        <f t="shared" si="45"/>
        <v>1.7965086775601338E-2</v>
      </c>
      <c r="EG20" s="178">
        <f t="shared" si="46"/>
        <v>0</v>
      </c>
      <c r="EH20" s="143">
        <f t="shared" si="47"/>
        <v>0</v>
      </c>
      <c r="EI20" s="144">
        <f t="shared" si="48"/>
        <v>0</v>
      </c>
      <c r="EJ20" s="144"/>
      <c r="EK20" s="178">
        <f t="shared" si="49"/>
        <v>492650000</v>
      </c>
      <c r="EL20" s="178">
        <f t="shared" si="50"/>
        <v>0</v>
      </c>
      <c r="EM20" s="178">
        <f t="shared" si="51"/>
        <v>24584.722222222219</v>
      </c>
      <c r="EN20" s="144">
        <f t="shared" si="52"/>
        <v>1.7965086775601338E-2</v>
      </c>
      <c r="EO20" s="179"/>
      <c r="EP20" s="143"/>
    </row>
    <row r="21" spans="1:146" x14ac:dyDescent="0.2">
      <c r="A21" s="175">
        <f t="shared" si="53"/>
        <v>43872</v>
      </c>
      <c r="D21" s="143"/>
      <c r="G21" s="143">
        <f t="shared" si="2"/>
        <v>0</v>
      </c>
      <c r="J21" s="143">
        <f t="shared" si="3"/>
        <v>0</v>
      </c>
      <c r="M21" s="143">
        <f t="shared" si="4"/>
        <v>0</v>
      </c>
      <c r="P21" s="143">
        <f t="shared" si="5"/>
        <v>0</v>
      </c>
      <c r="S21" s="143">
        <f t="shared" si="6"/>
        <v>0</v>
      </c>
      <c r="V21" s="143">
        <f t="shared" si="7"/>
        <v>0</v>
      </c>
      <c r="Y21" s="143">
        <f t="shared" si="8"/>
        <v>0</v>
      </c>
      <c r="AB21" s="143">
        <f t="shared" si="9"/>
        <v>0</v>
      </c>
      <c r="AE21" s="143">
        <f>(AC21*AD21)/'[17]Input Sheet'!$B$11</f>
        <v>0</v>
      </c>
      <c r="AH21" s="143">
        <f>(AF21*AG21)/'[17]Input Sheet'!$B$11</f>
        <v>0</v>
      </c>
      <c r="AI21" s="176">
        <f>39575000</f>
        <v>39575000</v>
      </c>
      <c r="AJ21" s="177">
        <v>1.7000000000000001E-2</v>
      </c>
      <c r="AK21" s="143">
        <f t="shared" si="10"/>
        <v>1868.8194444444443</v>
      </c>
      <c r="AL21" s="176">
        <f t="shared" si="54"/>
        <v>198450000</v>
      </c>
      <c r="AM21" s="177">
        <v>1.7999999999999999E-2</v>
      </c>
      <c r="AN21" s="143">
        <f t="shared" si="11"/>
        <v>9922.4999999999982</v>
      </c>
      <c r="AO21" s="176">
        <f t="shared" si="0"/>
        <v>50000000</v>
      </c>
      <c r="AP21" s="177">
        <v>1.84E-2</v>
      </c>
      <c r="AQ21" s="143">
        <f t="shared" si="12"/>
        <v>2555.5555555555557</v>
      </c>
      <c r="AR21" s="176">
        <f t="shared" si="13"/>
        <v>60000000</v>
      </c>
      <c r="AS21" s="177">
        <v>1.8499999999999999E-2</v>
      </c>
      <c r="AT21" s="143">
        <f t="shared" si="14"/>
        <v>3083.3333333333335</v>
      </c>
      <c r="AU21" s="176">
        <f t="shared" si="56"/>
        <v>50000000</v>
      </c>
      <c r="AV21" s="177">
        <v>1.7899999999999999E-2</v>
      </c>
      <c r="AW21" s="143">
        <f t="shared" si="15"/>
        <v>2486.1111111111113</v>
      </c>
      <c r="AX21" s="176">
        <f t="shared" si="55"/>
        <v>80000000</v>
      </c>
      <c r="AY21" s="177">
        <v>1.7899999999999999E-2</v>
      </c>
      <c r="AZ21" s="143">
        <f t="shared" si="16"/>
        <v>3977.7777777777778</v>
      </c>
      <c r="BA21" s="176"/>
      <c r="BB21" s="177"/>
      <c r="BC21" s="143">
        <f t="shared" si="17"/>
        <v>0</v>
      </c>
      <c r="BF21" s="143">
        <f t="shared" si="18"/>
        <v>0</v>
      </c>
      <c r="BI21" s="143">
        <f t="shared" si="19"/>
        <v>0</v>
      </c>
      <c r="BL21" s="143">
        <f t="shared" si="20"/>
        <v>0</v>
      </c>
      <c r="BO21" s="143">
        <f t="shared" si="21"/>
        <v>0</v>
      </c>
      <c r="BR21" s="143">
        <f t="shared" si="22"/>
        <v>0</v>
      </c>
      <c r="BU21" s="143">
        <f t="shared" si="23"/>
        <v>0</v>
      </c>
      <c r="BX21" s="143">
        <f t="shared" si="24"/>
        <v>0</v>
      </c>
      <c r="CA21" s="143">
        <f t="shared" si="25"/>
        <v>0</v>
      </c>
      <c r="CD21" s="143">
        <f t="shared" si="26"/>
        <v>0</v>
      </c>
      <c r="CG21" s="143">
        <f t="shared" si="27"/>
        <v>0</v>
      </c>
      <c r="CJ21" s="143">
        <f t="shared" si="28"/>
        <v>0</v>
      </c>
      <c r="CM21" s="143">
        <f t="shared" si="29"/>
        <v>0</v>
      </c>
      <c r="CP21" s="143">
        <f t="shared" si="30"/>
        <v>0</v>
      </c>
      <c r="CS21" s="143">
        <f t="shared" si="31"/>
        <v>0</v>
      </c>
      <c r="CV21" s="143">
        <f t="shared" si="32"/>
        <v>0</v>
      </c>
      <c r="CY21" s="143">
        <f t="shared" si="33"/>
        <v>0</v>
      </c>
      <c r="DB21" s="143">
        <f t="shared" si="34"/>
        <v>0</v>
      </c>
      <c r="DE21" s="143">
        <f t="shared" si="35"/>
        <v>0</v>
      </c>
      <c r="DH21" s="143">
        <f t="shared" si="36"/>
        <v>0</v>
      </c>
      <c r="DK21" s="143">
        <f t="shared" si="37"/>
        <v>0</v>
      </c>
      <c r="DN21" s="143">
        <f t="shared" si="38"/>
        <v>0</v>
      </c>
      <c r="DQ21" s="143">
        <f t="shared" si="39"/>
        <v>0</v>
      </c>
      <c r="DT21" s="143">
        <f t="shared" si="40"/>
        <v>0</v>
      </c>
      <c r="DW21" s="143">
        <f t="shared" si="41"/>
        <v>0</v>
      </c>
      <c r="DZ21" s="143"/>
      <c r="EA21" s="143"/>
      <c r="EB21" s="178">
        <f t="shared" si="42"/>
        <v>478025000</v>
      </c>
      <c r="EC21" s="178">
        <f t="shared" si="43"/>
        <v>0</v>
      </c>
      <c r="ED21" s="143">
        <f t="shared" si="44"/>
        <v>23894.097222222215</v>
      </c>
      <c r="EE21" s="144">
        <f t="shared" si="45"/>
        <v>1.799461325244495E-2</v>
      </c>
      <c r="EG21" s="178">
        <f t="shared" si="46"/>
        <v>0</v>
      </c>
      <c r="EH21" s="143">
        <f t="shared" si="47"/>
        <v>0</v>
      </c>
      <c r="EI21" s="144">
        <f t="shared" si="48"/>
        <v>0</v>
      </c>
      <c r="EJ21" s="144"/>
      <c r="EK21" s="178">
        <f t="shared" si="49"/>
        <v>478025000</v>
      </c>
      <c r="EL21" s="178">
        <f t="shared" si="50"/>
        <v>0</v>
      </c>
      <c r="EM21" s="178">
        <f t="shared" si="51"/>
        <v>23894.097222222219</v>
      </c>
      <c r="EN21" s="144">
        <f t="shared" si="52"/>
        <v>1.7994613252444953E-2</v>
      </c>
      <c r="EO21" s="143"/>
      <c r="EP21" s="143"/>
    </row>
    <row r="22" spans="1:146" x14ac:dyDescent="0.2">
      <c r="A22" s="175">
        <f t="shared" si="53"/>
        <v>43873</v>
      </c>
      <c r="D22" s="143"/>
      <c r="G22" s="143">
        <f t="shared" si="2"/>
        <v>0</v>
      </c>
      <c r="J22" s="143">
        <f t="shared" si="3"/>
        <v>0</v>
      </c>
      <c r="M22" s="143">
        <f t="shared" si="4"/>
        <v>0</v>
      </c>
      <c r="P22" s="143">
        <f t="shared" si="5"/>
        <v>0</v>
      </c>
      <c r="S22" s="143">
        <f t="shared" si="6"/>
        <v>0</v>
      </c>
      <c r="V22" s="143">
        <f t="shared" si="7"/>
        <v>0</v>
      </c>
      <c r="Y22" s="143">
        <f t="shared" si="8"/>
        <v>0</v>
      </c>
      <c r="AB22" s="143">
        <f t="shared" si="9"/>
        <v>0</v>
      </c>
      <c r="AE22" s="143">
        <f>(AC22*AD22)/'[17]Input Sheet'!$B$11</f>
        <v>0</v>
      </c>
      <c r="AH22" s="143">
        <f>(AF22*AG22)/'[17]Input Sheet'!$B$11</f>
        <v>0</v>
      </c>
      <c r="AI22" s="176">
        <f>32525000</f>
        <v>32525000</v>
      </c>
      <c r="AJ22" s="177">
        <v>1.7000000000000001E-2</v>
      </c>
      <c r="AK22" s="143">
        <f t="shared" si="10"/>
        <v>1535.9027777777778</v>
      </c>
      <c r="AL22" s="176">
        <f t="shared" si="54"/>
        <v>198450000</v>
      </c>
      <c r="AM22" s="177">
        <v>1.7999999999999999E-2</v>
      </c>
      <c r="AN22" s="143">
        <f t="shared" si="11"/>
        <v>9922.4999999999982</v>
      </c>
      <c r="AO22" s="176">
        <f t="shared" si="0"/>
        <v>50000000</v>
      </c>
      <c r="AP22" s="177">
        <v>1.84E-2</v>
      </c>
      <c r="AQ22" s="143">
        <f t="shared" si="12"/>
        <v>2555.5555555555557</v>
      </c>
      <c r="AR22" s="176">
        <f t="shared" si="13"/>
        <v>60000000</v>
      </c>
      <c r="AS22" s="177">
        <v>1.8499999999999999E-2</v>
      </c>
      <c r="AT22" s="143">
        <f t="shared" si="14"/>
        <v>3083.3333333333335</v>
      </c>
      <c r="AU22" s="176">
        <f t="shared" si="56"/>
        <v>50000000</v>
      </c>
      <c r="AV22" s="177">
        <v>1.7899999999999999E-2</v>
      </c>
      <c r="AW22" s="143">
        <f t="shared" si="15"/>
        <v>2486.1111111111113</v>
      </c>
      <c r="AX22" s="176">
        <f t="shared" si="55"/>
        <v>80000000</v>
      </c>
      <c r="AY22" s="177">
        <v>1.7899999999999999E-2</v>
      </c>
      <c r="AZ22" s="143">
        <f t="shared" si="16"/>
        <v>3977.7777777777778</v>
      </c>
      <c r="BA22" s="176"/>
      <c r="BB22" s="177"/>
      <c r="BC22" s="143">
        <f t="shared" si="17"/>
        <v>0</v>
      </c>
      <c r="BF22" s="143">
        <f t="shared" si="18"/>
        <v>0</v>
      </c>
      <c r="BI22" s="143">
        <f t="shared" si="19"/>
        <v>0</v>
      </c>
      <c r="BL22" s="143">
        <f t="shared" si="20"/>
        <v>0</v>
      </c>
      <c r="BO22" s="143">
        <f t="shared" si="21"/>
        <v>0</v>
      </c>
      <c r="BR22" s="143">
        <f t="shared" si="22"/>
        <v>0</v>
      </c>
      <c r="BU22" s="143">
        <f t="shared" si="23"/>
        <v>0</v>
      </c>
      <c r="BX22" s="143">
        <f t="shared" si="24"/>
        <v>0</v>
      </c>
      <c r="CA22" s="143">
        <f t="shared" si="25"/>
        <v>0</v>
      </c>
      <c r="CD22" s="143">
        <f t="shared" si="26"/>
        <v>0</v>
      </c>
      <c r="CG22" s="143">
        <f t="shared" si="27"/>
        <v>0</v>
      </c>
      <c r="CJ22" s="143">
        <f t="shared" si="28"/>
        <v>0</v>
      </c>
      <c r="CM22" s="143">
        <f t="shared" si="29"/>
        <v>0</v>
      </c>
      <c r="CP22" s="143">
        <f t="shared" si="30"/>
        <v>0</v>
      </c>
      <c r="CS22" s="143">
        <f t="shared" si="31"/>
        <v>0</v>
      </c>
      <c r="CV22" s="143">
        <f t="shared" si="32"/>
        <v>0</v>
      </c>
      <c r="CY22" s="143">
        <f t="shared" si="33"/>
        <v>0</v>
      </c>
      <c r="DB22" s="143">
        <f t="shared" si="34"/>
        <v>0</v>
      </c>
      <c r="DE22" s="143">
        <f t="shared" si="35"/>
        <v>0</v>
      </c>
      <c r="DH22" s="143">
        <f t="shared" si="36"/>
        <v>0</v>
      </c>
      <c r="DK22" s="143">
        <f t="shared" si="37"/>
        <v>0</v>
      </c>
      <c r="DN22" s="143">
        <f t="shared" si="38"/>
        <v>0</v>
      </c>
      <c r="DQ22" s="143">
        <f t="shared" si="39"/>
        <v>0</v>
      </c>
      <c r="DT22" s="143">
        <f t="shared" si="40"/>
        <v>0</v>
      </c>
      <c r="DW22" s="143">
        <f t="shared" si="41"/>
        <v>0</v>
      </c>
      <c r="DZ22" s="143"/>
      <c r="EA22" s="143"/>
      <c r="EB22" s="178">
        <f t="shared" si="42"/>
        <v>470975000</v>
      </c>
      <c r="EC22" s="178">
        <f t="shared" si="43"/>
        <v>0</v>
      </c>
      <c r="ED22" s="143">
        <f t="shared" si="44"/>
        <v>23561.180555555551</v>
      </c>
      <c r="EE22" s="144">
        <f t="shared" si="45"/>
        <v>1.8009501565900522E-2</v>
      </c>
      <c r="EG22" s="178">
        <f t="shared" si="46"/>
        <v>0</v>
      </c>
      <c r="EH22" s="143">
        <f t="shared" si="47"/>
        <v>0</v>
      </c>
      <c r="EI22" s="144">
        <f t="shared" si="48"/>
        <v>0</v>
      </c>
      <c r="EJ22" s="144"/>
      <c r="EK22" s="178">
        <f t="shared" si="49"/>
        <v>470975000</v>
      </c>
      <c r="EL22" s="178">
        <f t="shared" si="50"/>
        <v>0</v>
      </c>
      <c r="EM22" s="178">
        <f t="shared" si="51"/>
        <v>23561.180555555551</v>
      </c>
      <c r="EN22" s="144">
        <f t="shared" si="52"/>
        <v>1.8009501565900522E-2</v>
      </c>
      <c r="EP22" s="143"/>
    </row>
    <row r="23" spans="1:146" x14ac:dyDescent="0.2">
      <c r="A23" s="175">
        <f t="shared" si="53"/>
        <v>43874</v>
      </c>
      <c r="D23" s="143"/>
      <c r="G23" s="143">
        <f t="shared" si="2"/>
        <v>0</v>
      </c>
      <c r="J23" s="143">
        <f t="shared" si="3"/>
        <v>0</v>
      </c>
      <c r="M23" s="143">
        <f t="shared" si="4"/>
        <v>0</v>
      </c>
      <c r="P23" s="143">
        <f t="shared" si="5"/>
        <v>0</v>
      </c>
      <c r="S23" s="143">
        <f t="shared" si="6"/>
        <v>0</v>
      </c>
      <c r="V23" s="143">
        <f t="shared" si="7"/>
        <v>0</v>
      </c>
      <c r="Y23" s="143">
        <f t="shared" si="8"/>
        <v>0</v>
      </c>
      <c r="AB23" s="143">
        <f t="shared" si="9"/>
        <v>0</v>
      </c>
      <c r="AE23" s="143">
        <f>(AC23*AD23)/'[17]Input Sheet'!$B$11</f>
        <v>0</v>
      </c>
      <c r="AH23" s="143">
        <f>(AF23*AG23)/'[17]Input Sheet'!$B$11</f>
        <v>0</v>
      </c>
      <c r="AI23" s="176">
        <f>41325000</f>
        <v>41325000</v>
      </c>
      <c r="AJ23" s="177">
        <v>1.7000000000000001E-2</v>
      </c>
      <c r="AK23" s="143">
        <f t="shared" si="10"/>
        <v>1951.4583333333333</v>
      </c>
      <c r="AL23" s="176">
        <f t="shared" si="54"/>
        <v>198450000</v>
      </c>
      <c r="AM23" s="177">
        <v>1.7999999999999999E-2</v>
      </c>
      <c r="AN23" s="143">
        <f t="shared" si="11"/>
        <v>9922.4999999999982</v>
      </c>
      <c r="AO23" s="176">
        <f t="shared" si="0"/>
        <v>50000000</v>
      </c>
      <c r="AP23" s="177">
        <v>1.84E-2</v>
      </c>
      <c r="AQ23" s="143">
        <f t="shared" si="12"/>
        <v>2555.5555555555557</v>
      </c>
      <c r="AR23" s="176">
        <f t="shared" si="13"/>
        <v>60000000</v>
      </c>
      <c r="AS23" s="177">
        <v>1.8499999999999999E-2</v>
      </c>
      <c r="AT23" s="143">
        <f t="shared" si="14"/>
        <v>3083.3333333333335</v>
      </c>
      <c r="AU23" s="176">
        <f t="shared" si="56"/>
        <v>50000000</v>
      </c>
      <c r="AV23" s="177">
        <v>1.7899999999999999E-2</v>
      </c>
      <c r="AW23" s="143">
        <f t="shared" si="15"/>
        <v>2486.1111111111113</v>
      </c>
      <c r="AX23" s="176">
        <f t="shared" si="55"/>
        <v>80000000</v>
      </c>
      <c r="AY23" s="177">
        <v>1.7899999999999999E-2</v>
      </c>
      <c r="AZ23" s="143">
        <f t="shared" si="16"/>
        <v>3977.7777777777778</v>
      </c>
      <c r="BA23" s="176"/>
      <c r="BB23" s="177"/>
      <c r="BC23" s="143">
        <f t="shared" si="17"/>
        <v>0</v>
      </c>
      <c r="BF23" s="143">
        <f t="shared" si="18"/>
        <v>0</v>
      </c>
      <c r="BI23" s="143">
        <f t="shared" si="19"/>
        <v>0</v>
      </c>
      <c r="BL23" s="143">
        <f t="shared" si="20"/>
        <v>0</v>
      </c>
      <c r="BO23" s="143">
        <f t="shared" si="21"/>
        <v>0</v>
      </c>
      <c r="BR23" s="143">
        <f t="shared" si="22"/>
        <v>0</v>
      </c>
      <c r="BU23" s="143">
        <f t="shared" si="23"/>
        <v>0</v>
      </c>
      <c r="BX23" s="143">
        <f t="shared" si="24"/>
        <v>0</v>
      </c>
      <c r="CA23" s="143">
        <f t="shared" si="25"/>
        <v>0</v>
      </c>
      <c r="CD23" s="143">
        <f t="shared" si="26"/>
        <v>0</v>
      </c>
      <c r="CG23" s="143">
        <f t="shared" si="27"/>
        <v>0</v>
      </c>
      <c r="CJ23" s="143">
        <f t="shared" si="28"/>
        <v>0</v>
      </c>
      <c r="CM23" s="143">
        <f t="shared" si="29"/>
        <v>0</v>
      </c>
      <c r="CP23" s="143">
        <f t="shared" si="30"/>
        <v>0</v>
      </c>
      <c r="CS23" s="143">
        <f t="shared" si="31"/>
        <v>0</v>
      </c>
      <c r="CV23" s="143">
        <f t="shared" si="32"/>
        <v>0</v>
      </c>
      <c r="CY23" s="143">
        <f t="shared" si="33"/>
        <v>0</v>
      </c>
      <c r="DB23" s="143">
        <f t="shared" si="34"/>
        <v>0</v>
      </c>
      <c r="DE23" s="143">
        <f t="shared" si="35"/>
        <v>0</v>
      </c>
      <c r="DH23" s="143">
        <f t="shared" si="36"/>
        <v>0</v>
      </c>
      <c r="DK23" s="143">
        <f t="shared" si="37"/>
        <v>0</v>
      </c>
      <c r="DN23" s="143">
        <f t="shared" si="38"/>
        <v>0</v>
      </c>
      <c r="DQ23" s="143">
        <f t="shared" si="39"/>
        <v>0</v>
      </c>
      <c r="DT23" s="143">
        <f t="shared" si="40"/>
        <v>0</v>
      </c>
      <c r="DW23" s="143">
        <f t="shared" si="41"/>
        <v>0</v>
      </c>
      <c r="DZ23" s="143"/>
      <c r="EA23" s="143"/>
      <c r="EB23" s="178">
        <f t="shared" si="42"/>
        <v>479775000</v>
      </c>
      <c r="EC23" s="178">
        <f t="shared" si="43"/>
        <v>0</v>
      </c>
      <c r="ED23" s="143">
        <f t="shared" si="44"/>
        <v>23976.736111111106</v>
      </c>
      <c r="EE23" s="144">
        <f t="shared" si="45"/>
        <v>1.7990985357719761E-2</v>
      </c>
      <c r="EG23" s="178">
        <f t="shared" si="46"/>
        <v>0</v>
      </c>
      <c r="EH23" s="143">
        <f t="shared" si="47"/>
        <v>0</v>
      </c>
      <c r="EI23" s="144">
        <f t="shared" si="48"/>
        <v>0</v>
      </c>
      <c r="EJ23" s="144"/>
      <c r="EK23" s="178">
        <f t="shared" si="49"/>
        <v>479775000</v>
      </c>
      <c r="EL23" s="178">
        <f t="shared" si="50"/>
        <v>0</v>
      </c>
      <c r="EM23" s="178">
        <f t="shared" si="51"/>
        <v>23976.736111111106</v>
      </c>
      <c r="EN23" s="144">
        <f t="shared" si="52"/>
        <v>1.7990985357719761E-2</v>
      </c>
      <c r="EP23" s="143"/>
    </row>
    <row r="24" spans="1:146" x14ac:dyDescent="0.2">
      <c r="A24" s="175">
        <f t="shared" si="53"/>
        <v>43875</v>
      </c>
      <c r="D24" s="143"/>
      <c r="G24" s="143">
        <f t="shared" si="2"/>
        <v>0</v>
      </c>
      <c r="J24" s="143">
        <f t="shared" si="3"/>
        <v>0</v>
      </c>
      <c r="M24" s="143">
        <f t="shared" si="4"/>
        <v>0</v>
      </c>
      <c r="P24" s="143">
        <f t="shared" si="5"/>
        <v>0</v>
      </c>
      <c r="S24" s="143">
        <f t="shared" si="6"/>
        <v>0</v>
      </c>
      <c r="V24" s="143">
        <f t="shared" si="7"/>
        <v>0</v>
      </c>
      <c r="Y24" s="143">
        <f t="shared" si="8"/>
        <v>0</v>
      </c>
      <c r="AB24" s="143">
        <f t="shared" si="9"/>
        <v>0</v>
      </c>
      <c r="AE24" s="143">
        <f>(AC24*AD24)/'[17]Input Sheet'!$B$11</f>
        <v>0</v>
      </c>
      <c r="AH24" s="143">
        <f>(AF24*AG24)/'[17]Input Sheet'!$B$11</f>
        <v>0</v>
      </c>
      <c r="AI24" s="176">
        <v>49350000</v>
      </c>
      <c r="AJ24" s="177">
        <v>1.7000000000000001E-2</v>
      </c>
      <c r="AK24" s="143">
        <f t="shared" si="10"/>
        <v>2330.416666666667</v>
      </c>
      <c r="AL24" s="176">
        <f t="shared" si="54"/>
        <v>198450000</v>
      </c>
      <c r="AM24" s="177">
        <v>1.7999999999999999E-2</v>
      </c>
      <c r="AN24" s="143">
        <f t="shared" si="11"/>
        <v>9922.4999999999982</v>
      </c>
      <c r="AO24" s="176">
        <f t="shared" si="0"/>
        <v>50000000</v>
      </c>
      <c r="AP24" s="177">
        <v>1.84E-2</v>
      </c>
      <c r="AQ24" s="143">
        <f t="shared" si="12"/>
        <v>2555.5555555555557</v>
      </c>
      <c r="AR24" s="176">
        <f t="shared" si="13"/>
        <v>60000000</v>
      </c>
      <c r="AS24" s="177">
        <v>1.8499999999999999E-2</v>
      </c>
      <c r="AT24" s="143">
        <f t="shared" si="14"/>
        <v>3083.3333333333335</v>
      </c>
      <c r="AU24" s="176">
        <f t="shared" si="56"/>
        <v>50000000</v>
      </c>
      <c r="AV24" s="177">
        <v>1.7899999999999999E-2</v>
      </c>
      <c r="AW24" s="143">
        <f t="shared" si="15"/>
        <v>2486.1111111111113</v>
      </c>
      <c r="AX24" s="176">
        <f t="shared" si="55"/>
        <v>80000000</v>
      </c>
      <c r="AY24" s="177">
        <v>1.7899999999999999E-2</v>
      </c>
      <c r="AZ24" s="143">
        <f t="shared" si="16"/>
        <v>3977.7777777777778</v>
      </c>
      <c r="BA24" s="176"/>
      <c r="BB24" s="177"/>
      <c r="BC24" s="143">
        <f t="shared" si="17"/>
        <v>0</v>
      </c>
      <c r="BF24" s="143">
        <f t="shared" si="18"/>
        <v>0</v>
      </c>
      <c r="BI24" s="143">
        <f t="shared" si="19"/>
        <v>0</v>
      </c>
      <c r="BL24" s="143">
        <f t="shared" si="20"/>
        <v>0</v>
      </c>
      <c r="BO24" s="143">
        <f t="shared" si="21"/>
        <v>0</v>
      </c>
      <c r="BR24" s="143">
        <f t="shared" si="22"/>
        <v>0</v>
      </c>
      <c r="BU24" s="143">
        <f t="shared" si="23"/>
        <v>0</v>
      </c>
      <c r="BX24" s="143">
        <f t="shared" si="24"/>
        <v>0</v>
      </c>
      <c r="CA24" s="143">
        <f t="shared" si="25"/>
        <v>0</v>
      </c>
      <c r="CD24" s="143">
        <f t="shared" si="26"/>
        <v>0</v>
      </c>
      <c r="CG24" s="143">
        <f t="shared" si="27"/>
        <v>0</v>
      </c>
      <c r="CJ24" s="143">
        <f t="shared" si="28"/>
        <v>0</v>
      </c>
      <c r="CM24" s="143">
        <f t="shared" si="29"/>
        <v>0</v>
      </c>
      <c r="CP24" s="143">
        <f t="shared" si="30"/>
        <v>0</v>
      </c>
      <c r="CS24" s="143">
        <f t="shared" si="31"/>
        <v>0</v>
      </c>
      <c r="CV24" s="143">
        <f t="shared" si="32"/>
        <v>0</v>
      </c>
      <c r="CY24" s="143">
        <f t="shared" si="33"/>
        <v>0</v>
      </c>
      <c r="DB24" s="143">
        <f t="shared" si="34"/>
        <v>0</v>
      </c>
      <c r="DE24" s="143">
        <f t="shared" si="35"/>
        <v>0</v>
      </c>
      <c r="DH24" s="143">
        <f t="shared" si="36"/>
        <v>0</v>
      </c>
      <c r="DK24" s="143">
        <f t="shared" si="37"/>
        <v>0</v>
      </c>
      <c r="DN24" s="143">
        <f t="shared" si="38"/>
        <v>0</v>
      </c>
      <c r="DQ24" s="143">
        <f t="shared" si="39"/>
        <v>0</v>
      </c>
      <c r="DT24" s="143">
        <f t="shared" si="40"/>
        <v>0</v>
      </c>
      <c r="DW24" s="143">
        <f t="shared" si="41"/>
        <v>0</v>
      </c>
      <c r="DZ24" s="143"/>
      <c r="EA24" s="143"/>
      <c r="EB24" s="178">
        <f t="shared" si="42"/>
        <v>487800000</v>
      </c>
      <c r="EC24" s="178">
        <f t="shared" si="43"/>
        <v>0</v>
      </c>
      <c r="ED24" s="143">
        <f t="shared" si="44"/>
        <v>24355.694444444442</v>
      </c>
      <c r="EE24" s="144">
        <f t="shared" si="45"/>
        <v>1.7974682246822467E-2</v>
      </c>
      <c r="EG24" s="178">
        <f t="shared" si="46"/>
        <v>0</v>
      </c>
      <c r="EH24" s="143">
        <f t="shared" si="47"/>
        <v>0</v>
      </c>
      <c r="EI24" s="144">
        <f t="shared" si="48"/>
        <v>0</v>
      </c>
      <c r="EJ24" s="144"/>
      <c r="EK24" s="178">
        <f t="shared" si="49"/>
        <v>487800000</v>
      </c>
      <c r="EL24" s="178">
        <f t="shared" si="50"/>
        <v>0</v>
      </c>
      <c r="EM24" s="178">
        <f t="shared" si="51"/>
        <v>24355.694444444442</v>
      </c>
      <c r="EN24" s="144">
        <f t="shared" si="52"/>
        <v>1.7974682246822467E-2</v>
      </c>
      <c r="EP24" s="143"/>
    </row>
    <row r="25" spans="1:146" x14ac:dyDescent="0.2">
      <c r="A25" s="175">
        <f t="shared" si="53"/>
        <v>43876</v>
      </c>
      <c r="D25" s="143"/>
      <c r="G25" s="143">
        <f t="shared" si="2"/>
        <v>0</v>
      </c>
      <c r="J25" s="143">
        <f t="shared" si="3"/>
        <v>0</v>
      </c>
      <c r="M25" s="143">
        <f t="shared" si="4"/>
        <v>0</v>
      </c>
      <c r="P25" s="143">
        <f t="shared" si="5"/>
        <v>0</v>
      </c>
      <c r="S25" s="143">
        <f t="shared" si="6"/>
        <v>0</v>
      </c>
      <c r="V25" s="143">
        <f t="shared" si="7"/>
        <v>0</v>
      </c>
      <c r="Y25" s="143">
        <f t="shared" si="8"/>
        <v>0</v>
      </c>
      <c r="AB25" s="143">
        <f t="shared" si="9"/>
        <v>0</v>
      </c>
      <c r="AE25" s="143">
        <f>(AC25*AD25)/'[17]Input Sheet'!$B$11</f>
        <v>0</v>
      </c>
      <c r="AH25" s="143">
        <f>(AF25*AG25)/'[17]Input Sheet'!$B$11</f>
        <v>0</v>
      </c>
      <c r="AI25" s="176">
        <v>49350000</v>
      </c>
      <c r="AJ25" s="177">
        <v>1.7000000000000001E-2</v>
      </c>
      <c r="AK25" s="143">
        <f t="shared" si="10"/>
        <v>2330.416666666667</v>
      </c>
      <c r="AL25" s="176">
        <f t="shared" si="54"/>
        <v>198450000</v>
      </c>
      <c r="AM25" s="177">
        <v>1.7999999999999999E-2</v>
      </c>
      <c r="AN25" s="143">
        <f t="shared" si="11"/>
        <v>9922.4999999999982</v>
      </c>
      <c r="AO25" s="176">
        <f t="shared" si="0"/>
        <v>50000000</v>
      </c>
      <c r="AP25" s="177">
        <v>1.84E-2</v>
      </c>
      <c r="AQ25" s="143">
        <f t="shared" si="12"/>
        <v>2555.5555555555557</v>
      </c>
      <c r="AR25" s="176">
        <f t="shared" si="13"/>
        <v>60000000</v>
      </c>
      <c r="AS25" s="177">
        <v>1.8499999999999999E-2</v>
      </c>
      <c r="AT25" s="143">
        <f t="shared" si="14"/>
        <v>3083.3333333333335</v>
      </c>
      <c r="AU25" s="176">
        <f t="shared" si="56"/>
        <v>50000000</v>
      </c>
      <c r="AV25" s="177">
        <v>1.7899999999999999E-2</v>
      </c>
      <c r="AW25" s="143">
        <f t="shared" si="15"/>
        <v>2486.1111111111113</v>
      </c>
      <c r="AX25" s="176">
        <f t="shared" si="55"/>
        <v>80000000</v>
      </c>
      <c r="AY25" s="177">
        <v>1.7899999999999999E-2</v>
      </c>
      <c r="AZ25" s="143">
        <f t="shared" si="16"/>
        <v>3977.7777777777778</v>
      </c>
      <c r="BA25" s="176"/>
      <c r="BB25" s="177"/>
      <c r="BC25" s="143">
        <f t="shared" si="17"/>
        <v>0</v>
      </c>
      <c r="BF25" s="143">
        <f t="shared" si="18"/>
        <v>0</v>
      </c>
      <c r="BI25" s="143">
        <f t="shared" si="19"/>
        <v>0</v>
      </c>
      <c r="BL25" s="143">
        <f t="shared" si="20"/>
        <v>0</v>
      </c>
      <c r="BO25" s="143">
        <f t="shared" si="21"/>
        <v>0</v>
      </c>
      <c r="BR25" s="143">
        <f t="shared" si="22"/>
        <v>0</v>
      </c>
      <c r="BU25" s="143">
        <f t="shared" si="23"/>
        <v>0</v>
      </c>
      <c r="BX25" s="143">
        <f t="shared" si="24"/>
        <v>0</v>
      </c>
      <c r="CA25" s="143">
        <f t="shared" si="25"/>
        <v>0</v>
      </c>
      <c r="CD25" s="143">
        <f t="shared" si="26"/>
        <v>0</v>
      </c>
      <c r="CG25" s="143">
        <f t="shared" si="27"/>
        <v>0</v>
      </c>
      <c r="CJ25" s="143">
        <f t="shared" si="28"/>
        <v>0</v>
      </c>
      <c r="CM25" s="143">
        <f t="shared" si="29"/>
        <v>0</v>
      </c>
      <c r="CP25" s="143">
        <f t="shared" si="30"/>
        <v>0</v>
      </c>
      <c r="CS25" s="143">
        <f t="shared" si="31"/>
        <v>0</v>
      </c>
      <c r="CV25" s="143">
        <f t="shared" si="32"/>
        <v>0</v>
      </c>
      <c r="CY25" s="143">
        <f t="shared" si="33"/>
        <v>0</v>
      </c>
      <c r="DB25" s="143">
        <f t="shared" si="34"/>
        <v>0</v>
      </c>
      <c r="DE25" s="143">
        <f t="shared" si="35"/>
        <v>0</v>
      </c>
      <c r="DH25" s="143">
        <f t="shared" si="36"/>
        <v>0</v>
      </c>
      <c r="DK25" s="143">
        <f t="shared" si="37"/>
        <v>0</v>
      </c>
      <c r="DN25" s="143">
        <f t="shared" si="38"/>
        <v>0</v>
      </c>
      <c r="DQ25" s="143">
        <f t="shared" si="39"/>
        <v>0</v>
      </c>
      <c r="DT25" s="143">
        <f t="shared" si="40"/>
        <v>0</v>
      </c>
      <c r="DW25" s="143">
        <f t="shared" si="41"/>
        <v>0</v>
      </c>
      <c r="DZ25" s="143"/>
      <c r="EA25" s="143"/>
      <c r="EB25" s="178">
        <f t="shared" si="42"/>
        <v>487800000</v>
      </c>
      <c r="EC25" s="178">
        <f t="shared" si="43"/>
        <v>0</v>
      </c>
      <c r="ED25" s="143">
        <f t="shared" si="44"/>
        <v>24355.694444444442</v>
      </c>
      <c r="EE25" s="144">
        <f t="shared" si="45"/>
        <v>1.7974682246822467E-2</v>
      </c>
      <c r="EG25" s="178">
        <f t="shared" si="46"/>
        <v>0</v>
      </c>
      <c r="EH25" s="143">
        <f t="shared" si="47"/>
        <v>0</v>
      </c>
      <c r="EI25" s="144">
        <f t="shared" si="48"/>
        <v>0</v>
      </c>
      <c r="EJ25" s="144"/>
      <c r="EK25" s="178">
        <f t="shared" si="49"/>
        <v>487800000</v>
      </c>
      <c r="EL25" s="178">
        <f t="shared" si="50"/>
        <v>0</v>
      </c>
      <c r="EM25" s="178">
        <f t="shared" si="51"/>
        <v>24355.694444444442</v>
      </c>
      <c r="EN25" s="144">
        <f t="shared" si="52"/>
        <v>1.7974682246822467E-2</v>
      </c>
      <c r="EP25" s="143"/>
    </row>
    <row r="26" spans="1:146" x14ac:dyDescent="0.2">
      <c r="A26" s="175">
        <f t="shared" si="53"/>
        <v>43877</v>
      </c>
      <c r="D26" s="143"/>
      <c r="G26" s="143">
        <f t="shared" si="2"/>
        <v>0</v>
      </c>
      <c r="J26" s="143">
        <f t="shared" si="3"/>
        <v>0</v>
      </c>
      <c r="M26" s="143">
        <f t="shared" si="4"/>
        <v>0</v>
      </c>
      <c r="P26" s="143">
        <f t="shared" si="5"/>
        <v>0</v>
      </c>
      <c r="S26" s="143">
        <f t="shared" si="6"/>
        <v>0</v>
      </c>
      <c r="V26" s="143">
        <f t="shared" si="7"/>
        <v>0</v>
      </c>
      <c r="Y26" s="143">
        <f t="shared" si="8"/>
        <v>0</v>
      </c>
      <c r="AB26" s="143">
        <f t="shared" si="9"/>
        <v>0</v>
      </c>
      <c r="AE26" s="143">
        <f>(AC26*AD26)/'[17]Input Sheet'!$B$11</f>
        <v>0</v>
      </c>
      <c r="AH26" s="143">
        <f>(AF26*AG26)/'[17]Input Sheet'!$B$11</f>
        <v>0</v>
      </c>
      <c r="AI26" s="176">
        <v>49350000</v>
      </c>
      <c r="AJ26" s="177">
        <v>1.7000000000000001E-2</v>
      </c>
      <c r="AK26" s="143">
        <f t="shared" si="10"/>
        <v>2330.416666666667</v>
      </c>
      <c r="AL26" s="176">
        <f t="shared" si="54"/>
        <v>198450000</v>
      </c>
      <c r="AM26" s="177">
        <v>1.7999999999999999E-2</v>
      </c>
      <c r="AN26" s="143">
        <f t="shared" si="11"/>
        <v>9922.4999999999982</v>
      </c>
      <c r="AO26" s="176">
        <f t="shared" si="0"/>
        <v>50000000</v>
      </c>
      <c r="AP26" s="177">
        <v>1.84E-2</v>
      </c>
      <c r="AQ26" s="143">
        <f t="shared" si="12"/>
        <v>2555.5555555555557</v>
      </c>
      <c r="AR26" s="176">
        <f t="shared" si="13"/>
        <v>60000000</v>
      </c>
      <c r="AS26" s="177">
        <v>1.8499999999999999E-2</v>
      </c>
      <c r="AT26" s="143">
        <f t="shared" si="14"/>
        <v>3083.3333333333335</v>
      </c>
      <c r="AU26" s="176">
        <f t="shared" si="56"/>
        <v>50000000</v>
      </c>
      <c r="AV26" s="177">
        <v>1.7899999999999999E-2</v>
      </c>
      <c r="AW26" s="143">
        <f t="shared" si="15"/>
        <v>2486.1111111111113</v>
      </c>
      <c r="AX26" s="176">
        <f t="shared" si="55"/>
        <v>80000000</v>
      </c>
      <c r="AY26" s="177">
        <v>1.7899999999999999E-2</v>
      </c>
      <c r="AZ26" s="143">
        <f t="shared" si="16"/>
        <v>3977.7777777777778</v>
      </c>
      <c r="BA26" s="176"/>
      <c r="BB26" s="177"/>
      <c r="BC26" s="143">
        <f t="shared" si="17"/>
        <v>0</v>
      </c>
      <c r="BF26" s="143">
        <f t="shared" si="18"/>
        <v>0</v>
      </c>
      <c r="BI26" s="143">
        <f t="shared" si="19"/>
        <v>0</v>
      </c>
      <c r="BL26" s="143">
        <f t="shared" si="20"/>
        <v>0</v>
      </c>
      <c r="BO26" s="143">
        <f t="shared" si="21"/>
        <v>0</v>
      </c>
      <c r="BR26" s="143">
        <f t="shared" si="22"/>
        <v>0</v>
      </c>
      <c r="BU26" s="143">
        <f t="shared" si="23"/>
        <v>0</v>
      </c>
      <c r="BX26" s="143">
        <f t="shared" si="24"/>
        <v>0</v>
      </c>
      <c r="CA26" s="143">
        <f t="shared" si="25"/>
        <v>0</v>
      </c>
      <c r="CD26" s="143">
        <f t="shared" si="26"/>
        <v>0</v>
      </c>
      <c r="CG26" s="143">
        <f t="shared" si="27"/>
        <v>0</v>
      </c>
      <c r="CJ26" s="143">
        <f t="shared" si="28"/>
        <v>0</v>
      </c>
      <c r="CM26" s="143">
        <f t="shared" si="29"/>
        <v>0</v>
      </c>
      <c r="CP26" s="143">
        <f t="shared" si="30"/>
        <v>0</v>
      </c>
      <c r="CS26" s="143">
        <f t="shared" si="31"/>
        <v>0</v>
      </c>
      <c r="CV26" s="143">
        <f t="shared" si="32"/>
        <v>0</v>
      </c>
      <c r="CY26" s="143">
        <f t="shared" si="33"/>
        <v>0</v>
      </c>
      <c r="DB26" s="143">
        <f t="shared" si="34"/>
        <v>0</v>
      </c>
      <c r="DE26" s="143">
        <f t="shared" si="35"/>
        <v>0</v>
      </c>
      <c r="DH26" s="143">
        <f t="shared" si="36"/>
        <v>0</v>
      </c>
      <c r="DK26" s="143">
        <f t="shared" si="37"/>
        <v>0</v>
      </c>
      <c r="DN26" s="143">
        <f t="shared" si="38"/>
        <v>0</v>
      </c>
      <c r="DQ26" s="143">
        <f t="shared" si="39"/>
        <v>0</v>
      </c>
      <c r="DT26" s="143">
        <f t="shared" si="40"/>
        <v>0</v>
      </c>
      <c r="DW26" s="143">
        <f t="shared" si="41"/>
        <v>0</v>
      </c>
      <c r="DZ26" s="143"/>
      <c r="EA26" s="143"/>
      <c r="EB26" s="178">
        <f t="shared" si="42"/>
        <v>487800000</v>
      </c>
      <c r="EC26" s="178">
        <f t="shared" si="43"/>
        <v>0</v>
      </c>
      <c r="ED26" s="143">
        <f t="shared" si="44"/>
        <v>24355.694444444442</v>
      </c>
      <c r="EE26" s="144">
        <f t="shared" si="45"/>
        <v>1.7974682246822467E-2</v>
      </c>
      <c r="EG26" s="178">
        <f t="shared" si="46"/>
        <v>0</v>
      </c>
      <c r="EH26" s="143">
        <f t="shared" si="47"/>
        <v>0</v>
      </c>
      <c r="EI26" s="144">
        <f t="shared" si="48"/>
        <v>0</v>
      </c>
      <c r="EJ26" s="144"/>
      <c r="EK26" s="178">
        <f t="shared" si="49"/>
        <v>487800000</v>
      </c>
      <c r="EL26" s="178">
        <f t="shared" si="50"/>
        <v>0</v>
      </c>
      <c r="EM26" s="178">
        <f t="shared" si="51"/>
        <v>24355.694444444442</v>
      </c>
      <c r="EN26" s="144">
        <f t="shared" si="52"/>
        <v>1.7974682246822467E-2</v>
      </c>
      <c r="EP26" s="143"/>
    </row>
    <row r="27" spans="1:146" x14ac:dyDescent="0.2">
      <c r="A27" s="175">
        <f t="shared" si="53"/>
        <v>43878</v>
      </c>
      <c r="D27" s="143"/>
      <c r="G27" s="143">
        <f t="shared" si="2"/>
        <v>0</v>
      </c>
      <c r="J27" s="143">
        <f t="shared" si="3"/>
        <v>0</v>
      </c>
      <c r="M27" s="143">
        <f t="shared" si="4"/>
        <v>0</v>
      </c>
      <c r="P27" s="143">
        <f t="shared" si="5"/>
        <v>0</v>
      </c>
      <c r="S27" s="143">
        <f t="shared" si="6"/>
        <v>0</v>
      </c>
      <c r="V27" s="143">
        <f t="shared" si="7"/>
        <v>0</v>
      </c>
      <c r="Y27" s="143">
        <f t="shared" si="8"/>
        <v>0</v>
      </c>
      <c r="AB27" s="143">
        <f t="shared" si="9"/>
        <v>0</v>
      </c>
      <c r="AE27" s="143">
        <f>(AC27*AD27)/'[17]Input Sheet'!$B$11</f>
        <v>0</v>
      </c>
      <c r="AH27" s="143">
        <f>(AF27*AG27)/'[17]Input Sheet'!$B$11</f>
        <v>0</v>
      </c>
      <c r="AI27" s="176">
        <v>49350000</v>
      </c>
      <c r="AJ27" s="177">
        <v>1.7000000000000001E-2</v>
      </c>
      <c r="AK27" s="143">
        <f t="shared" si="10"/>
        <v>2330.416666666667</v>
      </c>
      <c r="AL27" s="176">
        <f t="shared" si="54"/>
        <v>198450000</v>
      </c>
      <c r="AM27" s="177">
        <v>1.7999999999999999E-2</v>
      </c>
      <c r="AN27" s="143">
        <f t="shared" si="11"/>
        <v>9922.4999999999982</v>
      </c>
      <c r="AO27" s="176">
        <f t="shared" si="0"/>
        <v>50000000</v>
      </c>
      <c r="AP27" s="177">
        <v>1.84E-2</v>
      </c>
      <c r="AQ27" s="143">
        <f t="shared" si="12"/>
        <v>2555.5555555555557</v>
      </c>
      <c r="AR27" s="176">
        <f t="shared" si="13"/>
        <v>60000000</v>
      </c>
      <c r="AS27" s="177">
        <v>1.8499999999999999E-2</v>
      </c>
      <c r="AT27" s="143">
        <f t="shared" si="14"/>
        <v>3083.3333333333335</v>
      </c>
      <c r="AU27" s="176">
        <f t="shared" si="56"/>
        <v>50000000</v>
      </c>
      <c r="AV27" s="177">
        <v>1.7899999999999999E-2</v>
      </c>
      <c r="AW27" s="143">
        <f t="shared" si="15"/>
        <v>2486.1111111111113</v>
      </c>
      <c r="AX27" s="176">
        <f t="shared" si="55"/>
        <v>80000000</v>
      </c>
      <c r="AY27" s="177">
        <v>1.7899999999999999E-2</v>
      </c>
      <c r="AZ27" s="143">
        <f t="shared" si="16"/>
        <v>3977.7777777777778</v>
      </c>
      <c r="BA27" s="176"/>
      <c r="BB27" s="177"/>
      <c r="BC27" s="143">
        <f t="shared" si="17"/>
        <v>0</v>
      </c>
      <c r="BF27" s="143">
        <f t="shared" si="18"/>
        <v>0</v>
      </c>
      <c r="BI27" s="143">
        <f t="shared" si="19"/>
        <v>0</v>
      </c>
      <c r="BL27" s="143">
        <f t="shared" si="20"/>
        <v>0</v>
      </c>
      <c r="BO27" s="143">
        <f t="shared" si="21"/>
        <v>0</v>
      </c>
      <c r="BR27" s="143">
        <f t="shared" si="22"/>
        <v>0</v>
      </c>
      <c r="BU27" s="143">
        <f t="shared" si="23"/>
        <v>0</v>
      </c>
      <c r="BX27" s="143">
        <f t="shared" si="24"/>
        <v>0</v>
      </c>
      <c r="CA27" s="143">
        <f t="shared" si="25"/>
        <v>0</v>
      </c>
      <c r="CD27" s="143">
        <f t="shared" si="26"/>
        <v>0</v>
      </c>
      <c r="CG27" s="143">
        <f t="shared" si="27"/>
        <v>0</v>
      </c>
      <c r="CJ27" s="143">
        <f t="shared" si="28"/>
        <v>0</v>
      </c>
      <c r="CM27" s="143">
        <f t="shared" si="29"/>
        <v>0</v>
      </c>
      <c r="CP27" s="143">
        <f t="shared" si="30"/>
        <v>0</v>
      </c>
      <c r="CS27" s="143">
        <f t="shared" si="31"/>
        <v>0</v>
      </c>
      <c r="CV27" s="143">
        <f t="shared" si="32"/>
        <v>0</v>
      </c>
      <c r="CY27" s="143">
        <f t="shared" si="33"/>
        <v>0</v>
      </c>
      <c r="DB27" s="143">
        <f t="shared" si="34"/>
        <v>0</v>
      </c>
      <c r="DE27" s="143">
        <f t="shared" si="35"/>
        <v>0</v>
      </c>
      <c r="DH27" s="143">
        <f t="shared" si="36"/>
        <v>0</v>
      </c>
      <c r="DK27" s="143">
        <f t="shared" si="37"/>
        <v>0</v>
      </c>
      <c r="DN27" s="143">
        <f t="shared" si="38"/>
        <v>0</v>
      </c>
      <c r="DQ27" s="143">
        <f t="shared" si="39"/>
        <v>0</v>
      </c>
      <c r="DT27" s="143">
        <f t="shared" si="40"/>
        <v>0</v>
      </c>
      <c r="DW27" s="143">
        <f t="shared" si="41"/>
        <v>0</v>
      </c>
      <c r="DZ27" s="143"/>
      <c r="EA27" s="143"/>
      <c r="EB27" s="178">
        <f t="shared" si="42"/>
        <v>487800000</v>
      </c>
      <c r="EC27" s="178">
        <f t="shared" si="43"/>
        <v>0</v>
      </c>
      <c r="ED27" s="143">
        <f t="shared" si="44"/>
        <v>24355.694444444442</v>
      </c>
      <c r="EE27" s="144">
        <f t="shared" si="45"/>
        <v>1.7974682246822467E-2</v>
      </c>
      <c r="EG27" s="178">
        <f t="shared" si="46"/>
        <v>0</v>
      </c>
      <c r="EH27" s="143">
        <f t="shared" si="47"/>
        <v>0</v>
      </c>
      <c r="EI27" s="144">
        <f t="shared" si="48"/>
        <v>0</v>
      </c>
      <c r="EJ27" s="144"/>
      <c r="EK27" s="178">
        <f t="shared" si="49"/>
        <v>487800000</v>
      </c>
      <c r="EL27" s="178">
        <f t="shared" si="50"/>
        <v>0</v>
      </c>
      <c r="EM27" s="178">
        <f t="shared" si="51"/>
        <v>24355.694444444442</v>
      </c>
      <c r="EN27" s="144">
        <f t="shared" si="52"/>
        <v>1.7974682246822467E-2</v>
      </c>
      <c r="EP27" s="143"/>
    </row>
    <row r="28" spans="1:146" x14ac:dyDescent="0.2">
      <c r="A28" s="175">
        <f t="shared" si="53"/>
        <v>43879</v>
      </c>
      <c r="D28" s="143"/>
      <c r="G28" s="143">
        <f t="shared" si="2"/>
        <v>0</v>
      </c>
      <c r="J28" s="143">
        <f t="shared" si="3"/>
        <v>0</v>
      </c>
      <c r="M28" s="143">
        <f t="shared" si="4"/>
        <v>0</v>
      </c>
      <c r="P28" s="143">
        <f t="shared" si="5"/>
        <v>0</v>
      </c>
      <c r="S28" s="143">
        <f t="shared" si="6"/>
        <v>0</v>
      </c>
      <c r="V28" s="143">
        <f t="shared" si="7"/>
        <v>0</v>
      </c>
      <c r="Y28" s="143">
        <f t="shared" si="8"/>
        <v>0</v>
      </c>
      <c r="AB28" s="143">
        <f t="shared" si="9"/>
        <v>0</v>
      </c>
      <c r="AE28" s="143">
        <f>(AC28*AD28)/'[17]Input Sheet'!$B$11</f>
        <v>0</v>
      </c>
      <c r="AH28" s="143">
        <f>(AF28*AG28)/'[17]Input Sheet'!$B$11</f>
        <v>0</v>
      </c>
      <c r="AI28" s="176">
        <v>50350000</v>
      </c>
      <c r="AJ28" s="177">
        <v>1.7000000000000001E-2</v>
      </c>
      <c r="AK28" s="143">
        <f t="shared" si="10"/>
        <v>2377.6388888888891</v>
      </c>
      <c r="AL28" s="176">
        <f t="shared" si="54"/>
        <v>198450000</v>
      </c>
      <c r="AM28" s="177">
        <v>1.7999999999999999E-2</v>
      </c>
      <c r="AN28" s="143">
        <f t="shared" si="11"/>
        <v>9922.4999999999982</v>
      </c>
      <c r="AO28" s="176">
        <f t="shared" si="0"/>
        <v>50000000</v>
      </c>
      <c r="AP28" s="177">
        <v>1.84E-2</v>
      </c>
      <c r="AQ28" s="143">
        <f t="shared" si="12"/>
        <v>2555.5555555555557</v>
      </c>
      <c r="AR28" s="176">
        <f t="shared" si="13"/>
        <v>60000000</v>
      </c>
      <c r="AS28" s="177">
        <v>1.8499999999999999E-2</v>
      </c>
      <c r="AT28" s="143">
        <f t="shared" si="14"/>
        <v>3083.3333333333335</v>
      </c>
      <c r="AU28" s="176">
        <f t="shared" si="56"/>
        <v>50000000</v>
      </c>
      <c r="AV28" s="177">
        <v>1.7899999999999999E-2</v>
      </c>
      <c r="AW28" s="143">
        <f t="shared" si="15"/>
        <v>2486.1111111111113</v>
      </c>
      <c r="AX28" s="176">
        <f t="shared" si="55"/>
        <v>80000000</v>
      </c>
      <c r="AY28" s="177">
        <v>1.7899999999999999E-2</v>
      </c>
      <c r="AZ28" s="143">
        <f t="shared" si="16"/>
        <v>3977.7777777777778</v>
      </c>
      <c r="BA28" s="176"/>
      <c r="BB28" s="177"/>
      <c r="BC28" s="143">
        <f t="shared" si="17"/>
        <v>0</v>
      </c>
      <c r="BF28" s="143">
        <f t="shared" si="18"/>
        <v>0</v>
      </c>
      <c r="BI28" s="143">
        <f t="shared" si="19"/>
        <v>0</v>
      </c>
      <c r="BL28" s="143">
        <f t="shared" si="20"/>
        <v>0</v>
      </c>
      <c r="BO28" s="143">
        <f t="shared" si="21"/>
        <v>0</v>
      </c>
      <c r="BR28" s="143">
        <f t="shared" si="22"/>
        <v>0</v>
      </c>
      <c r="BU28" s="143">
        <f t="shared" si="23"/>
        <v>0</v>
      </c>
      <c r="BX28" s="143">
        <f t="shared" si="24"/>
        <v>0</v>
      </c>
      <c r="CA28" s="143">
        <f t="shared" si="25"/>
        <v>0</v>
      </c>
      <c r="CD28" s="143">
        <f t="shared" si="26"/>
        <v>0</v>
      </c>
      <c r="CG28" s="143">
        <f t="shared" si="27"/>
        <v>0</v>
      </c>
      <c r="CJ28" s="143">
        <f t="shared" si="28"/>
        <v>0</v>
      </c>
      <c r="CM28" s="143">
        <f t="shared" si="29"/>
        <v>0</v>
      </c>
      <c r="CP28" s="143">
        <f t="shared" si="30"/>
        <v>0</v>
      </c>
      <c r="CS28" s="143">
        <f t="shared" si="31"/>
        <v>0</v>
      </c>
      <c r="CV28" s="143">
        <f t="shared" si="32"/>
        <v>0</v>
      </c>
      <c r="CY28" s="143">
        <f t="shared" si="33"/>
        <v>0</v>
      </c>
      <c r="DB28" s="143">
        <f t="shared" si="34"/>
        <v>0</v>
      </c>
      <c r="DE28" s="143">
        <f t="shared" si="35"/>
        <v>0</v>
      </c>
      <c r="DH28" s="143">
        <f t="shared" si="36"/>
        <v>0</v>
      </c>
      <c r="DK28" s="143">
        <f t="shared" si="37"/>
        <v>0</v>
      </c>
      <c r="DN28" s="143">
        <f t="shared" si="38"/>
        <v>0</v>
      </c>
      <c r="DQ28" s="143">
        <f t="shared" si="39"/>
        <v>0</v>
      </c>
      <c r="DT28" s="143">
        <f t="shared" si="40"/>
        <v>0</v>
      </c>
      <c r="DW28" s="143">
        <f t="shared" si="41"/>
        <v>0</v>
      </c>
      <c r="DZ28" s="143"/>
      <c r="EA28" s="143"/>
      <c r="EB28" s="178">
        <f t="shared" si="42"/>
        <v>488800000</v>
      </c>
      <c r="EC28" s="178">
        <f t="shared" si="43"/>
        <v>0</v>
      </c>
      <c r="ED28" s="143">
        <f t="shared" si="44"/>
        <v>24402.916666666661</v>
      </c>
      <c r="EE28" s="144">
        <f t="shared" si="45"/>
        <v>1.7972688216039277E-2</v>
      </c>
      <c r="EG28" s="178">
        <f t="shared" si="46"/>
        <v>0</v>
      </c>
      <c r="EH28" s="143">
        <f t="shared" si="47"/>
        <v>0</v>
      </c>
      <c r="EI28" s="144">
        <f t="shared" si="48"/>
        <v>0</v>
      </c>
      <c r="EJ28" s="144"/>
      <c r="EK28" s="178">
        <f t="shared" si="49"/>
        <v>488800000</v>
      </c>
      <c r="EL28" s="178">
        <f t="shared" si="50"/>
        <v>0</v>
      </c>
      <c r="EM28" s="178">
        <f t="shared" si="51"/>
        <v>24402.916666666664</v>
      </c>
      <c r="EN28" s="144">
        <f t="shared" si="52"/>
        <v>1.7972688216039277E-2</v>
      </c>
      <c r="EP28" s="143"/>
    </row>
    <row r="29" spans="1:146" x14ac:dyDescent="0.2">
      <c r="A29" s="175">
        <f t="shared" si="53"/>
        <v>43880</v>
      </c>
      <c r="D29" s="143"/>
      <c r="G29" s="143">
        <f t="shared" si="2"/>
        <v>0</v>
      </c>
      <c r="J29" s="143">
        <f t="shared" si="3"/>
        <v>0</v>
      </c>
      <c r="M29" s="143">
        <f t="shared" si="4"/>
        <v>0</v>
      </c>
      <c r="P29" s="143">
        <f t="shared" si="5"/>
        <v>0</v>
      </c>
      <c r="S29" s="143">
        <f t="shared" si="6"/>
        <v>0</v>
      </c>
      <c r="V29" s="143">
        <f t="shared" si="7"/>
        <v>0</v>
      </c>
      <c r="Y29" s="143">
        <f t="shared" si="8"/>
        <v>0</v>
      </c>
      <c r="AB29" s="143">
        <f t="shared" si="9"/>
        <v>0</v>
      </c>
      <c r="AE29" s="143">
        <f>(AC29*AD29)/'[17]Input Sheet'!$B$11</f>
        <v>0</v>
      </c>
      <c r="AH29" s="143">
        <f>(AF29*AG29)/'[17]Input Sheet'!$B$11</f>
        <v>0</v>
      </c>
      <c r="AI29" s="176">
        <v>69350000</v>
      </c>
      <c r="AJ29" s="177">
        <v>1.7000000000000001E-2</v>
      </c>
      <c r="AK29" s="143">
        <f t="shared" si="10"/>
        <v>3274.8611111111113</v>
      </c>
      <c r="AL29" s="176">
        <f t="shared" si="54"/>
        <v>198450000</v>
      </c>
      <c r="AM29" s="177">
        <v>1.7999999999999999E-2</v>
      </c>
      <c r="AN29" s="143">
        <f t="shared" si="11"/>
        <v>9922.4999999999982</v>
      </c>
      <c r="AO29" s="176">
        <f t="shared" si="0"/>
        <v>50000000</v>
      </c>
      <c r="AP29" s="177">
        <v>1.84E-2</v>
      </c>
      <c r="AQ29" s="143">
        <f t="shared" si="12"/>
        <v>2555.5555555555557</v>
      </c>
      <c r="AR29" s="176">
        <f t="shared" si="13"/>
        <v>60000000</v>
      </c>
      <c r="AS29" s="177">
        <v>1.8499999999999999E-2</v>
      </c>
      <c r="AT29" s="143">
        <f t="shared" si="14"/>
        <v>3083.3333333333335</v>
      </c>
      <c r="AU29" s="176">
        <f t="shared" si="56"/>
        <v>50000000</v>
      </c>
      <c r="AV29" s="177">
        <v>1.7899999999999999E-2</v>
      </c>
      <c r="AW29" s="143">
        <f t="shared" si="15"/>
        <v>2486.1111111111113</v>
      </c>
      <c r="AX29" s="176">
        <f t="shared" si="55"/>
        <v>80000000</v>
      </c>
      <c r="AY29" s="177">
        <v>1.7899999999999999E-2</v>
      </c>
      <c r="AZ29" s="143">
        <f t="shared" si="16"/>
        <v>3977.7777777777778</v>
      </c>
      <c r="BA29" s="176"/>
      <c r="BB29" s="177"/>
      <c r="BC29" s="143">
        <f t="shared" si="17"/>
        <v>0</v>
      </c>
      <c r="BF29" s="143">
        <f t="shared" si="18"/>
        <v>0</v>
      </c>
      <c r="BI29" s="143">
        <f t="shared" si="19"/>
        <v>0</v>
      </c>
      <c r="BL29" s="143">
        <f t="shared" si="20"/>
        <v>0</v>
      </c>
      <c r="BO29" s="143">
        <f t="shared" si="21"/>
        <v>0</v>
      </c>
      <c r="BR29" s="143">
        <f t="shared" si="22"/>
        <v>0</v>
      </c>
      <c r="BU29" s="143">
        <f t="shared" si="23"/>
        <v>0</v>
      </c>
      <c r="BX29" s="143">
        <f t="shared" si="24"/>
        <v>0</v>
      </c>
      <c r="CA29" s="143">
        <f t="shared" si="25"/>
        <v>0</v>
      </c>
      <c r="CD29" s="143">
        <f t="shared" si="26"/>
        <v>0</v>
      </c>
      <c r="CG29" s="143">
        <f t="shared" si="27"/>
        <v>0</v>
      </c>
      <c r="CJ29" s="143">
        <f t="shared" si="28"/>
        <v>0</v>
      </c>
      <c r="CM29" s="143">
        <f t="shared" si="29"/>
        <v>0</v>
      </c>
      <c r="CP29" s="143">
        <f t="shared" si="30"/>
        <v>0</v>
      </c>
      <c r="CS29" s="143">
        <f t="shared" si="31"/>
        <v>0</v>
      </c>
      <c r="CV29" s="143">
        <f t="shared" si="32"/>
        <v>0</v>
      </c>
      <c r="CY29" s="143">
        <f t="shared" si="33"/>
        <v>0</v>
      </c>
      <c r="DB29" s="143">
        <f t="shared" si="34"/>
        <v>0</v>
      </c>
      <c r="DE29" s="143">
        <f t="shared" si="35"/>
        <v>0</v>
      </c>
      <c r="DH29" s="143">
        <f t="shared" si="36"/>
        <v>0</v>
      </c>
      <c r="DK29" s="143">
        <f t="shared" si="37"/>
        <v>0</v>
      </c>
      <c r="DN29" s="143">
        <f t="shared" si="38"/>
        <v>0</v>
      </c>
      <c r="DQ29" s="143">
        <f t="shared" si="39"/>
        <v>0</v>
      </c>
      <c r="DT29" s="143">
        <f t="shared" si="40"/>
        <v>0</v>
      </c>
      <c r="DW29" s="143">
        <f t="shared" si="41"/>
        <v>0</v>
      </c>
      <c r="DZ29" s="143"/>
      <c r="EA29" s="143"/>
      <c r="EB29" s="178">
        <f t="shared" si="42"/>
        <v>507800000</v>
      </c>
      <c r="EC29" s="178">
        <f t="shared" si="43"/>
        <v>0</v>
      </c>
      <c r="ED29" s="143">
        <f t="shared" si="44"/>
        <v>25300.138888888887</v>
      </c>
      <c r="EE29" s="144">
        <f t="shared" si="45"/>
        <v>1.7936293816463174E-2</v>
      </c>
      <c r="EG29" s="178">
        <f t="shared" si="46"/>
        <v>0</v>
      </c>
      <c r="EH29" s="143">
        <f t="shared" si="47"/>
        <v>0</v>
      </c>
      <c r="EI29" s="144">
        <f t="shared" si="48"/>
        <v>0</v>
      </c>
      <c r="EJ29" s="144"/>
      <c r="EK29" s="178">
        <f t="shared" si="49"/>
        <v>507800000</v>
      </c>
      <c r="EL29" s="178">
        <f t="shared" si="50"/>
        <v>0</v>
      </c>
      <c r="EM29" s="178">
        <f t="shared" si="51"/>
        <v>25300.138888888883</v>
      </c>
      <c r="EN29" s="144">
        <f t="shared" si="52"/>
        <v>1.793629381646317E-2</v>
      </c>
      <c r="EP29" s="143"/>
    </row>
    <row r="30" spans="1:146" x14ac:dyDescent="0.2">
      <c r="A30" s="175">
        <f t="shared" si="53"/>
        <v>43881</v>
      </c>
      <c r="D30" s="143"/>
      <c r="G30" s="143">
        <f t="shared" si="2"/>
        <v>0</v>
      </c>
      <c r="J30" s="143">
        <f t="shared" si="3"/>
        <v>0</v>
      </c>
      <c r="M30" s="143">
        <f t="shared" si="4"/>
        <v>0</v>
      </c>
      <c r="P30" s="143">
        <f t="shared" si="5"/>
        <v>0</v>
      </c>
      <c r="S30" s="143">
        <f t="shared" si="6"/>
        <v>0</v>
      </c>
      <c r="V30" s="143">
        <f t="shared" si="7"/>
        <v>0</v>
      </c>
      <c r="Y30" s="143">
        <f t="shared" si="8"/>
        <v>0</v>
      </c>
      <c r="AB30" s="143">
        <f t="shared" si="9"/>
        <v>0</v>
      </c>
      <c r="AE30" s="143">
        <f>(AC30*AD30)/'[17]Input Sheet'!$B$11</f>
        <v>0</v>
      </c>
      <c r="AH30" s="143">
        <f>(AF30*AG30)/'[17]Input Sheet'!$B$11</f>
        <v>0</v>
      </c>
      <c r="AI30" s="176">
        <v>50675000</v>
      </c>
      <c r="AJ30" s="177">
        <v>1.7000000000000001E-2</v>
      </c>
      <c r="AK30" s="143">
        <f t="shared" si="10"/>
        <v>2392.9861111111113</v>
      </c>
      <c r="AL30" s="176">
        <f t="shared" si="54"/>
        <v>198450000</v>
      </c>
      <c r="AM30" s="177">
        <v>1.7999999999999999E-2</v>
      </c>
      <c r="AN30" s="143">
        <f t="shared" si="11"/>
        <v>9922.4999999999982</v>
      </c>
      <c r="AO30" s="176">
        <f t="shared" si="0"/>
        <v>50000000</v>
      </c>
      <c r="AP30" s="177">
        <v>1.84E-2</v>
      </c>
      <c r="AQ30" s="143">
        <f t="shared" si="12"/>
        <v>2555.5555555555557</v>
      </c>
      <c r="AR30" s="176"/>
      <c r="AS30" s="177"/>
      <c r="AT30" s="143">
        <f t="shared" si="14"/>
        <v>0</v>
      </c>
      <c r="AU30" s="176">
        <f t="shared" si="56"/>
        <v>50000000</v>
      </c>
      <c r="AV30" s="177">
        <v>1.7899999999999999E-2</v>
      </c>
      <c r="AW30" s="143">
        <f t="shared" si="15"/>
        <v>2486.1111111111113</v>
      </c>
      <c r="AX30" s="176">
        <f t="shared" si="55"/>
        <v>80000000</v>
      </c>
      <c r="AY30" s="177">
        <v>1.7899999999999999E-2</v>
      </c>
      <c r="AZ30" s="143">
        <f t="shared" si="16"/>
        <v>3977.7777777777778</v>
      </c>
      <c r="BA30" s="176">
        <v>70000000</v>
      </c>
      <c r="BB30" s="177">
        <v>1.78E-2</v>
      </c>
      <c r="BC30" s="143">
        <f t="shared" si="17"/>
        <v>3461.1111111111113</v>
      </c>
      <c r="BF30" s="143">
        <f t="shared" si="18"/>
        <v>0</v>
      </c>
      <c r="BI30" s="143">
        <f t="shared" si="19"/>
        <v>0</v>
      </c>
      <c r="BL30" s="143">
        <f t="shared" si="20"/>
        <v>0</v>
      </c>
      <c r="BO30" s="143">
        <f t="shared" si="21"/>
        <v>0</v>
      </c>
      <c r="BR30" s="143">
        <f t="shared" si="22"/>
        <v>0</v>
      </c>
      <c r="BU30" s="143">
        <f t="shared" si="23"/>
        <v>0</v>
      </c>
      <c r="BX30" s="143">
        <f t="shared" si="24"/>
        <v>0</v>
      </c>
      <c r="CA30" s="143">
        <f t="shared" si="25"/>
        <v>0</v>
      </c>
      <c r="CD30" s="143">
        <f t="shared" si="26"/>
        <v>0</v>
      </c>
      <c r="CG30" s="143">
        <f t="shared" si="27"/>
        <v>0</v>
      </c>
      <c r="CJ30" s="143">
        <f t="shared" si="28"/>
        <v>0</v>
      </c>
      <c r="CM30" s="143">
        <f t="shared" si="29"/>
        <v>0</v>
      </c>
      <c r="CP30" s="143">
        <f t="shared" si="30"/>
        <v>0</v>
      </c>
      <c r="CS30" s="143">
        <f t="shared" si="31"/>
        <v>0</v>
      </c>
      <c r="CV30" s="143">
        <f t="shared" si="32"/>
        <v>0</v>
      </c>
      <c r="CY30" s="143">
        <f t="shared" si="33"/>
        <v>0</v>
      </c>
      <c r="DB30" s="143">
        <f t="shared" si="34"/>
        <v>0</v>
      </c>
      <c r="DE30" s="143">
        <f t="shared" si="35"/>
        <v>0</v>
      </c>
      <c r="DH30" s="143">
        <f t="shared" si="36"/>
        <v>0</v>
      </c>
      <c r="DK30" s="143">
        <f t="shared" si="37"/>
        <v>0</v>
      </c>
      <c r="DN30" s="143">
        <f t="shared" si="38"/>
        <v>0</v>
      </c>
      <c r="DQ30" s="143">
        <f t="shared" si="39"/>
        <v>0</v>
      </c>
      <c r="DT30" s="143">
        <f t="shared" si="40"/>
        <v>0</v>
      </c>
      <c r="DW30" s="143">
        <f t="shared" si="41"/>
        <v>0</v>
      </c>
      <c r="DZ30" s="143"/>
      <c r="EA30" s="143"/>
      <c r="EB30" s="178">
        <f t="shared" si="42"/>
        <v>499125000</v>
      </c>
      <c r="EC30" s="178">
        <f t="shared" si="43"/>
        <v>0</v>
      </c>
      <c r="ED30" s="143">
        <f t="shared" si="44"/>
        <v>24796.041666666664</v>
      </c>
      <c r="EE30" s="144">
        <f t="shared" si="45"/>
        <v>1.7884447783621336E-2</v>
      </c>
      <c r="EG30" s="178">
        <f t="shared" si="46"/>
        <v>0</v>
      </c>
      <c r="EH30" s="143">
        <f t="shared" si="47"/>
        <v>0</v>
      </c>
      <c r="EI30" s="144">
        <f t="shared" si="48"/>
        <v>0</v>
      </c>
      <c r="EJ30" s="144"/>
      <c r="EK30" s="178">
        <f t="shared" si="49"/>
        <v>499125000</v>
      </c>
      <c r="EL30" s="178">
        <f t="shared" si="50"/>
        <v>0</v>
      </c>
      <c r="EM30" s="178">
        <f t="shared" si="51"/>
        <v>24796.041666666664</v>
      </c>
      <c r="EN30" s="144">
        <f t="shared" si="52"/>
        <v>1.7884447783621336E-2</v>
      </c>
      <c r="EP30" s="143"/>
    </row>
    <row r="31" spans="1:146" x14ac:dyDescent="0.2">
      <c r="A31" s="175">
        <f t="shared" si="53"/>
        <v>43882</v>
      </c>
      <c r="D31" s="143"/>
      <c r="G31" s="143">
        <f t="shared" si="2"/>
        <v>0</v>
      </c>
      <c r="J31" s="143">
        <f t="shared" si="3"/>
        <v>0</v>
      </c>
      <c r="M31" s="143">
        <f t="shared" si="4"/>
        <v>0</v>
      </c>
      <c r="P31" s="143">
        <f t="shared" si="5"/>
        <v>0</v>
      </c>
      <c r="S31" s="143">
        <f t="shared" si="6"/>
        <v>0</v>
      </c>
      <c r="V31" s="143">
        <f t="shared" si="7"/>
        <v>0</v>
      </c>
      <c r="Y31" s="143">
        <f t="shared" si="8"/>
        <v>0</v>
      </c>
      <c r="AB31" s="143">
        <f t="shared" si="9"/>
        <v>0</v>
      </c>
      <c r="AE31" s="143">
        <f>(AC31*AD31)/'[17]Input Sheet'!$B$11</f>
        <v>0</v>
      </c>
      <c r="AH31" s="143">
        <f>(AF31*AG31)/'[17]Input Sheet'!$B$11</f>
        <v>0</v>
      </c>
      <c r="AI31" s="176">
        <f>51775000</f>
        <v>51775000</v>
      </c>
      <c r="AJ31" s="177">
        <v>1.7000000000000001E-2</v>
      </c>
      <c r="AK31" s="143">
        <f t="shared" si="10"/>
        <v>2444.9305555555557</v>
      </c>
      <c r="AL31" s="176">
        <f t="shared" si="54"/>
        <v>198450000</v>
      </c>
      <c r="AM31" s="177">
        <v>1.7999999999999999E-2</v>
      </c>
      <c r="AN31" s="143">
        <f t="shared" si="11"/>
        <v>9922.4999999999982</v>
      </c>
      <c r="AO31" s="176">
        <f t="shared" si="0"/>
        <v>50000000</v>
      </c>
      <c r="AP31" s="177">
        <v>1.84E-2</v>
      </c>
      <c r="AQ31" s="143">
        <f t="shared" si="12"/>
        <v>2555.5555555555557</v>
      </c>
      <c r="AR31" s="176"/>
      <c r="AS31" s="177"/>
      <c r="AT31" s="143">
        <f t="shared" si="14"/>
        <v>0</v>
      </c>
      <c r="AU31" s="176">
        <f t="shared" si="56"/>
        <v>50000000</v>
      </c>
      <c r="AV31" s="177">
        <v>1.7899999999999999E-2</v>
      </c>
      <c r="AW31" s="143">
        <f t="shared" si="15"/>
        <v>2486.1111111111113</v>
      </c>
      <c r="AX31" s="176">
        <f t="shared" si="55"/>
        <v>80000000</v>
      </c>
      <c r="AY31" s="177">
        <v>1.7899999999999999E-2</v>
      </c>
      <c r="AZ31" s="143">
        <f t="shared" si="16"/>
        <v>3977.7777777777778</v>
      </c>
      <c r="BA31" s="176">
        <v>70000000</v>
      </c>
      <c r="BB31" s="177">
        <v>1.78E-2</v>
      </c>
      <c r="BC31" s="143">
        <f t="shared" si="17"/>
        <v>3461.1111111111113</v>
      </c>
      <c r="BF31" s="143">
        <f t="shared" si="18"/>
        <v>0</v>
      </c>
      <c r="BI31" s="143">
        <f t="shared" si="19"/>
        <v>0</v>
      </c>
      <c r="BL31" s="143">
        <f t="shared" si="20"/>
        <v>0</v>
      </c>
      <c r="BO31" s="143">
        <f t="shared" si="21"/>
        <v>0</v>
      </c>
      <c r="BR31" s="143">
        <f t="shared" si="22"/>
        <v>0</v>
      </c>
      <c r="BU31" s="143">
        <f t="shared" si="23"/>
        <v>0</v>
      </c>
      <c r="BX31" s="143">
        <f t="shared" si="24"/>
        <v>0</v>
      </c>
      <c r="CA31" s="143">
        <f t="shared" si="25"/>
        <v>0</v>
      </c>
      <c r="CD31" s="143">
        <f t="shared" si="26"/>
        <v>0</v>
      </c>
      <c r="CG31" s="143">
        <f t="shared" si="27"/>
        <v>0</v>
      </c>
      <c r="CJ31" s="143">
        <f t="shared" si="28"/>
        <v>0</v>
      </c>
      <c r="CM31" s="143">
        <f t="shared" si="29"/>
        <v>0</v>
      </c>
      <c r="CP31" s="143">
        <f t="shared" si="30"/>
        <v>0</v>
      </c>
      <c r="CS31" s="143">
        <f t="shared" si="31"/>
        <v>0</v>
      </c>
      <c r="CV31" s="143">
        <f t="shared" si="32"/>
        <v>0</v>
      </c>
      <c r="CY31" s="143">
        <f t="shared" si="33"/>
        <v>0</v>
      </c>
      <c r="DB31" s="143">
        <f t="shared" si="34"/>
        <v>0</v>
      </c>
      <c r="DE31" s="143">
        <f t="shared" si="35"/>
        <v>0</v>
      </c>
      <c r="DH31" s="143">
        <f t="shared" si="36"/>
        <v>0</v>
      </c>
      <c r="DK31" s="143">
        <f t="shared" si="37"/>
        <v>0</v>
      </c>
      <c r="DN31" s="143">
        <f t="shared" si="38"/>
        <v>0</v>
      </c>
      <c r="DQ31" s="143">
        <f t="shared" si="39"/>
        <v>0</v>
      </c>
      <c r="DT31" s="143">
        <f t="shared" si="40"/>
        <v>0</v>
      </c>
      <c r="DW31" s="143">
        <f t="shared" si="41"/>
        <v>0</v>
      </c>
      <c r="DZ31" s="143"/>
      <c r="EA31" s="143"/>
      <c r="EB31" s="178">
        <f t="shared" si="42"/>
        <v>500225000</v>
      </c>
      <c r="EC31" s="178">
        <f t="shared" si="43"/>
        <v>0</v>
      </c>
      <c r="ED31" s="143">
        <f t="shared" si="44"/>
        <v>24847.986111111109</v>
      </c>
      <c r="EE31" s="144">
        <f t="shared" si="45"/>
        <v>1.7882502873706831E-2</v>
      </c>
      <c r="EG31" s="178">
        <f t="shared" si="46"/>
        <v>0</v>
      </c>
      <c r="EH31" s="143">
        <f t="shared" si="47"/>
        <v>0</v>
      </c>
      <c r="EI31" s="144">
        <f t="shared" si="48"/>
        <v>0</v>
      </c>
      <c r="EJ31" s="144"/>
      <c r="EK31" s="178">
        <f t="shared" si="49"/>
        <v>500225000</v>
      </c>
      <c r="EL31" s="178">
        <f t="shared" si="50"/>
        <v>0</v>
      </c>
      <c r="EM31" s="178">
        <f t="shared" si="51"/>
        <v>24847.986111111109</v>
      </c>
      <c r="EN31" s="144">
        <f t="shared" si="52"/>
        <v>1.7882502873706831E-2</v>
      </c>
      <c r="EP31" s="143"/>
    </row>
    <row r="32" spans="1:146" x14ac:dyDescent="0.2">
      <c r="A32" s="175">
        <f t="shared" si="53"/>
        <v>43883</v>
      </c>
      <c r="D32" s="143"/>
      <c r="G32" s="143">
        <f t="shared" si="2"/>
        <v>0</v>
      </c>
      <c r="J32" s="143">
        <f t="shared" si="3"/>
        <v>0</v>
      </c>
      <c r="M32" s="143">
        <f t="shared" si="4"/>
        <v>0</v>
      </c>
      <c r="P32" s="143">
        <f t="shared" si="5"/>
        <v>0</v>
      </c>
      <c r="S32" s="143">
        <f t="shared" si="6"/>
        <v>0</v>
      </c>
      <c r="V32" s="143">
        <f t="shared" si="7"/>
        <v>0</v>
      </c>
      <c r="Y32" s="143">
        <f t="shared" si="8"/>
        <v>0</v>
      </c>
      <c r="AB32" s="143">
        <f t="shared" si="9"/>
        <v>0</v>
      </c>
      <c r="AE32" s="143">
        <f>(AC32*AD32)/'[17]Input Sheet'!$B$11</f>
        <v>0</v>
      </c>
      <c r="AH32" s="143">
        <f>(AF32*AG32)/'[17]Input Sheet'!$B$11</f>
        <v>0</v>
      </c>
      <c r="AI32" s="176">
        <f>51775000</f>
        <v>51775000</v>
      </c>
      <c r="AJ32" s="177">
        <v>1.7000000000000001E-2</v>
      </c>
      <c r="AK32" s="143">
        <f t="shared" si="10"/>
        <v>2444.9305555555557</v>
      </c>
      <c r="AL32" s="176">
        <f t="shared" si="54"/>
        <v>198450000</v>
      </c>
      <c r="AM32" s="177">
        <v>1.7999999999999999E-2</v>
      </c>
      <c r="AN32" s="143">
        <f t="shared" si="11"/>
        <v>9922.4999999999982</v>
      </c>
      <c r="AO32" s="176">
        <f t="shared" si="0"/>
        <v>50000000</v>
      </c>
      <c r="AP32" s="177">
        <v>1.84E-2</v>
      </c>
      <c r="AQ32" s="143">
        <f t="shared" si="12"/>
        <v>2555.5555555555557</v>
      </c>
      <c r="AR32" s="176"/>
      <c r="AS32" s="177"/>
      <c r="AT32" s="143">
        <f t="shared" si="14"/>
        <v>0</v>
      </c>
      <c r="AU32" s="176">
        <f t="shared" si="56"/>
        <v>50000000</v>
      </c>
      <c r="AV32" s="177">
        <v>1.7899999999999999E-2</v>
      </c>
      <c r="AW32" s="143">
        <f t="shared" si="15"/>
        <v>2486.1111111111113</v>
      </c>
      <c r="AX32" s="176">
        <f t="shared" si="55"/>
        <v>80000000</v>
      </c>
      <c r="AY32" s="177">
        <v>1.7899999999999999E-2</v>
      </c>
      <c r="AZ32" s="143">
        <f t="shared" si="16"/>
        <v>3977.7777777777778</v>
      </c>
      <c r="BA32" s="176">
        <v>70000000</v>
      </c>
      <c r="BB32" s="177">
        <v>1.78E-2</v>
      </c>
      <c r="BC32" s="143">
        <f t="shared" si="17"/>
        <v>3461.1111111111113</v>
      </c>
      <c r="BF32" s="143">
        <f t="shared" si="18"/>
        <v>0</v>
      </c>
      <c r="BI32" s="143">
        <f t="shared" si="19"/>
        <v>0</v>
      </c>
      <c r="BL32" s="143">
        <f t="shared" si="20"/>
        <v>0</v>
      </c>
      <c r="BO32" s="143">
        <f t="shared" si="21"/>
        <v>0</v>
      </c>
      <c r="BR32" s="143">
        <f t="shared" si="22"/>
        <v>0</v>
      </c>
      <c r="BU32" s="143">
        <f t="shared" si="23"/>
        <v>0</v>
      </c>
      <c r="BX32" s="143">
        <f t="shared" si="24"/>
        <v>0</v>
      </c>
      <c r="CA32" s="143">
        <f t="shared" si="25"/>
        <v>0</v>
      </c>
      <c r="CD32" s="143">
        <f t="shared" si="26"/>
        <v>0</v>
      </c>
      <c r="CG32" s="143">
        <f t="shared" si="27"/>
        <v>0</v>
      </c>
      <c r="CJ32" s="143">
        <f t="shared" si="28"/>
        <v>0</v>
      </c>
      <c r="CM32" s="143">
        <f t="shared" si="29"/>
        <v>0</v>
      </c>
      <c r="CP32" s="143">
        <f t="shared" si="30"/>
        <v>0</v>
      </c>
      <c r="CS32" s="143">
        <f t="shared" si="31"/>
        <v>0</v>
      </c>
      <c r="CV32" s="143">
        <f t="shared" si="32"/>
        <v>0</v>
      </c>
      <c r="CY32" s="143">
        <f t="shared" si="33"/>
        <v>0</v>
      </c>
      <c r="DB32" s="143">
        <f t="shared" si="34"/>
        <v>0</v>
      </c>
      <c r="DE32" s="143">
        <f t="shared" si="35"/>
        <v>0</v>
      </c>
      <c r="DH32" s="143">
        <f t="shared" si="36"/>
        <v>0</v>
      </c>
      <c r="DK32" s="143">
        <f t="shared" si="37"/>
        <v>0</v>
      </c>
      <c r="DN32" s="143">
        <f t="shared" si="38"/>
        <v>0</v>
      </c>
      <c r="DQ32" s="143">
        <f t="shared" si="39"/>
        <v>0</v>
      </c>
      <c r="DT32" s="143">
        <f t="shared" si="40"/>
        <v>0</v>
      </c>
      <c r="DW32" s="143">
        <f t="shared" si="41"/>
        <v>0</v>
      </c>
      <c r="DZ32" s="143"/>
      <c r="EA32" s="143"/>
      <c r="EB32" s="178">
        <f t="shared" si="42"/>
        <v>500225000</v>
      </c>
      <c r="EC32" s="178">
        <f t="shared" si="43"/>
        <v>0</v>
      </c>
      <c r="ED32" s="143">
        <f t="shared" si="44"/>
        <v>24847.986111111109</v>
      </c>
      <c r="EE32" s="144">
        <f t="shared" si="45"/>
        <v>1.7882502873706831E-2</v>
      </c>
      <c r="EG32" s="178">
        <f t="shared" si="46"/>
        <v>0</v>
      </c>
      <c r="EH32" s="143">
        <f t="shared" si="47"/>
        <v>0</v>
      </c>
      <c r="EI32" s="144">
        <f t="shared" si="48"/>
        <v>0</v>
      </c>
      <c r="EJ32" s="144"/>
      <c r="EK32" s="178">
        <f t="shared" si="49"/>
        <v>500225000</v>
      </c>
      <c r="EL32" s="178">
        <f t="shared" si="50"/>
        <v>0</v>
      </c>
      <c r="EM32" s="178">
        <f t="shared" si="51"/>
        <v>24847.986111111109</v>
      </c>
      <c r="EN32" s="144">
        <f t="shared" si="52"/>
        <v>1.7882502873706831E-2</v>
      </c>
      <c r="EP32" s="143"/>
    </row>
    <row r="33" spans="1:146" x14ac:dyDescent="0.2">
      <c r="A33" s="175">
        <f t="shared" si="53"/>
        <v>43884</v>
      </c>
      <c r="D33" s="143"/>
      <c r="G33" s="143">
        <f t="shared" si="2"/>
        <v>0</v>
      </c>
      <c r="J33" s="143">
        <f t="shared" si="3"/>
        <v>0</v>
      </c>
      <c r="M33" s="143">
        <f t="shared" si="4"/>
        <v>0</v>
      </c>
      <c r="P33" s="143">
        <f t="shared" si="5"/>
        <v>0</v>
      </c>
      <c r="S33" s="143">
        <f t="shared" si="6"/>
        <v>0</v>
      </c>
      <c r="V33" s="143">
        <f t="shared" si="7"/>
        <v>0</v>
      </c>
      <c r="Y33" s="143">
        <f t="shared" si="8"/>
        <v>0</v>
      </c>
      <c r="AB33" s="143">
        <f t="shared" si="9"/>
        <v>0</v>
      </c>
      <c r="AE33" s="143">
        <f>(AC33*AD33)/'[17]Input Sheet'!$B$11</f>
        <v>0</v>
      </c>
      <c r="AH33" s="143">
        <f>(AF33*AG33)/'[17]Input Sheet'!$B$11</f>
        <v>0</v>
      </c>
      <c r="AI33" s="176">
        <f>51775000</f>
        <v>51775000</v>
      </c>
      <c r="AJ33" s="177">
        <v>1.7000000000000001E-2</v>
      </c>
      <c r="AK33" s="143">
        <f t="shared" si="10"/>
        <v>2444.9305555555557</v>
      </c>
      <c r="AL33" s="176">
        <f t="shared" si="54"/>
        <v>198450000</v>
      </c>
      <c r="AM33" s="177">
        <v>1.7999999999999999E-2</v>
      </c>
      <c r="AN33" s="143">
        <f t="shared" si="11"/>
        <v>9922.4999999999982</v>
      </c>
      <c r="AO33" s="176">
        <f t="shared" si="0"/>
        <v>50000000</v>
      </c>
      <c r="AP33" s="177">
        <v>1.84E-2</v>
      </c>
      <c r="AQ33" s="143">
        <f t="shared" si="12"/>
        <v>2555.5555555555557</v>
      </c>
      <c r="AR33" s="176"/>
      <c r="AS33" s="177"/>
      <c r="AT33" s="143">
        <f t="shared" si="14"/>
        <v>0</v>
      </c>
      <c r="AU33" s="176">
        <f t="shared" si="56"/>
        <v>50000000</v>
      </c>
      <c r="AV33" s="177">
        <v>1.7899999999999999E-2</v>
      </c>
      <c r="AW33" s="143">
        <f t="shared" si="15"/>
        <v>2486.1111111111113</v>
      </c>
      <c r="AX33" s="176">
        <f t="shared" si="55"/>
        <v>80000000</v>
      </c>
      <c r="AY33" s="177">
        <v>1.7899999999999999E-2</v>
      </c>
      <c r="AZ33" s="143">
        <f t="shared" si="16"/>
        <v>3977.7777777777778</v>
      </c>
      <c r="BA33" s="176">
        <v>70000000</v>
      </c>
      <c r="BB33" s="177">
        <v>1.78E-2</v>
      </c>
      <c r="BC33" s="143">
        <f t="shared" si="17"/>
        <v>3461.1111111111113</v>
      </c>
      <c r="BF33" s="143">
        <f t="shared" si="18"/>
        <v>0</v>
      </c>
      <c r="BI33" s="143">
        <f t="shared" si="19"/>
        <v>0</v>
      </c>
      <c r="BL33" s="143">
        <f t="shared" si="20"/>
        <v>0</v>
      </c>
      <c r="BO33" s="143">
        <f t="shared" si="21"/>
        <v>0</v>
      </c>
      <c r="BR33" s="143">
        <f t="shared" si="22"/>
        <v>0</v>
      </c>
      <c r="BU33" s="143">
        <f t="shared" si="23"/>
        <v>0</v>
      </c>
      <c r="BX33" s="143">
        <f t="shared" si="24"/>
        <v>0</v>
      </c>
      <c r="CA33" s="143">
        <f t="shared" si="25"/>
        <v>0</v>
      </c>
      <c r="CD33" s="143">
        <f t="shared" si="26"/>
        <v>0</v>
      </c>
      <c r="CG33" s="143">
        <f t="shared" si="27"/>
        <v>0</v>
      </c>
      <c r="CJ33" s="143">
        <f t="shared" si="28"/>
        <v>0</v>
      </c>
      <c r="CM33" s="143">
        <f t="shared" si="29"/>
        <v>0</v>
      </c>
      <c r="CP33" s="143">
        <f t="shared" si="30"/>
        <v>0</v>
      </c>
      <c r="CS33" s="143">
        <f t="shared" si="31"/>
        <v>0</v>
      </c>
      <c r="CV33" s="143">
        <f t="shared" si="32"/>
        <v>0</v>
      </c>
      <c r="CY33" s="143">
        <f t="shared" si="33"/>
        <v>0</v>
      </c>
      <c r="DB33" s="143">
        <f t="shared" si="34"/>
        <v>0</v>
      </c>
      <c r="DE33" s="143">
        <f t="shared" si="35"/>
        <v>0</v>
      </c>
      <c r="DH33" s="143">
        <f t="shared" si="36"/>
        <v>0</v>
      </c>
      <c r="DK33" s="143">
        <f t="shared" si="37"/>
        <v>0</v>
      </c>
      <c r="DN33" s="143">
        <f t="shared" si="38"/>
        <v>0</v>
      </c>
      <c r="DQ33" s="143">
        <f t="shared" si="39"/>
        <v>0</v>
      </c>
      <c r="DT33" s="143">
        <f t="shared" si="40"/>
        <v>0</v>
      </c>
      <c r="DW33" s="143">
        <f t="shared" si="41"/>
        <v>0</v>
      </c>
      <c r="DZ33" s="143"/>
      <c r="EA33" s="143"/>
      <c r="EB33" s="178">
        <f t="shared" si="42"/>
        <v>500225000</v>
      </c>
      <c r="EC33" s="178">
        <f t="shared" si="43"/>
        <v>0</v>
      </c>
      <c r="ED33" s="143">
        <f t="shared" si="44"/>
        <v>24847.986111111109</v>
      </c>
      <c r="EE33" s="144">
        <f t="shared" si="45"/>
        <v>1.7882502873706831E-2</v>
      </c>
      <c r="EG33" s="178">
        <f t="shared" si="46"/>
        <v>0</v>
      </c>
      <c r="EH33" s="143">
        <f t="shared" si="47"/>
        <v>0</v>
      </c>
      <c r="EI33" s="144">
        <f t="shared" si="48"/>
        <v>0</v>
      </c>
      <c r="EJ33" s="144"/>
      <c r="EK33" s="178">
        <f t="shared" si="49"/>
        <v>500225000</v>
      </c>
      <c r="EL33" s="178">
        <f t="shared" si="50"/>
        <v>0</v>
      </c>
      <c r="EM33" s="178">
        <f t="shared" si="51"/>
        <v>24847.986111111109</v>
      </c>
      <c r="EN33" s="144">
        <f t="shared" si="52"/>
        <v>1.7882502873706831E-2</v>
      </c>
      <c r="EP33" s="143"/>
    </row>
    <row r="34" spans="1:146" x14ac:dyDescent="0.2">
      <c r="A34" s="175">
        <f t="shared" si="53"/>
        <v>43885</v>
      </c>
      <c r="D34" s="143"/>
      <c r="G34" s="143">
        <f t="shared" si="2"/>
        <v>0</v>
      </c>
      <c r="J34" s="143">
        <f t="shared" si="3"/>
        <v>0</v>
      </c>
      <c r="M34" s="143">
        <f t="shared" si="4"/>
        <v>0</v>
      </c>
      <c r="P34" s="143">
        <f t="shared" si="5"/>
        <v>0</v>
      </c>
      <c r="S34" s="143">
        <f t="shared" si="6"/>
        <v>0</v>
      </c>
      <c r="V34" s="143">
        <f t="shared" si="7"/>
        <v>0</v>
      </c>
      <c r="Y34" s="143">
        <f t="shared" si="8"/>
        <v>0</v>
      </c>
      <c r="AB34" s="143">
        <f t="shared" si="9"/>
        <v>0</v>
      </c>
      <c r="AE34" s="143">
        <f>(AC34*AD34)/'[17]Input Sheet'!$B$11</f>
        <v>0</v>
      </c>
      <c r="AH34" s="143">
        <f>(AF34*AG34)/'[17]Input Sheet'!$B$11</f>
        <v>0</v>
      </c>
      <c r="AI34" s="176">
        <f>54175000</f>
        <v>54175000</v>
      </c>
      <c r="AJ34" s="177">
        <v>1.7000000000000001E-2</v>
      </c>
      <c r="AK34" s="143">
        <f t="shared" si="10"/>
        <v>2558.2638888888891</v>
      </c>
      <c r="AL34" s="176">
        <f t="shared" si="54"/>
        <v>198450000</v>
      </c>
      <c r="AM34" s="177">
        <v>1.7999999999999999E-2</v>
      </c>
      <c r="AN34" s="143">
        <f t="shared" si="11"/>
        <v>9922.4999999999982</v>
      </c>
      <c r="AO34" s="176">
        <f t="shared" si="0"/>
        <v>50000000</v>
      </c>
      <c r="AP34" s="177">
        <v>1.84E-2</v>
      </c>
      <c r="AQ34" s="143">
        <f t="shared" si="12"/>
        <v>2555.5555555555557</v>
      </c>
      <c r="AR34" s="176"/>
      <c r="AS34" s="177"/>
      <c r="AT34" s="143">
        <f t="shared" si="14"/>
        <v>0</v>
      </c>
      <c r="AU34" s="176">
        <f t="shared" si="56"/>
        <v>50000000</v>
      </c>
      <c r="AV34" s="177">
        <v>1.7899999999999999E-2</v>
      </c>
      <c r="AW34" s="143">
        <f t="shared" si="15"/>
        <v>2486.1111111111113</v>
      </c>
      <c r="AX34" s="176">
        <f t="shared" si="55"/>
        <v>80000000</v>
      </c>
      <c r="AY34" s="177">
        <v>1.7899999999999999E-2</v>
      </c>
      <c r="AZ34" s="143">
        <f t="shared" si="16"/>
        <v>3977.7777777777778</v>
      </c>
      <c r="BA34" s="176">
        <v>70000000</v>
      </c>
      <c r="BB34" s="177">
        <v>1.78E-2</v>
      </c>
      <c r="BC34" s="143">
        <f t="shared" si="17"/>
        <v>3461.1111111111113</v>
      </c>
      <c r="BF34" s="143">
        <f t="shared" si="18"/>
        <v>0</v>
      </c>
      <c r="BI34" s="143">
        <f t="shared" si="19"/>
        <v>0</v>
      </c>
      <c r="BL34" s="143">
        <f t="shared" si="20"/>
        <v>0</v>
      </c>
      <c r="BO34" s="143">
        <f t="shared" si="21"/>
        <v>0</v>
      </c>
      <c r="BR34" s="143">
        <f t="shared" si="22"/>
        <v>0</v>
      </c>
      <c r="BU34" s="143">
        <f t="shared" si="23"/>
        <v>0</v>
      </c>
      <c r="BX34" s="143">
        <f t="shared" si="24"/>
        <v>0</v>
      </c>
      <c r="CA34" s="143">
        <f t="shared" si="25"/>
        <v>0</v>
      </c>
      <c r="CD34" s="143">
        <f t="shared" si="26"/>
        <v>0</v>
      </c>
      <c r="CG34" s="143">
        <f t="shared" si="27"/>
        <v>0</v>
      </c>
      <c r="CJ34" s="143">
        <f t="shared" si="28"/>
        <v>0</v>
      </c>
      <c r="CM34" s="143">
        <f t="shared" si="29"/>
        <v>0</v>
      </c>
      <c r="CP34" s="143">
        <f t="shared" si="30"/>
        <v>0</v>
      </c>
      <c r="CS34" s="143">
        <f t="shared" si="31"/>
        <v>0</v>
      </c>
      <c r="CV34" s="143">
        <f t="shared" si="32"/>
        <v>0</v>
      </c>
      <c r="CY34" s="143">
        <f t="shared" si="33"/>
        <v>0</v>
      </c>
      <c r="DB34" s="143">
        <f t="shared" si="34"/>
        <v>0</v>
      </c>
      <c r="DE34" s="143">
        <f t="shared" si="35"/>
        <v>0</v>
      </c>
      <c r="DH34" s="143">
        <f t="shared" si="36"/>
        <v>0</v>
      </c>
      <c r="DK34" s="143">
        <f t="shared" si="37"/>
        <v>0</v>
      </c>
      <c r="DN34" s="143">
        <f t="shared" si="38"/>
        <v>0</v>
      </c>
      <c r="DQ34" s="143">
        <f t="shared" si="39"/>
        <v>0</v>
      </c>
      <c r="DT34" s="143">
        <f t="shared" si="40"/>
        <v>0</v>
      </c>
      <c r="DW34" s="143">
        <f t="shared" si="41"/>
        <v>0</v>
      </c>
      <c r="DZ34" s="143"/>
      <c r="EA34" s="143"/>
      <c r="EB34" s="178">
        <f t="shared" si="42"/>
        <v>502625000</v>
      </c>
      <c r="EC34" s="178">
        <f t="shared" si="43"/>
        <v>0</v>
      </c>
      <c r="ED34" s="143">
        <f t="shared" si="44"/>
        <v>24961.319444444445</v>
      </c>
      <c r="EE34" s="144">
        <f t="shared" si="45"/>
        <v>1.787828898284009E-2</v>
      </c>
      <c r="EG34" s="178">
        <f t="shared" si="46"/>
        <v>0</v>
      </c>
      <c r="EH34" s="143">
        <f t="shared" si="47"/>
        <v>0</v>
      </c>
      <c r="EI34" s="144">
        <f t="shared" si="48"/>
        <v>0</v>
      </c>
      <c r="EJ34" s="144"/>
      <c r="EK34" s="178">
        <f t="shared" si="49"/>
        <v>502625000</v>
      </c>
      <c r="EL34" s="178">
        <f t="shared" si="50"/>
        <v>0</v>
      </c>
      <c r="EM34" s="178">
        <f t="shared" si="51"/>
        <v>24961.319444444445</v>
      </c>
      <c r="EN34" s="144">
        <f t="shared" si="52"/>
        <v>1.787828898284009E-2</v>
      </c>
      <c r="EP34" s="143"/>
    </row>
    <row r="35" spans="1:146" x14ac:dyDescent="0.2">
      <c r="A35" s="175">
        <f t="shared" si="53"/>
        <v>43886</v>
      </c>
      <c r="D35" s="143"/>
      <c r="G35" s="143">
        <f t="shared" si="2"/>
        <v>0</v>
      </c>
      <c r="J35" s="143">
        <f t="shared" si="3"/>
        <v>0</v>
      </c>
      <c r="M35" s="143">
        <f t="shared" si="4"/>
        <v>0</v>
      </c>
      <c r="P35" s="143">
        <f t="shared" si="5"/>
        <v>0</v>
      </c>
      <c r="S35" s="143">
        <f t="shared" si="6"/>
        <v>0</v>
      </c>
      <c r="V35" s="143">
        <f t="shared" si="7"/>
        <v>0</v>
      </c>
      <c r="Y35" s="143">
        <f t="shared" si="8"/>
        <v>0</v>
      </c>
      <c r="AB35" s="143">
        <f t="shared" si="9"/>
        <v>0</v>
      </c>
      <c r="AE35" s="143">
        <f>(AC35*AD35)/'[17]Input Sheet'!$B$11</f>
        <v>0</v>
      </c>
      <c r="AH35" s="143">
        <f>(AF35*AG35)/'[17]Input Sheet'!$B$11</f>
        <v>0</v>
      </c>
      <c r="AI35" s="176">
        <f>45250000</f>
        <v>45250000</v>
      </c>
      <c r="AJ35" s="177">
        <v>1.7000000000000001E-2</v>
      </c>
      <c r="AK35" s="143">
        <f t="shared" si="10"/>
        <v>2136.8055555555557</v>
      </c>
      <c r="AL35" s="176">
        <f t="shared" si="54"/>
        <v>198450000</v>
      </c>
      <c r="AM35" s="177">
        <v>1.7999999999999999E-2</v>
      </c>
      <c r="AN35" s="143">
        <f t="shared" si="11"/>
        <v>9922.4999999999982</v>
      </c>
      <c r="AO35" s="176">
        <f t="shared" si="0"/>
        <v>50000000</v>
      </c>
      <c r="AP35" s="177">
        <v>1.84E-2</v>
      </c>
      <c r="AQ35" s="143">
        <f t="shared" si="12"/>
        <v>2555.5555555555557</v>
      </c>
      <c r="AR35" s="176"/>
      <c r="AS35" s="177"/>
      <c r="AT35" s="143">
        <f t="shared" si="14"/>
        <v>0</v>
      </c>
      <c r="AU35" s="176">
        <f t="shared" si="56"/>
        <v>50000000</v>
      </c>
      <c r="AV35" s="177">
        <v>1.7899999999999999E-2</v>
      </c>
      <c r="AW35" s="143">
        <f t="shared" si="15"/>
        <v>2486.1111111111113</v>
      </c>
      <c r="AX35" s="176">
        <f t="shared" si="55"/>
        <v>80000000</v>
      </c>
      <c r="AY35" s="177">
        <v>1.7899999999999999E-2</v>
      </c>
      <c r="AZ35" s="143">
        <f t="shared" si="16"/>
        <v>3977.7777777777778</v>
      </c>
      <c r="BA35" s="176">
        <v>70000000</v>
      </c>
      <c r="BB35" s="177">
        <v>1.78E-2</v>
      </c>
      <c r="BC35" s="143">
        <f t="shared" si="17"/>
        <v>3461.1111111111113</v>
      </c>
      <c r="BF35" s="143">
        <f t="shared" si="18"/>
        <v>0</v>
      </c>
      <c r="BI35" s="143">
        <f t="shared" si="19"/>
        <v>0</v>
      </c>
      <c r="BL35" s="143">
        <f t="shared" si="20"/>
        <v>0</v>
      </c>
      <c r="BO35" s="143">
        <f t="shared" si="21"/>
        <v>0</v>
      </c>
      <c r="BR35" s="143">
        <f t="shared" si="22"/>
        <v>0</v>
      </c>
      <c r="BU35" s="143">
        <f t="shared" si="23"/>
        <v>0</v>
      </c>
      <c r="BX35" s="143">
        <f t="shared" si="24"/>
        <v>0</v>
      </c>
      <c r="CA35" s="143">
        <f t="shared" si="25"/>
        <v>0</v>
      </c>
      <c r="CD35" s="143">
        <f t="shared" si="26"/>
        <v>0</v>
      </c>
      <c r="CG35" s="143">
        <f t="shared" si="27"/>
        <v>0</v>
      </c>
      <c r="CJ35" s="143">
        <f t="shared" si="28"/>
        <v>0</v>
      </c>
      <c r="CM35" s="143">
        <f t="shared" si="29"/>
        <v>0</v>
      </c>
      <c r="CP35" s="143">
        <f t="shared" si="30"/>
        <v>0</v>
      </c>
      <c r="CS35" s="143">
        <f t="shared" si="31"/>
        <v>0</v>
      </c>
      <c r="CV35" s="143">
        <f t="shared" si="32"/>
        <v>0</v>
      </c>
      <c r="CY35" s="143">
        <f t="shared" si="33"/>
        <v>0</v>
      </c>
      <c r="DB35" s="143">
        <f t="shared" si="34"/>
        <v>0</v>
      </c>
      <c r="DE35" s="143">
        <f t="shared" si="35"/>
        <v>0</v>
      </c>
      <c r="DH35" s="143">
        <f t="shared" si="36"/>
        <v>0</v>
      </c>
      <c r="DK35" s="143">
        <f t="shared" si="37"/>
        <v>0</v>
      </c>
      <c r="DN35" s="143">
        <f t="shared" si="38"/>
        <v>0</v>
      </c>
      <c r="DQ35" s="143">
        <f t="shared" si="39"/>
        <v>0</v>
      </c>
      <c r="DT35" s="143">
        <f t="shared" si="40"/>
        <v>0</v>
      </c>
      <c r="DW35" s="143">
        <f t="shared" si="41"/>
        <v>0</v>
      </c>
      <c r="DZ35" s="143"/>
      <c r="EA35" s="143"/>
      <c r="EB35" s="178">
        <f t="shared" si="42"/>
        <v>493700000</v>
      </c>
      <c r="EC35" s="178">
        <f t="shared" si="43"/>
        <v>0</v>
      </c>
      <c r="ED35" s="143">
        <f t="shared" si="44"/>
        <v>24539.861111111109</v>
      </c>
      <c r="EE35" s="144">
        <f t="shared" si="45"/>
        <v>1.7894166497873201E-2</v>
      </c>
      <c r="EG35" s="178">
        <f t="shared" si="46"/>
        <v>0</v>
      </c>
      <c r="EH35" s="143">
        <f t="shared" si="47"/>
        <v>0</v>
      </c>
      <c r="EI35" s="144">
        <f t="shared" si="48"/>
        <v>0</v>
      </c>
      <c r="EJ35" s="144"/>
      <c r="EK35" s="178">
        <f t="shared" si="49"/>
        <v>493700000</v>
      </c>
      <c r="EL35" s="178">
        <f t="shared" si="50"/>
        <v>0</v>
      </c>
      <c r="EM35" s="178">
        <f t="shared" si="51"/>
        <v>24539.861111111109</v>
      </c>
      <c r="EN35" s="144">
        <f t="shared" si="52"/>
        <v>1.7894166497873201E-2</v>
      </c>
      <c r="EP35" s="143"/>
    </row>
    <row r="36" spans="1:146" x14ac:dyDescent="0.2">
      <c r="A36" s="175">
        <f t="shared" si="53"/>
        <v>43887</v>
      </c>
      <c r="D36" s="143"/>
      <c r="G36" s="143">
        <f t="shared" si="2"/>
        <v>0</v>
      </c>
      <c r="J36" s="143">
        <f t="shared" si="3"/>
        <v>0</v>
      </c>
      <c r="M36" s="143">
        <f t="shared" si="4"/>
        <v>0</v>
      </c>
      <c r="P36" s="143">
        <f t="shared" si="5"/>
        <v>0</v>
      </c>
      <c r="S36" s="143">
        <f t="shared" si="6"/>
        <v>0</v>
      </c>
      <c r="V36" s="143">
        <f t="shared" si="7"/>
        <v>0</v>
      </c>
      <c r="Y36" s="143">
        <f t="shared" si="8"/>
        <v>0</v>
      </c>
      <c r="AB36" s="143">
        <f t="shared" si="9"/>
        <v>0</v>
      </c>
      <c r="AE36" s="143">
        <f>(AC36*AD36)/'[17]Input Sheet'!$B$11</f>
        <v>0</v>
      </c>
      <c r="AH36" s="143">
        <f>(AF36*AG36)/'[17]Input Sheet'!$B$11</f>
        <v>0</v>
      </c>
      <c r="AI36" s="176">
        <f>36675000</f>
        <v>36675000</v>
      </c>
      <c r="AJ36" s="177">
        <v>1.7000000000000001E-2</v>
      </c>
      <c r="AK36" s="143">
        <f t="shared" si="10"/>
        <v>1731.875</v>
      </c>
      <c r="AL36" s="176">
        <f t="shared" si="54"/>
        <v>198450000</v>
      </c>
      <c r="AM36" s="177">
        <v>1.7999999999999999E-2</v>
      </c>
      <c r="AN36" s="143">
        <f t="shared" si="11"/>
        <v>9922.4999999999982</v>
      </c>
      <c r="AO36" s="176">
        <f t="shared" si="0"/>
        <v>50000000</v>
      </c>
      <c r="AP36" s="177">
        <v>1.84E-2</v>
      </c>
      <c r="AQ36" s="143">
        <f t="shared" si="12"/>
        <v>2555.5555555555557</v>
      </c>
      <c r="AR36" s="176"/>
      <c r="AS36" s="177"/>
      <c r="AT36" s="143">
        <f t="shared" si="14"/>
        <v>0</v>
      </c>
      <c r="AU36" s="176">
        <f t="shared" si="56"/>
        <v>50000000</v>
      </c>
      <c r="AV36" s="177">
        <v>1.7899999999999999E-2</v>
      </c>
      <c r="AW36" s="143">
        <f t="shared" si="15"/>
        <v>2486.1111111111113</v>
      </c>
      <c r="AX36" s="176">
        <f t="shared" si="55"/>
        <v>80000000</v>
      </c>
      <c r="AY36" s="177">
        <v>1.7899999999999999E-2</v>
      </c>
      <c r="AZ36" s="143">
        <f t="shared" si="16"/>
        <v>3977.7777777777778</v>
      </c>
      <c r="BA36" s="176">
        <v>70000000</v>
      </c>
      <c r="BB36" s="177">
        <v>1.78E-2</v>
      </c>
      <c r="BC36" s="143">
        <f t="shared" si="17"/>
        <v>3461.1111111111113</v>
      </c>
      <c r="BF36" s="143">
        <f t="shared" si="18"/>
        <v>0</v>
      </c>
      <c r="BI36" s="143">
        <f t="shared" si="19"/>
        <v>0</v>
      </c>
      <c r="BL36" s="143">
        <f t="shared" si="20"/>
        <v>0</v>
      </c>
      <c r="BO36" s="143">
        <f t="shared" si="21"/>
        <v>0</v>
      </c>
      <c r="BR36" s="143">
        <f t="shared" si="22"/>
        <v>0</v>
      </c>
      <c r="BU36" s="143">
        <f t="shared" si="23"/>
        <v>0</v>
      </c>
      <c r="BX36" s="143">
        <f t="shared" si="24"/>
        <v>0</v>
      </c>
      <c r="CA36" s="143">
        <f t="shared" si="25"/>
        <v>0</v>
      </c>
      <c r="CD36" s="143">
        <f t="shared" si="26"/>
        <v>0</v>
      </c>
      <c r="CG36" s="143">
        <f t="shared" si="27"/>
        <v>0</v>
      </c>
      <c r="CJ36" s="143">
        <f t="shared" si="28"/>
        <v>0</v>
      </c>
      <c r="CM36" s="143">
        <f t="shared" si="29"/>
        <v>0</v>
      </c>
      <c r="CP36" s="143">
        <f t="shared" si="30"/>
        <v>0</v>
      </c>
      <c r="CS36" s="143">
        <f t="shared" si="31"/>
        <v>0</v>
      </c>
      <c r="CV36" s="143">
        <f t="shared" si="32"/>
        <v>0</v>
      </c>
      <c r="CY36" s="143">
        <f t="shared" si="33"/>
        <v>0</v>
      </c>
      <c r="DB36" s="143">
        <f t="shared" si="34"/>
        <v>0</v>
      </c>
      <c r="DE36" s="143">
        <f t="shared" si="35"/>
        <v>0</v>
      </c>
      <c r="DH36" s="143">
        <f t="shared" si="36"/>
        <v>0</v>
      </c>
      <c r="DK36" s="143">
        <f t="shared" si="37"/>
        <v>0</v>
      </c>
      <c r="DN36" s="143">
        <f t="shared" si="38"/>
        <v>0</v>
      </c>
      <c r="DQ36" s="143">
        <f t="shared" si="39"/>
        <v>0</v>
      </c>
      <c r="DT36" s="143">
        <f t="shared" si="40"/>
        <v>0</v>
      </c>
      <c r="DW36" s="143">
        <f t="shared" si="41"/>
        <v>0</v>
      </c>
      <c r="DZ36" s="143"/>
      <c r="EA36" s="143"/>
      <c r="EB36" s="178">
        <f t="shared" si="42"/>
        <v>485125000</v>
      </c>
      <c r="EC36" s="178">
        <f t="shared" si="43"/>
        <v>0</v>
      </c>
      <c r="ED36" s="143">
        <f t="shared" si="44"/>
        <v>24134.930555555555</v>
      </c>
      <c r="EE36" s="144">
        <f t="shared" si="45"/>
        <v>1.7909971656789484E-2</v>
      </c>
      <c r="EG36" s="178">
        <f t="shared" si="46"/>
        <v>0</v>
      </c>
      <c r="EH36" s="143">
        <f t="shared" si="47"/>
        <v>0</v>
      </c>
      <c r="EI36" s="144">
        <f t="shared" si="48"/>
        <v>0</v>
      </c>
      <c r="EJ36" s="144"/>
      <c r="EK36" s="178">
        <f t="shared" si="49"/>
        <v>485125000</v>
      </c>
      <c r="EL36" s="178">
        <f t="shared" si="50"/>
        <v>0</v>
      </c>
      <c r="EM36" s="178">
        <f t="shared" si="51"/>
        <v>24134.930555555555</v>
      </c>
      <c r="EN36" s="144">
        <f t="shared" si="52"/>
        <v>1.7909971656789484E-2</v>
      </c>
      <c r="EP36" s="143"/>
    </row>
    <row r="37" spans="1:146" x14ac:dyDescent="0.2">
      <c r="A37" s="175">
        <f t="shared" si="53"/>
        <v>43888</v>
      </c>
      <c r="D37" s="143"/>
      <c r="G37" s="143">
        <f t="shared" si="2"/>
        <v>0</v>
      </c>
      <c r="J37" s="143">
        <f t="shared" si="3"/>
        <v>0</v>
      </c>
      <c r="M37" s="143">
        <f t="shared" si="4"/>
        <v>0</v>
      </c>
      <c r="P37" s="143">
        <f t="shared" si="5"/>
        <v>0</v>
      </c>
      <c r="S37" s="143">
        <f t="shared" si="6"/>
        <v>0</v>
      </c>
      <c r="V37" s="143">
        <f t="shared" si="7"/>
        <v>0</v>
      </c>
      <c r="Y37" s="143">
        <f t="shared" si="8"/>
        <v>0</v>
      </c>
      <c r="AB37" s="143">
        <f t="shared" si="9"/>
        <v>0</v>
      </c>
      <c r="AE37" s="143">
        <f>(AC37*AD37)/'[17]Input Sheet'!$B$11</f>
        <v>0</v>
      </c>
      <c r="AH37" s="143">
        <f>(AF37*AG37)/'[17]Input Sheet'!$B$11</f>
        <v>0</v>
      </c>
      <c r="AI37" s="176">
        <f>32700000</f>
        <v>32700000</v>
      </c>
      <c r="AJ37" s="177">
        <v>1.7000000000000001E-2</v>
      </c>
      <c r="AK37" s="143">
        <f t="shared" si="10"/>
        <v>1544.1666666666667</v>
      </c>
      <c r="AL37" s="176">
        <f t="shared" si="54"/>
        <v>198450000</v>
      </c>
      <c r="AM37" s="177">
        <v>1.7999999999999999E-2</v>
      </c>
      <c r="AN37" s="143">
        <f t="shared" si="11"/>
        <v>9922.4999999999982</v>
      </c>
      <c r="AO37" s="176">
        <f t="shared" si="0"/>
        <v>50000000</v>
      </c>
      <c r="AP37" s="177">
        <v>1.84E-2</v>
      </c>
      <c r="AQ37" s="143">
        <f t="shared" si="12"/>
        <v>2555.5555555555557</v>
      </c>
      <c r="AR37" s="176"/>
      <c r="AS37" s="177"/>
      <c r="AT37" s="143">
        <f t="shared" si="14"/>
        <v>0</v>
      </c>
      <c r="AU37" s="176">
        <f t="shared" si="56"/>
        <v>50000000</v>
      </c>
      <c r="AV37" s="177">
        <v>1.7899999999999999E-2</v>
      </c>
      <c r="AW37" s="143">
        <f t="shared" si="15"/>
        <v>2486.1111111111113</v>
      </c>
      <c r="AX37" s="176">
        <f t="shared" si="55"/>
        <v>80000000</v>
      </c>
      <c r="AY37" s="177">
        <v>1.7899999999999999E-2</v>
      </c>
      <c r="AZ37" s="143">
        <f t="shared" si="16"/>
        <v>3977.7777777777778</v>
      </c>
      <c r="BA37" s="176">
        <v>70000000</v>
      </c>
      <c r="BB37" s="177">
        <v>1.78E-2</v>
      </c>
      <c r="BC37" s="143">
        <f t="shared" si="17"/>
        <v>3461.1111111111113</v>
      </c>
      <c r="BF37" s="143">
        <f t="shared" si="18"/>
        <v>0</v>
      </c>
      <c r="BI37" s="143">
        <f t="shared" si="19"/>
        <v>0</v>
      </c>
      <c r="BL37" s="143">
        <f t="shared" si="20"/>
        <v>0</v>
      </c>
      <c r="BO37" s="143">
        <f t="shared" si="21"/>
        <v>0</v>
      </c>
      <c r="BR37" s="143">
        <f t="shared" si="22"/>
        <v>0</v>
      </c>
      <c r="BU37" s="143">
        <f t="shared" si="23"/>
        <v>0</v>
      </c>
      <c r="BX37" s="143">
        <f t="shared" si="24"/>
        <v>0</v>
      </c>
      <c r="CA37" s="143">
        <f t="shared" si="25"/>
        <v>0</v>
      </c>
      <c r="CD37" s="143">
        <f t="shared" si="26"/>
        <v>0</v>
      </c>
      <c r="CG37" s="143">
        <f t="shared" si="27"/>
        <v>0</v>
      </c>
      <c r="CJ37" s="143">
        <f t="shared" si="28"/>
        <v>0</v>
      </c>
      <c r="CM37" s="143">
        <f t="shared" si="29"/>
        <v>0</v>
      </c>
      <c r="CP37" s="143">
        <f t="shared" si="30"/>
        <v>0</v>
      </c>
      <c r="CS37" s="143">
        <f t="shared" si="31"/>
        <v>0</v>
      </c>
      <c r="CV37" s="143">
        <f t="shared" si="32"/>
        <v>0</v>
      </c>
      <c r="CY37" s="143">
        <f t="shared" si="33"/>
        <v>0</v>
      </c>
      <c r="DB37" s="143">
        <f t="shared" si="34"/>
        <v>0</v>
      </c>
      <c r="DE37" s="143">
        <f t="shared" si="35"/>
        <v>0</v>
      </c>
      <c r="DH37" s="143">
        <f t="shared" si="36"/>
        <v>0</v>
      </c>
      <c r="DK37" s="143">
        <f t="shared" si="37"/>
        <v>0</v>
      </c>
      <c r="DN37" s="143">
        <f t="shared" si="38"/>
        <v>0</v>
      </c>
      <c r="DQ37" s="143">
        <f t="shared" si="39"/>
        <v>0</v>
      </c>
      <c r="DT37" s="143">
        <f t="shared" si="40"/>
        <v>0</v>
      </c>
      <c r="DW37" s="143">
        <f t="shared" si="41"/>
        <v>0</v>
      </c>
      <c r="DZ37" s="143"/>
      <c r="EA37" s="143"/>
      <c r="EB37" s="178">
        <f t="shared" si="42"/>
        <v>481150000</v>
      </c>
      <c r="EC37" s="178">
        <f t="shared" si="43"/>
        <v>0</v>
      </c>
      <c r="ED37" s="143">
        <f t="shared" si="44"/>
        <v>23947.222222222219</v>
      </c>
      <c r="EE37" s="144">
        <f t="shared" si="45"/>
        <v>1.7917489348436035E-2</v>
      </c>
      <c r="EG37" s="178">
        <f t="shared" si="46"/>
        <v>0</v>
      </c>
      <c r="EH37" s="143">
        <f t="shared" si="47"/>
        <v>0</v>
      </c>
      <c r="EI37" s="144">
        <f t="shared" si="48"/>
        <v>0</v>
      </c>
      <c r="EJ37" s="144"/>
      <c r="EK37" s="178">
        <f t="shared" si="49"/>
        <v>481150000</v>
      </c>
      <c r="EL37" s="178">
        <f t="shared" si="50"/>
        <v>0</v>
      </c>
      <c r="EM37" s="178">
        <f t="shared" si="51"/>
        <v>23947.222222222223</v>
      </c>
      <c r="EN37" s="144">
        <f t="shared" si="52"/>
        <v>1.7917489348436039E-2</v>
      </c>
      <c r="EP37" s="143"/>
    </row>
    <row r="38" spans="1:146" x14ac:dyDescent="0.2">
      <c r="A38" s="175">
        <f t="shared" si="53"/>
        <v>43889</v>
      </c>
      <c r="D38" s="143"/>
      <c r="G38" s="143">
        <f t="shared" si="2"/>
        <v>0</v>
      </c>
      <c r="J38" s="143">
        <f t="shared" si="3"/>
        <v>0</v>
      </c>
      <c r="M38" s="143">
        <f t="shared" si="4"/>
        <v>0</v>
      </c>
      <c r="P38" s="143">
        <f t="shared" si="5"/>
        <v>0</v>
      </c>
      <c r="S38" s="143">
        <f t="shared" si="6"/>
        <v>0</v>
      </c>
      <c r="V38" s="143">
        <f t="shared" si="7"/>
        <v>0</v>
      </c>
      <c r="Y38" s="143">
        <f t="shared" si="8"/>
        <v>0</v>
      </c>
      <c r="AB38" s="143">
        <f t="shared" si="9"/>
        <v>0</v>
      </c>
      <c r="AE38" s="143">
        <f>(AC38*AD38)/'[17]Input Sheet'!$B$11</f>
        <v>0</v>
      </c>
      <c r="AH38" s="143">
        <f>(AF38*AG38)/'[17]Input Sheet'!$B$11</f>
        <v>0</v>
      </c>
      <c r="AI38" s="176">
        <f>54175000</f>
        <v>54175000</v>
      </c>
      <c r="AJ38" s="177">
        <v>1.7000000000000001E-2</v>
      </c>
      <c r="AK38" s="143">
        <f t="shared" si="10"/>
        <v>2558.2638888888891</v>
      </c>
      <c r="AL38" s="176">
        <f t="shared" si="54"/>
        <v>198450000</v>
      </c>
      <c r="AM38" s="177">
        <v>1.7999999999999999E-2</v>
      </c>
      <c r="AN38" s="143">
        <f t="shared" si="11"/>
        <v>9922.4999999999982</v>
      </c>
      <c r="AO38" s="176">
        <f t="shared" si="0"/>
        <v>50000000</v>
      </c>
      <c r="AP38" s="177">
        <v>1.78E-2</v>
      </c>
      <c r="AQ38" s="143">
        <f t="shared" si="12"/>
        <v>2472.2222222222222</v>
      </c>
      <c r="AR38" s="176"/>
      <c r="AS38" s="177"/>
      <c r="AT38" s="143">
        <f t="shared" si="14"/>
        <v>0</v>
      </c>
      <c r="AU38" s="176">
        <f t="shared" si="56"/>
        <v>50000000</v>
      </c>
      <c r="AV38" s="177">
        <v>1.7899999999999999E-2</v>
      </c>
      <c r="AW38" s="143">
        <f t="shared" si="15"/>
        <v>2486.1111111111113</v>
      </c>
      <c r="AX38" s="176">
        <f t="shared" si="55"/>
        <v>80000000</v>
      </c>
      <c r="AY38" s="177">
        <v>1.7899999999999999E-2</v>
      </c>
      <c r="AZ38" s="143">
        <f t="shared" si="16"/>
        <v>3977.7777777777778</v>
      </c>
      <c r="BA38" s="176">
        <v>70000000</v>
      </c>
      <c r="BB38" s="177">
        <v>1.78E-2</v>
      </c>
      <c r="BC38" s="143">
        <f t="shared" si="17"/>
        <v>3461.1111111111113</v>
      </c>
      <c r="BF38" s="143">
        <f t="shared" si="18"/>
        <v>0</v>
      </c>
      <c r="BI38" s="143">
        <f t="shared" si="19"/>
        <v>0</v>
      </c>
      <c r="BL38" s="143">
        <f t="shared" si="20"/>
        <v>0</v>
      </c>
      <c r="BO38" s="143">
        <f t="shared" si="21"/>
        <v>0</v>
      </c>
      <c r="BR38" s="143">
        <f t="shared" si="22"/>
        <v>0</v>
      </c>
      <c r="BU38" s="143">
        <f t="shared" si="23"/>
        <v>0</v>
      </c>
      <c r="BX38" s="143">
        <f t="shared" si="24"/>
        <v>0</v>
      </c>
      <c r="CA38" s="143">
        <f t="shared" si="25"/>
        <v>0</v>
      </c>
      <c r="CD38" s="143">
        <f t="shared" si="26"/>
        <v>0</v>
      </c>
      <c r="CG38" s="143">
        <f t="shared" si="27"/>
        <v>0</v>
      </c>
      <c r="CJ38" s="143">
        <f t="shared" si="28"/>
        <v>0</v>
      </c>
      <c r="CM38" s="143">
        <f t="shared" si="29"/>
        <v>0</v>
      </c>
      <c r="CP38" s="143">
        <f t="shared" si="30"/>
        <v>0</v>
      </c>
      <c r="CS38" s="143">
        <f t="shared" si="31"/>
        <v>0</v>
      </c>
      <c r="CV38" s="143">
        <f t="shared" si="32"/>
        <v>0</v>
      </c>
      <c r="CY38" s="143">
        <f t="shared" si="33"/>
        <v>0</v>
      </c>
      <c r="DB38" s="143">
        <f t="shared" si="34"/>
        <v>0</v>
      </c>
      <c r="DE38" s="143">
        <f t="shared" si="35"/>
        <v>0</v>
      </c>
      <c r="DH38" s="143">
        <f t="shared" si="36"/>
        <v>0</v>
      </c>
      <c r="DK38" s="143">
        <f t="shared" si="37"/>
        <v>0</v>
      </c>
      <c r="DN38" s="143">
        <f t="shared" si="38"/>
        <v>0</v>
      </c>
      <c r="DQ38" s="143">
        <f t="shared" si="39"/>
        <v>0</v>
      </c>
      <c r="DT38" s="143">
        <f t="shared" si="40"/>
        <v>0</v>
      </c>
      <c r="DW38" s="143">
        <f t="shared" si="41"/>
        <v>0</v>
      </c>
      <c r="DZ38" s="143"/>
      <c r="EA38" s="143"/>
      <c r="EB38" s="178">
        <f t="shared" si="42"/>
        <v>502625000</v>
      </c>
      <c r="EC38" s="178">
        <f t="shared" si="43"/>
        <v>0</v>
      </c>
      <c r="ED38" s="143">
        <f t="shared" si="44"/>
        <v>24877.986111111109</v>
      </c>
      <c r="EE38" s="144">
        <f t="shared" si="45"/>
        <v>1.7818602337726933E-2</v>
      </c>
      <c r="EG38" s="178">
        <f t="shared" si="46"/>
        <v>0</v>
      </c>
      <c r="EH38" s="143">
        <f t="shared" si="47"/>
        <v>0</v>
      </c>
      <c r="EI38" s="144">
        <f t="shared" si="48"/>
        <v>0</v>
      </c>
      <c r="EJ38" s="144"/>
      <c r="EK38" s="178">
        <f t="shared" si="49"/>
        <v>502625000</v>
      </c>
      <c r="EL38" s="178">
        <f t="shared" si="50"/>
        <v>0</v>
      </c>
      <c r="EM38" s="178">
        <f t="shared" si="51"/>
        <v>24877.986111111109</v>
      </c>
      <c r="EN38" s="144">
        <f t="shared" si="52"/>
        <v>1.7818602337726933E-2</v>
      </c>
      <c r="EP38" s="143"/>
    </row>
    <row r="39" spans="1:146" x14ac:dyDescent="0.2">
      <c r="A39" s="175">
        <f t="shared" si="53"/>
        <v>43890</v>
      </c>
      <c r="D39" s="143"/>
      <c r="G39" s="143">
        <f t="shared" si="2"/>
        <v>0</v>
      </c>
      <c r="J39" s="143">
        <f t="shared" si="3"/>
        <v>0</v>
      </c>
      <c r="M39" s="143">
        <f t="shared" si="4"/>
        <v>0</v>
      </c>
      <c r="P39" s="143">
        <f t="shared" si="5"/>
        <v>0</v>
      </c>
      <c r="S39" s="143">
        <f t="shared" si="6"/>
        <v>0</v>
      </c>
      <c r="V39" s="143">
        <f t="shared" si="7"/>
        <v>0</v>
      </c>
      <c r="Y39" s="143">
        <f t="shared" si="8"/>
        <v>0</v>
      </c>
      <c r="AB39" s="143">
        <f t="shared" si="9"/>
        <v>0</v>
      </c>
      <c r="AE39" s="143">
        <f>(AC39*AD39)/'[17]Input Sheet'!$B$11</f>
        <v>0</v>
      </c>
      <c r="AH39" s="143">
        <f>(AF39*AG39)/'[17]Input Sheet'!$B$11</f>
        <v>0</v>
      </c>
      <c r="AI39" s="176">
        <f>54175000</f>
        <v>54175000</v>
      </c>
      <c r="AJ39" s="177">
        <v>1.7000000000000001E-2</v>
      </c>
      <c r="AK39" s="143">
        <f t="shared" si="10"/>
        <v>2558.2638888888891</v>
      </c>
      <c r="AL39" s="176">
        <f t="shared" si="54"/>
        <v>198450000</v>
      </c>
      <c r="AM39" s="177">
        <v>1.7999999999999999E-2</v>
      </c>
      <c r="AN39" s="143">
        <f t="shared" si="11"/>
        <v>9922.4999999999982</v>
      </c>
      <c r="AO39" s="176">
        <f t="shared" si="0"/>
        <v>50000000</v>
      </c>
      <c r="AP39" s="177">
        <v>1.78E-2</v>
      </c>
      <c r="AQ39" s="143">
        <f t="shared" si="12"/>
        <v>2472.2222222222222</v>
      </c>
      <c r="AR39" s="176"/>
      <c r="AS39" s="177"/>
      <c r="AT39" s="143">
        <f t="shared" si="14"/>
        <v>0</v>
      </c>
      <c r="AU39" s="176">
        <f t="shared" si="56"/>
        <v>50000000</v>
      </c>
      <c r="AV39" s="177">
        <v>1.7899999999999999E-2</v>
      </c>
      <c r="AW39" s="143">
        <f t="shared" si="15"/>
        <v>2486.1111111111113</v>
      </c>
      <c r="AX39" s="176">
        <f t="shared" si="55"/>
        <v>80000000</v>
      </c>
      <c r="AY39" s="177">
        <v>1.7899999999999999E-2</v>
      </c>
      <c r="AZ39" s="143">
        <f t="shared" si="16"/>
        <v>3977.7777777777778</v>
      </c>
      <c r="BA39" s="176">
        <v>70000000</v>
      </c>
      <c r="BB39" s="177">
        <v>1.78E-2</v>
      </c>
      <c r="BC39" s="143">
        <f t="shared" si="17"/>
        <v>3461.1111111111113</v>
      </c>
      <c r="BF39" s="143">
        <f t="shared" si="18"/>
        <v>0</v>
      </c>
      <c r="BI39" s="143">
        <f t="shared" si="19"/>
        <v>0</v>
      </c>
      <c r="BL39" s="143">
        <f t="shared" si="20"/>
        <v>0</v>
      </c>
      <c r="BO39" s="143">
        <f t="shared" si="21"/>
        <v>0</v>
      </c>
      <c r="BR39" s="143">
        <f t="shared" si="22"/>
        <v>0</v>
      </c>
      <c r="BU39" s="143">
        <f t="shared" si="23"/>
        <v>0</v>
      </c>
      <c r="BX39" s="143">
        <f t="shared" si="24"/>
        <v>0</v>
      </c>
      <c r="CA39" s="143">
        <f t="shared" si="25"/>
        <v>0</v>
      </c>
      <c r="CD39" s="143">
        <f t="shared" si="26"/>
        <v>0</v>
      </c>
      <c r="CG39" s="143">
        <f t="shared" si="27"/>
        <v>0</v>
      </c>
      <c r="CJ39" s="143">
        <f t="shared" si="28"/>
        <v>0</v>
      </c>
      <c r="CM39" s="143">
        <f t="shared" si="29"/>
        <v>0</v>
      </c>
      <c r="CP39" s="143">
        <f t="shared" si="30"/>
        <v>0</v>
      </c>
      <c r="CS39" s="143">
        <f t="shared" si="31"/>
        <v>0</v>
      </c>
      <c r="CV39" s="143">
        <f t="shared" si="32"/>
        <v>0</v>
      </c>
      <c r="CY39" s="143">
        <f t="shared" si="33"/>
        <v>0</v>
      </c>
      <c r="DB39" s="143">
        <f t="shared" si="34"/>
        <v>0</v>
      </c>
      <c r="DE39" s="143">
        <f t="shared" si="35"/>
        <v>0</v>
      </c>
      <c r="DH39" s="143">
        <f t="shared" si="36"/>
        <v>0</v>
      </c>
      <c r="DK39" s="143">
        <f t="shared" si="37"/>
        <v>0</v>
      </c>
      <c r="DN39" s="143">
        <f t="shared" si="38"/>
        <v>0</v>
      </c>
      <c r="DQ39" s="143">
        <f t="shared" si="39"/>
        <v>0</v>
      </c>
      <c r="DT39" s="143">
        <f t="shared" si="40"/>
        <v>0</v>
      </c>
      <c r="DW39" s="143">
        <f t="shared" si="41"/>
        <v>0</v>
      </c>
      <c r="DZ39" s="143"/>
      <c r="EA39" s="143"/>
      <c r="EB39" s="178">
        <f t="shared" si="42"/>
        <v>502625000</v>
      </c>
      <c r="EC39" s="178">
        <f t="shared" si="43"/>
        <v>0</v>
      </c>
      <c r="ED39" s="143">
        <f t="shared" si="44"/>
        <v>24877.986111111109</v>
      </c>
      <c r="EE39" s="144">
        <f t="shared" si="45"/>
        <v>1.7818602337726933E-2</v>
      </c>
      <c r="EG39" s="178">
        <f t="shared" si="46"/>
        <v>0</v>
      </c>
      <c r="EH39" s="143">
        <f t="shared" si="47"/>
        <v>0</v>
      </c>
      <c r="EI39" s="144">
        <f t="shared" si="48"/>
        <v>0</v>
      </c>
      <c r="EJ39" s="144"/>
      <c r="EK39" s="178">
        <f t="shared" si="49"/>
        <v>502625000</v>
      </c>
      <c r="EL39" s="178">
        <f t="shared" si="50"/>
        <v>0</v>
      </c>
      <c r="EM39" s="178">
        <f t="shared" si="51"/>
        <v>24877.986111111109</v>
      </c>
      <c r="EN39" s="144">
        <f t="shared" si="52"/>
        <v>1.7818602337726933E-2</v>
      </c>
      <c r="EP39" s="143"/>
    </row>
    <row r="40" spans="1:146" x14ac:dyDescent="0.2">
      <c r="A40" s="180" t="s">
        <v>88</v>
      </c>
      <c r="D40" s="181">
        <f>SUM(D11:D39)</f>
        <v>0</v>
      </c>
      <c r="G40" s="181">
        <f>SUM(G11:G39)</f>
        <v>0</v>
      </c>
      <c r="J40" s="181">
        <f>SUM(J11:J39)</f>
        <v>0</v>
      </c>
      <c r="M40" s="181">
        <f>SUM(M11:M39)</f>
        <v>0</v>
      </c>
      <c r="P40" s="181">
        <f>SUM(P11:P39)</f>
        <v>0</v>
      </c>
      <c r="S40" s="181">
        <f>SUM(S11:S39)</f>
        <v>0</v>
      </c>
      <c r="V40" s="181">
        <f>SUM(V11:V39)</f>
        <v>0</v>
      </c>
      <c r="Y40" s="181">
        <f>SUM(Y11:Y39)</f>
        <v>0</v>
      </c>
      <c r="AB40" s="181">
        <f>SUM(AB11:AB39)</f>
        <v>0</v>
      </c>
      <c r="AE40" s="181">
        <f>SUM(AE11:AE39)</f>
        <v>0</v>
      </c>
      <c r="AH40" s="181">
        <f>SUM(AH11:AH39)</f>
        <v>0</v>
      </c>
      <c r="AK40" s="181">
        <f>SUM(AK11:AK39)</f>
        <v>62122.013888888891</v>
      </c>
      <c r="AN40" s="181">
        <f>SUM(AN11:AN39)</f>
        <v>272752.49999999994</v>
      </c>
      <c r="AQ40" s="181">
        <f>SUM(AQ11:AQ39)</f>
        <v>73944.444444444438</v>
      </c>
      <c r="AT40" s="181">
        <f>SUM(AT11:AT39)</f>
        <v>58583.33333333335</v>
      </c>
      <c r="AW40" s="181">
        <f>SUM(AW11:AW39)</f>
        <v>79264.583333333314</v>
      </c>
      <c r="AZ40" s="181">
        <f>SUM(AZ11:AZ39)</f>
        <v>105687.01388888895</v>
      </c>
      <c r="BC40" s="181">
        <f>SUM(BC11:BC39)</f>
        <v>58111.111111111095</v>
      </c>
      <c r="BF40" s="181">
        <f>SUM(BF11:BF39)</f>
        <v>0</v>
      </c>
      <c r="BI40" s="181">
        <f>SUM(BI11:BI39)</f>
        <v>0</v>
      </c>
      <c r="BL40" s="181">
        <f>SUM(BL11:BL39)</f>
        <v>0</v>
      </c>
      <c r="BO40" s="181">
        <f>SUM(BO11:BO39)</f>
        <v>0</v>
      </c>
      <c r="BR40" s="181">
        <f>SUM(BR11:BR39)</f>
        <v>0</v>
      </c>
      <c r="BU40" s="181">
        <f>SUM(BU11:BU39)</f>
        <v>0</v>
      </c>
      <c r="BX40" s="181">
        <f>SUM(BX11:BX39)</f>
        <v>0</v>
      </c>
      <c r="CA40" s="181">
        <f>SUM(CA11:CA39)</f>
        <v>0</v>
      </c>
      <c r="CD40" s="181">
        <f>SUM(CD11:CD39)</f>
        <v>0</v>
      </c>
      <c r="CG40" s="181">
        <f>SUM(CG11:CG39)</f>
        <v>0</v>
      </c>
      <c r="CJ40" s="181">
        <f>SUM(CJ11:CJ39)</f>
        <v>0</v>
      </c>
      <c r="CM40" s="181">
        <f>SUM(CM11:CM39)</f>
        <v>0</v>
      </c>
      <c r="CP40" s="181">
        <f>SUM(CP11:CP39)</f>
        <v>0</v>
      </c>
      <c r="CS40" s="181">
        <f>SUM(CS11:CS39)</f>
        <v>0</v>
      </c>
      <c r="CV40" s="181">
        <f>SUM(CV11:CV39)</f>
        <v>0</v>
      </c>
      <c r="CY40" s="181">
        <f>SUM(CY11:CY39)</f>
        <v>0</v>
      </c>
      <c r="DB40" s="181">
        <f>SUM(DB11:DB39)</f>
        <v>0</v>
      </c>
      <c r="DE40" s="181">
        <f>SUM(DE11:DE39)</f>
        <v>0</v>
      </c>
      <c r="DH40" s="181">
        <f>SUM(DH11:DH39)</f>
        <v>0</v>
      </c>
      <c r="DK40" s="181">
        <f>SUM(DK11:DK39)</f>
        <v>0</v>
      </c>
      <c r="DN40" s="181">
        <f>SUM(DN11:DN39)</f>
        <v>0</v>
      </c>
      <c r="DQ40" s="181">
        <f>SUM(DQ11:DQ39)</f>
        <v>0</v>
      </c>
      <c r="DT40" s="181">
        <f>SUM(DT11:DT39)</f>
        <v>0</v>
      </c>
      <c r="DW40" s="181">
        <f>SUM(DW11:DW39)</f>
        <v>0</v>
      </c>
      <c r="DZ40" s="141"/>
      <c r="EA40" s="141"/>
      <c r="EB40" s="143"/>
      <c r="EC40" s="143"/>
      <c r="ED40" s="181">
        <f>SUM(ED11:ED39)</f>
        <v>710465</v>
      </c>
      <c r="EE40" s="144"/>
      <c r="EG40" s="143"/>
      <c r="EH40" s="181">
        <f>SUM(EH11:EH39)</f>
        <v>0</v>
      </c>
      <c r="EI40" s="144"/>
      <c r="EJ40" s="144"/>
      <c r="EK40" s="143"/>
      <c r="EL40" s="143"/>
      <c r="EM40" s="181">
        <f>SUM(EM11:EM39)</f>
        <v>710465</v>
      </c>
      <c r="EN40" s="144"/>
    </row>
    <row r="42" spans="1:146" x14ac:dyDescent="0.2">
      <c r="EM42" s="179"/>
    </row>
    <row r="44" spans="1:146" x14ac:dyDescent="0.2">
      <c r="EM44" s="143"/>
    </row>
    <row r="46" spans="1:146" x14ac:dyDescent="0.2">
      <c r="EM46" s="14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customWidth="1"/>
    <col min="18" max="18" width="10.28515625" style="94" customWidth="1"/>
    <col min="19" max="19" width="11.7109375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customWidth="1"/>
    <col min="30" max="30" width="10.28515625" style="94" customWidth="1"/>
    <col min="31" max="31" width="11.7109375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1.7109375" bestFit="1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1.7109375" bestFit="1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customWidth="1"/>
    <col min="138" max="138" width="14.42578125" customWidth="1"/>
    <col min="139" max="139" width="15.42578125" bestFit="1" customWidth="1"/>
    <col min="140" max="140" width="2.7109375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130000000</v>
      </c>
      <c r="EI2" s="91">
        <f>EG40</f>
        <v>130000000</v>
      </c>
      <c r="EM2" s="91"/>
      <c r="EN2" s="91">
        <f>EK41</f>
        <v>0</v>
      </c>
      <c r="EO2" s="84">
        <v>0</v>
      </c>
      <c r="EP2" s="84">
        <f>EN2+EO2</f>
        <v>0</v>
      </c>
      <c r="EQ2" s="84">
        <f>EE2+EO2</f>
        <v>130000000</v>
      </c>
    </row>
    <row r="3" spans="1:147" ht="16.5" thickTop="1" x14ac:dyDescent="0.25">
      <c r="A3" s="92" t="s">
        <v>189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362833516.12903225</v>
      </c>
      <c r="EI3" s="91">
        <f>AVERAGE(EG11:EG40)</f>
        <v>33200000</v>
      </c>
      <c r="EM3" s="91"/>
      <c r="EN3" s="91">
        <f>AVERAGE(EK11:EK41)</f>
        <v>326510935.48387098</v>
      </c>
    </row>
    <row r="4" spans="1:147" x14ac:dyDescent="0.25">
      <c r="D4" s="37"/>
      <c r="E4" s="99" t="s">
        <v>114</v>
      </c>
      <c r="F4" s="91"/>
      <c r="G4" s="100">
        <f>EQ2</f>
        <v>130000000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1.8885920823998439E-2</v>
      </c>
      <c r="EI4" s="98">
        <f>IF(EI3=0,0,360*(AVERAGE(EH11:EH40)/EI3))</f>
        <v>2.3765524392652584E-2</v>
      </c>
      <c r="EM4" s="98"/>
      <c r="EN4" s="98">
        <f>IF(EN3=0,0,360*(AVERAGE(EM11:EM41)/EN3))</f>
        <v>1.8374885680359068E-2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362833516.12903225</v>
      </c>
      <c r="AI5" s="104" t="s">
        <v>109</v>
      </c>
      <c r="EB5" s="105" t="s">
        <v>120</v>
      </c>
      <c r="EC5" s="105"/>
      <c r="ED5" s="91"/>
      <c r="EE5" s="91">
        <f>MAX(EB11:EB41)</f>
        <v>572876000</v>
      </c>
      <c r="EI5" s="91">
        <f>MAX(EG11:EG40)</f>
        <v>130000000</v>
      </c>
      <c r="EM5" s="91"/>
      <c r="EN5" s="91">
        <f>MAX(EK11:EK41)</f>
        <v>520576000</v>
      </c>
    </row>
    <row r="6" spans="1:147" x14ac:dyDescent="0.25">
      <c r="D6" s="37"/>
      <c r="E6" s="99" t="s">
        <v>118</v>
      </c>
      <c r="F6" s="91"/>
      <c r="G6" s="106">
        <f>EE4</f>
        <v>1.8885920823998439E-2</v>
      </c>
    </row>
    <row r="7" spans="1:147" ht="16.5" thickBot="1" x14ac:dyDescent="0.3">
      <c r="D7" s="37"/>
      <c r="E7" s="107" t="s">
        <v>120</v>
      </c>
      <c r="F7" s="108"/>
      <c r="G7" s="109">
        <f>EE5</f>
        <v>572876000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43891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(AC11*AD11)/'[18]Input Sheet'!$B$11</f>
        <v>0</v>
      </c>
      <c r="AH11" s="93">
        <f>(AF11*AG11)/'[18]Input Sheet'!$B$11</f>
        <v>0</v>
      </c>
      <c r="AI11" s="124">
        <f>54175000</f>
        <v>54175000</v>
      </c>
      <c r="AJ11" s="125">
        <v>1.7000000000000001E-2</v>
      </c>
      <c r="AK11" s="93">
        <f>(AI11*AJ11)/360</f>
        <v>2558.2638888888891</v>
      </c>
      <c r="AL11" s="124">
        <f t="shared" ref="AL11:AL29" si="0">70000000+50000000</f>
        <v>120000000</v>
      </c>
      <c r="AM11" s="125">
        <v>1.78E-2</v>
      </c>
      <c r="AN11" s="93">
        <f>(AL11*AM11)/360</f>
        <v>5933.333333333333</v>
      </c>
      <c r="AO11" s="124">
        <f>50000000+30000000+50000000</f>
        <v>130000000</v>
      </c>
      <c r="AP11" s="125">
        <v>1.7899999999999999E-2</v>
      </c>
      <c r="AQ11" s="93">
        <f>(AO11*AP11)/360</f>
        <v>6463.8888888888887</v>
      </c>
      <c r="AR11" s="124">
        <f>3876000+50000000+96124000+48450000</f>
        <v>198450000</v>
      </c>
      <c r="AS11" s="125">
        <v>1.7999999999999999E-2</v>
      </c>
      <c r="AT11" s="93">
        <f>(AR11*AS11)/360</f>
        <v>9922.4999999999982</v>
      </c>
      <c r="AU11" s="124"/>
      <c r="AV11" s="125"/>
      <c r="AW11" s="93">
        <f>(AU11*AV11)/360</f>
        <v>0</v>
      </c>
      <c r="AX11" s="124"/>
      <c r="AY11" s="125"/>
      <c r="AZ11" s="93">
        <f>(AX11*AY11)/360</f>
        <v>0</v>
      </c>
      <c r="BA11" s="124"/>
      <c r="BB11" s="125"/>
      <c r="BC11" s="93">
        <f>(BA11*BB11)/360</f>
        <v>0</v>
      </c>
      <c r="BD11" s="124"/>
      <c r="BE11" s="125"/>
      <c r="BF11" s="93">
        <f>(BD11*BE11)/360</f>
        <v>0</v>
      </c>
      <c r="BG11" s="124"/>
      <c r="BH11" s="125"/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502625000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24877.986111111109</v>
      </c>
      <c r="EE11" s="94">
        <f>IF(EB11&lt;&gt;0,((ED11/EB11)*360),0)</f>
        <v>1.7818602337726933E-2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502625000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24877.986111111109</v>
      </c>
      <c r="EN11" s="94">
        <f>IF(EK11&lt;&gt;0,((EM11/EK11)*360),0)</f>
        <v>1.7818602337726933E-2</v>
      </c>
      <c r="EP11" s="93"/>
    </row>
    <row r="12" spans="1:147" x14ac:dyDescent="0.25">
      <c r="A12" s="39">
        <f>1+A11</f>
        <v>43892</v>
      </c>
      <c r="D12" s="93">
        <f t="shared" ref="D12:D41" si="1">(B12*C12)/360</f>
        <v>0</v>
      </c>
      <c r="G12" s="93">
        <f t="shared" ref="G12:G41" si="2">(E12*F12)/360</f>
        <v>0</v>
      </c>
      <c r="J12" s="93">
        <f t="shared" ref="J12:J41" si="3">(H12*I12)/360</f>
        <v>0</v>
      </c>
      <c r="M12" s="93">
        <f t="shared" ref="M12:M41" si="4">(K12*L12)/360</f>
        <v>0</v>
      </c>
      <c r="P12" s="93">
        <f t="shared" ref="P12:P41" si="5">(N12*O12)/360</f>
        <v>0</v>
      </c>
      <c r="S12" s="93">
        <f t="shared" ref="S12:S41" si="6">(Q12*R12)/360</f>
        <v>0</v>
      </c>
      <c r="V12" s="93">
        <f t="shared" ref="V12:V41" si="7">(T12*U12)/360</f>
        <v>0</v>
      </c>
      <c r="Y12" s="93">
        <f t="shared" ref="Y12:Y41" si="8">(W12*X12)/360</f>
        <v>0</v>
      </c>
      <c r="AB12" s="93">
        <f t="shared" ref="AB12:AB41" si="9">(Z12*AA12)/360</f>
        <v>0</v>
      </c>
      <c r="AE12" s="93">
        <f>(AC12*AD12)/'[18]Input Sheet'!$B$11</f>
        <v>0</v>
      </c>
      <c r="AH12" s="93">
        <f>(AF12*AG12)/'[18]Input Sheet'!$B$11</f>
        <v>0</v>
      </c>
      <c r="AI12" s="124">
        <f>66675000</f>
        <v>66675000</v>
      </c>
      <c r="AJ12" s="125">
        <v>1.7000000000000001E-2</v>
      </c>
      <c r="AK12" s="93">
        <f t="shared" ref="AK12:AK41" si="10">(AI12*AJ12)/360</f>
        <v>3148.5416666666665</v>
      </c>
      <c r="AL12" s="124">
        <f t="shared" si="0"/>
        <v>120000000</v>
      </c>
      <c r="AM12" s="125">
        <v>1.78E-2</v>
      </c>
      <c r="AN12" s="93">
        <f t="shared" ref="AN12:AN41" si="11">(AL12*AM12)/360</f>
        <v>5933.333333333333</v>
      </c>
      <c r="AO12" s="124">
        <f>50000000+30000000+50000000</f>
        <v>130000000</v>
      </c>
      <c r="AP12" s="125">
        <v>1.7899999999999999E-2</v>
      </c>
      <c r="AQ12" s="93">
        <f t="shared" ref="AQ12:AQ41" si="12">(AO12*AP12)/360</f>
        <v>6463.8888888888887</v>
      </c>
      <c r="AR12" s="124">
        <f>3876000+50000000+96124000+48450000</f>
        <v>198450000</v>
      </c>
      <c r="AS12" s="125">
        <v>1.7999999999999999E-2</v>
      </c>
      <c r="AT12" s="93">
        <f t="shared" ref="AT12:AT41" si="13">(AR12*AS12)/360</f>
        <v>9922.4999999999982</v>
      </c>
      <c r="AU12" s="124"/>
      <c r="AV12" s="125"/>
      <c r="AW12" s="93">
        <f t="shared" ref="AW12:AW41" si="14">(AU12*AV12)/360</f>
        <v>0</v>
      </c>
      <c r="AX12" s="124"/>
      <c r="AY12" s="125"/>
      <c r="AZ12" s="93">
        <f t="shared" ref="AZ12:AZ41" si="15">(AX12*AY12)/360</f>
        <v>0</v>
      </c>
      <c r="BA12" s="124"/>
      <c r="BB12" s="125"/>
      <c r="BC12" s="93">
        <f t="shared" ref="BC12:BC41" si="16">(BA12*BB12)/360</f>
        <v>0</v>
      </c>
      <c r="BD12" s="124"/>
      <c r="BE12" s="125"/>
      <c r="BF12" s="93">
        <f t="shared" ref="BF12:BF41" si="17">(BD12*BE12)/360</f>
        <v>0</v>
      </c>
      <c r="BG12" s="124"/>
      <c r="BH12" s="125"/>
      <c r="BI12" s="93">
        <f t="shared" ref="BI12:BI41" si="18">(BG12*BH12)/360</f>
        <v>0</v>
      </c>
      <c r="BL12" s="93">
        <f t="shared" ref="BL12:BL41" si="19">(BJ12*BK12)/360</f>
        <v>0</v>
      </c>
      <c r="BO12" s="93">
        <f t="shared" ref="BO12:BO41" si="20">(BM12*BN12)/360</f>
        <v>0</v>
      </c>
      <c r="BR12" s="93">
        <f t="shared" ref="BR12:BR41" si="21">(BP12*BQ12)/360</f>
        <v>0</v>
      </c>
      <c r="BU12" s="93">
        <f t="shared" ref="BU12:BU41" si="22">(BS12*BT12)/360</f>
        <v>0</v>
      </c>
      <c r="BX12" s="93">
        <f t="shared" ref="BX12:BX41" si="23">(BV12*BW12)/360</f>
        <v>0</v>
      </c>
      <c r="CA12" s="93">
        <f t="shared" ref="CA12:CA41" si="24">(BY12*BZ12)/360</f>
        <v>0</v>
      </c>
      <c r="CD12" s="93">
        <f t="shared" ref="CD12:CD41" si="25">(CB12*CC12)/360</f>
        <v>0</v>
      </c>
      <c r="CG12" s="93">
        <f t="shared" ref="CG12:CG41" si="26">(CE12*CF12)/360</f>
        <v>0</v>
      </c>
      <c r="CJ12" s="93">
        <f t="shared" ref="CJ12:CJ41" si="27">(CH12*CI12)/360</f>
        <v>0</v>
      </c>
      <c r="CM12" s="93">
        <f t="shared" ref="CM12:CM41" si="28">(CK12*CL12)/360</f>
        <v>0</v>
      </c>
      <c r="CP12" s="93">
        <f t="shared" ref="CP12:CP41" si="29">(CN12*CO12)/360</f>
        <v>0</v>
      </c>
      <c r="CS12" s="93">
        <f t="shared" ref="CS12:CS41" si="30">(CQ12*CR12)/360</f>
        <v>0</v>
      </c>
      <c r="CV12" s="93">
        <f t="shared" ref="CV12:CV41" si="31">(CT12*CU12)/360</f>
        <v>0</v>
      </c>
      <c r="CY12" s="93">
        <f t="shared" ref="CY12:CY41" si="32">(CW12*CX12)/360</f>
        <v>0</v>
      </c>
      <c r="DB12" s="93">
        <f t="shared" ref="DB12:DB41" si="33">(CZ12*DA12)/360</f>
        <v>0</v>
      </c>
      <c r="DE12" s="93">
        <f t="shared" ref="DE12:DE41" si="34">(DC12*DD12)/360</f>
        <v>0</v>
      </c>
      <c r="DH12" s="93">
        <f t="shared" ref="DH12:DH41" si="35">(DF12*DG12)/360</f>
        <v>0</v>
      </c>
      <c r="DK12" s="93">
        <f t="shared" ref="DK12:DK41" si="36">(DI12*DJ12)/360</f>
        <v>0</v>
      </c>
      <c r="DN12" s="93">
        <f t="shared" ref="DN12:DN41" si="37">(DL12*DM12)/360</f>
        <v>0</v>
      </c>
      <c r="DQ12" s="93">
        <f t="shared" ref="DQ12:DQ41" si="38">(DO12*DP12)/360</f>
        <v>0</v>
      </c>
      <c r="DT12" s="93">
        <f t="shared" ref="DT12:DT41" si="39">(DR12*DS12)/360</f>
        <v>0</v>
      </c>
      <c r="DW12" s="93">
        <f t="shared" ref="DW12:DW41" si="40">(DU12*DV12)/360</f>
        <v>0</v>
      </c>
      <c r="DZ12" s="93"/>
      <c r="EA12" s="93"/>
      <c r="EB12" s="126">
        <f t="shared" ref="EB12:EB41" si="41">B12+E12+H12+K12+N12+Q12+T12+W12+Z12+AC12+AF12+AL12+AO12+AR12+AU12+AX12+BA12+BD12+BG12+DU12+AI12+DR12+DO12+DL12+DI12+DF12+DC12+CZ12+CW12+CT12+CQ12+CN12+CK12+CH12+CE12+CB12+BY12+BV12+BS12+BP12+BM12+BJ12</f>
        <v>515125000</v>
      </c>
      <c r="EC12" s="126">
        <f t="shared" ref="EC12:EC41" si="42">EB12-EK12+EL12</f>
        <v>0</v>
      </c>
      <c r="ED12" s="93">
        <f t="shared" ref="ED12:ED41" si="43">D12+G12+J12+M12+P12+S12+V12+Y12+AB12+AE12+AH12+AK12+AN12+AQ12+AT12+AW12+AZ12+BC12+BF12+BI12+DW12+DT12+DQ12+DN12+DK12+DH12+DE12+DB12+CY12+CV12+CS12+CP12+CM12+CJ12+CG12+CD12+CA12+BX12+BU12+BR12+BO12+BL12</f>
        <v>25468.263888888887</v>
      </c>
      <c r="EE12" s="94">
        <f t="shared" ref="EE12:EE41" si="44">IF(EB12&lt;&gt;0,((ED12/EB12)*360),0)</f>
        <v>1.7798738170347002E-2</v>
      </c>
      <c r="EG12" s="126">
        <f t="shared" ref="EG12:EG41" si="45">Q12+T12+W12+Z12+AC12+AF12</f>
        <v>0</v>
      </c>
      <c r="EH12" s="93">
        <f t="shared" ref="EH12:EH41" si="46">S12+V12+Y12+AB12+AE12+AH12</f>
        <v>0</v>
      </c>
      <c r="EI12" s="94">
        <f t="shared" ref="EI12:EI41" si="47">IF(EG12&lt;&gt;0,((EH12/EG12)*360),0)</f>
        <v>0</v>
      </c>
      <c r="EJ12" s="94"/>
      <c r="EK12" s="126">
        <f t="shared" ref="EK12:EK41" si="48">DR12+DL12+DI12+DF12+DC12+CZ12+CW12+CT12+CQ12+CN12+CK12+CH12+CE12+CB12+BY12+BV12+BS12+BP12+BM12+BJ12+BG12+BD12+BA12+AX12+AU12+AR12+AO12+AL12+AI12+DO12</f>
        <v>515125000</v>
      </c>
      <c r="EL12" s="126">
        <f t="shared" ref="EL12:EL41" si="49">DX12</f>
        <v>0</v>
      </c>
      <c r="EM12" s="126">
        <f t="shared" ref="EM12:EM41" si="50">DT12+DQ12+DN12+DK12+DH12+DE12+DB12+CY12+CV12+CS12+CP12+CM12+CJ12+CG12+CD12+CA12+BX12+BU12+BR12+BO12+BL12+BI12+BF12+BC12+AZ12+AW12+AT12+AQ12+AN12+AK12</f>
        <v>25468.263888888887</v>
      </c>
      <c r="EN12" s="94">
        <f t="shared" ref="EN12:EN41" si="51">IF(EK12&lt;&gt;0,((EM12/EK12)*360),0)</f>
        <v>1.7798738170347002E-2</v>
      </c>
      <c r="EP12" s="93"/>
    </row>
    <row r="13" spans="1:147" x14ac:dyDescent="0.25">
      <c r="A13" s="39">
        <f t="shared" ref="A13:A41" si="52">1+A12</f>
        <v>43893</v>
      </c>
      <c r="D13" s="93">
        <f t="shared" si="1"/>
        <v>0</v>
      </c>
      <c r="G13" s="93">
        <f t="shared" si="2"/>
        <v>0</v>
      </c>
      <c r="J13" s="93">
        <f t="shared" si="3"/>
        <v>0</v>
      </c>
      <c r="M13" s="93">
        <f t="shared" si="4"/>
        <v>0</v>
      </c>
      <c r="P13" s="93">
        <f t="shared" si="5"/>
        <v>0</v>
      </c>
      <c r="S13" s="93">
        <f t="shared" si="6"/>
        <v>0</v>
      </c>
      <c r="V13" s="93">
        <f t="shared" si="7"/>
        <v>0</v>
      </c>
      <c r="Y13" s="93">
        <f t="shared" si="8"/>
        <v>0</v>
      </c>
      <c r="AB13" s="93">
        <f t="shared" si="9"/>
        <v>0</v>
      </c>
      <c r="AE13" s="93">
        <f>(AC13*AD13)/'[18]Input Sheet'!$B$11</f>
        <v>0</v>
      </c>
      <c r="AH13" s="93">
        <f>(AF13*AG13)/'[18]Input Sheet'!$B$11</f>
        <v>0</v>
      </c>
      <c r="AI13" s="124">
        <f>58075000</f>
        <v>58075000</v>
      </c>
      <c r="AJ13" s="125">
        <v>1.7000000000000001E-2</v>
      </c>
      <c r="AK13" s="93">
        <f t="shared" si="10"/>
        <v>2742.4305555555557</v>
      </c>
      <c r="AL13" s="124">
        <f t="shared" si="0"/>
        <v>120000000</v>
      </c>
      <c r="AM13" s="125">
        <v>1.78E-2</v>
      </c>
      <c r="AN13" s="93">
        <f t="shared" si="11"/>
        <v>5933.333333333333</v>
      </c>
      <c r="AO13" s="124">
        <f>50000000+30000000+50000000</f>
        <v>130000000</v>
      </c>
      <c r="AP13" s="125">
        <v>1.7899999999999999E-2</v>
      </c>
      <c r="AQ13" s="93">
        <f t="shared" si="12"/>
        <v>6463.8888888888887</v>
      </c>
      <c r="AR13" s="124">
        <f>3876000+50000000+96124000+48450000</f>
        <v>198450000</v>
      </c>
      <c r="AS13" s="125">
        <v>1.7999999999999999E-2</v>
      </c>
      <c r="AT13" s="93">
        <f t="shared" si="13"/>
        <v>9922.4999999999982</v>
      </c>
      <c r="AU13" s="124"/>
      <c r="AV13" s="125"/>
      <c r="AW13" s="93">
        <f t="shared" si="14"/>
        <v>0</v>
      </c>
      <c r="AX13" s="124"/>
      <c r="AY13" s="125"/>
      <c r="AZ13" s="93">
        <f t="shared" si="15"/>
        <v>0</v>
      </c>
      <c r="BA13" s="124"/>
      <c r="BB13" s="125"/>
      <c r="BC13" s="93">
        <f t="shared" si="16"/>
        <v>0</v>
      </c>
      <c r="BD13" s="124"/>
      <c r="BE13" s="125"/>
      <c r="BF13" s="93">
        <f t="shared" si="17"/>
        <v>0</v>
      </c>
      <c r="BG13" s="124"/>
      <c r="BH13" s="125"/>
      <c r="BI13" s="93">
        <f t="shared" si="18"/>
        <v>0</v>
      </c>
      <c r="BL13" s="93">
        <f t="shared" si="19"/>
        <v>0</v>
      </c>
      <c r="BO13" s="93">
        <f t="shared" si="20"/>
        <v>0</v>
      </c>
      <c r="BR13" s="93">
        <f t="shared" si="21"/>
        <v>0</v>
      </c>
      <c r="BU13" s="93">
        <f t="shared" si="22"/>
        <v>0</v>
      </c>
      <c r="BX13" s="93">
        <f t="shared" si="23"/>
        <v>0</v>
      </c>
      <c r="CA13" s="93">
        <f t="shared" si="24"/>
        <v>0</v>
      </c>
      <c r="CD13" s="93">
        <f t="shared" si="25"/>
        <v>0</v>
      </c>
      <c r="CG13" s="93">
        <f t="shared" si="26"/>
        <v>0</v>
      </c>
      <c r="CJ13" s="93">
        <f t="shared" si="27"/>
        <v>0</v>
      </c>
      <c r="CM13" s="93">
        <f t="shared" si="28"/>
        <v>0</v>
      </c>
      <c r="CP13" s="93">
        <f t="shared" si="29"/>
        <v>0</v>
      </c>
      <c r="CS13" s="93">
        <f t="shared" si="30"/>
        <v>0</v>
      </c>
      <c r="CV13" s="93">
        <f t="shared" si="31"/>
        <v>0</v>
      </c>
      <c r="CY13" s="93">
        <f t="shared" si="32"/>
        <v>0</v>
      </c>
      <c r="DB13" s="93">
        <f t="shared" si="33"/>
        <v>0</v>
      </c>
      <c r="DE13" s="93">
        <f t="shared" si="34"/>
        <v>0</v>
      </c>
      <c r="DH13" s="93">
        <f t="shared" si="35"/>
        <v>0</v>
      </c>
      <c r="DK13" s="93">
        <f t="shared" si="36"/>
        <v>0</v>
      </c>
      <c r="DN13" s="93">
        <f t="shared" si="37"/>
        <v>0</v>
      </c>
      <c r="DQ13" s="93">
        <f t="shared" si="38"/>
        <v>0</v>
      </c>
      <c r="DT13" s="93">
        <f t="shared" si="39"/>
        <v>0</v>
      </c>
      <c r="DW13" s="93">
        <f t="shared" si="40"/>
        <v>0</v>
      </c>
      <c r="DZ13" s="93"/>
      <c r="EA13" s="93"/>
      <c r="EB13" s="126">
        <f t="shared" si="41"/>
        <v>506525000</v>
      </c>
      <c r="EC13" s="126">
        <f t="shared" si="42"/>
        <v>0</v>
      </c>
      <c r="ED13" s="93">
        <f t="shared" si="43"/>
        <v>25062.152777777774</v>
      </c>
      <c r="EE13" s="94">
        <f t="shared" si="44"/>
        <v>1.7812299491634171E-2</v>
      </c>
      <c r="EG13" s="126">
        <f t="shared" si="45"/>
        <v>0</v>
      </c>
      <c r="EH13" s="93">
        <f t="shared" si="46"/>
        <v>0</v>
      </c>
      <c r="EI13" s="94">
        <f t="shared" si="47"/>
        <v>0</v>
      </c>
      <c r="EJ13" s="94"/>
      <c r="EK13" s="126">
        <f t="shared" si="48"/>
        <v>506525000</v>
      </c>
      <c r="EL13" s="126">
        <f t="shared" si="49"/>
        <v>0</v>
      </c>
      <c r="EM13" s="126">
        <f t="shared" si="50"/>
        <v>25062.152777777774</v>
      </c>
      <c r="EN13" s="94">
        <f t="shared" si="51"/>
        <v>1.7812299491634171E-2</v>
      </c>
      <c r="EP13" s="93"/>
    </row>
    <row r="14" spans="1:147" x14ac:dyDescent="0.25">
      <c r="A14" s="39">
        <f t="shared" si="52"/>
        <v>43894</v>
      </c>
      <c r="D14" s="93">
        <f t="shared" si="1"/>
        <v>0</v>
      </c>
      <c r="G14" s="93">
        <f t="shared" si="2"/>
        <v>0</v>
      </c>
      <c r="J14" s="93">
        <f t="shared" si="3"/>
        <v>0</v>
      </c>
      <c r="M14" s="93">
        <f t="shared" si="4"/>
        <v>0</v>
      </c>
      <c r="P14" s="93">
        <f t="shared" si="5"/>
        <v>0</v>
      </c>
      <c r="S14" s="93">
        <f t="shared" si="6"/>
        <v>0</v>
      </c>
      <c r="V14" s="93">
        <f t="shared" si="7"/>
        <v>0</v>
      </c>
      <c r="Y14" s="93">
        <f t="shared" si="8"/>
        <v>0</v>
      </c>
      <c r="AB14" s="93">
        <f t="shared" si="9"/>
        <v>0</v>
      </c>
      <c r="AE14" s="93">
        <f>(AC14*AD14)/'[18]Input Sheet'!$B$11</f>
        <v>0</v>
      </c>
      <c r="AH14" s="93">
        <f>(AF14*AG14)/'[18]Input Sheet'!$B$11</f>
        <v>0</v>
      </c>
      <c r="AI14" s="124">
        <f>40000000+57725000</f>
        <v>97725000</v>
      </c>
      <c r="AJ14" s="125">
        <v>1.4E-2</v>
      </c>
      <c r="AK14" s="93">
        <f t="shared" si="10"/>
        <v>3800.4166666666665</v>
      </c>
      <c r="AL14" s="124">
        <f t="shared" si="0"/>
        <v>120000000</v>
      </c>
      <c r="AM14" s="125">
        <v>1.78E-2</v>
      </c>
      <c r="AN14" s="93">
        <f t="shared" si="11"/>
        <v>5933.333333333333</v>
      </c>
      <c r="AO14" s="124">
        <f>50000000+30000000+50000000</f>
        <v>130000000</v>
      </c>
      <c r="AP14" s="125">
        <v>1.7899999999999999E-2</v>
      </c>
      <c r="AQ14" s="93">
        <f t="shared" si="12"/>
        <v>6463.8888888888887</v>
      </c>
      <c r="AR14" s="124">
        <f>3876000+50000000+96124000</f>
        <v>150000000</v>
      </c>
      <c r="AS14" s="125">
        <v>1.7999999999999999E-2</v>
      </c>
      <c r="AT14" s="93">
        <f t="shared" si="13"/>
        <v>7500</v>
      </c>
      <c r="AU14" s="124"/>
      <c r="AV14" s="125"/>
      <c r="AW14" s="93">
        <f t="shared" si="14"/>
        <v>0</v>
      </c>
      <c r="AX14" s="124"/>
      <c r="AY14" s="125"/>
      <c r="AZ14" s="93">
        <f t="shared" si="15"/>
        <v>0</v>
      </c>
      <c r="BA14" s="124"/>
      <c r="BB14" s="125"/>
      <c r="BC14" s="93">
        <f t="shared" si="16"/>
        <v>0</v>
      </c>
      <c r="BD14" s="124"/>
      <c r="BE14" s="125"/>
      <c r="BF14" s="93">
        <f t="shared" si="17"/>
        <v>0</v>
      </c>
      <c r="BG14" s="124"/>
      <c r="BH14" s="125"/>
      <c r="BI14" s="93">
        <f t="shared" si="18"/>
        <v>0</v>
      </c>
      <c r="BL14" s="93">
        <f t="shared" si="19"/>
        <v>0</v>
      </c>
      <c r="BO14" s="93">
        <f t="shared" si="20"/>
        <v>0</v>
      </c>
      <c r="BR14" s="93">
        <f t="shared" si="21"/>
        <v>0</v>
      </c>
      <c r="BU14" s="93">
        <f t="shared" si="22"/>
        <v>0</v>
      </c>
      <c r="BX14" s="93">
        <f t="shared" si="23"/>
        <v>0</v>
      </c>
      <c r="CA14" s="93">
        <f t="shared" si="24"/>
        <v>0</v>
      </c>
      <c r="CD14" s="93">
        <f t="shared" si="25"/>
        <v>0</v>
      </c>
      <c r="CG14" s="93">
        <f t="shared" si="26"/>
        <v>0</v>
      </c>
      <c r="CJ14" s="93">
        <f t="shared" si="27"/>
        <v>0</v>
      </c>
      <c r="CM14" s="93">
        <f t="shared" si="28"/>
        <v>0</v>
      </c>
      <c r="CP14" s="93">
        <f t="shared" si="29"/>
        <v>0</v>
      </c>
      <c r="CS14" s="93">
        <f t="shared" si="30"/>
        <v>0</v>
      </c>
      <c r="CV14" s="93">
        <f t="shared" si="31"/>
        <v>0</v>
      </c>
      <c r="CY14" s="93">
        <f t="shared" si="32"/>
        <v>0</v>
      </c>
      <c r="DB14" s="93">
        <f t="shared" si="33"/>
        <v>0</v>
      </c>
      <c r="DE14" s="93">
        <f t="shared" si="34"/>
        <v>0</v>
      </c>
      <c r="DH14" s="93">
        <f t="shared" si="35"/>
        <v>0</v>
      </c>
      <c r="DK14" s="93">
        <f t="shared" si="36"/>
        <v>0</v>
      </c>
      <c r="DN14" s="93">
        <f t="shared" si="37"/>
        <v>0</v>
      </c>
      <c r="DQ14" s="93">
        <f t="shared" si="38"/>
        <v>0</v>
      </c>
      <c r="DT14" s="93">
        <f t="shared" si="39"/>
        <v>0</v>
      </c>
      <c r="DW14" s="93">
        <f t="shared" si="40"/>
        <v>0</v>
      </c>
      <c r="DZ14" s="93"/>
      <c r="EA14" s="93"/>
      <c r="EB14" s="126">
        <f t="shared" si="41"/>
        <v>497725000</v>
      </c>
      <c r="EC14" s="126">
        <f t="shared" si="42"/>
        <v>0</v>
      </c>
      <c r="ED14" s="93">
        <f t="shared" si="43"/>
        <v>23697.638888888891</v>
      </c>
      <c r="EE14" s="94">
        <f t="shared" si="44"/>
        <v>1.7140288311818776E-2</v>
      </c>
      <c r="EG14" s="126">
        <f t="shared" si="45"/>
        <v>0</v>
      </c>
      <c r="EH14" s="93">
        <f t="shared" si="46"/>
        <v>0</v>
      </c>
      <c r="EI14" s="94">
        <f t="shared" si="47"/>
        <v>0</v>
      </c>
      <c r="EJ14" s="94"/>
      <c r="EK14" s="126">
        <f t="shared" si="48"/>
        <v>497725000</v>
      </c>
      <c r="EL14" s="126">
        <f t="shared" si="49"/>
        <v>0</v>
      </c>
      <c r="EM14" s="126">
        <f t="shared" si="50"/>
        <v>23697.638888888891</v>
      </c>
      <c r="EN14" s="94">
        <f t="shared" si="51"/>
        <v>1.7140288311818776E-2</v>
      </c>
      <c r="EP14" s="93"/>
    </row>
    <row r="15" spans="1:147" x14ac:dyDescent="0.25">
      <c r="A15" s="39">
        <f t="shared" si="52"/>
        <v>43895</v>
      </c>
      <c r="D15" s="93">
        <f t="shared" si="1"/>
        <v>0</v>
      </c>
      <c r="G15" s="93">
        <f t="shared" si="2"/>
        <v>0</v>
      </c>
      <c r="J15" s="93">
        <f t="shared" si="3"/>
        <v>0</v>
      </c>
      <c r="M15" s="93">
        <f t="shared" si="4"/>
        <v>0</v>
      </c>
      <c r="P15" s="93">
        <f t="shared" si="5"/>
        <v>0</v>
      </c>
      <c r="S15" s="93">
        <f t="shared" si="6"/>
        <v>0</v>
      </c>
      <c r="V15" s="93">
        <f t="shared" si="7"/>
        <v>0</v>
      </c>
      <c r="Y15" s="93">
        <f t="shared" si="8"/>
        <v>0</v>
      </c>
      <c r="AB15" s="93">
        <f t="shared" si="9"/>
        <v>0</v>
      </c>
      <c r="AE15" s="93">
        <f>(AC15*AD15)/'[18]Input Sheet'!$B$11</f>
        <v>0</v>
      </c>
      <c r="AH15" s="93">
        <f>(AF15*AG15)/'[18]Input Sheet'!$B$11</f>
        <v>0</v>
      </c>
      <c r="AI15" s="124">
        <f>40000000+48025000</f>
        <v>88025000</v>
      </c>
      <c r="AJ15" s="125">
        <v>1.4E-2</v>
      </c>
      <c r="AK15" s="93">
        <f t="shared" si="10"/>
        <v>3423.1944444444443</v>
      </c>
      <c r="AL15" s="124">
        <f t="shared" si="0"/>
        <v>120000000</v>
      </c>
      <c r="AM15" s="125">
        <v>1.78E-2</v>
      </c>
      <c r="AN15" s="93">
        <f t="shared" si="11"/>
        <v>5933.333333333333</v>
      </c>
      <c r="AO15" s="124">
        <f>50000000+30000000+50000000</f>
        <v>130000000</v>
      </c>
      <c r="AP15" s="125">
        <v>1.7899999999999999E-2</v>
      </c>
      <c r="AQ15" s="93">
        <f t="shared" si="12"/>
        <v>6463.8888888888887</v>
      </c>
      <c r="AR15" s="124">
        <f>3876000+50000000+96124000</f>
        <v>150000000</v>
      </c>
      <c r="AS15" s="125">
        <v>1.7999999999999999E-2</v>
      </c>
      <c r="AT15" s="93">
        <f t="shared" si="13"/>
        <v>7500</v>
      </c>
      <c r="AU15" s="124"/>
      <c r="AV15" s="125"/>
      <c r="AW15" s="93">
        <f t="shared" si="14"/>
        <v>0</v>
      </c>
      <c r="AX15" s="124"/>
      <c r="AY15" s="125"/>
      <c r="AZ15" s="93">
        <f t="shared" si="15"/>
        <v>0</v>
      </c>
      <c r="BA15" s="124"/>
      <c r="BB15" s="125"/>
      <c r="BC15" s="93">
        <f t="shared" si="16"/>
        <v>0</v>
      </c>
      <c r="BD15" s="124"/>
      <c r="BE15" s="125"/>
      <c r="BF15" s="93">
        <f t="shared" si="17"/>
        <v>0</v>
      </c>
      <c r="BG15" s="124"/>
      <c r="BH15" s="125"/>
      <c r="BI15" s="93">
        <f t="shared" si="18"/>
        <v>0</v>
      </c>
      <c r="BL15" s="93">
        <f t="shared" si="19"/>
        <v>0</v>
      </c>
      <c r="BO15" s="93">
        <f t="shared" si="20"/>
        <v>0</v>
      </c>
      <c r="BR15" s="93">
        <f t="shared" si="21"/>
        <v>0</v>
      </c>
      <c r="BU15" s="93">
        <f t="shared" si="22"/>
        <v>0</v>
      </c>
      <c r="BX15" s="93">
        <f t="shared" si="23"/>
        <v>0</v>
      </c>
      <c r="CA15" s="93">
        <f t="shared" si="24"/>
        <v>0</v>
      </c>
      <c r="CD15" s="93">
        <f t="shared" si="25"/>
        <v>0</v>
      </c>
      <c r="CG15" s="93">
        <f t="shared" si="26"/>
        <v>0</v>
      </c>
      <c r="CJ15" s="93">
        <f t="shared" si="27"/>
        <v>0</v>
      </c>
      <c r="CM15" s="93">
        <f t="shared" si="28"/>
        <v>0</v>
      </c>
      <c r="CP15" s="93">
        <f t="shared" si="29"/>
        <v>0</v>
      </c>
      <c r="CS15" s="93">
        <f t="shared" si="30"/>
        <v>0</v>
      </c>
      <c r="CV15" s="93">
        <f t="shared" si="31"/>
        <v>0</v>
      </c>
      <c r="CY15" s="93">
        <f t="shared" si="32"/>
        <v>0</v>
      </c>
      <c r="DB15" s="93">
        <f t="shared" si="33"/>
        <v>0</v>
      </c>
      <c r="DE15" s="93">
        <f t="shared" si="34"/>
        <v>0</v>
      </c>
      <c r="DH15" s="93">
        <f t="shared" si="35"/>
        <v>0</v>
      </c>
      <c r="DK15" s="93">
        <f t="shared" si="36"/>
        <v>0</v>
      </c>
      <c r="DN15" s="93">
        <f t="shared" si="37"/>
        <v>0</v>
      </c>
      <c r="DQ15" s="93">
        <f t="shared" si="38"/>
        <v>0</v>
      </c>
      <c r="DT15" s="93">
        <f t="shared" si="39"/>
        <v>0</v>
      </c>
      <c r="DW15" s="93">
        <f t="shared" si="40"/>
        <v>0</v>
      </c>
      <c r="DZ15" s="93"/>
      <c r="EA15" s="93"/>
      <c r="EB15" s="126">
        <f t="shared" si="41"/>
        <v>488025000</v>
      </c>
      <c r="EC15" s="126">
        <f t="shared" si="42"/>
        <v>0</v>
      </c>
      <c r="ED15" s="93">
        <f t="shared" si="43"/>
        <v>23320.416666666664</v>
      </c>
      <c r="EE15" s="94">
        <f t="shared" si="44"/>
        <v>1.7202704779468263E-2</v>
      </c>
      <c r="EG15" s="126">
        <f t="shared" si="45"/>
        <v>0</v>
      </c>
      <c r="EH15" s="93">
        <f t="shared" si="46"/>
        <v>0</v>
      </c>
      <c r="EI15" s="94">
        <f t="shared" si="47"/>
        <v>0</v>
      </c>
      <c r="EJ15" s="94"/>
      <c r="EK15" s="126">
        <f t="shared" si="48"/>
        <v>488025000</v>
      </c>
      <c r="EL15" s="126">
        <f t="shared" si="49"/>
        <v>0</v>
      </c>
      <c r="EM15" s="126">
        <f t="shared" si="50"/>
        <v>23320.416666666668</v>
      </c>
      <c r="EN15" s="94">
        <f t="shared" si="51"/>
        <v>1.7202704779468263E-2</v>
      </c>
      <c r="EP15" s="93"/>
    </row>
    <row r="16" spans="1:147" x14ac:dyDescent="0.25">
      <c r="A16" s="39">
        <f t="shared" si="52"/>
        <v>43896</v>
      </c>
      <c r="D16" s="93">
        <f t="shared" si="1"/>
        <v>0</v>
      </c>
      <c r="G16" s="93">
        <f t="shared" si="2"/>
        <v>0</v>
      </c>
      <c r="J16" s="93">
        <f t="shared" si="3"/>
        <v>0</v>
      </c>
      <c r="M16" s="93">
        <f t="shared" si="4"/>
        <v>0</v>
      </c>
      <c r="P16" s="93">
        <f t="shared" si="5"/>
        <v>0</v>
      </c>
      <c r="S16" s="93">
        <f t="shared" si="6"/>
        <v>0</v>
      </c>
      <c r="V16" s="93">
        <f t="shared" si="7"/>
        <v>0</v>
      </c>
      <c r="Y16" s="93">
        <f t="shared" si="8"/>
        <v>0</v>
      </c>
      <c r="AB16" s="93">
        <f t="shared" si="9"/>
        <v>0</v>
      </c>
      <c r="AE16" s="93">
        <f>(AC16*AD16)/'[18]Input Sheet'!$B$11</f>
        <v>0</v>
      </c>
      <c r="AH16" s="93">
        <f>(AF16*AG16)/'[18]Input Sheet'!$B$11</f>
        <v>0</v>
      </c>
      <c r="AI16" s="124">
        <f>50500000</f>
        <v>50500000</v>
      </c>
      <c r="AJ16" s="125">
        <v>1.38E-2</v>
      </c>
      <c r="AK16" s="93">
        <f t="shared" si="10"/>
        <v>1935.8333333333333</v>
      </c>
      <c r="AL16" s="124">
        <f t="shared" si="0"/>
        <v>120000000</v>
      </c>
      <c r="AM16" s="125">
        <v>1.78E-2</v>
      </c>
      <c r="AN16" s="93">
        <f t="shared" si="11"/>
        <v>5933.333333333333</v>
      </c>
      <c r="AO16" s="124">
        <f>50000000+30000000</f>
        <v>80000000</v>
      </c>
      <c r="AP16" s="125">
        <v>1.7899999999999999E-2</v>
      </c>
      <c r="AQ16" s="93">
        <f t="shared" si="12"/>
        <v>3977.7777777777778</v>
      </c>
      <c r="AR16" s="124">
        <f t="shared" ref="AR16:AR29" si="53">3876000+50000000</f>
        <v>53876000</v>
      </c>
      <c r="AS16" s="125">
        <v>1.7999999999999999E-2</v>
      </c>
      <c r="AT16" s="93">
        <f t="shared" si="13"/>
        <v>2693.7999999999997</v>
      </c>
      <c r="AU16" s="124">
        <f t="shared" ref="AU16:AU29" si="54">100000000+50000000+40000000</f>
        <v>190000000</v>
      </c>
      <c r="AV16" s="125">
        <v>1.4500000000000001E-2</v>
      </c>
      <c r="AW16" s="93">
        <f t="shared" si="14"/>
        <v>7652.7777777777774</v>
      </c>
      <c r="AX16" s="124"/>
      <c r="AY16" s="125"/>
      <c r="AZ16" s="93">
        <f t="shared" si="15"/>
        <v>0</v>
      </c>
      <c r="BA16" s="124"/>
      <c r="BB16" s="125"/>
      <c r="BC16" s="93">
        <f t="shared" si="16"/>
        <v>0</v>
      </c>
      <c r="BD16" s="124"/>
      <c r="BE16" s="125"/>
      <c r="BF16" s="93">
        <f t="shared" si="17"/>
        <v>0</v>
      </c>
      <c r="BG16" s="124"/>
      <c r="BH16" s="125"/>
      <c r="BI16" s="93">
        <f t="shared" si="18"/>
        <v>0</v>
      </c>
      <c r="BL16" s="93">
        <f t="shared" si="19"/>
        <v>0</v>
      </c>
      <c r="BO16" s="93">
        <f t="shared" si="20"/>
        <v>0</v>
      </c>
      <c r="BR16" s="93">
        <f t="shared" si="21"/>
        <v>0</v>
      </c>
      <c r="BU16" s="93">
        <f t="shared" si="22"/>
        <v>0</v>
      </c>
      <c r="BX16" s="93">
        <f t="shared" si="23"/>
        <v>0</v>
      </c>
      <c r="CA16" s="93">
        <f t="shared" si="24"/>
        <v>0</v>
      </c>
      <c r="CD16" s="93">
        <f t="shared" si="25"/>
        <v>0</v>
      </c>
      <c r="CG16" s="93">
        <f t="shared" si="26"/>
        <v>0</v>
      </c>
      <c r="CJ16" s="93">
        <f t="shared" si="27"/>
        <v>0</v>
      </c>
      <c r="CM16" s="93">
        <f t="shared" si="28"/>
        <v>0</v>
      </c>
      <c r="CP16" s="93">
        <f t="shared" si="29"/>
        <v>0</v>
      </c>
      <c r="CS16" s="93">
        <f t="shared" si="30"/>
        <v>0</v>
      </c>
      <c r="CV16" s="93">
        <f t="shared" si="31"/>
        <v>0</v>
      </c>
      <c r="CY16" s="93">
        <f t="shared" si="32"/>
        <v>0</v>
      </c>
      <c r="DB16" s="93">
        <f t="shared" si="33"/>
        <v>0</v>
      </c>
      <c r="DE16" s="93">
        <f t="shared" si="34"/>
        <v>0</v>
      </c>
      <c r="DH16" s="93">
        <f t="shared" si="35"/>
        <v>0</v>
      </c>
      <c r="DK16" s="93">
        <f t="shared" si="36"/>
        <v>0</v>
      </c>
      <c r="DN16" s="93">
        <f t="shared" si="37"/>
        <v>0</v>
      </c>
      <c r="DQ16" s="93">
        <f t="shared" si="38"/>
        <v>0</v>
      </c>
      <c r="DT16" s="93">
        <f t="shared" si="39"/>
        <v>0</v>
      </c>
      <c r="DW16" s="93">
        <f t="shared" si="40"/>
        <v>0</v>
      </c>
      <c r="DZ16" s="93"/>
      <c r="EA16" s="93"/>
      <c r="EB16" s="126">
        <f t="shared" si="41"/>
        <v>494376000</v>
      </c>
      <c r="EC16" s="126">
        <f t="shared" si="42"/>
        <v>0</v>
      </c>
      <c r="ED16" s="93">
        <f t="shared" si="43"/>
        <v>22193.522222222222</v>
      </c>
      <c r="EE16" s="94">
        <f t="shared" si="44"/>
        <v>1.6161116235415957E-2</v>
      </c>
      <c r="EG16" s="126">
        <f t="shared" si="45"/>
        <v>0</v>
      </c>
      <c r="EH16" s="93">
        <f t="shared" si="46"/>
        <v>0</v>
      </c>
      <c r="EI16" s="94">
        <f t="shared" si="47"/>
        <v>0</v>
      </c>
      <c r="EJ16" s="94"/>
      <c r="EK16" s="126">
        <f t="shared" si="48"/>
        <v>494376000</v>
      </c>
      <c r="EL16" s="126">
        <f t="shared" si="49"/>
        <v>0</v>
      </c>
      <c r="EM16" s="126">
        <f t="shared" si="50"/>
        <v>22193.522222222218</v>
      </c>
      <c r="EN16" s="94">
        <f t="shared" si="51"/>
        <v>1.6161116235415957E-2</v>
      </c>
      <c r="EP16" s="93"/>
    </row>
    <row r="17" spans="1:146" x14ac:dyDescent="0.25">
      <c r="A17" s="39">
        <f t="shared" si="52"/>
        <v>43897</v>
      </c>
      <c r="D17" s="93">
        <f t="shared" si="1"/>
        <v>0</v>
      </c>
      <c r="G17" s="93">
        <f t="shared" si="2"/>
        <v>0</v>
      </c>
      <c r="J17" s="93">
        <f t="shared" si="3"/>
        <v>0</v>
      </c>
      <c r="M17" s="93">
        <f t="shared" si="4"/>
        <v>0</v>
      </c>
      <c r="P17" s="93">
        <f t="shared" si="5"/>
        <v>0</v>
      </c>
      <c r="S17" s="93">
        <f t="shared" si="6"/>
        <v>0</v>
      </c>
      <c r="V17" s="93">
        <f t="shared" si="7"/>
        <v>0</v>
      </c>
      <c r="Y17" s="93">
        <f t="shared" si="8"/>
        <v>0</v>
      </c>
      <c r="AB17" s="93">
        <f t="shared" si="9"/>
        <v>0</v>
      </c>
      <c r="AE17" s="93">
        <f>(AC17*AD17)/'[18]Input Sheet'!$B$11</f>
        <v>0</v>
      </c>
      <c r="AH17" s="93">
        <f>(AF17*AG17)/'[18]Input Sheet'!$B$11</f>
        <v>0</v>
      </c>
      <c r="AI17" s="124">
        <f>50500000</f>
        <v>50500000</v>
      </c>
      <c r="AJ17" s="125">
        <v>1.38E-2</v>
      </c>
      <c r="AK17" s="93">
        <f t="shared" si="10"/>
        <v>1935.8333333333333</v>
      </c>
      <c r="AL17" s="124">
        <f t="shared" si="0"/>
        <v>120000000</v>
      </c>
      <c r="AM17" s="125">
        <v>1.78E-2</v>
      </c>
      <c r="AN17" s="93">
        <f t="shared" si="11"/>
        <v>5933.333333333333</v>
      </c>
      <c r="AO17" s="124">
        <f>50000000+30000000</f>
        <v>80000000</v>
      </c>
      <c r="AP17" s="125">
        <v>1.7899999999999999E-2</v>
      </c>
      <c r="AQ17" s="93">
        <f t="shared" si="12"/>
        <v>3977.7777777777778</v>
      </c>
      <c r="AR17" s="124">
        <f t="shared" si="53"/>
        <v>53876000</v>
      </c>
      <c r="AS17" s="125">
        <v>1.7999999999999999E-2</v>
      </c>
      <c r="AT17" s="93">
        <f t="shared" si="13"/>
        <v>2693.7999999999997</v>
      </c>
      <c r="AU17" s="124">
        <f t="shared" si="54"/>
        <v>190000000</v>
      </c>
      <c r="AV17" s="125">
        <v>1.4500000000000001E-2</v>
      </c>
      <c r="AW17" s="93">
        <f t="shared" si="14"/>
        <v>7652.7777777777774</v>
      </c>
      <c r="AX17" s="124"/>
      <c r="AY17" s="125"/>
      <c r="AZ17" s="93">
        <f t="shared" si="15"/>
        <v>0</v>
      </c>
      <c r="BA17" s="124"/>
      <c r="BB17" s="125"/>
      <c r="BC17" s="93">
        <f t="shared" si="16"/>
        <v>0</v>
      </c>
      <c r="BD17" s="124"/>
      <c r="BE17" s="125"/>
      <c r="BF17" s="93">
        <f t="shared" si="17"/>
        <v>0</v>
      </c>
      <c r="BG17" s="124"/>
      <c r="BH17" s="125"/>
      <c r="BI17" s="93">
        <f t="shared" si="18"/>
        <v>0</v>
      </c>
      <c r="BL17" s="93">
        <f t="shared" si="19"/>
        <v>0</v>
      </c>
      <c r="BO17" s="93">
        <f t="shared" si="20"/>
        <v>0</v>
      </c>
      <c r="BR17" s="93">
        <f t="shared" si="21"/>
        <v>0</v>
      </c>
      <c r="BU17" s="93">
        <f t="shared" si="22"/>
        <v>0</v>
      </c>
      <c r="BX17" s="93">
        <f t="shared" si="23"/>
        <v>0</v>
      </c>
      <c r="CA17" s="93">
        <f t="shared" si="24"/>
        <v>0</v>
      </c>
      <c r="CD17" s="93">
        <f t="shared" si="25"/>
        <v>0</v>
      </c>
      <c r="CG17" s="93">
        <f t="shared" si="26"/>
        <v>0</v>
      </c>
      <c r="CJ17" s="93">
        <f t="shared" si="27"/>
        <v>0</v>
      </c>
      <c r="CM17" s="93">
        <f t="shared" si="28"/>
        <v>0</v>
      </c>
      <c r="CP17" s="93">
        <f t="shared" si="29"/>
        <v>0</v>
      </c>
      <c r="CS17" s="93">
        <f t="shared" si="30"/>
        <v>0</v>
      </c>
      <c r="CV17" s="93">
        <f t="shared" si="31"/>
        <v>0</v>
      </c>
      <c r="CY17" s="93">
        <f t="shared" si="32"/>
        <v>0</v>
      </c>
      <c r="DB17" s="93">
        <f t="shared" si="33"/>
        <v>0</v>
      </c>
      <c r="DE17" s="93">
        <f t="shared" si="34"/>
        <v>0</v>
      </c>
      <c r="DH17" s="93">
        <f t="shared" si="35"/>
        <v>0</v>
      </c>
      <c r="DK17" s="93">
        <f t="shared" si="36"/>
        <v>0</v>
      </c>
      <c r="DN17" s="93">
        <f t="shared" si="37"/>
        <v>0</v>
      </c>
      <c r="DQ17" s="93">
        <f t="shared" si="38"/>
        <v>0</v>
      </c>
      <c r="DT17" s="93">
        <f t="shared" si="39"/>
        <v>0</v>
      </c>
      <c r="DW17" s="93">
        <f t="shared" si="40"/>
        <v>0</v>
      </c>
      <c r="DZ17" s="93"/>
      <c r="EA17" s="93"/>
      <c r="EB17" s="126">
        <f t="shared" si="41"/>
        <v>494376000</v>
      </c>
      <c r="EC17" s="126">
        <f t="shared" si="42"/>
        <v>0</v>
      </c>
      <c r="ED17" s="93">
        <f t="shared" si="43"/>
        <v>22193.522222222222</v>
      </c>
      <c r="EE17" s="94">
        <f t="shared" si="44"/>
        <v>1.6161116235415957E-2</v>
      </c>
      <c r="EG17" s="126">
        <f t="shared" si="45"/>
        <v>0</v>
      </c>
      <c r="EH17" s="93">
        <f t="shared" si="46"/>
        <v>0</v>
      </c>
      <c r="EI17" s="94">
        <f t="shared" si="47"/>
        <v>0</v>
      </c>
      <c r="EJ17" s="94"/>
      <c r="EK17" s="126">
        <f t="shared" si="48"/>
        <v>494376000</v>
      </c>
      <c r="EL17" s="126">
        <f t="shared" si="49"/>
        <v>0</v>
      </c>
      <c r="EM17" s="126">
        <f t="shared" si="50"/>
        <v>22193.522222222218</v>
      </c>
      <c r="EN17" s="94">
        <f t="shared" si="51"/>
        <v>1.6161116235415957E-2</v>
      </c>
      <c r="EP17" s="93"/>
    </row>
    <row r="18" spans="1:146" x14ac:dyDescent="0.25">
      <c r="A18" s="39">
        <f t="shared" si="52"/>
        <v>43898</v>
      </c>
      <c r="D18" s="93">
        <f t="shared" si="1"/>
        <v>0</v>
      </c>
      <c r="G18" s="93">
        <f t="shared" si="2"/>
        <v>0</v>
      </c>
      <c r="J18" s="93">
        <f t="shared" si="3"/>
        <v>0</v>
      </c>
      <c r="M18" s="93">
        <f t="shared" si="4"/>
        <v>0</v>
      </c>
      <c r="P18" s="93">
        <f t="shared" si="5"/>
        <v>0</v>
      </c>
      <c r="S18" s="93">
        <f t="shared" si="6"/>
        <v>0</v>
      </c>
      <c r="V18" s="93">
        <f t="shared" si="7"/>
        <v>0</v>
      </c>
      <c r="Y18" s="93">
        <f t="shared" si="8"/>
        <v>0</v>
      </c>
      <c r="AB18" s="93">
        <f t="shared" si="9"/>
        <v>0</v>
      </c>
      <c r="AE18" s="93">
        <f>(AC18*AD18)/'[18]Input Sheet'!$B$11</f>
        <v>0</v>
      </c>
      <c r="AH18" s="93">
        <f>(AF18*AG18)/'[18]Input Sheet'!$B$11</f>
        <v>0</v>
      </c>
      <c r="AI18" s="124">
        <f>50500000</f>
        <v>50500000</v>
      </c>
      <c r="AJ18" s="125">
        <v>1.38E-2</v>
      </c>
      <c r="AK18" s="93">
        <f t="shared" si="10"/>
        <v>1935.8333333333333</v>
      </c>
      <c r="AL18" s="124">
        <f t="shared" si="0"/>
        <v>120000000</v>
      </c>
      <c r="AM18" s="125">
        <v>1.78E-2</v>
      </c>
      <c r="AN18" s="93">
        <f t="shared" si="11"/>
        <v>5933.333333333333</v>
      </c>
      <c r="AO18" s="124">
        <f>50000000+30000000</f>
        <v>80000000</v>
      </c>
      <c r="AP18" s="125">
        <v>1.7899999999999999E-2</v>
      </c>
      <c r="AQ18" s="93">
        <f t="shared" si="12"/>
        <v>3977.7777777777778</v>
      </c>
      <c r="AR18" s="124">
        <f t="shared" si="53"/>
        <v>53876000</v>
      </c>
      <c r="AS18" s="125">
        <v>1.7999999999999999E-2</v>
      </c>
      <c r="AT18" s="93">
        <f t="shared" si="13"/>
        <v>2693.7999999999997</v>
      </c>
      <c r="AU18" s="124">
        <f t="shared" si="54"/>
        <v>190000000</v>
      </c>
      <c r="AV18" s="125">
        <v>1.4500000000000001E-2</v>
      </c>
      <c r="AW18" s="93">
        <f t="shared" si="14"/>
        <v>7652.7777777777774</v>
      </c>
      <c r="AX18" s="124"/>
      <c r="AY18" s="125"/>
      <c r="AZ18" s="93">
        <f t="shared" si="15"/>
        <v>0</v>
      </c>
      <c r="BA18" s="124"/>
      <c r="BB18" s="125"/>
      <c r="BC18" s="93">
        <f t="shared" si="16"/>
        <v>0</v>
      </c>
      <c r="BD18" s="124"/>
      <c r="BE18" s="125"/>
      <c r="BF18" s="93">
        <f t="shared" si="17"/>
        <v>0</v>
      </c>
      <c r="BG18" s="124"/>
      <c r="BH18" s="125"/>
      <c r="BI18" s="93">
        <f t="shared" si="18"/>
        <v>0</v>
      </c>
      <c r="BL18" s="93">
        <f t="shared" si="19"/>
        <v>0</v>
      </c>
      <c r="BO18" s="93">
        <f t="shared" si="20"/>
        <v>0</v>
      </c>
      <c r="BR18" s="93">
        <f t="shared" si="21"/>
        <v>0</v>
      </c>
      <c r="BU18" s="93">
        <f t="shared" si="22"/>
        <v>0</v>
      </c>
      <c r="BX18" s="93">
        <f t="shared" si="23"/>
        <v>0</v>
      </c>
      <c r="CA18" s="93">
        <f t="shared" si="24"/>
        <v>0</v>
      </c>
      <c r="CD18" s="93">
        <f t="shared" si="25"/>
        <v>0</v>
      </c>
      <c r="CG18" s="93">
        <f t="shared" si="26"/>
        <v>0</v>
      </c>
      <c r="CJ18" s="93">
        <f t="shared" si="27"/>
        <v>0</v>
      </c>
      <c r="CM18" s="93">
        <f t="shared" si="28"/>
        <v>0</v>
      </c>
      <c r="CP18" s="93">
        <f t="shared" si="29"/>
        <v>0</v>
      </c>
      <c r="CS18" s="93">
        <f t="shared" si="30"/>
        <v>0</v>
      </c>
      <c r="CV18" s="93">
        <f t="shared" si="31"/>
        <v>0</v>
      </c>
      <c r="CY18" s="93">
        <f t="shared" si="32"/>
        <v>0</v>
      </c>
      <c r="DB18" s="93">
        <f t="shared" si="33"/>
        <v>0</v>
      </c>
      <c r="DE18" s="93">
        <f t="shared" si="34"/>
        <v>0</v>
      </c>
      <c r="DH18" s="93">
        <f t="shared" si="35"/>
        <v>0</v>
      </c>
      <c r="DK18" s="93">
        <f t="shared" si="36"/>
        <v>0</v>
      </c>
      <c r="DN18" s="93">
        <f t="shared" si="37"/>
        <v>0</v>
      </c>
      <c r="DQ18" s="93">
        <f t="shared" si="38"/>
        <v>0</v>
      </c>
      <c r="DT18" s="93">
        <f t="shared" si="39"/>
        <v>0</v>
      </c>
      <c r="DW18" s="93">
        <f t="shared" si="40"/>
        <v>0</v>
      </c>
      <c r="DZ18" s="93"/>
      <c r="EA18" s="93"/>
      <c r="EB18" s="126">
        <f t="shared" si="41"/>
        <v>494376000</v>
      </c>
      <c r="EC18" s="126">
        <f t="shared" si="42"/>
        <v>0</v>
      </c>
      <c r="ED18" s="93">
        <f t="shared" si="43"/>
        <v>22193.522222222222</v>
      </c>
      <c r="EE18" s="94">
        <f t="shared" si="44"/>
        <v>1.6161116235415957E-2</v>
      </c>
      <c r="EG18" s="126">
        <f t="shared" si="45"/>
        <v>0</v>
      </c>
      <c r="EH18" s="93">
        <f t="shared" si="46"/>
        <v>0</v>
      </c>
      <c r="EI18" s="94">
        <f t="shared" si="47"/>
        <v>0</v>
      </c>
      <c r="EJ18" s="94"/>
      <c r="EK18" s="126">
        <f t="shared" si="48"/>
        <v>494376000</v>
      </c>
      <c r="EL18" s="126">
        <f t="shared" si="49"/>
        <v>0</v>
      </c>
      <c r="EM18" s="126">
        <f t="shared" si="50"/>
        <v>22193.522222222218</v>
      </c>
      <c r="EN18" s="94">
        <f t="shared" si="51"/>
        <v>1.6161116235415957E-2</v>
      </c>
      <c r="EP18" s="93"/>
    </row>
    <row r="19" spans="1:146" x14ac:dyDescent="0.25">
      <c r="A19" s="39">
        <f t="shared" si="52"/>
        <v>43899</v>
      </c>
      <c r="D19" s="93">
        <f t="shared" si="1"/>
        <v>0</v>
      </c>
      <c r="G19" s="93">
        <f t="shared" si="2"/>
        <v>0</v>
      </c>
      <c r="J19" s="93">
        <f t="shared" si="3"/>
        <v>0</v>
      </c>
      <c r="M19" s="93">
        <f t="shared" si="4"/>
        <v>0</v>
      </c>
      <c r="P19" s="93">
        <f t="shared" si="5"/>
        <v>0</v>
      </c>
      <c r="S19" s="93">
        <f t="shared" si="6"/>
        <v>0</v>
      </c>
      <c r="V19" s="93">
        <f t="shared" si="7"/>
        <v>0</v>
      </c>
      <c r="Y19" s="93">
        <f t="shared" si="8"/>
        <v>0</v>
      </c>
      <c r="AB19" s="93">
        <f t="shared" si="9"/>
        <v>0</v>
      </c>
      <c r="AE19" s="93">
        <f>(AC19*AD19)/'[18]Input Sheet'!$B$11</f>
        <v>0</v>
      </c>
      <c r="AH19" s="93">
        <f>(AF19*AG19)/'[18]Input Sheet'!$B$11</f>
        <v>0</v>
      </c>
      <c r="AI19" s="124">
        <f>30000000+50075000</f>
        <v>80075000</v>
      </c>
      <c r="AJ19" s="125">
        <v>1.4500000000000001E-2</v>
      </c>
      <c r="AK19" s="93">
        <f t="shared" si="10"/>
        <v>3225.2430555555557</v>
      </c>
      <c r="AL19" s="124">
        <f t="shared" si="0"/>
        <v>120000000</v>
      </c>
      <c r="AM19" s="125">
        <v>1.78E-2</v>
      </c>
      <c r="AN19" s="93">
        <f t="shared" si="11"/>
        <v>5933.333333333333</v>
      </c>
      <c r="AO19" s="124">
        <f>50000000</f>
        <v>50000000</v>
      </c>
      <c r="AP19" s="125">
        <v>1.7899999999999999E-2</v>
      </c>
      <c r="AQ19" s="93">
        <f t="shared" si="12"/>
        <v>2486.1111111111113</v>
      </c>
      <c r="AR19" s="124">
        <f t="shared" si="53"/>
        <v>53876000</v>
      </c>
      <c r="AS19" s="125">
        <v>1.7999999999999999E-2</v>
      </c>
      <c r="AT19" s="93">
        <f t="shared" si="13"/>
        <v>2693.7999999999997</v>
      </c>
      <c r="AU19" s="124">
        <f t="shared" si="54"/>
        <v>190000000</v>
      </c>
      <c r="AV19" s="125">
        <v>1.4500000000000001E-2</v>
      </c>
      <c r="AW19" s="93">
        <f t="shared" si="14"/>
        <v>7652.7777777777774</v>
      </c>
      <c r="AX19" s="124"/>
      <c r="AY19" s="125"/>
      <c r="AZ19" s="93">
        <f t="shared" si="15"/>
        <v>0</v>
      </c>
      <c r="BA19" s="124"/>
      <c r="BB19" s="125"/>
      <c r="BC19" s="93">
        <f t="shared" si="16"/>
        <v>0</v>
      </c>
      <c r="BD19" s="124"/>
      <c r="BE19" s="125"/>
      <c r="BF19" s="93">
        <f t="shared" si="17"/>
        <v>0</v>
      </c>
      <c r="BG19" s="124"/>
      <c r="BH19" s="125"/>
      <c r="BI19" s="93">
        <f t="shared" si="18"/>
        <v>0</v>
      </c>
      <c r="BL19" s="93">
        <f t="shared" si="19"/>
        <v>0</v>
      </c>
      <c r="BO19" s="93">
        <f t="shared" si="20"/>
        <v>0</v>
      </c>
      <c r="BR19" s="93">
        <f t="shared" si="21"/>
        <v>0</v>
      </c>
      <c r="BU19" s="93">
        <f t="shared" si="22"/>
        <v>0</v>
      </c>
      <c r="BX19" s="93">
        <f t="shared" si="23"/>
        <v>0</v>
      </c>
      <c r="CA19" s="93">
        <f t="shared" si="24"/>
        <v>0</v>
      </c>
      <c r="CD19" s="93">
        <f t="shared" si="25"/>
        <v>0</v>
      </c>
      <c r="CG19" s="93">
        <f t="shared" si="26"/>
        <v>0</v>
      </c>
      <c r="CJ19" s="93">
        <f t="shared" si="27"/>
        <v>0</v>
      </c>
      <c r="CM19" s="93">
        <f t="shared" si="28"/>
        <v>0</v>
      </c>
      <c r="CP19" s="93">
        <f t="shared" si="29"/>
        <v>0</v>
      </c>
      <c r="CS19" s="93">
        <f t="shared" si="30"/>
        <v>0</v>
      </c>
      <c r="CV19" s="93">
        <f t="shared" si="31"/>
        <v>0</v>
      </c>
      <c r="CY19" s="93">
        <f t="shared" si="32"/>
        <v>0</v>
      </c>
      <c r="DB19" s="93">
        <f t="shared" si="33"/>
        <v>0</v>
      </c>
      <c r="DE19" s="93">
        <f t="shared" si="34"/>
        <v>0</v>
      </c>
      <c r="DH19" s="93">
        <f t="shared" si="35"/>
        <v>0</v>
      </c>
      <c r="DK19" s="93">
        <f t="shared" si="36"/>
        <v>0</v>
      </c>
      <c r="DN19" s="93">
        <f t="shared" si="37"/>
        <v>0</v>
      </c>
      <c r="DQ19" s="93">
        <f t="shared" si="38"/>
        <v>0</v>
      </c>
      <c r="DT19" s="93">
        <f t="shared" si="39"/>
        <v>0</v>
      </c>
      <c r="DW19" s="93">
        <f t="shared" si="40"/>
        <v>0</v>
      </c>
      <c r="DZ19" s="93"/>
      <c r="EA19" s="93"/>
      <c r="EB19" s="126">
        <f t="shared" si="41"/>
        <v>493951000</v>
      </c>
      <c r="EC19" s="126">
        <f t="shared" si="42"/>
        <v>0</v>
      </c>
      <c r="ED19" s="93">
        <f t="shared" si="43"/>
        <v>21991.265277777777</v>
      </c>
      <c r="EE19" s="94">
        <f t="shared" si="44"/>
        <v>1.6027613062834168E-2</v>
      </c>
      <c r="EG19" s="126">
        <f t="shared" si="45"/>
        <v>0</v>
      </c>
      <c r="EH19" s="93">
        <f t="shared" si="46"/>
        <v>0</v>
      </c>
      <c r="EI19" s="94">
        <f t="shared" si="47"/>
        <v>0</v>
      </c>
      <c r="EJ19" s="94"/>
      <c r="EK19" s="126">
        <f t="shared" si="48"/>
        <v>493951000</v>
      </c>
      <c r="EL19" s="126">
        <f t="shared" si="49"/>
        <v>0</v>
      </c>
      <c r="EM19" s="126">
        <f t="shared" si="50"/>
        <v>21991.265277777777</v>
      </c>
      <c r="EN19" s="94">
        <f t="shared" si="51"/>
        <v>1.6027613062834168E-2</v>
      </c>
      <c r="EP19" s="93"/>
    </row>
    <row r="20" spans="1:146" x14ac:dyDescent="0.25">
      <c r="A20" s="39">
        <f t="shared" si="52"/>
        <v>43900</v>
      </c>
      <c r="D20" s="93">
        <f t="shared" si="1"/>
        <v>0</v>
      </c>
      <c r="G20" s="93">
        <f t="shared" si="2"/>
        <v>0</v>
      </c>
      <c r="J20" s="93">
        <f t="shared" si="3"/>
        <v>0</v>
      </c>
      <c r="M20" s="93">
        <f t="shared" si="4"/>
        <v>0</v>
      </c>
      <c r="P20" s="93">
        <f t="shared" si="5"/>
        <v>0</v>
      </c>
      <c r="S20" s="93">
        <f t="shared" si="6"/>
        <v>0</v>
      </c>
      <c r="V20" s="93">
        <f t="shared" si="7"/>
        <v>0</v>
      </c>
      <c r="Y20" s="93">
        <f t="shared" si="8"/>
        <v>0</v>
      </c>
      <c r="AB20" s="93">
        <f t="shared" si="9"/>
        <v>0</v>
      </c>
      <c r="AE20" s="93">
        <f>(AC20*AD20)/'[18]Input Sheet'!$B$11</f>
        <v>0</v>
      </c>
      <c r="AH20" s="93">
        <f>(AF20*AG20)/'[18]Input Sheet'!$B$11</f>
        <v>0</v>
      </c>
      <c r="AI20" s="124">
        <f>24000000+50000000</f>
        <v>74000000</v>
      </c>
      <c r="AJ20" s="125">
        <v>1.4500000000000001E-2</v>
      </c>
      <c r="AK20" s="93">
        <f t="shared" si="10"/>
        <v>2980.5555555555557</v>
      </c>
      <c r="AL20" s="124">
        <f t="shared" si="0"/>
        <v>120000000</v>
      </c>
      <c r="AM20" s="125">
        <v>1.78E-2</v>
      </c>
      <c r="AN20" s="93">
        <f t="shared" si="11"/>
        <v>5933.333333333333</v>
      </c>
      <c r="AO20" s="124">
        <f>50000000</f>
        <v>50000000</v>
      </c>
      <c r="AP20" s="125">
        <v>1.7899999999999999E-2</v>
      </c>
      <c r="AQ20" s="93">
        <f t="shared" si="12"/>
        <v>2486.1111111111113</v>
      </c>
      <c r="AR20" s="124">
        <f t="shared" si="53"/>
        <v>53876000</v>
      </c>
      <c r="AS20" s="125">
        <v>1.7999999999999999E-2</v>
      </c>
      <c r="AT20" s="93">
        <f t="shared" si="13"/>
        <v>2693.7999999999997</v>
      </c>
      <c r="AU20" s="124">
        <f t="shared" si="54"/>
        <v>190000000</v>
      </c>
      <c r="AV20" s="125">
        <v>1.4500000000000001E-2</v>
      </c>
      <c r="AW20" s="93">
        <f t="shared" si="14"/>
        <v>7652.7777777777774</v>
      </c>
      <c r="AX20" s="124"/>
      <c r="AY20" s="125"/>
      <c r="AZ20" s="93">
        <f t="shared" si="15"/>
        <v>0</v>
      </c>
      <c r="BA20" s="124"/>
      <c r="BB20" s="125"/>
      <c r="BC20" s="93">
        <f t="shared" si="16"/>
        <v>0</v>
      </c>
      <c r="BD20" s="124"/>
      <c r="BE20" s="125"/>
      <c r="BF20" s="93">
        <f t="shared" si="17"/>
        <v>0</v>
      </c>
      <c r="BG20" s="124"/>
      <c r="BH20" s="125"/>
      <c r="BI20" s="93">
        <f t="shared" si="18"/>
        <v>0</v>
      </c>
      <c r="BL20" s="93">
        <f t="shared" si="19"/>
        <v>0</v>
      </c>
      <c r="BO20" s="93">
        <f t="shared" si="20"/>
        <v>0</v>
      </c>
      <c r="BR20" s="93">
        <f t="shared" si="21"/>
        <v>0</v>
      </c>
      <c r="BU20" s="93">
        <f t="shared" si="22"/>
        <v>0</v>
      </c>
      <c r="BX20" s="93">
        <f t="shared" si="23"/>
        <v>0</v>
      </c>
      <c r="CA20" s="93">
        <f t="shared" si="24"/>
        <v>0</v>
      </c>
      <c r="CD20" s="93">
        <f t="shared" si="25"/>
        <v>0</v>
      </c>
      <c r="CG20" s="93">
        <f t="shared" si="26"/>
        <v>0</v>
      </c>
      <c r="CJ20" s="93">
        <f t="shared" si="27"/>
        <v>0</v>
      </c>
      <c r="CM20" s="93">
        <f t="shared" si="28"/>
        <v>0</v>
      </c>
      <c r="CP20" s="93">
        <f t="shared" si="29"/>
        <v>0</v>
      </c>
      <c r="CS20" s="93">
        <f t="shared" si="30"/>
        <v>0</v>
      </c>
      <c r="CV20" s="93">
        <f t="shared" si="31"/>
        <v>0</v>
      </c>
      <c r="CY20" s="93">
        <f t="shared" si="32"/>
        <v>0</v>
      </c>
      <c r="DB20" s="93">
        <f t="shared" si="33"/>
        <v>0</v>
      </c>
      <c r="DE20" s="93">
        <f t="shared" si="34"/>
        <v>0</v>
      </c>
      <c r="DH20" s="93">
        <f t="shared" si="35"/>
        <v>0</v>
      </c>
      <c r="DK20" s="93">
        <f t="shared" si="36"/>
        <v>0</v>
      </c>
      <c r="DN20" s="93">
        <f t="shared" si="37"/>
        <v>0</v>
      </c>
      <c r="DQ20" s="93">
        <f t="shared" si="38"/>
        <v>0</v>
      </c>
      <c r="DT20" s="93">
        <f t="shared" si="39"/>
        <v>0</v>
      </c>
      <c r="DW20" s="93">
        <f t="shared" si="40"/>
        <v>0</v>
      </c>
      <c r="DZ20" s="93"/>
      <c r="EA20" s="93"/>
      <c r="EB20" s="126">
        <f t="shared" si="41"/>
        <v>487876000</v>
      </c>
      <c r="EC20" s="126">
        <f t="shared" si="42"/>
        <v>0</v>
      </c>
      <c r="ED20" s="93">
        <f t="shared" si="43"/>
        <v>21746.577777777777</v>
      </c>
      <c r="EE20" s="94">
        <f t="shared" si="44"/>
        <v>1.6046634800646067E-2</v>
      </c>
      <c r="EG20" s="126">
        <f t="shared" si="45"/>
        <v>0</v>
      </c>
      <c r="EH20" s="93">
        <f t="shared" si="46"/>
        <v>0</v>
      </c>
      <c r="EI20" s="94">
        <f t="shared" si="47"/>
        <v>0</v>
      </c>
      <c r="EJ20" s="94"/>
      <c r="EK20" s="126">
        <f t="shared" si="48"/>
        <v>487876000</v>
      </c>
      <c r="EL20" s="126">
        <f t="shared" si="49"/>
        <v>0</v>
      </c>
      <c r="EM20" s="126">
        <f t="shared" si="50"/>
        <v>21746.577777777777</v>
      </c>
      <c r="EN20" s="94">
        <f t="shared" si="51"/>
        <v>1.6046634800646067E-2</v>
      </c>
      <c r="EP20" s="93"/>
    </row>
    <row r="21" spans="1:146" x14ac:dyDescent="0.25">
      <c r="A21" s="39">
        <f t="shared" si="52"/>
        <v>43901</v>
      </c>
      <c r="D21" s="93">
        <f t="shared" si="1"/>
        <v>0</v>
      </c>
      <c r="G21" s="93">
        <f t="shared" si="2"/>
        <v>0</v>
      </c>
      <c r="J21" s="93">
        <f t="shared" si="3"/>
        <v>0</v>
      </c>
      <c r="M21" s="93">
        <f t="shared" si="4"/>
        <v>0</v>
      </c>
      <c r="P21" s="93">
        <f t="shared" si="5"/>
        <v>0</v>
      </c>
      <c r="S21" s="93">
        <f t="shared" si="6"/>
        <v>0</v>
      </c>
      <c r="V21" s="93">
        <f t="shared" si="7"/>
        <v>0</v>
      </c>
      <c r="Y21" s="93">
        <f t="shared" si="8"/>
        <v>0</v>
      </c>
      <c r="AB21" s="93">
        <f t="shared" si="9"/>
        <v>0</v>
      </c>
      <c r="AE21" s="93">
        <f>(AC21*AD21)/'[18]Input Sheet'!$B$11</f>
        <v>0</v>
      </c>
      <c r="AH21" s="93">
        <f>(AF21*AG21)/'[18]Input Sheet'!$B$11</f>
        <v>0</v>
      </c>
      <c r="AI21" s="124">
        <f>35000000+8775000</f>
        <v>43775000</v>
      </c>
      <c r="AJ21" s="125">
        <v>1.4800000000000001E-2</v>
      </c>
      <c r="AK21" s="93">
        <f t="shared" si="10"/>
        <v>1799.6388888888889</v>
      </c>
      <c r="AL21" s="124">
        <f t="shared" si="0"/>
        <v>120000000</v>
      </c>
      <c r="AM21" s="125">
        <v>1.78E-2</v>
      </c>
      <c r="AN21" s="93">
        <f t="shared" si="11"/>
        <v>5933.333333333333</v>
      </c>
      <c r="AO21" s="124">
        <v>75000000</v>
      </c>
      <c r="AP21" s="125">
        <v>1.7000000000000001E-2</v>
      </c>
      <c r="AQ21" s="93">
        <f t="shared" si="12"/>
        <v>3541.6666666666665</v>
      </c>
      <c r="AR21" s="124">
        <f t="shared" si="53"/>
        <v>53876000</v>
      </c>
      <c r="AS21" s="125">
        <v>1.7999999999999999E-2</v>
      </c>
      <c r="AT21" s="93">
        <f t="shared" si="13"/>
        <v>2693.7999999999997</v>
      </c>
      <c r="AU21" s="124">
        <f t="shared" si="54"/>
        <v>190000000</v>
      </c>
      <c r="AV21" s="125">
        <v>1.4500000000000001E-2</v>
      </c>
      <c r="AW21" s="93">
        <f t="shared" si="14"/>
        <v>7652.7777777777774</v>
      </c>
      <c r="AX21" s="124"/>
      <c r="AY21" s="125"/>
      <c r="AZ21" s="93">
        <f t="shared" si="15"/>
        <v>0</v>
      </c>
      <c r="BA21" s="124"/>
      <c r="BB21" s="125"/>
      <c r="BC21" s="93">
        <f t="shared" si="16"/>
        <v>0</v>
      </c>
      <c r="BD21" s="124"/>
      <c r="BE21" s="125"/>
      <c r="BF21" s="93">
        <f t="shared" si="17"/>
        <v>0</v>
      </c>
      <c r="BG21" s="124"/>
      <c r="BH21" s="125"/>
      <c r="BI21" s="93">
        <f t="shared" si="18"/>
        <v>0</v>
      </c>
      <c r="BL21" s="93">
        <f t="shared" si="19"/>
        <v>0</v>
      </c>
      <c r="BO21" s="93">
        <f t="shared" si="20"/>
        <v>0</v>
      </c>
      <c r="BR21" s="93">
        <f t="shared" si="21"/>
        <v>0</v>
      </c>
      <c r="BU21" s="93">
        <f t="shared" si="22"/>
        <v>0</v>
      </c>
      <c r="BX21" s="93">
        <f t="shared" si="23"/>
        <v>0</v>
      </c>
      <c r="CA21" s="93">
        <f t="shared" si="24"/>
        <v>0</v>
      </c>
      <c r="CD21" s="93">
        <f t="shared" si="25"/>
        <v>0</v>
      </c>
      <c r="CG21" s="93">
        <f t="shared" si="26"/>
        <v>0</v>
      </c>
      <c r="CJ21" s="93">
        <f t="shared" si="27"/>
        <v>0</v>
      </c>
      <c r="CM21" s="93">
        <f t="shared" si="28"/>
        <v>0</v>
      </c>
      <c r="CP21" s="93">
        <f t="shared" si="29"/>
        <v>0</v>
      </c>
      <c r="CS21" s="93">
        <f t="shared" si="30"/>
        <v>0</v>
      </c>
      <c r="CV21" s="93">
        <f t="shared" si="31"/>
        <v>0</v>
      </c>
      <c r="CY21" s="93">
        <f t="shared" si="32"/>
        <v>0</v>
      </c>
      <c r="DB21" s="93">
        <f t="shared" si="33"/>
        <v>0</v>
      </c>
      <c r="DE21" s="93">
        <f t="shared" si="34"/>
        <v>0</v>
      </c>
      <c r="DH21" s="93">
        <f t="shared" si="35"/>
        <v>0</v>
      </c>
      <c r="DK21" s="93">
        <f t="shared" si="36"/>
        <v>0</v>
      </c>
      <c r="DN21" s="93">
        <f t="shared" si="37"/>
        <v>0</v>
      </c>
      <c r="DQ21" s="93">
        <f t="shared" si="38"/>
        <v>0</v>
      </c>
      <c r="DT21" s="93">
        <f t="shared" si="39"/>
        <v>0</v>
      </c>
      <c r="DW21" s="93">
        <f t="shared" si="40"/>
        <v>0</v>
      </c>
      <c r="DZ21" s="93"/>
      <c r="EA21" s="93"/>
      <c r="EB21" s="126">
        <f t="shared" si="41"/>
        <v>482651000</v>
      </c>
      <c r="EC21" s="126">
        <f t="shared" si="42"/>
        <v>0</v>
      </c>
      <c r="ED21" s="93">
        <f t="shared" si="43"/>
        <v>21621.216666666667</v>
      </c>
      <c r="EE21" s="94">
        <f t="shared" si="44"/>
        <v>1.6126845277436491E-2</v>
      </c>
      <c r="EG21" s="126">
        <f t="shared" si="45"/>
        <v>0</v>
      </c>
      <c r="EH21" s="93">
        <f t="shared" si="46"/>
        <v>0</v>
      </c>
      <c r="EI21" s="94">
        <f t="shared" si="47"/>
        <v>0</v>
      </c>
      <c r="EJ21" s="94"/>
      <c r="EK21" s="126">
        <f t="shared" si="48"/>
        <v>482651000</v>
      </c>
      <c r="EL21" s="126">
        <f t="shared" si="49"/>
        <v>0</v>
      </c>
      <c r="EM21" s="126">
        <f t="shared" si="50"/>
        <v>21621.216666666667</v>
      </c>
      <c r="EN21" s="94">
        <f t="shared" si="51"/>
        <v>1.6126845277436491E-2</v>
      </c>
      <c r="EP21" s="93"/>
    </row>
    <row r="22" spans="1:146" x14ac:dyDescent="0.25">
      <c r="A22" s="39">
        <f t="shared" si="52"/>
        <v>43902</v>
      </c>
      <c r="D22" s="93">
        <f t="shared" si="1"/>
        <v>0</v>
      </c>
      <c r="G22" s="93">
        <f t="shared" si="2"/>
        <v>0</v>
      </c>
      <c r="J22" s="93">
        <f t="shared" si="3"/>
        <v>0</v>
      </c>
      <c r="M22" s="93">
        <f t="shared" si="4"/>
        <v>0</v>
      </c>
      <c r="P22" s="93">
        <f t="shared" si="5"/>
        <v>0</v>
      </c>
      <c r="S22" s="93">
        <f t="shared" si="6"/>
        <v>0</v>
      </c>
      <c r="V22" s="93">
        <f t="shared" si="7"/>
        <v>0</v>
      </c>
      <c r="Y22" s="93">
        <f t="shared" si="8"/>
        <v>0</v>
      </c>
      <c r="AB22" s="93">
        <f t="shared" si="9"/>
        <v>0</v>
      </c>
      <c r="AE22" s="93">
        <f>(AC22*AD22)/'[18]Input Sheet'!$B$11</f>
        <v>0</v>
      </c>
      <c r="AH22" s="93">
        <f>(AF22*AG22)/'[18]Input Sheet'!$B$11</f>
        <v>0</v>
      </c>
      <c r="AI22" s="124">
        <f>30000000+10850000</f>
        <v>40850000</v>
      </c>
      <c r="AJ22" s="125">
        <v>1.6E-2</v>
      </c>
      <c r="AK22" s="93">
        <f t="shared" si="10"/>
        <v>1815.5555555555557</v>
      </c>
      <c r="AL22" s="124">
        <f t="shared" si="0"/>
        <v>120000000</v>
      </c>
      <c r="AM22" s="125">
        <v>1.78E-2</v>
      </c>
      <c r="AN22" s="93">
        <f t="shared" si="11"/>
        <v>5933.333333333333</v>
      </c>
      <c r="AO22" s="124">
        <v>50000000</v>
      </c>
      <c r="AP22" s="125">
        <v>1.7999999999999999E-2</v>
      </c>
      <c r="AQ22" s="93">
        <f t="shared" si="12"/>
        <v>2499.9999999999995</v>
      </c>
      <c r="AR22" s="124">
        <f t="shared" si="53"/>
        <v>53876000</v>
      </c>
      <c r="AS22" s="125">
        <v>1.7999999999999999E-2</v>
      </c>
      <c r="AT22" s="93">
        <f t="shared" si="13"/>
        <v>2693.7999999999997</v>
      </c>
      <c r="AU22" s="124">
        <f t="shared" si="54"/>
        <v>190000000</v>
      </c>
      <c r="AV22" s="125">
        <v>1.4500000000000001E-2</v>
      </c>
      <c r="AW22" s="93">
        <f t="shared" si="14"/>
        <v>7652.7777777777774</v>
      </c>
      <c r="AX22" s="124">
        <v>25000000</v>
      </c>
      <c r="AY22" s="125">
        <v>1.9E-2</v>
      </c>
      <c r="AZ22" s="93">
        <f t="shared" si="15"/>
        <v>1319.4444444444443</v>
      </c>
      <c r="BA22" s="124"/>
      <c r="BB22" s="125"/>
      <c r="BC22" s="93">
        <f t="shared" si="16"/>
        <v>0</v>
      </c>
      <c r="BD22" s="124"/>
      <c r="BE22" s="125"/>
      <c r="BF22" s="93">
        <f t="shared" si="17"/>
        <v>0</v>
      </c>
      <c r="BG22" s="124"/>
      <c r="BH22" s="125"/>
      <c r="BI22" s="93">
        <f t="shared" si="18"/>
        <v>0</v>
      </c>
      <c r="BL22" s="93">
        <f t="shared" si="19"/>
        <v>0</v>
      </c>
      <c r="BO22" s="93">
        <f t="shared" si="20"/>
        <v>0</v>
      </c>
      <c r="BR22" s="93">
        <f t="shared" si="21"/>
        <v>0</v>
      </c>
      <c r="BU22" s="93">
        <f t="shared" si="22"/>
        <v>0</v>
      </c>
      <c r="BX22" s="93">
        <f t="shared" si="23"/>
        <v>0</v>
      </c>
      <c r="CA22" s="93">
        <f t="shared" si="24"/>
        <v>0</v>
      </c>
      <c r="CD22" s="93">
        <f t="shared" si="25"/>
        <v>0</v>
      </c>
      <c r="CG22" s="93">
        <f t="shared" si="26"/>
        <v>0</v>
      </c>
      <c r="CJ22" s="93">
        <f t="shared" si="27"/>
        <v>0</v>
      </c>
      <c r="CM22" s="93">
        <f t="shared" si="28"/>
        <v>0</v>
      </c>
      <c r="CP22" s="93">
        <f t="shared" si="29"/>
        <v>0</v>
      </c>
      <c r="CS22" s="93">
        <f t="shared" si="30"/>
        <v>0</v>
      </c>
      <c r="CV22" s="93">
        <f t="shared" si="31"/>
        <v>0</v>
      </c>
      <c r="CY22" s="93">
        <f t="shared" si="32"/>
        <v>0</v>
      </c>
      <c r="DB22" s="93">
        <f t="shared" si="33"/>
        <v>0</v>
      </c>
      <c r="DE22" s="93">
        <f t="shared" si="34"/>
        <v>0</v>
      </c>
      <c r="DH22" s="93">
        <f t="shared" si="35"/>
        <v>0</v>
      </c>
      <c r="DK22" s="93">
        <f t="shared" si="36"/>
        <v>0</v>
      </c>
      <c r="DN22" s="93">
        <f t="shared" si="37"/>
        <v>0</v>
      </c>
      <c r="DQ22" s="93">
        <f t="shared" si="38"/>
        <v>0</v>
      </c>
      <c r="DT22" s="93">
        <f t="shared" si="39"/>
        <v>0</v>
      </c>
      <c r="DW22" s="93">
        <f t="shared" si="40"/>
        <v>0</v>
      </c>
      <c r="DZ22" s="93"/>
      <c r="EA22" s="93"/>
      <c r="EB22" s="126">
        <f t="shared" si="41"/>
        <v>479726000</v>
      </c>
      <c r="EC22" s="126">
        <f t="shared" si="42"/>
        <v>0</v>
      </c>
      <c r="ED22" s="93">
        <f t="shared" si="43"/>
        <v>21914.911111111112</v>
      </c>
      <c r="EE22" s="94">
        <f t="shared" si="44"/>
        <v>1.6445571013453512E-2</v>
      </c>
      <c r="EG22" s="126">
        <f t="shared" si="45"/>
        <v>0</v>
      </c>
      <c r="EH22" s="93">
        <f t="shared" si="46"/>
        <v>0</v>
      </c>
      <c r="EI22" s="94">
        <f t="shared" si="47"/>
        <v>0</v>
      </c>
      <c r="EJ22" s="94"/>
      <c r="EK22" s="126">
        <f t="shared" si="48"/>
        <v>479726000</v>
      </c>
      <c r="EL22" s="126">
        <f t="shared" si="49"/>
        <v>0</v>
      </c>
      <c r="EM22" s="126">
        <f t="shared" si="50"/>
        <v>21914.911111111109</v>
      </c>
      <c r="EN22" s="94">
        <f t="shared" si="51"/>
        <v>1.6445571013453512E-2</v>
      </c>
      <c r="EP22" s="93"/>
    </row>
    <row r="23" spans="1:146" x14ac:dyDescent="0.25">
      <c r="A23" s="39">
        <f t="shared" si="52"/>
        <v>43903</v>
      </c>
      <c r="D23" s="93">
        <f t="shared" si="1"/>
        <v>0</v>
      </c>
      <c r="G23" s="93">
        <f t="shared" si="2"/>
        <v>0</v>
      </c>
      <c r="J23" s="93">
        <f t="shared" si="3"/>
        <v>0</v>
      </c>
      <c r="M23" s="93">
        <f t="shared" si="4"/>
        <v>0</v>
      </c>
      <c r="P23" s="93">
        <f t="shared" si="5"/>
        <v>0</v>
      </c>
      <c r="S23" s="93">
        <f t="shared" si="6"/>
        <v>0</v>
      </c>
      <c r="V23" s="93">
        <f t="shared" si="7"/>
        <v>0</v>
      </c>
      <c r="Y23" s="93">
        <f t="shared" si="8"/>
        <v>0</v>
      </c>
      <c r="AB23" s="93">
        <f t="shared" si="9"/>
        <v>0</v>
      </c>
      <c r="AE23" s="93">
        <f>(AC23*AD23)/'[18]Input Sheet'!$B$11</f>
        <v>0</v>
      </c>
      <c r="AH23" s="93">
        <f>(AF23*AG23)/'[18]Input Sheet'!$B$11</f>
        <v>0</v>
      </c>
      <c r="AI23" s="124">
        <v>2100000</v>
      </c>
      <c r="AJ23" s="125">
        <v>2.8000000000000001E-2</v>
      </c>
      <c r="AK23" s="93">
        <f t="shared" si="10"/>
        <v>163.33333333333334</v>
      </c>
      <c r="AL23" s="124">
        <f t="shared" si="0"/>
        <v>120000000</v>
      </c>
      <c r="AM23" s="125">
        <v>1.78E-2</v>
      </c>
      <c r="AN23" s="93">
        <f t="shared" si="11"/>
        <v>5933.333333333333</v>
      </c>
      <c r="AO23" s="124">
        <v>50000000</v>
      </c>
      <c r="AP23" s="125">
        <v>1.7999999999999999E-2</v>
      </c>
      <c r="AQ23" s="93">
        <f t="shared" si="12"/>
        <v>2499.9999999999995</v>
      </c>
      <c r="AR23" s="124">
        <f t="shared" si="53"/>
        <v>53876000</v>
      </c>
      <c r="AS23" s="125">
        <v>1.7999999999999999E-2</v>
      </c>
      <c r="AT23" s="93">
        <f t="shared" si="13"/>
        <v>2693.7999999999997</v>
      </c>
      <c r="AU23" s="124">
        <f t="shared" si="54"/>
        <v>190000000</v>
      </c>
      <c r="AV23" s="125">
        <v>1.4500000000000001E-2</v>
      </c>
      <c r="AW23" s="93">
        <f t="shared" si="14"/>
        <v>7652.7777777777774</v>
      </c>
      <c r="AX23" s="124">
        <v>700000</v>
      </c>
      <c r="AY23" s="125">
        <v>1.7500000000000002E-2</v>
      </c>
      <c r="AZ23" s="93">
        <f t="shared" si="15"/>
        <v>34.027777777777786</v>
      </c>
      <c r="BA23" s="124">
        <v>300000</v>
      </c>
      <c r="BB23" s="125">
        <v>2.8000000000000001E-2</v>
      </c>
      <c r="BC23" s="93">
        <f t="shared" si="16"/>
        <v>23.333333333333332</v>
      </c>
      <c r="BD23" s="124">
        <v>63600000</v>
      </c>
      <c r="BE23" s="125">
        <v>3.5000000000000003E-2</v>
      </c>
      <c r="BF23" s="93">
        <f t="shared" si="17"/>
        <v>6183.333333333333</v>
      </c>
      <c r="BG23" s="124">
        <v>40000000</v>
      </c>
      <c r="BH23" s="125">
        <v>3.1E-2</v>
      </c>
      <c r="BI23" s="93">
        <f t="shared" si="18"/>
        <v>3444.4444444444443</v>
      </c>
      <c r="BL23" s="93">
        <f t="shared" si="19"/>
        <v>0</v>
      </c>
      <c r="BO23" s="93">
        <f t="shared" si="20"/>
        <v>0</v>
      </c>
      <c r="BR23" s="93">
        <f t="shared" si="21"/>
        <v>0</v>
      </c>
      <c r="BU23" s="93">
        <f t="shared" si="22"/>
        <v>0</v>
      </c>
      <c r="BX23" s="93">
        <f t="shared" si="23"/>
        <v>0</v>
      </c>
      <c r="CA23" s="93">
        <f t="shared" si="24"/>
        <v>0</v>
      </c>
      <c r="CD23" s="93">
        <f t="shared" si="25"/>
        <v>0</v>
      </c>
      <c r="CG23" s="93">
        <f t="shared" si="26"/>
        <v>0</v>
      </c>
      <c r="CJ23" s="93">
        <f t="shared" si="27"/>
        <v>0</v>
      </c>
      <c r="CM23" s="93">
        <f t="shared" si="28"/>
        <v>0</v>
      </c>
      <c r="CP23" s="93">
        <f t="shared" si="29"/>
        <v>0</v>
      </c>
      <c r="CS23" s="93">
        <f t="shared" si="30"/>
        <v>0</v>
      </c>
      <c r="CV23" s="93">
        <f t="shared" si="31"/>
        <v>0</v>
      </c>
      <c r="CY23" s="93">
        <f t="shared" si="32"/>
        <v>0</v>
      </c>
      <c r="DB23" s="93">
        <f t="shared" si="33"/>
        <v>0</v>
      </c>
      <c r="DE23" s="93">
        <f t="shared" si="34"/>
        <v>0</v>
      </c>
      <c r="DH23" s="93">
        <f t="shared" si="35"/>
        <v>0</v>
      </c>
      <c r="DK23" s="93">
        <f t="shared" si="36"/>
        <v>0</v>
      </c>
      <c r="DN23" s="93">
        <f t="shared" si="37"/>
        <v>0</v>
      </c>
      <c r="DQ23" s="93">
        <f t="shared" si="38"/>
        <v>0</v>
      </c>
      <c r="DT23" s="93">
        <f t="shared" si="39"/>
        <v>0</v>
      </c>
      <c r="DW23" s="93">
        <f t="shared" si="40"/>
        <v>0</v>
      </c>
      <c r="DZ23" s="93"/>
      <c r="EA23" s="93"/>
      <c r="EB23" s="126">
        <f t="shared" si="41"/>
        <v>520576000</v>
      </c>
      <c r="EC23" s="126">
        <f t="shared" si="42"/>
        <v>0</v>
      </c>
      <c r="ED23" s="93">
        <f t="shared" si="43"/>
        <v>28628.383333333328</v>
      </c>
      <c r="EE23" s="94">
        <f t="shared" si="44"/>
        <v>1.9797720217605109E-2</v>
      </c>
      <c r="EG23" s="126">
        <f t="shared" si="45"/>
        <v>0</v>
      </c>
      <c r="EH23" s="93">
        <f t="shared" si="46"/>
        <v>0</v>
      </c>
      <c r="EI23" s="94">
        <f t="shared" si="47"/>
        <v>0</v>
      </c>
      <c r="EJ23" s="94"/>
      <c r="EK23" s="126">
        <f t="shared" si="48"/>
        <v>520576000</v>
      </c>
      <c r="EL23" s="126">
        <f t="shared" si="49"/>
        <v>0</v>
      </c>
      <c r="EM23" s="126">
        <f t="shared" si="50"/>
        <v>28628.383333333328</v>
      </c>
      <c r="EN23" s="94">
        <f t="shared" si="51"/>
        <v>1.9797720217605109E-2</v>
      </c>
      <c r="EP23" s="93"/>
    </row>
    <row r="24" spans="1:146" x14ac:dyDescent="0.25">
      <c r="A24" s="39">
        <f t="shared" si="52"/>
        <v>43904</v>
      </c>
      <c r="D24" s="93">
        <f t="shared" si="1"/>
        <v>0</v>
      </c>
      <c r="G24" s="93">
        <f t="shared" si="2"/>
        <v>0</v>
      </c>
      <c r="J24" s="93">
        <f t="shared" si="3"/>
        <v>0</v>
      </c>
      <c r="M24" s="93">
        <f t="shared" si="4"/>
        <v>0</v>
      </c>
      <c r="P24" s="93">
        <f t="shared" si="5"/>
        <v>0</v>
      </c>
      <c r="S24" s="93">
        <f t="shared" si="6"/>
        <v>0</v>
      </c>
      <c r="V24" s="93">
        <f t="shared" si="7"/>
        <v>0</v>
      </c>
      <c r="Y24" s="93">
        <f t="shared" si="8"/>
        <v>0</v>
      </c>
      <c r="AB24" s="93">
        <f t="shared" si="9"/>
        <v>0</v>
      </c>
      <c r="AE24" s="93">
        <f>(AC24*AD24)/'[18]Input Sheet'!$B$11</f>
        <v>0</v>
      </c>
      <c r="AH24" s="93">
        <f>(AF24*AG24)/'[18]Input Sheet'!$B$11</f>
        <v>0</v>
      </c>
      <c r="AI24" s="124">
        <v>2100000</v>
      </c>
      <c r="AJ24" s="125">
        <v>2.8000000000000001E-2</v>
      </c>
      <c r="AK24" s="93">
        <f t="shared" si="10"/>
        <v>163.33333333333334</v>
      </c>
      <c r="AL24" s="124">
        <f t="shared" si="0"/>
        <v>120000000</v>
      </c>
      <c r="AM24" s="125">
        <v>1.78E-2</v>
      </c>
      <c r="AN24" s="93">
        <f t="shared" si="11"/>
        <v>5933.333333333333</v>
      </c>
      <c r="AO24" s="124">
        <v>50000000</v>
      </c>
      <c r="AP24" s="125">
        <v>1.7999999999999999E-2</v>
      </c>
      <c r="AQ24" s="93">
        <f t="shared" si="12"/>
        <v>2499.9999999999995</v>
      </c>
      <c r="AR24" s="124">
        <f t="shared" si="53"/>
        <v>53876000</v>
      </c>
      <c r="AS24" s="125">
        <v>1.7999999999999999E-2</v>
      </c>
      <c r="AT24" s="93">
        <f t="shared" si="13"/>
        <v>2693.7999999999997</v>
      </c>
      <c r="AU24" s="124">
        <f t="shared" si="54"/>
        <v>190000000</v>
      </c>
      <c r="AV24" s="125">
        <v>1.4500000000000001E-2</v>
      </c>
      <c r="AW24" s="93">
        <f t="shared" si="14"/>
        <v>7652.7777777777774</v>
      </c>
      <c r="AX24" s="124">
        <v>700000</v>
      </c>
      <c r="AY24" s="125">
        <v>1.7500000000000002E-2</v>
      </c>
      <c r="AZ24" s="93">
        <f t="shared" si="15"/>
        <v>34.027777777777786</v>
      </c>
      <c r="BA24" s="124">
        <v>300000</v>
      </c>
      <c r="BB24" s="125">
        <v>2.8000000000000001E-2</v>
      </c>
      <c r="BC24" s="93">
        <f t="shared" si="16"/>
        <v>23.333333333333332</v>
      </c>
      <c r="BD24" s="124">
        <v>63600000</v>
      </c>
      <c r="BE24" s="125">
        <v>3.5000000000000003E-2</v>
      </c>
      <c r="BF24" s="93">
        <f t="shared" si="17"/>
        <v>6183.333333333333</v>
      </c>
      <c r="BG24" s="124">
        <v>40000000</v>
      </c>
      <c r="BH24" s="125">
        <v>3.1E-2</v>
      </c>
      <c r="BI24" s="93">
        <f t="shared" si="18"/>
        <v>3444.4444444444443</v>
      </c>
      <c r="BL24" s="93">
        <f t="shared" si="19"/>
        <v>0</v>
      </c>
      <c r="BO24" s="93">
        <f t="shared" si="20"/>
        <v>0</v>
      </c>
      <c r="BR24" s="93">
        <f t="shared" si="21"/>
        <v>0</v>
      </c>
      <c r="BU24" s="93">
        <f t="shared" si="22"/>
        <v>0</v>
      </c>
      <c r="BX24" s="93">
        <f t="shared" si="23"/>
        <v>0</v>
      </c>
      <c r="CA24" s="93">
        <f t="shared" si="24"/>
        <v>0</v>
      </c>
      <c r="CD24" s="93">
        <f t="shared" si="25"/>
        <v>0</v>
      </c>
      <c r="CG24" s="93">
        <f t="shared" si="26"/>
        <v>0</v>
      </c>
      <c r="CJ24" s="93">
        <f t="shared" si="27"/>
        <v>0</v>
      </c>
      <c r="CM24" s="93">
        <f t="shared" si="28"/>
        <v>0</v>
      </c>
      <c r="CP24" s="93">
        <f t="shared" si="29"/>
        <v>0</v>
      </c>
      <c r="CS24" s="93">
        <f t="shared" si="30"/>
        <v>0</v>
      </c>
      <c r="CV24" s="93">
        <f t="shared" si="31"/>
        <v>0</v>
      </c>
      <c r="CY24" s="93">
        <f t="shared" si="32"/>
        <v>0</v>
      </c>
      <c r="DB24" s="93">
        <f t="shared" si="33"/>
        <v>0</v>
      </c>
      <c r="DE24" s="93">
        <f t="shared" si="34"/>
        <v>0</v>
      </c>
      <c r="DH24" s="93">
        <f t="shared" si="35"/>
        <v>0</v>
      </c>
      <c r="DK24" s="93">
        <f t="shared" si="36"/>
        <v>0</v>
      </c>
      <c r="DN24" s="93">
        <f t="shared" si="37"/>
        <v>0</v>
      </c>
      <c r="DQ24" s="93">
        <f t="shared" si="38"/>
        <v>0</v>
      </c>
      <c r="DT24" s="93">
        <f t="shared" si="39"/>
        <v>0</v>
      </c>
      <c r="DW24" s="93">
        <f t="shared" si="40"/>
        <v>0</v>
      </c>
      <c r="DZ24" s="93"/>
      <c r="EA24" s="93"/>
      <c r="EB24" s="126">
        <f t="shared" si="41"/>
        <v>520576000</v>
      </c>
      <c r="EC24" s="126">
        <f t="shared" si="42"/>
        <v>0</v>
      </c>
      <c r="ED24" s="93">
        <f t="shared" si="43"/>
        <v>28628.383333333328</v>
      </c>
      <c r="EE24" s="94">
        <f t="shared" si="44"/>
        <v>1.9797720217605109E-2</v>
      </c>
      <c r="EG24" s="126">
        <f t="shared" si="45"/>
        <v>0</v>
      </c>
      <c r="EH24" s="93">
        <f t="shared" si="46"/>
        <v>0</v>
      </c>
      <c r="EI24" s="94">
        <f t="shared" si="47"/>
        <v>0</v>
      </c>
      <c r="EJ24" s="94"/>
      <c r="EK24" s="126">
        <f t="shared" si="48"/>
        <v>520576000</v>
      </c>
      <c r="EL24" s="126">
        <f t="shared" si="49"/>
        <v>0</v>
      </c>
      <c r="EM24" s="126">
        <f t="shared" si="50"/>
        <v>28628.383333333328</v>
      </c>
      <c r="EN24" s="94">
        <f t="shared" si="51"/>
        <v>1.9797720217605109E-2</v>
      </c>
      <c r="EP24" s="93"/>
    </row>
    <row r="25" spans="1:146" x14ac:dyDescent="0.25">
      <c r="A25" s="39">
        <f t="shared" si="52"/>
        <v>43905</v>
      </c>
      <c r="D25" s="93">
        <f t="shared" si="1"/>
        <v>0</v>
      </c>
      <c r="G25" s="93">
        <f t="shared" si="2"/>
        <v>0</v>
      </c>
      <c r="J25" s="93">
        <f t="shared" si="3"/>
        <v>0</v>
      </c>
      <c r="M25" s="93">
        <f t="shared" si="4"/>
        <v>0</v>
      </c>
      <c r="P25" s="93">
        <f t="shared" si="5"/>
        <v>0</v>
      </c>
      <c r="S25" s="93">
        <f t="shared" si="6"/>
        <v>0</v>
      </c>
      <c r="V25" s="93">
        <f t="shared" si="7"/>
        <v>0</v>
      </c>
      <c r="Y25" s="93">
        <f t="shared" si="8"/>
        <v>0</v>
      </c>
      <c r="AB25" s="93">
        <f t="shared" si="9"/>
        <v>0</v>
      </c>
      <c r="AE25" s="93">
        <f>(AC25*AD25)/'[18]Input Sheet'!$B$11</f>
        <v>0</v>
      </c>
      <c r="AH25" s="93">
        <f>(AF25*AG25)/'[18]Input Sheet'!$B$11</f>
        <v>0</v>
      </c>
      <c r="AI25" s="124">
        <v>2100000</v>
      </c>
      <c r="AJ25" s="125">
        <v>2.8000000000000001E-2</v>
      </c>
      <c r="AK25" s="93">
        <f t="shared" si="10"/>
        <v>163.33333333333334</v>
      </c>
      <c r="AL25" s="124">
        <f t="shared" si="0"/>
        <v>120000000</v>
      </c>
      <c r="AM25" s="125">
        <v>1.78E-2</v>
      </c>
      <c r="AN25" s="93">
        <f t="shared" si="11"/>
        <v>5933.333333333333</v>
      </c>
      <c r="AO25" s="124">
        <v>50000000</v>
      </c>
      <c r="AP25" s="125">
        <v>1.7999999999999999E-2</v>
      </c>
      <c r="AQ25" s="93">
        <f t="shared" si="12"/>
        <v>2499.9999999999995</v>
      </c>
      <c r="AR25" s="124">
        <f t="shared" si="53"/>
        <v>53876000</v>
      </c>
      <c r="AS25" s="125">
        <v>1.7999999999999999E-2</v>
      </c>
      <c r="AT25" s="93">
        <f t="shared" si="13"/>
        <v>2693.7999999999997</v>
      </c>
      <c r="AU25" s="124">
        <f t="shared" si="54"/>
        <v>190000000</v>
      </c>
      <c r="AV25" s="125">
        <v>1.4500000000000001E-2</v>
      </c>
      <c r="AW25" s="93">
        <f t="shared" si="14"/>
        <v>7652.7777777777774</v>
      </c>
      <c r="AX25" s="124">
        <v>700000</v>
      </c>
      <c r="AY25" s="125">
        <v>1.7500000000000002E-2</v>
      </c>
      <c r="AZ25" s="93">
        <f t="shared" si="15"/>
        <v>34.027777777777786</v>
      </c>
      <c r="BA25" s="124">
        <v>300000</v>
      </c>
      <c r="BB25" s="125">
        <v>2.8000000000000001E-2</v>
      </c>
      <c r="BC25" s="93">
        <f t="shared" si="16"/>
        <v>23.333333333333332</v>
      </c>
      <c r="BD25" s="124">
        <v>63600000</v>
      </c>
      <c r="BE25" s="125">
        <v>3.5000000000000003E-2</v>
      </c>
      <c r="BF25" s="93">
        <f t="shared" si="17"/>
        <v>6183.333333333333</v>
      </c>
      <c r="BG25" s="124">
        <v>40000000</v>
      </c>
      <c r="BH25" s="125">
        <v>3.1E-2</v>
      </c>
      <c r="BI25" s="93">
        <f t="shared" si="18"/>
        <v>3444.4444444444443</v>
      </c>
      <c r="BL25" s="93">
        <f t="shared" si="19"/>
        <v>0</v>
      </c>
      <c r="BO25" s="93">
        <f t="shared" si="20"/>
        <v>0</v>
      </c>
      <c r="BR25" s="93">
        <f t="shared" si="21"/>
        <v>0</v>
      </c>
      <c r="BU25" s="93">
        <f t="shared" si="22"/>
        <v>0</v>
      </c>
      <c r="BX25" s="93">
        <f t="shared" si="23"/>
        <v>0</v>
      </c>
      <c r="CA25" s="93">
        <f t="shared" si="24"/>
        <v>0</v>
      </c>
      <c r="CD25" s="93">
        <f t="shared" si="25"/>
        <v>0</v>
      </c>
      <c r="CG25" s="93">
        <f t="shared" si="26"/>
        <v>0</v>
      </c>
      <c r="CJ25" s="93">
        <f t="shared" si="27"/>
        <v>0</v>
      </c>
      <c r="CM25" s="93">
        <f t="shared" si="28"/>
        <v>0</v>
      </c>
      <c r="CP25" s="93">
        <f t="shared" si="29"/>
        <v>0</v>
      </c>
      <c r="CS25" s="93">
        <f t="shared" si="30"/>
        <v>0</v>
      </c>
      <c r="CV25" s="93">
        <f t="shared" si="31"/>
        <v>0</v>
      </c>
      <c r="CY25" s="93">
        <f t="shared" si="32"/>
        <v>0</v>
      </c>
      <c r="DB25" s="93">
        <f t="shared" si="33"/>
        <v>0</v>
      </c>
      <c r="DE25" s="93">
        <f t="shared" si="34"/>
        <v>0</v>
      </c>
      <c r="DH25" s="93">
        <f t="shared" si="35"/>
        <v>0</v>
      </c>
      <c r="DK25" s="93">
        <f t="shared" si="36"/>
        <v>0</v>
      </c>
      <c r="DN25" s="93">
        <f t="shared" si="37"/>
        <v>0</v>
      </c>
      <c r="DQ25" s="93">
        <f t="shared" si="38"/>
        <v>0</v>
      </c>
      <c r="DT25" s="93">
        <f t="shared" si="39"/>
        <v>0</v>
      </c>
      <c r="DW25" s="93">
        <f t="shared" si="40"/>
        <v>0</v>
      </c>
      <c r="DZ25" s="93"/>
      <c r="EA25" s="93"/>
      <c r="EB25" s="126">
        <f t="shared" si="41"/>
        <v>520576000</v>
      </c>
      <c r="EC25" s="126">
        <f t="shared" si="42"/>
        <v>0</v>
      </c>
      <c r="ED25" s="93">
        <f t="shared" si="43"/>
        <v>28628.383333333328</v>
      </c>
      <c r="EE25" s="94">
        <f t="shared" si="44"/>
        <v>1.9797720217605109E-2</v>
      </c>
      <c r="EG25" s="126">
        <f t="shared" si="45"/>
        <v>0</v>
      </c>
      <c r="EH25" s="93">
        <f t="shared" si="46"/>
        <v>0</v>
      </c>
      <c r="EI25" s="94">
        <f t="shared" si="47"/>
        <v>0</v>
      </c>
      <c r="EJ25" s="94"/>
      <c r="EK25" s="126">
        <f t="shared" si="48"/>
        <v>520576000</v>
      </c>
      <c r="EL25" s="126">
        <f t="shared" si="49"/>
        <v>0</v>
      </c>
      <c r="EM25" s="126">
        <f t="shared" si="50"/>
        <v>28628.383333333328</v>
      </c>
      <c r="EN25" s="94">
        <f t="shared" si="51"/>
        <v>1.9797720217605109E-2</v>
      </c>
      <c r="EP25" s="93"/>
    </row>
    <row r="26" spans="1:146" x14ac:dyDescent="0.25">
      <c r="A26" s="39">
        <f t="shared" si="52"/>
        <v>43906</v>
      </c>
      <c r="D26" s="93">
        <f t="shared" si="1"/>
        <v>0</v>
      </c>
      <c r="G26" s="93">
        <f t="shared" si="2"/>
        <v>0</v>
      </c>
      <c r="J26" s="93">
        <f t="shared" si="3"/>
        <v>0</v>
      </c>
      <c r="M26" s="93">
        <f t="shared" si="4"/>
        <v>0</v>
      </c>
      <c r="P26" s="93">
        <f t="shared" si="5"/>
        <v>0</v>
      </c>
      <c r="S26" s="93">
        <f t="shared" si="6"/>
        <v>0</v>
      </c>
      <c r="V26" s="93">
        <f t="shared" si="7"/>
        <v>0</v>
      </c>
      <c r="Y26" s="93">
        <f t="shared" si="8"/>
        <v>0</v>
      </c>
      <c r="AB26" s="93">
        <f t="shared" si="9"/>
        <v>0</v>
      </c>
      <c r="AC26" s="124">
        <v>54000000</v>
      </c>
      <c r="AD26" s="125">
        <v>3.3250000000000002E-2</v>
      </c>
      <c r="AE26" s="93">
        <v>4905.7377049180332</v>
      </c>
      <c r="AH26" s="93">
        <f>(AF26*AG26)/'[18]Input Sheet'!$B$11</f>
        <v>0</v>
      </c>
      <c r="AI26" s="124">
        <f>1500000</f>
        <v>1500000</v>
      </c>
      <c r="AJ26" s="125">
        <v>3.4000000000000002E-2</v>
      </c>
      <c r="AK26" s="93">
        <f t="shared" si="10"/>
        <v>141.66666666666669</v>
      </c>
      <c r="AL26" s="124">
        <f t="shared" si="0"/>
        <v>120000000</v>
      </c>
      <c r="AM26" s="125">
        <v>1.78E-2</v>
      </c>
      <c r="AN26" s="93">
        <f t="shared" si="11"/>
        <v>5933.333333333333</v>
      </c>
      <c r="AO26" s="124">
        <v>50000000</v>
      </c>
      <c r="AP26" s="125">
        <v>1.7999999999999999E-2</v>
      </c>
      <c r="AQ26" s="93">
        <f t="shared" si="12"/>
        <v>2499.9999999999995</v>
      </c>
      <c r="AR26" s="124">
        <f t="shared" si="53"/>
        <v>53876000</v>
      </c>
      <c r="AS26" s="125">
        <v>1.7999999999999999E-2</v>
      </c>
      <c r="AT26" s="93">
        <f t="shared" si="13"/>
        <v>2693.7999999999997</v>
      </c>
      <c r="AU26" s="124">
        <f t="shared" si="54"/>
        <v>190000000</v>
      </c>
      <c r="AV26" s="125">
        <v>1.4500000000000001E-2</v>
      </c>
      <c r="AW26" s="93">
        <f t="shared" si="14"/>
        <v>7652.7777777777774</v>
      </c>
      <c r="AX26" s="124">
        <f>8800000</f>
        <v>8800000</v>
      </c>
      <c r="AY26" s="125">
        <v>5.0500000000000003E-2</v>
      </c>
      <c r="AZ26" s="93">
        <f t="shared" si="15"/>
        <v>1234.4444444444443</v>
      </c>
      <c r="BA26" s="124">
        <f>31950000</f>
        <v>31950000</v>
      </c>
      <c r="BB26" s="125">
        <v>4.2999999999999997E-2</v>
      </c>
      <c r="BC26" s="93">
        <f t="shared" si="16"/>
        <v>3816.25</v>
      </c>
      <c r="BD26" s="124">
        <f>50000000</f>
        <v>50000000</v>
      </c>
      <c r="BE26" s="125">
        <v>0.04</v>
      </c>
      <c r="BF26" s="93">
        <f t="shared" si="17"/>
        <v>5555.5555555555557</v>
      </c>
      <c r="BG26" s="124"/>
      <c r="BH26" s="125"/>
      <c r="BI26" s="93">
        <f t="shared" si="18"/>
        <v>0</v>
      </c>
      <c r="BL26" s="93">
        <f t="shared" si="19"/>
        <v>0</v>
      </c>
      <c r="BO26" s="93">
        <f t="shared" si="20"/>
        <v>0</v>
      </c>
      <c r="BR26" s="93">
        <f t="shared" si="21"/>
        <v>0</v>
      </c>
      <c r="BU26" s="93">
        <f t="shared" si="22"/>
        <v>0</v>
      </c>
      <c r="BX26" s="93">
        <f t="shared" si="23"/>
        <v>0</v>
      </c>
      <c r="CA26" s="93">
        <f t="shared" si="24"/>
        <v>0</v>
      </c>
      <c r="CD26" s="93">
        <f t="shared" si="25"/>
        <v>0</v>
      </c>
      <c r="CG26" s="93">
        <f t="shared" si="26"/>
        <v>0</v>
      </c>
      <c r="CJ26" s="93">
        <f t="shared" si="27"/>
        <v>0</v>
      </c>
      <c r="CM26" s="93">
        <f t="shared" si="28"/>
        <v>0</v>
      </c>
      <c r="CP26" s="93">
        <f t="shared" si="29"/>
        <v>0</v>
      </c>
      <c r="CS26" s="93">
        <f t="shared" si="30"/>
        <v>0</v>
      </c>
      <c r="CV26" s="93">
        <f t="shared" si="31"/>
        <v>0</v>
      </c>
      <c r="CY26" s="93">
        <f t="shared" si="32"/>
        <v>0</v>
      </c>
      <c r="DB26" s="93">
        <f t="shared" si="33"/>
        <v>0</v>
      </c>
      <c r="DE26" s="93">
        <f t="shared" si="34"/>
        <v>0</v>
      </c>
      <c r="DH26" s="93">
        <f t="shared" si="35"/>
        <v>0</v>
      </c>
      <c r="DK26" s="93">
        <f t="shared" si="36"/>
        <v>0</v>
      </c>
      <c r="DN26" s="93">
        <f t="shared" si="37"/>
        <v>0</v>
      </c>
      <c r="DQ26" s="93">
        <f t="shared" si="38"/>
        <v>0</v>
      </c>
      <c r="DT26" s="93">
        <f t="shared" si="39"/>
        <v>0</v>
      </c>
      <c r="DW26" s="93">
        <f t="shared" si="40"/>
        <v>0</v>
      </c>
      <c r="DZ26" s="93"/>
      <c r="EA26" s="93"/>
      <c r="EB26" s="126">
        <f t="shared" si="41"/>
        <v>560126000</v>
      </c>
      <c r="EC26" s="126">
        <f t="shared" si="42"/>
        <v>54000000</v>
      </c>
      <c r="ED26" s="93">
        <f t="shared" si="43"/>
        <v>34433.565482695813</v>
      </c>
      <c r="EE26" s="94">
        <f t="shared" si="44"/>
        <v>2.2130884075673141E-2</v>
      </c>
      <c r="EG26" s="126">
        <f t="shared" si="45"/>
        <v>54000000</v>
      </c>
      <c r="EH26" s="93">
        <f t="shared" si="46"/>
        <v>4905.7377049180332</v>
      </c>
      <c r="EI26" s="94">
        <f t="shared" si="47"/>
        <v>3.2704918032786884E-2</v>
      </c>
      <c r="EJ26" s="94"/>
      <c r="EK26" s="126">
        <f t="shared" si="48"/>
        <v>506126000</v>
      </c>
      <c r="EL26" s="126">
        <f t="shared" si="49"/>
        <v>0</v>
      </c>
      <c r="EM26" s="126">
        <f t="shared" si="50"/>
        <v>29527.827777777777</v>
      </c>
      <c r="EN26" s="94">
        <f t="shared" si="51"/>
        <v>2.1002710787432381E-2</v>
      </c>
      <c r="EP26" s="93"/>
    </row>
    <row r="27" spans="1:146" x14ac:dyDescent="0.25">
      <c r="A27" s="39">
        <f t="shared" si="52"/>
        <v>43907</v>
      </c>
      <c r="D27" s="93">
        <f t="shared" si="1"/>
        <v>0</v>
      </c>
      <c r="G27" s="93">
        <f t="shared" si="2"/>
        <v>0</v>
      </c>
      <c r="J27" s="93">
        <f t="shared" si="3"/>
        <v>0</v>
      </c>
      <c r="M27" s="93">
        <f t="shared" si="4"/>
        <v>0</v>
      </c>
      <c r="P27" s="93">
        <f t="shared" si="5"/>
        <v>0</v>
      </c>
      <c r="S27" s="93">
        <f t="shared" si="6"/>
        <v>0</v>
      </c>
      <c r="V27" s="93">
        <f t="shared" si="7"/>
        <v>0</v>
      </c>
      <c r="Y27" s="93">
        <f t="shared" si="8"/>
        <v>0</v>
      </c>
      <c r="AB27" s="93">
        <f t="shared" si="9"/>
        <v>0</v>
      </c>
      <c r="AC27" s="124">
        <v>54000000</v>
      </c>
      <c r="AD27" s="125">
        <v>3.3250000000000002E-2</v>
      </c>
      <c r="AE27" s="93">
        <v>4905.7377049180332</v>
      </c>
      <c r="AH27" s="93">
        <f>(AF27*AG27)/'[18]Input Sheet'!$B$11</f>
        <v>0</v>
      </c>
      <c r="AI27" s="124">
        <f>95000000</f>
        <v>95000000</v>
      </c>
      <c r="AJ27" s="125">
        <v>3.2500000000000001E-2</v>
      </c>
      <c r="AK27" s="93">
        <f t="shared" si="10"/>
        <v>8576.3888888888887</v>
      </c>
      <c r="AL27" s="124">
        <f t="shared" si="0"/>
        <v>120000000</v>
      </c>
      <c r="AM27" s="125">
        <v>1.78E-2</v>
      </c>
      <c r="AN27" s="93">
        <f t="shared" si="11"/>
        <v>5933.333333333333</v>
      </c>
      <c r="AO27" s="124">
        <v>50000000</v>
      </c>
      <c r="AP27" s="125">
        <v>1.7999999999999999E-2</v>
      </c>
      <c r="AQ27" s="93">
        <f t="shared" si="12"/>
        <v>2499.9999999999995</v>
      </c>
      <c r="AR27" s="124">
        <f t="shared" si="53"/>
        <v>53876000</v>
      </c>
      <c r="AS27" s="125">
        <v>1.7999999999999999E-2</v>
      </c>
      <c r="AT27" s="93">
        <f t="shared" si="13"/>
        <v>2693.7999999999997</v>
      </c>
      <c r="AU27" s="124">
        <f t="shared" si="54"/>
        <v>190000000</v>
      </c>
      <c r="AV27" s="125">
        <v>1.4500000000000001E-2</v>
      </c>
      <c r="AW27" s="93">
        <f t="shared" si="14"/>
        <v>7652.7777777777774</v>
      </c>
      <c r="AX27" s="124"/>
      <c r="AY27" s="125"/>
      <c r="AZ27" s="93">
        <f t="shared" si="15"/>
        <v>0</v>
      </c>
      <c r="BA27" s="124"/>
      <c r="BB27" s="125"/>
      <c r="BC27" s="93">
        <f t="shared" si="16"/>
        <v>0</v>
      </c>
      <c r="BD27" s="124"/>
      <c r="BE27" s="125"/>
      <c r="BF27" s="93">
        <f t="shared" si="17"/>
        <v>0</v>
      </c>
      <c r="BG27" s="124"/>
      <c r="BH27" s="125"/>
      <c r="BI27" s="93">
        <f t="shared" si="18"/>
        <v>0</v>
      </c>
      <c r="BL27" s="93">
        <f t="shared" si="19"/>
        <v>0</v>
      </c>
      <c r="BO27" s="93">
        <f t="shared" si="20"/>
        <v>0</v>
      </c>
      <c r="BR27" s="93">
        <f t="shared" si="21"/>
        <v>0</v>
      </c>
      <c r="BU27" s="93">
        <f t="shared" si="22"/>
        <v>0</v>
      </c>
      <c r="BX27" s="93">
        <f t="shared" si="23"/>
        <v>0</v>
      </c>
      <c r="CA27" s="93">
        <f t="shared" si="24"/>
        <v>0</v>
      </c>
      <c r="CD27" s="93">
        <f t="shared" si="25"/>
        <v>0</v>
      </c>
      <c r="CG27" s="93">
        <f t="shared" si="26"/>
        <v>0</v>
      </c>
      <c r="CJ27" s="93">
        <f t="shared" si="27"/>
        <v>0</v>
      </c>
      <c r="CM27" s="93">
        <f t="shared" si="28"/>
        <v>0</v>
      </c>
      <c r="CP27" s="93">
        <f t="shared" si="29"/>
        <v>0</v>
      </c>
      <c r="CS27" s="93">
        <f t="shared" si="30"/>
        <v>0</v>
      </c>
      <c r="CV27" s="93">
        <f t="shared" si="31"/>
        <v>0</v>
      </c>
      <c r="CY27" s="93">
        <f t="shared" si="32"/>
        <v>0</v>
      </c>
      <c r="DB27" s="93">
        <f t="shared" si="33"/>
        <v>0</v>
      </c>
      <c r="DE27" s="93">
        <f t="shared" si="34"/>
        <v>0</v>
      </c>
      <c r="DH27" s="93">
        <f t="shared" si="35"/>
        <v>0</v>
      </c>
      <c r="DK27" s="93">
        <f t="shared" si="36"/>
        <v>0</v>
      </c>
      <c r="DN27" s="93">
        <f t="shared" si="37"/>
        <v>0</v>
      </c>
      <c r="DQ27" s="93">
        <f t="shared" si="38"/>
        <v>0</v>
      </c>
      <c r="DT27" s="93">
        <f t="shared" si="39"/>
        <v>0</v>
      </c>
      <c r="DW27" s="93">
        <f t="shared" si="40"/>
        <v>0</v>
      </c>
      <c r="DZ27" s="93"/>
      <c r="EA27" s="93"/>
      <c r="EB27" s="126">
        <f t="shared" si="41"/>
        <v>562876000</v>
      </c>
      <c r="EC27" s="126">
        <f t="shared" si="42"/>
        <v>54000000</v>
      </c>
      <c r="ED27" s="93">
        <f t="shared" si="43"/>
        <v>32262.037704918032</v>
      </c>
      <c r="EE27" s="94">
        <f t="shared" si="44"/>
        <v>2.0633911507633104E-2</v>
      </c>
      <c r="EG27" s="126">
        <f t="shared" si="45"/>
        <v>54000000</v>
      </c>
      <c r="EH27" s="93">
        <f t="shared" si="46"/>
        <v>4905.7377049180332</v>
      </c>
      <c r="EI27" s="94">
        <f t="shared" si="47"/>
        <v>3.2704918032786884E-2</v>
      </c>
      <c r="EJ27" s="94"/>
      <c r="EK27" s="126">
        <f t="shared" si="48"/>
        <v>508876000</v>
      </c>
      <c r="EL27" s="126">
        <f t="shared" si="49"/>
        <v>0</v>
      </c>
      <c r="EM27" s="126">
        <f t="shared" si="50"/>
        <v>27356.299999999996</v>
      </c>
      <c r="EN27" s="94">
        <f t="shared" si="51"/>
        <v>1.9352981865916254E-2</v>
      </c>
      <c r="EP27" s="93"/>
    </row>
    <row r="28" spans="1:146" x14ac:dyDescent="0.25">
      <c r="A28" s="39">
        <f t="shared" si="52"/>
        <v>43908</v>
      </c>
      <c r="D28" s="93">
        <f t="shared" si="1"/>
        <v>0</v>
      </c>
      <c r="G28" s="93">
        <f t="shared" si="2"/>
        <v>0</v>
      </c>
      <c r="J28" s="93">
        <f t="shared" si="3"/>
        <v>0</v>
      </c>
      <c r="M28" s="93">
        <f t="shared" si="4"/>
        <v>0</v>
      </c>
      <c r="P28" s="93">
        <f t="shared" si="5"/>
        <v>0</v>
      </c>
      <c r="S28" s="93">
        <f t="shared" si="6"/>
        <v>0</v>
      </c>
      <c r="V28" s="93">
        <f t="shared" si="7"/>
        <v>0</v>
      </c>
      <c r="Y28" s="93">
        <f t="shared" si="8"/>
        <v>0</v>
      </c>
      <c r="AB28" s="93">
        <f t="shared" si="9"/>
        <v>0</v>
      </c>
      <c r="AC28" s="124">
        <v>54000000</v>
      </c>
      <c r="AD28" s="125">
        <v>3.3250000000000002E-2</v>
      </c>
      <c r="AE28" s="93">
        <v>4905.7377049180332</v>
      </c>
      <c r="AH28" s="93">
        <f>(AF28*AG28)/'[18]Input Sheet'!$B$11</f>
        <v>0</v>
      </c>
      <c r="AI28" s="124">
        <f>105000000</f>
        <v>105000000</v>
      </c>
      <c r="AJ28" s="125">
        <v>3.1E-2</v>
      </c>
      <c r="AK28" s="93">
        <f t="shared" si="10"/>
        <v>9041.6666666666661</v>
      </c>
      <c r="AL28" s="124">
        <f t="shared" si="0"/>
        <v>120000000</v>
      </c>
      <c r="AM28" s="125">
        <v>1.78E-2</v>
      </c>
      <c r="AN28" s="93">
        <f t="shared" si="11"/>
        <v>5933.333333333333</v>
      </c>
      <c r="AO28" s="124">
        <v>50000000</v>
      </c>
      <c r="AP28" s="125">
        <v>1.7999999999999999E-2</v>
      </c>
      <c r="AQ28" s="93">
        <f t="shared" si="12"/>
        <v>2499.9999999999995</v>
      </c>
      <c r="AR28" s="124">
        <f t="shared" si="53"/>
        <v>53876000</v>
      </c>
      <c r="AS28" s="125">
        <v>1.7999999999999999E-2</v>
      </c>
      <c r="AT28" s="93">
        <f t="shared" si="13"/>
        <v>2693.7999999999997</v>
      </c>
      <c r="AU28" s="124">
        <f t="shared" si="54"/>
        <v>190000000</v>
      </c>
      <c r="AV28" s="125">
        <v>1.4500000000000001E-2</v>
      </c>
      <c r="AW28" s="93">
        <f t="shared" si="14"/>
        <v>7652.7777777777774</v>
      </c>
      <c r="AX28" s="124"/>
      <c r="AY28" s="125"/>
      <c r="AZ28" s="93">
        <f t="shared" si="15"/>
        <v>0</v>
      </c>
      <c r="BA28" s="124"/>
      <c r="BB28" s="125"/>
      <c r="BC28" s="93">
        <f t="shared" si="16"/>
        <v>0</v>
      </c>
      <c r="BF28" s="93">
        <f t="shared" si="17"/>
        <v>0</v>
      </c>
      <c r="BI28" s="93">
        <f t="shared" si="18"/>
        <v>0</v>
      </c>
      <c r="BL28" s="93">
        <f t="shared" si="19"/>
        <v>0</v>
      </c>
      <c r="BO28" s="93">
        <f t="shared" si="20"/>
        <v>0</v>
      </c>
      <c r="BR28" s="93">
        <f t="shared" si="21"/>
        <v>0</v>
      </c>
      <c r="BU28" s="93">
        <f t="shared" si="22"/>
        <v>0</v>
      </c>
      <c r="BX28" s="93">
        <f t="shared" si="23"/>
        <v>0</v>
      </c>
      <c r="CA28" s="93">
        <f t="shared" si="24"/>
        <v>0</v>
      </c>
      <c r="CD28" s="93">
        <f t="shared" si="25"/>
        <v>0</v>
      </c>
      <c r="CG28" s="93">
        <f t="shared" si="26"/>
        <v>0</v>
      </c>
      <c r="CJ28" s="93">
        <f t="shared" si="27"/>
        <v>0</v>
      </c>
      <c r="CM28" s="93">
        <f t="shared" si="28"/>
        <v>0</v>
      </c>
      <c r="CP28" s="93">
        <f t="shared" si="29"/>
        <v>0</v>
      </c>
      <c r="CS28" s="93">
        <f t="shared" si="30"/>
        <v>0</v>
      </c>
      <c r="CV28" s="93">
        <f t="shared" si="31"/>
        <v>0</v>
      </c>
      <c r="CY28" s="93">
        <f t="shared" si="32"/>
        <v>0</v>
      </c>
      <c r="DB28" s="93">
        <f t="shared" si="33"/>
        <v>0</v>
      </c>
      <c r="DE28" s="93">
        <f t="shared" si="34"/>
        <v>0</v>
      </c>
      <c r="DH28" s="93">
        <f t="shared" si="35"/>
        <v>0</v>
      </c>
      <c r="DK28" s="93">
        <f t="shared" si="36"/>
        <v>0</v>
      </c>
      <c r="DN28" s="93">
        <f t="shared" si="37"/>
        <v>0</v>
      </c>
      <c r="DQ28" s="93">
        <f t="shared" si="38"/>
        <v>0</v>
      </c>
      <c r="DT28" s="93">
        <f t="shared" si="39"/>
        <v>0</v>
      </c>
      <c r="DW28" s="93">
        <f t="shared" si="40"/>
        <v>0</v>
      </c>
      <c r="DZ28" s="93"/>
      <c r="EA28" s="93"/>
      <c r="EB28" s="126">
        <f t="shared" si="41"/>
        <v>572876000</v>
      </c>
      <c r="EC28" s="126">
        <f t="shared" si="42"/>
        <v>54000000</v>
      </c>
      <c r="ED28" s="93">
        <f t="shared" si="43"/>
        <v>32727.315482695809</v>
      </c>
      <c r="EE28" s="94">
        <f t="shared" si="44"/>
        <v>2.0566114785347075E-2</v>
      </c>
      <c r="EG28" s="126">
        <f t="shared" si="45"/>
        <v>54000000</v>
      </c>
      <c r="EH28" s="93">
        <f t="shared" si="46"/>
        <v>4905.7377049180332</v>
      </c>
      <c r="EI28" s="94">
        <f t="shared" si="47"/>
        <v>3.2704918032786884E-2</v>
      </c>
      <c r="EJ28" s="94"/>
      <c r="EK28" s="126">
        <f t="shared" si="48"/>
        <v>518876000</v>
      </c>
      <c r="EL28" s="126">
        <f t="shared" si="49"/>
        <v>0</v>
      </c>
      <c r="EM28" s="126">
        <f t="shared" si="50"/>
        <v>27821.577777777777</v>
      </c>
      <c r="EN28" s="94">
        <f t="shared" si="51"/>
        <v>1.9302816087080534E-2</v>
      </c>
      <c r="EP28" s="93"/>
    </row>
    <row r="29" spans="1:146" x14ac:dyDescent="0.25">
      <c r="A29" s="39">
        <f t="shared" si="52"/>
        <v>43909</v>
      </c>
      <c r="D29" s="93">
        <f t="shared" si="1"/>
        <v>0</v>
      </c>
      <c r="G29" s="93">
        <f t="shared" si="2"/>
        <v>0</v>
      </c>
      <c r="J29" s="93">
        <f t="shared" si="3"/>
        <v>0</v>
      </c>
      <c r="M29" s="93">
        <f t="shared" si="4"/>
        <v>0</v>
      </c>
      <c r="P29" s="93">
        <f t="shared" si="5"/>
        <v>0</v>
      </c>
      <c r="S29" s="93">
        <f t="shared" si="6"/>
        <v>0</v>
      </c>
      <c r="V29" s="93">
        <f t="shared" si="7"/>
        <v>0</v>
      </c>
      <c r="Y29" s="93">
        <f t="shared" si="8"/>
        <v>0</v>
      </c>
      <c r="AB29" s="93">
        <f t="shared" si="9"/>
        <v>0</v>
      </c>
      <c r="AC29" s="124">
        <v>54000000</v>
      </c>
      <c r="AD29" s="125">
        <v>3.3250000000000002E-2</v>
      </c>
      <c r="AE29" s="93">
        <v>4905.7377049180332</v>
      </c>
      <c r="AH29" s="93">
        <f>(AF29*AG29)/'[18]Input Sheet'!$B$11</f>
        <v>0</v>
      </c>
      <c r="AI29" s="124">
        <f>99000000</f>
        <v>99000000</v>
      </c>
      <c r="AJ29" s="125">
        <v>3.4000000000000002E-2</v>
      </c>
      <c r="AK29" s="93">
        <f t="shared" si="10"/>
        <v>9350.0000000000018</v>
      </c>
      <c r="AL29" s="124">
        <f t="shared" si="0"/>
        <v>120000000</v>
      </c>
      <c r="AM29" s="125">
        <v>1.78E-2</v>
      </c>
      <c r="AN29" s="93">
        <f t="shared" si="11"/>
        <v>5933.333333333333</v>
      </c>
      <c r="AO29" s="124">
        <v>50000000</v>
      </c>
      <c r="AP29" s="125">
        <v>1.7999999999999999E-2</v>
      </c>
      <c r="AQ29" s="93">
        <f t="shared" si="12"/>
        <v>2499.9999999999995</v>
      </c>
      <c r="AR29" s="124">
        <f t="shared" si="53"/>
        <v>53876000</v>
      </c>
      <c r="AS29" s="125">
        <v>1.7999999999999999E-2</v>
      </c>
      <c r="AT29" s="93">
        <f t="shared" si="13"/>
        <v>2693.7999999999997</v>
      </c>
      <c r="AU29" s="124">
        <f t="shared" si="54"/>
        <v>190000000</v>
      </c>
      <c r="AV29" s="125">
        <v>1.4500000000000001E-2</v>
      </c>
      <c r="AW29" s="93">
        <f t="shared" si="14"/>
        <v>7652.7777777777774</v>
      </c>
      <c r="AX29" s="124"/>
      <c r="AY29" s="125"/>
      <c r="AZ29" s="93">
        <f t="shared" si="15"/>
        <v>0</v>
      </c>
      <c r="BA29" s="124"/>
      <c r="BB29" s="125"/>
      <c r="BC29" s="93">
        <f t="shared" si="16"/>
        <v>0</v>
      </c>
      <c r="BF29" s="93">
        <f t="shared" si="17"/>
        <v>0</v>
      </c>
      <c r="BI29" s="93">
        <f t="shared" si="18"/>
        <v>0</v>
      </c>
      <c r="BL29" s="93">
        <f t="shared" si="19"/>
        <v>0</v>
      </c>
      <c r="BO29" s="93">
        <f t="shared" si="20"/>
        <v>0</v>
      </c>
      <c r="BR29" s="93">
        <f t="shared" si="21"/>
        <v>0</v>
      </c>
      <c r="BU29" s="93">
        <f t="shared" si="22"/>
        <v>0</v>
      </c>
      <c r="BX29" s="93">
        <f t="shared" si="23"/>
        <v>0</v>
      </c>
      <c r="CA29" s="93">
        <f t="shared" si="24"/>
        <v>0</v>
      </c>
      <c r="CD29" s="93">
        <f t="shared" si="25"/>
        <v>0</v>
      </c>
      <c r="CG29" s="93">
        <f t="shared" si="26"/>
        <v>0</v>
      </c>
      <c r="CJ29" s="93">
        <f t="shared" si="27"/>
        <v>0</v>
      </c>
      <c r="CM29" s="93">
        <f t="shared" si="28"/>
        <v>0</v>
      </c>
      <c r="CP29" s="93">
        <f t="shared" si="29"/>
        <v>0</v>
      </c>
      <c r="CS29" s="93">
        <f t="shared" si="30"/>
        <v>0</v>
      </c>
      <c r="CV29" s="93">
        <f t="shared" si="31"/>
        <v>0</v>
      </c>
      <c r="CY29" s="93">
        <f t="shared" si="32"/>
        <v>0</v>
      </c>
      <c r="DB29" s="93">
        <f t="shared" si="33"/>
        <v>0</v>
      </c>
      <c r="DE29" s="93">
        <f t="shared" si="34"/>
        <v>0</v>
      </c>
      <c r="DH29" s="93">
        <f t="shared" si="35"/>
        <v>0</v>
      </c>
      <c r="DK29" s="93">
        <f t="shared" si="36"/>
        <v>0</v>
      </c>
      <c r="DN29" s="93">
        <f t="shared" si="37"/>
        <v>0</v>
      </c>
      <c r="DQ29" s="93">
        <f t="shared" si="38"/>
        <v>0</v>
      </c>
      <c r="DT29" s="93">
        <f t="shared" si="39"/>
        <v>0</v>
      </c>
      <c r="DW29" s="93">
        <f t="shared" si="40"/>
        <v>0</v>
      </c>
      <c r="DZ29" s="93"/>
      <c r="EA29" s="93"/>
      <c r="EB29" s="126">
        <f t="shared" si="41"/>
        <v>566876000</v>
      </c>
      <c r="EC29" s="126">
        <f t="shared" si="42"/>
        <v>54000000</v>
      </c>
      <c r="ED29" s="93">
        <f t="shared" si="43"/>
        <v>33035.648816029148</v>
      </c>
      <c r="EE29" s="94">
        <f t="shared" si="44"/>
        <v>2.0979603253216739E-2</v>
      </c>
      <c r="EG29" s="126">
        <f t="shared" si="45"/>
        <v>54000000</v>
      </c>
      <c r="EH29" s="93">
        <f t="shared" si="46"/>
        <v>4905.7377049180332</v>
      </c>
      <c r="EI29" s="94">
        <f t="shared" si="47"/>
        <v>3.2704918032786884E-2</v>
      </c>
      <c r="EJ29" s="94"/>
      <c r="EK29" s="126">
        <f t="shared" si="48"/>
        <v>512876000</v>
      </c>
      <c r="EL29" s="126">
        <f t="shared" si="49"/>
        <v>0</v>
      </c>
      <c r="EM29" s="126">
        <f t="shared" si="50"/>
        <v>28129.911111111112</v>
      </c>
      <c r="EN29" s="94">
        <f t="shared" si="51"/>
        <v>1.9745061184379849E-2</v>
      </c>
      <c r="EP29" s="93"/>
    </row>
    <row r="30" spans="1:146" x14ac:dyDescent="0.25">
      <c r="A30" s="39">
        <f t="shared" si="52"/>
        <v>43910</v>
      </c>
      <c r="D30" s="93">
        <f t="shared" si="1"/>
        <v>0</v>
      </c>
      <c r="G30" s="93">
        <f t="shared" si="2"/>
        <v>0</v>
      </c>
      <c r="J30" s="93">
        <f t="shared" si="3"/>
        <v>0</v>
      </c>
      <c r="M30" s="93">
        <f t="shared" si="4"/>
        <v>0</v>
      </c>
      <c r="P30" s="93">
        <f t="shared" si="5"/>
        <v>0</v>
      </c>
      <c r="S30" s="93">
        <f t="shared" si="6"/>
        <v>0</v>
      </c>
      <c r="V30" s="93">
        <f t="shared" si="7"/>
        <v>0</v>
      </c>
      <c r="Y30" s="93">
        <f t="shared" si="8"/>
        <v>0</v>
      </c>
      <c r="AB30" s="93">
        <f t="shared" si="9"/>
        <v>0</v>
      </c>
      <c r="AE30" s="93">
        <f>(AC30*AD30)/'[18]Input Sheet'!$B$11</f>
        <v>0</v>
      </c>
      <c r="AH30" s="93">
        <f>(AF30*AG30)/'[18]Input Sheet'!$B$11</f>
        <v>0</v>
      </c>
      <c r="AI30" s="124">
        <f>65000000</f>
        <v>65000000</v>
      </c>
      <c r="AJ30" s="125">
        <v>3.2500000000000001E-2</v>
      </c>
      <c r="AK30" s="93">
        <f t="shared" si="10"/>
        <v>5868.0555555555557</v>
      </c>
      <c r="AL30" s="124"/>
      <c r="AM30" s="125"/>
      <c r="AN30" s="93">
        <f t="shared" si="11"/>
        <v>0</v>
      </c>
      <c r="AO30" s="124">
        <v>50000000</v>
      </c>
      <c r="AP30" s="125">
        <v>1.7999999999999999E-2</v>
      </c>
      <c r="AQ30" s="93">
        <f t="shared" si="12"/>
        <v>2499.9999999999995</v>
      </c>
      <c r="AR30" s="124"/>
      <c r="AS30" s="125"/>
      <c r="AT30" s="93">
        <f t="shared" si="13"/>
        <v>0</v>
      </c>
      <c r="AU30" s="124"/>
      <c r="AV30" s="125"/>
      <c r="AW30" s="93">
        <f t="shared" si="14"/>
        <v>0</v>
      </c>
      <c r="AZ30" s="93">
        <f t="shared" si="15"/>
        <v>0</v>
      </c>
      <c r="BA30" s="124"/>
      <c r="BB30" s="125"/>
      <c r="BC30" s="93">
        <f t="shared" si="16"/>
        <v>0</v>
      </c>
      <c r="BF30" s="93">
        <f t="shared" si="17"/>
        <v>0</v>
      </c>
      <c r="BI30" s="93">
        <f t="shared" si="18"/>
        <v>0</v>
      </c>
      <c r="BL30" s="93">
        <f t="shared" si="19"/>
        <v>0</v>
      </c>
      <c r="BO30" s="93">
        <f t="shared" si="20"/>
        <v>0</v>
      </c>
      <c r="BR30" s="93">
        <f t="shared" si="21"/>
        <v>0</v>
      </c>
      <c r="BU30" s="93">
        <f t="shared" si="22"/>
        <v>0</v>
      </c>
      <c r="BX30" s="93">
        <f t="shared" si="23"/>
        <v>0</v>
      </c>
      <c r="CA30" s="93">
        <f t="shared" si="24"/>
        <v>0</v>
      </c>
      <c r="CD30" s="93">
        <f t="shared" si="25"/>
        <v>0</v>
      </c>
      <c r="CG30" s="93">
        <f t="shared" si="26"/>
        <v>0</v>
      </c>
      <c r="CJ30" s="93">
        <f t="shared" si="27"/>
        <v>0</v>
      </c>
      <c r="CM30" s="93">
        <f t="shared" si="28"/>
        <v>0</v>
      </c>
      <c r="CP30" s="93">
        <f t="shared" si="29"/>
        <v>0</v>
      </c>
      <c r="CS30" s="93">
        <f t="shared" si="30"/>
        <v>0</v>
      </c>
      <c r="CV30" s="93">
        <f t="shared" si="31"/>
        <v>0</v>
      </c>
      <c r="CY30" s="93">
        <f t="shared" si="32"/>
        <v>0</v>
      </c>
      <c r="DB30" s="93">
        <f t="shared" si="33"/>
        <v>0</v>
      </c>
      <c r="DE30" s="93">
        <f t="shared" si="34"/>
        <v>0</v>
      </c>
      <c r="DH30" s="93">
        <f t="shared" si="35"/>
        <v>0</v>
      </c>
      <c r="DK30" s="93">
        <f t="shared" si="36"/>
        <v>0</v>
      </c>
      <c r="DN30" s="93">
        <f t="shared" si="37"/>
        <v>0</v>
      </c>
      <c r="DQ30" s="93">
        <f t="shared" si="38"/>
        <v>0</v>
      </c>
      <c r="DT30" s="93">
        <f t="shared" si="39"/>
        <v>0</v>
      </c>
      <c r="DW30" s="93">
        <f t="shared" si="40"/>
        <v>0</v>
      </c>
      <c r="DZ30" s="93"/>
      <c r="EA30" s="93"/>
      <c r="EB30" s="126">
        <f t="shared" si="41"/>
        <v>115000000</v>
      </c>
      <c r="EC30" s="126">
        <f t="shared" si="42"/>
        <v>0</v>
      </c>
      <c r="ED30" s="93">
        <f t="shared" si="43"/>
        <v>8368.0555555555547</v>
      </c>
      <c r="EE30" s="94">
        <f t="shared" si="44"/>
        <v>2.619565217391304E-2</v>
      </c>
      <c r="EG30" s="126">
        <f t="shared" si="45"/>
        <v>0</v>
      </c>
      <c r="EH30" s="93">
        <f t="shared" si="46"/>
        <v>0</v>
      </c>
      <c r="EI30" s="94">
        <f t="shared" si="47"/>
        <v>0</v>
      </c>
      <c r="EJ30" s="94"/>
      <c r="EK30" s="126">
        <f t="shared" si="48"/>
        <v>115000000</v>
      </c>
      <c r="EL30" s="126">
        <f t="shared" si="49"/>
        <v>0</v>
      </c>
      <c r="EM30" s="126">
        <f t="shared" si="50"/>
        <v>8368.0555555555547</v>
      </c>
      <c r="EN30" s="94">
        <f t="shared" si="51"/>
        <v>2.619565217391304E-2</v>
      </c>
      <c r="EP30" s="93"/>
    </row>
    <row r="31" spans="1:146" x14ac:dyDescent="0.25">
      <c r="A31" s="39">
        <f t="shared" si="52"/>
        <v>43911</v>
      </c>
      <c r="D31" s="93">
        <f t="shared" si="1"/>
        <v>0</v>
      </c>
      <c r="G31" s="93">
        <f t="shared" si="2"/>
        <v>0</v>
      </c>
      <c r="J31" s="93">
        <f t="shared" si="3"/>
        <v>0</v>
      </c>
      <c r="M31" s="93">
        <f t="shared" si="4"/>
        <v>0</v>
      </c>
      <c r="P31" s="93">
        <f t="shared" si="5"/>
        <v>0</v>
      </c>
      <c r="S31" s="93">
        <f t="shared" si="6"/>
        <v>0</v>
      </c>
      <c r="V31" s="93">
        <f t="shared" si="7"/>
        <v>0</v>
      </c>
      <c r="Y31" s="93">
        <f t="shared" si="8"/>
        <v>0</v>
      </c>
      <c r="AB31" s="93">
        <f t="shared" si="9"/>
        <v>0</v>
      </c>
      <c r="AE31" s="93">
        <f>(AC31*AD31)/'[18]Input Sheet'!$B$11</f>
        <v>0</v>
      </c>
      <c r="AH31" s="93">
        <f>(AF31*AG31)/'[18]Input Sheet'!$B$11</f>
        <v>0</v>
      </c>
      <c r="AI31" s="124">
        <f>65000000</f>
        <v>65000000</v>
      </c>
      <c r="AJ31" s="125">
        <v>3.2500000000000001E-2</v>
      </c>
      <c r="AK31" s="93">
        <f t="shared" si="10"/>
        <v>5868.0555555555557</v>
      </c>
      <c r="AL31" s="124"/>
      <c r="AM31" s="125"/>
      <c r="AN31" s="93">
        <f t="shared" si="11"/>
        <v>0</v>
      </c>
      <c r="AO31" s="124">
        <v>50000000</v>
      </c>
      <c r="AP31" s="125">
        <v>1.7999999999999999E-2</v>
      </c>
      <c r="AQ31" s="93">
        <f t="shared" si="12"/>
        <v>2499.9999999999995</v>
      </c>
      <c r="AR31" s="124"/>
      <c r="AS31" s="125"/>
      <c r="AT31" s="93">
        <f t="shared" si="13"/>
        <v>0</v>
      </c>
      <c r="AU31" s="124"/>
      <c r="AV31" s="125"/>
      <c r="AW31" s="93">
        <f t="shared" si="14"/>
        <v>0</v>
      </c>
      <c r="AZ31" s="93">
        <f t="shared" si="15"/>
        <v>0</v>
      </c>
      <c r="BA31" s="124"/>
      <c r="BB31" s="125"/>
      <c r="BC31" s="93">
        <f t="shared" si="16"/>
        <v>0</v>
      </c>
      <c r="BF31" s="93">
        <f t="shared" si="17"/>
        <v>0</v>
      </c>
      <c r="BI31" s="93">
        <f t="shared" si="18"/>
        <v>0</v>
      </c>
      <c r="BL31" s="93">
        <f t="shared" si="19"/>
        <v>0</v>
      </c>
      <c r="BO31" s="93">
        <f t="shared" si="20"/>
        <v>0</v>
      </c>
      <c r="BR31" s="93">
        <f t="shared" si="21"/>
        <v>0</v>
      </c>
      <c r="BU31" s="93">
        <f t="shared" si="22"/>
        <v>0</v>
      </c>
      <c r="BX31" s="93">
        <f t="shared" si="23"/>
        <v>0</v>
      </c>
      <c r="CA31" s="93">
        <f t="shared" si="24"/>
        <v>0</v>
      </c>
      <c r="CD31" s="93">
        <f t="shared" si="25"/>
        <v>0</v>
      </c>
      <c r="CG31" s="93">
        <f t="shared" si="26"/>
        <v>0</v>
      </c>
      <c r="CJ31" s="93">
        <f t="shared" si="27"/>
        <v>0</v>
      </c>
      <c r="CM31" s="93">
        <f t="shared" si="28"/>
        <v>0</v>
      </c>
      <c r="CP31" s="93">
        <f t="shared" si="29"/>
        <v>0</v>
      </c>
      <c r="CS31" s="93">
        <f t="shared" si="30"/>
        <v>0</v>
      </c>
      <c r="CV31" s="93">
        <f t="shared" si="31"/>
        <v>0</v>
      </c>
      <c r="CY31" s="93">
        <f t="shared" si="32"/>
        <v>0</v>
      </c>
      <c r="DB31" s="93">
        <f t="shared" si="33"/>
        <v>0</v>
      </c>
      <c r="DE31" s="93">
        <f t="shared" si="34"/>
        <v>0</v>
      </c>
      <c r="DH31" s="93">
        <f t="shared" si="35"/>
        <v>0</v>
      </c>
      <c r="DK31" s="93">
        <f t="shared" si="36"/>
        <v>0</v>
      </c>
      <c r="DN31" s="93">
        <f t="shared" si="37"/>
        <v>0</v>
      </c>
      <c r="DQ31" s="93">
        <f t="shared" si="38"/>
        <v>0</v>
      </c>
      <c r="DT31" s="93">
        <f t="shared" si="39"/>
        <v>0</v>
      </c>
      <c r="DW31" s="93">
        <f t="shared" si="40"/>
        <v>0</v>
      </c>
      <c r="DZ31" s="93"/>
      <c r="EA31" s="93"/>
      <c r="EB31" s="126">
        <f t="shared" si="41"/>
        <v>115000000</v>
      </c>
      <c r="EC31" s="126">
        <f t="shared" si="42"/>
        <v>0</v>
      </c>
      <c r="ED31" s="93">
        <f t="shared" si="43"/>
        <v>8368.0555555555547</v>
      </c>
      <c r="EE31" s="94">
        <f t="shared" si="44"/>
        <v>2.619565217391304E-2</v>
      </c>
      <c r="EG31" s="126">
        <f t="shared" si="45"/>
        <v>0</v>
      </c>
      <c r="EH31" s="93">
        <f t="shared" si="46"/>
        <v>0</v>
      </c>
      <c r="EI31" s="94">
        <f t="shared" si="47"/>
        <v>0</v>
      </c>
      <c r="EJ31" s="94"/>
      <c r="EK31" s="126">
        <f t="shared" si="48"/>
        <v>115000000</v>
      </c>
      <c r="EL31" s="126">
        <f t="shared" si="49"/>
        <v>0</v>
      </c>
      <c r="EM31" s="126">
        <f t="shared" si="50"/>
        <v>8368.0555555555547</v>
      </c>
      <c r="EN31" s="94">
        <f t="shared" si="51"/>
        <v>2.619565217391304E-2</v>
      </c>
      <c r="EP31" s="93"/>
    </row>
    <row r="32" spans="1:146" x14ac:dyDescent="0.25">
      <c r="A32" s="39">
        <f t="shared" si="52"/>
        <v>43912</v>
      </c>
      <c r="D32" s="93">
        <f t="shared" si="1"/>
        <v>0</v>
      </c>
      <c r="G32" s="93">
        <f t="shared" si="2"/>
        <v>0</v>
      </c>
      <c r="J32" s="93">
        <f t="shared" si="3"/>
        <v>0</v>
      </c>
      <c r="M32" s="93">
        <f t="shared" si="4"/>
        <v>0</v>
      </c>
      <c r="P32" s="93">
        <f t="shared" si="5"/>
        <v>0</v>
      </c>
      <c r="S32" s="93">
        <f t="shared" si="6"/>
        <v>0</v>
      </c>
      <c r="V32" s="93">
        <f t="shared" si="7"/>
        <v>0</v>
      </c>
      <c r="Y32" s="93">
        <f t="shared" si="8"/>
        <v>0</v>
      </c>
      <c r="AB32" s="93">
        <f t="shared" si="9"/>
        <v>0</v>
      </c>
      <c r="AE32" s="93">
        <f>(AC32*AD32)/'[18]Input Sheet'!$B$11</f>
        <v>0</v>
      </c>
      <c r="AH32" s="93">
        <f>(AF32*AG32)/'[18]Input Sheet'!$B$11</f>
        <v>0</v>
      </c>
      <c r="AI32" s="124">
        <f>65000000</f>
        <v>65000000</v>
      </c>
      <c r="AJ32" s="125">
        <v>3.2500000000000001E-2</v>
      </c>
      <c r="AK32" s="93">
        <f t="shared" si="10"/>
        <v>5868.0555555555557</v>
      </c>
      <c r="AL32" s="124"/>
      <c r="AM32" s="125"/>
      <c r="AN32" s="93">
        <f t="shared" si="11"/>
        <v>0</v>
      </c>
      <c r="AO32" s="124">
        <v>50000000</v>
      </c>
      <c r="AP32" s="125">
        <v>1.7999999999999999E-2</v>
      </c>
      <c r="AQ32" s="93">
        <f t="shared" si="12"/>
        <v>2499.9999999999995</v>
      </c>
      <c r="AR32" s="124"/>
      <c r="AS32" s="125"/>
      <c r="AT32" s="93">
        <f t="shared" si="13"/>
        <v>0</v>
      </c>
      <c r="AU32" s="124"/>
      <c r="AV32" s="125"/>
      <c r="AW32" s="93">
        <f t="shared" si="14"/>
        <v>0</v>
      </c>
      <c r="AZ32" s="93">
        <f t="shared" si="15"/>
        <v>0</v>
      </c>
      <c r="BA32" s="124"/>
      <c r="BB32" s="125"/>
      <c r="BC32" s="93">
        <f t="shared" si="16"/>
        <v>0</v>
      </c>
      <c r="BF32" s="93">
        <f t="shared" si="17"/>
        <v>0</v>
      </c>
      <c r="BI32" s="93">
        <f t="shared" si="18"/>
        <v>0</v>
      </c>
      <c r="BL32" s="93">
        <f t="shared" si="19"/>
        <v>0</v>
      </c>
      <c r="BO32" s="93">
        <f t="shared" si="20"/>
        <v>0</v>
      </c>
      <c r="BR32" s="93">
        <f t="shared" si="21"/>
        <v>0</v>
      </c>
      <c r="BU32" s="93">
        <f t="shared" si="22"/>
        <v>0</v>
      </c>
      <c r="BX32" s="93">
        <f t="shared" si="23"/>
        <v>0</v>
      </c>
      <c r="CA32" s="93">
        <f t="shared" si="24"/>
        <v>0</v>
      </c>
      <c r="CD32" s="93">
        <f t="shared" si="25"/>
        <v>0</v>
      </c>
      <c r="CG32" s="93">
        <f t="shared" si="26"/>
        <v>0</v>
      </c>
      <c r="CJ32" s="93">
        <f t="shared" si="27"/>
        <v>0</v>
      </c>
      <c r="CM32" s="93">
        <f t="shared" si="28"/>
        <v>0</v>
      </c>
      <c r="CP32" s="93">
        <f t="shared" si="29"/>
        <v>0</v>
      </c>
      <c r="CS32" s="93">
        <f t="shared" si="30"/>
        <v>0</v>
      </c>
      <c r="CV32" s="93">
        <f t="shared" si="31"/>
        <v>0</v>
      </c>
      <c r="CY32" s="93">
        <f t="shared" si="32"/>
        <v>0</v>
      </c>
      <c r="DB32" s="93">
        <f t="shared" si="33"/>
        <v>0</v>
      </c>
      <c r="DE32" s="93">
        <f t="shared" si="34"/>
        <v>0</v>
      </c>
      <c r="DH32" s="93">
        <f t="shared" si="35"/>
        <v>0</v>
      </c>
      <c r="DK32" s="93">
        <f t="shared" si="36"/>
        <v>0</v>
      </c>
      <c r="DN32" s="93">
        <f t="shared" si="37"/>
        <v>0</v>
      </c>
      <c r="DQ32" s="93">
        <f t="shared" si="38"/>
        <v>0</v>
      </c>
      <c r="DT32" s="93">
        <f t="shared" si="39"/>
        <v>0</v>
      </c>
      <c r="DW32" s="93">
        <f t="shared" si="40"/>
        <v>0</v>
      </c>
      <c r="DZ32" s="93"/>
      <c r="EA32" s="93"/>
      <c r="EB32" s="126">
        <f t="shared" si="41"/>
        <v>115000000</v>
      </c>
      <c r="EC32" s="126">
        <f t="shared" si="42"/>
        <v>0</v>
      </c>
      <c r="ED32" s="93">
        <f t="shared" si="43"/>
        <v>8368.0555555555547</v>
      </c>
      <c r="EE32" s="94">
        <f t="shared" si="44"/>
        <v>2.619565217391304E-2</v>
      </c>
      <c r="EG32" s="126">
        <f t="shared" si="45"/>
        <v>0</v>
      </c>
      <c r="EH32" s="93">
        <f t="shared" si="46"/>
        <v>0</v>
      </c>
      <c r="EI32" s="94">
        <f t="shared" si="47"/>
        <v>0</v>
      </c>
      <c r="EJ32" s="94"/>
      <c r="EK32" s="126">
        <f t="shared" si="48"/>
        <v>115000000</v>
      </c>
      <c r="EL32" s="126">
        <f t="shared" si="49"/>
        <v>0</v>
      </c>
      <c r="EM32" s="126">
        <f t="shared" si="50"/>
        <v>8368.0555555555547</v>
      </c>
      <c r="EN32" s="94">
        <f t="shared" si="51"/>
        <v>2.619565217391304E-2</v>
      </c>
      <c r="EP32" s="93"/>
    </row>
    <row r="33" spans="1:146" x14ac:dyDescent="0.25">
      <c r="A33" s="39">
        <f t="shared" si="52"/>
        <v>43913</v>
      </c>
      <c r="D33" s="93">
        <f t="shared" si="1"/>
        <v>0</v>
      </c>
      <c r="G33" s="93">
        <f t="shared" si="2"/>
        <v>0</v>
      </c>
      <c r="J33" s="93">
        <f t="shared" si="3"/>
        <v>0</v>
      </c>
      <c r="M33" s="93">
        <f t="shared" si="4"/>
        <v>0</v>
      </c>
      <c r="P33" s="93">
        <f t="shared" si="5"/>
        <v>0</v>
      </c>
      <c r="S33" s="93">
        <f t="shared" si="6"/>
        <v>0</v>
      </c>
      <c r="V33" s="93">
        <f t="shared" si="7"/>
        <v>0</v>
      </c>
      <c r="Y33" s="93">
        <f t="shared" si="8"/>
        <v>0</v>
      </c>
      <c r="AB33" s="93">
        <f t="shared" si="9"/>
        <v>0</v>
      </c>
      <c r="AE33" s="93">
        <f>(AC33*AD33)/'[18]Input Sheet'!$B$11</f>
        <v>0</v>
      </c>
      <c r="AH33" s="93">
        <f>(AF33*AG33)/'[18]Input Sheet'!$B$11</f>
        <v>0</v>
      </c>
      <c r="AI33" s="124">
        <f>50000000+68000000</f>
        <v>118000000</v>
      </c>
      <c r="AJ33" s="125">
        <v>2.5999999999999999E-2</v>
      </c>
      <c r="AK33" s="93">
        <f t="shared" si="10"/>
        <v>8522.2222222222226</v>
      </c>
      <c r="AL33" s="124"/>
      <c r="AM33" s="125"/>
      <c r="AN33" s="93">
        <f t="shared" si="11"/>
        <v>0</v>
      </c>
      <c r="AO33" s="124"/>
      <c r="AP33" s="125"/>
      <c r="AQ33" s="93">
        <f t="shared" si="12"/>
        <v>0</v>
      </c>
      <c r="AR33" s="124"/>
      <c r="AS33" s="125"/>
      <c r="AT33" s="93">
        <f t="shared" si="13"/>
        <v>0</v>
      </c>
      <c r="AU33" s="124"/>
      <c r="AV33" s="125"/>
      <c r="AW33" s="93">
        <f t="shared" si="14"/>
        <v>0</v>
      </c>
      <c r="AZ33" s="93">
        <f t="shared" si="15"/>
        <v>0</v>
      </c>
      <c r="BA33" s="124"/>
      <c r="BB33" s="125"/>
      <c r="BC33" s="93">
        <f t="shared" si="16"/>
        <v>0</v>
      </c>
      <c r="BF33" s="93">
        <f t="shared" si="17"/>
        <v>0</v>
      </c>
      <c r="BI33" s="93">
        <f t="shared" si="18"/>
        <v>0</v>
      </c>
      <c r="BL33" s="93">
        <f t="shared" si="19"/>
        <v>0</v>
      </c>
      <c r="BO33" s="93">
        <f t="shared" si="20"/>
        <v>0</v>
      </c>
      <c r="BR33" s="93">
        <f t="shared" si="21"/>
        <v>0</v>
      </c>
      <c r="BU33" s="93">
        <f t="shared" si="22"/>
        <v>0</v>
      </c>
      <c r="BX33" s="93">
        <f t="shared" si="23"/>
        <v>0</v>
      </c>
      <c r="CA33" s="93">
        <f t="shared" si="24"/>
        <v>0</v>
      </c>
      <c r="CD33" s="93">
        <f t="shared" si="25"/>
        <v>0</v>
      </c>
      <c r="CG33" s="93">
        <f t="shared" si="26"/>
        <v>0</v>
      </c>
      <c r="CJ33" s="93">
        <f t="shared" si="27"/>
        <v>0</v>
      </c>
      <c r="CM33" s="93">
        <f t="shared" si="28"/>
        <v>0</v>
      </c>
      <c r="CP33" s="93">
        <f t="shared" si="29"/>
        <v>0</v>
      </c>
      <c r="CS33" s="93">
        <f t="shared" si="30"/>
        <v>0</v>
      </c>
      <c r="CV33" s="93">
        <f t="shared" si="31"/>
        <v>0</v>
      </c>
      <c r="CY33" s="93">
        <f t="shared" si="32"/>
        <v>0</v>
      </c>
      <c r="DB33" s="93">
        <f t="shared" si="33"/>
        <v>0</v>
      </c>
      <c r="DE33" s="93">
        <f t="shared" si="34"/>
        <v>0</v>
      </c>
      <c r="DH33" s="93">
        <f t="shared" si="35"/>
        <v>0</v>
      </c>
      <c r="DK33" s="93">
        <f t="shared" si="36"/>
        <v>0</v>
      </c>
      <c r="DN33" s="93">
        <f t="shared" si="37"/>
        <v>0</v>
      </c>
      <c r="DQ33" s="93">
        <f t="shared" si="38"/>
        <v>0</v>
      </c>
      <c r="DT33" s="93">
        <f t="shared" si="39"/>
        <v>0</v>
      </c>
      <c r="DW33" s="93">
        <f t="shared" si="40"/>
        <v>0</v>
      </c>
      <c r="DZ33" s="93"/>
      <c r="EA33" s="93"/>
      <c r="EB33" s="126">
        <f t="shared" si="41"/>
        <v>118000000</v>
      </c>
      <c r="EC33" s="126">
        <f t="shared" si="42"/>
        <v>0</v>
      </c>
      <c r="ED33" s="93">
        <f t="shared" si="43"/>
        <v>8522.2222222222226</v>
      </c>
      <c r="EE33" s="94">
        <f t="shared" si="44"/>
        <v>2.5999999999999999E-2</v>
      </c>
      <c r="EG33" s="126">
        <f t="shared" si="45"/>
        <v>0</v>
      </c>
      <c r="EH33" s="93">
        <f t="shared" si="46"/>
        <v>0</v>
      </c>
      <c r="EI33" s="94">
        <f t="shared" si="47"/>
        <v>0</v>
      </c>
      <c r="EJ33" s="94"/>
      <c r="EK33" s="126">
        <f t="shared" si="48"/>
        <v>118000000</v>
      </c>
      <c r="EL33" s="126">
        <f t="shared" si="49"/>
        <v>0</v>
      </c>
      <c r="EM33" s="126">
        <f t="shared" si="50"/>
        <v>8522.2222222222226</v>
      </c>
      <c r="EN33" s="94">
        <f t="shared" si="51"/>
        <v>2.5999999999999999E-2</v>
      </c>
      <c r="EP33" s="93"/>
    </row>
    <row r="34" spans="1:146" x14ac:dyDescent="0.25">
      <c r="A34" s="39">
        <f t="shared" si="52"/>
        <v>43914</v>
      </c>
      <c r="D34" s="93">
        <f t="shared" si="1"/>
        <v>0</v>
      </c>
      <c r="G34" s="93">
        <f t="shared" si="2"/>
        <v>0</v>
      </c>
      <c r="J34" s="93">
        <f t="shared" si="3"/>
        <v>0</v>
      </c>
      <c r="M34" s="93">
        <f t="shared" si="4"/>
        <v>0</v>
      </c>
      <c r="P34" s="93">
        <f t="shared" si="5"/>
        <v>0</v>
      </c>
      <c r="S34" s="93">
        <f t="shared" si="6"/>
        <v>0</v>
      </c>
      <c r="V34" s="93">
        <f t="shared" si="7"/>
        <v>0</v>
      </c>
      <c r="Y34" s="93">
        <f t="shared" si="8"/>
        <v>0</v>
      </c>
      <c r="AB34" s="93">
        <f t="shared" si="9"/>
        <v>0</v>
      </c>
      <c r="AE34" s="93">
        <f>(AC34*AD34)/'[18]Input Sheet'!$B$11</f>
        <v>0</v>
      </c>
      <c r="AH34" s="93">
        <f>(AF34*AG34)/'[18]Input Sheet'!$B$11</f>
        <v>0</v>
      </c>
      <c r="AI34" s="124">
        <f>50000000+63000000</f>
        <v>113000000</v>
      </c>
      <c r="AJ34" s="125">
        <v>2.5499999999999998E-2</v>
      </c>
      <c r="AK34" s="93">
        <f t="shared" si="10"/>
        <v>8004.166666666667</v>
      </c>
      <c r="AL34" s="124"/>
      <c r="AM34" s="125"/>
      <c r="AN34" s="93">
        <f t="shared" si="11"/>
        <v>0</v>
      </c>
      <c r="AO34" s="124"/>
      <c r="AP34" s="125"/>
      <c r="AQ34" s="93">
        <f t="shared" si="12"/>
        <v>0</v>
      </c>
      <c r="AR34" s="124"/>
      <c r="AS34" s="125"/>
      <c r="AT34" s="93">
        <f t="shared" si="13"/>
        <v>0</v>
      </c>
      <c r="AU34" s="124"/>
      <c r="AV34" s="125"/>
      <c r="AW34" s="93">
        <f t="shared" si="14"/>
        <v>0</v>
      </c>
      <c r="AZ34" s="93">
        <f t="shared" si="15"/>
        <v>0</v>
      </c>
      <c r="BC34" s="93">
        <f t="shared" si="16"/>
        <v>0</v>
      </c>
      <c r="BF34" s="93">
        <f t="shared" si="17"/>
        <v>0</v>
      </c>
      <c r="BI34" s="93">
        <f t="shared" si="18"/>
        <v>0</v>
      </c>
      <c r="BL34" s="93">
        <f t="shared" si="19"/>
        <v>0</v>
      </c>
      <c r="BO34" s="93">
        <f t="shared" si="20"/>
        <v>0</v>
      </c>
      <c r="BR34" s="93">
        <f t="shared" si="21"/>
        <v>0</v>
      </c>
      <c r="BU34" s="93">
        <f t="shared" si="22"/>
        <v>0</v>
      </c>
      <c r="BX34" s="93">
        <f t="shared" si="23"/>
        <v>0</v>
      </c>
      <c r="CA34" s="93">
        <f t="shared" si="24"/>
        <v>0</v>
      </c>
      <c r="CD34" s="93">
        <f t="shared" si="25"/>
        <v>0</v>
      </c>
      <c r="CG34" s="93">
        <f t="shared" si="26"/>
        <v>0</v>
      </c>
      <c r="CJ34" s="93">
        <f t="shared" si="27"/>
        <v>0</v>
      </c>
      <c r="CM34" s="93">
        <f t="shared" si="28"/>
        <v>0</v>
      </c>
      <c r="CP34" s="93">
        <f t="shared" si="29"/>
        <v>0</v>
      </c>
      <c r="CS34" s="93">
        <f t="shared" si="30"/>
        <v>0</v>
      </c>
      <c r="CV34" s="93">
        <f t="shared" si="31"/>
        <v>0</v>
      </c>
      <c r="CY34" s="93">
        <f t="shared" si="32"/>
        <v>0</v>
      </c>
      <c r="DB34" s="93">
        <f t="shared" si="33"/>
        <v>0</v>
      </c>
      <c r="DE34" s="93">
        <f t="shared" si="34"/>
        <v>0</v>
      </c>
      <c r="DH34" s="93">
        <f t="shared" si="35"/>
        <v>0</v>
      </c>
      <c r="DK34" s="93">
        <f t="shared" si="36"/>
        <v>0</v>
      </c>
      <c r="DN34" s="93">
        <f t="shared" si="37"/>
        <v>0</v>
      </c>
      <c r="DQ34" s="93">
        <f t="shared" si="38"/>
        <v>0</v>
      </c>
      <c r="DT34" s="93">
        <f t="shared" si="39"/>
        <v>0</v>
      </c>
      <c r="DW34" s="93">
        <f t="shared" si="40"/>
        <v>0</v>
      </c>
      <c r="DZ34" s="93"/>
      <c r="EA34" s="93"/>
      <c r="EB34" s="126">
        <f t="shared" si="41"/>
        <v>113000000</v>
      </c>
      <c r="EC34" s="126">
        <f t="shared" si="42"/>
        <v>0</v>
      </c>
      <c r="ED34" s="93">
        <f t="shared" si="43"/>
        <v>8004.166666666667</v>
      </c>
      <c r="EE34" s="94">
        <f t="shared" si="44"/>
        <v>2.5500000000000002E-2</v>
      </c>
      <c r="EG34" s="126">
        <f t="shared" si="45"/>
        <v>0</v>
      </c>
      <c r="EH34" s="93">
        <f t="shared" si="46"/>
        <v>0</v>
      </c>
      <c r="EI34" s="94">
        <f t="shared" si="47"/>
        <v>0</v>
      </c>
      <c r="EJ34" s="94"/>
      <c r="EK34" s="126">
        <f t="shared" si="48"/>
        <v>113000000</v>
      </c>
      <c r="EL34" s="126">
        <f t="shared" si="49"/>
        <v>0</v>
      </c>
      <c r="EM34" s="126">
        <f t="shared" si="50"/>
        <v>8004.166666666667</v>
      </c>
      <c r="EN34" s="94">
        <f t="shared" si="51"/>
        <v>2.5500000000000002E-2</v>
      </c>
      <c r="EP34" s="93"/>
    </row>
    <row r="35" spans="1:146" x14ac:dyDescent="0.25">
      <c r="A35" s="39">
        <f t="shared" si="52"/>
        <v>43915</v>
      </c>
      <c r="D35" s="93">
        <f t="shared" si="1"/>
        <v>0</v>
      </c>
      <c r="G35" s="93">
        <f t="shared" si="2"/>
        <v>0</v>
      </c>
      <c r="J35" s="93">
        <f t="shared" si="3"/>
        <v>0</v>
      </c>
      <c r="M35" s="93">
        <f t="shared" si="4"/>
        <v>0</v>
      </c>
      <c r="P35" s="93">
        <f t="shared" si="5"/>
        <v>0</v>
      </c>
      <c r="Q35" s="124">
        <v>130000000</v>
      </c>
      <c r="R35" s="125">
        <v>2.129E-2</v>
      </c>
      <c r="S35" s="93">
        <f t="shared" si="6"/>
        <v>7688.0555555555557</v>
      </c>
      <c r="V35" s="93">
        <f t="shared" si="7"/>
        <v>0</v>
      </c>
      <c r="Y35" s="93">
        <f t="shared" si="8"/>
        <v>0</v>
      </c>
      <c r="AB35" s="93">
        <f t="shared" si="9"/>
        <v>0</v>
      </c>
      <c r="AE35" s="93">
        <f>(AC35*AD35)/'[18]Input Sheet'!$B$11</f>
        <v>0</v>
      </c>
      <c r="AH35" s="93">
        <f>(AF35*AG35)/'[18]Input Sheet'!$B$11</f>
        <v>0</v>
      </c>
      <c r="AI35" s="124"/>
      <c r="AJ35" s="125"/>
      <c r="AK35" s="93">
        <f t="shared" si="10"/>
        <v>0</v>
      </c>
      <c r="AL35" s="124"/>
      <c r="AM35" s="125"/>
      <c r="AN35" s="93">
        <f t="shared" si="11"/>
        <v>0</v>
      </c>
      <c r="AO35" s="124"/>
      <c r="AP35" s="125"/>
      <c r="AQ35" s="93">
        <f t="shared" si="12"/>
        <v>0</v>
      </c>
      <c r="AR35" s="124"/>
      <c r="AS35" s="125"/>
      <c r="AT35" s="93">
        <f t="shared" si="13"/>
        <v>0</v>
      </c>
      <c r="AU35" s="124"/>
      <c r="AV35" s="125"/>
      <c r="AW35" s="93">
        <f t="shared" si="14"/>
        <v>0</v>
      </c>
      <c r="AZ35" s="93">
        <f t="shared" si="15"/>
        <v>0</v>
      </c>
      <c r="BC35" s="93">
        <f t="shared" si="16"/>
        <v>0</v>
      </c>
      <c r="BF35" s="93">
        <f t="shared" si="17"/>
        <v>0</v>
      </c>
      <c r="BI35" s="93">
        <f t="shared" si="18"/>
        <v>0</v>
      </c>
      <c r="BL35" s="93">
        <f t="shared" si="19"/>
        <v>0</v>
      </c>
      <c r="BO35" s="93">
        <f t="shared" si="20"/>
        <v>0</v>
      </c>
      <c r="BR35" s="93">
        <f t="shared" si="21"/>
        <v>0</v>
      </c>
      <c r="BU35" s="93">
        <f t="shared" si="22"/>
        <v>0</v>
      </c>
      <c r="BX35" s="93">
        <f t="shared" si="23"/>
        <v>0</v>
      </c>
      <c r="CA35" s="93">
        <f t="shared" si="24"/>
        <v>0</v>
      </c>
      <c r="CD35" s="93">
        <f t="shared" si="25"/>
        <v>0</v>
      </c>
      <c r="CG35" s="93">
        <f t="shared" si="26"/>
        <v>0</v>
      </c>
      <c r="CJ35" s="93">
        <f t="shared" si="27"/>
        <v>0</v>
      </c>
      <c r="CM35" s="93">
        <f t="shared" si="28"/>
        <v>0</v>
      </c>
      <c r="CP35" s="93">
        <f t="shared" si="29"/>
        <v>0</v>
      </c>
      <c r="CS35" s="93">
        <f t="shared" si="30"/>
        <v>0</v>
      </c>
      <c r="CV35" s="93">
        <f t="shared" si="31"/>
        <v>0</v>
      </c>
      <c r="CY35" s="93">
        <f t="shared" si="32"/>
        <v>0</v>
      </c>
      <c r="DB35" s="93">
        <f t="shared" si="33"/>
        <v>0</v>
      </c>
      <c r="DE35" s="93">
        <f t="shared" si="34"/>
        <v>0</v>
      </c>
      <c r="DH35" s="93">
        <f t="shared" si="35"/>
        <v>0</v>
      </c>
      <c r="DK35" s="93">
        <f t="shared" si="36"/>
        <v>0</v>
      </c>
      <c r="DN35" s="93">
        <f t="shared" si="37"/>
        <v>0</v>
      </c>
      <c r="DQ35" s="93">
        <f t="shared" si="38"/>
        <v>0</v>
      </c>
      <c r="DT35" s="93">
        <f t="shared" si="39"/>
        <v>0</v>
      </c>
      <c r="DW35" s="93">
        <f t="shared" si="40"/>
        <v>0</v>
      </c>
      <c r="DZ35" s="93"/>
      <c r="EA35" s="93"/>
      <c r="EB35" s="126">
        <f t="shared" si="41"/>
        <v>130000000</v>
      </c>
      <c r="EC35" s="126">
        <f t="shared" si="42"/>
        <v>130000000</v>
      </c>
      <c r="ED35" s="93">
        <f t="shared" si="43"/>
        <v>7688.0555555555557</v>
      </c>
      <c r="EE35" s="94">
        <f t="shared" si="44"/>
        <v>2.129E-2</v>
      </c>
      <c r="EG35" s="126">
        <f t="shared" si="45"/>
        <v>130000000</v>
      </c>
      <c r="EH35" s="93">
        <f t="shared" si="46"/>
        <v>7688.0555555555557</v>
      </c>
      <c r="EI35" s="94">
        <f t="shared" si="47"/>
        <v>2.129E-2</v>
      </c>
      <c r="EJ35" s="94"/>
      <c r="EK35" s="126">
        <f t="shared" si="48"/>
        <v>0</v>
      </c>
      <c r="EL35" s="126">
        <f t="shared" si="49"/>
        <v>0</v>
      </c>
      <c r="EM35" s="126">
        <f t="shared" si="50"/>
        <v>0</v>
      </c>
      <c r="EN35" s="94">
        <f t="shared" si="51"/>
        <v>0</v>
      </c>
      <c r="EP35" s="93"/>
    </row>
    <row r="36" spans="1:146" x14ac:dyDescent="0.25">
      <c r="A36" s="39">
        <f t="shared" si="52"/>
        <v>43916</v>
      </c>
      <c r="D36" s="93">
        <f t="shared" si="1"/>
        <v>0</v>
      </c>
      <c r="G36" s="93">
        <f t="shared" si="2"/>
        <v>0</v>
      </c>
      <c r="J36" s="93">
        <f t="shared" si="3"/>
        <v>0</v>
      </c>
      <c r="M36" s="93">
        <f t="shared" si="4"/>
        <v>0</v>
      </c>
      <c r="P36" s="93">
        <f t="shared" si="5"/>
        <v>0</v>
      </c>
      <c r="Q36" s="124">
        <v>130000000</v>
      </c>
      <c r="R36" s="125">
        <v>2.129E-2</v>
      </c>
      <c r="S36" s="93">
        <f t="shared" si="6"/>
        <v>7688.0555555555557</v>
      </c>
      <c r="V36" s="93">
        <f t="shared" si="7"/>
        <v>0</v>
      </c>
      <c r="Y36" s="93">
        <f t="shared" si="8"/>
        <v>0</v>
      </c>
      <c r="AB36" s="93">
        <f t="shared" si="9"/>
        <v>0</v>
      </c>
      <c r="AE36" s="93">
        <f>(AC36*AD36)/'[18]Input Sheet'!$B$11</f>
        <v>0</v>
      </c>
      <c r="AH36" s="93">
        <f>(AF36*AG36)/'[18]Input Sheet'!$B$11</f>
        <v>0</v>
      </c>
      <c r="AI36" s="124"/>
      <c r="AJ36" s="125"/>
      <c r="AK36" s="93">
        <f t="shared" si="10"/>
        <v>0</v>
      </c>
      <c r="AL36" s="124"/>
      <c r="AM36" s="125"/>
      <c r="AN36" s="93">
        <f t="shared" si="11"/>
        <v>0</v>
      </c>
      <c r="AO36" s="124"/>
      <c r="AP36" s="125"/>
      <c r="AQ36" s="93">
        <f t="shared" si="12"/>
        <v>0</v>
      </c>
      <c r="AR36" s="124"/>
      <c r="AS36" s="125"/>
      <c r="AT36" s="93">
        <f t="shared" si="13"/>
        <v>0</v>
      </c>
      <c r="AU36" s="124"/>
      <c r="AV36" s="125"/>
      <c r="AW36" s="93">
        <f t="shared" si="14"/>
        <v>0</v>
      </c>
      <c r="AZ36" s="93">
        <f t="shared" si="15"/>
        <v>0</v>
      </c>
      <c r="BC36" s="93">
        <f t="shared" si="16"/>
        <v>0</v>
      </c>
      <c r="BF36" s="93">
        <f t="shared" si="17"/>
        <v>0</v>
      </c>
      <c r="BI36" s="93">
        <f t="shared" si="18"/>
        <v>0</v>
      </c>
      <c r="BL36" s="93">
        <f t="shared" si="19"/>
        <v>0</v>
      </c>
      <c r="BO36" s="93">
        <f t="shared" si="20"/>
        <v>0</v>
      </c>
      <c r="BR36" s="93">
        <f t="shared" si="21"/>
        <v>0</v>
      </c>
      <c r="BU36" s="93">
        <f t="shared" si="22"/>
        <v>0</v>
      </c>
      <c r="BX36" s="93">
        <f t="shared" si="23"/>
        <v>0</v>
      </c>
      <c r="CA36" s="93">
        <f t="shared" si="24"/>
        <v>0</v>
      </c>
      <c r="CD36" s="93">
        <f t="shared" si="25"/>
        <v>0</v>
      </c>
      <c r="CG36" s="93">
        <f t="shared" si="26"/>
        <v>0</v>
      </c>
      <c r="CJ36" s="93">
        <f t="shared" si="27"/>
        <v>0</v>
      </c>
      <c r="CM36" s="93">
        <f t="shared" si="28"/>
        <v>0</v>
      </c>
      <c r="CP36" s="93">
        <f t="shared" si="29"/>
        <v>0</v>
      </c>
      <c r="CS36" s="93">
        <f t="shared" si="30"/>
        <v>0</v>
      </c>
      <c r="CV36" s="93">
        <f t="shared" si="31"/>
        <v>0</v>
      </c>
      <c r="CY36" s="93">
        <f t="shared" si="32"/>
        <v>0</v>
      </c>
      <c r="DB36" s="93">
        <f t="shared" si="33"/>
        <v>0</v>
      </c>
      <c r="DE36" s="93">
        <f t="shared" si="34"/>
        <v>0</v>
      </c>
      <c r="DH36" s="93">
        <f t="shared" si="35"/>
        <v>0</v>
      </c>
      <c r="DK36" s="93">
        <f t="shared" si="36"/>
        <v>0</v>
      </c>
      <c r="DN36" s="93">
        <f t="shared" si="37"/>
        <v>0</v>
      </c>
      <c r="DQ36" s="93">
        <f t="shared" si="38"/>
        <v>0</v>
      </c>
      <c r="DT36" s="93">
        <f t="shared" si="39"/>
        <v>0</v>
      </c>
      <c r="DW36" s="93">
        <f t="shared" si="40"/>
        <v>0</v>
      </c>
      <c r="DZ36" s="93"/>
      <c r="EA36" s="93"/>
      <c r="EB36" s="126">
        <f t="shared" si="41"/>
        <v>130000000</v>
      </c>
      <c r="EC36" s="126">
        <f t="shared" si="42"/>
        <v>130000000</v>
      </c>
      <c r="ED36" s="93">
        <f t="shared" si="43"/>
        <v>7688.0555555555557</v>
      </c>
      <c r="EE36" s="94">
        <f t="shared" si="44"/>
        <v>2.129E-2</v>
      </c>
      <c r="EG36" s="126">
        <f t="shared" si="45"/>
        <v>130000000</v>
      </c>
      <c r="EH36" s="93">
        <f t="shared" si="46"/>
        <v>7688.0555555555557</v>
      </c>
      <c r="EI36" s="94">
        <f t="shared" si="47"/>
        <v>2.129E-2</v>
      </c>
      <c r="EJ36" s="94"/>
      <c r="EK36" s="126">
        <f t="shared" si="48"/>
        <v>0</v>
      </c>
      <c r="EL36" s="126">
        <f t="shared" si="49"/>
        <v>0</v>
      </c>
      <c r="EM36" s="126">
        <f t="shared" si="50"/>
        <v>0</v>
      </c>
      <c r="EN36" s="94">
        <f t="shared" si="51"/>
        <v>0</v>
      </c>
      <c r="EP36" s="93"/>
    </row>
    <row r="37" spans="1:146" x14ac:dyDescent="0.25">
      <c r="A37" s="39">
        <f t="shared" si="52"/>
        <v>43917</v>
      </c>
      <c r="D37" s="93">
        <f t="shared" si="1"/>
        <v>0</v>
      </c>
      <c r="G37" s="93">
        <f t="shared" si="2"/>
        <v>0</v>
      </c>
      <c r="J37" s="93">
        <f t="shared" si="3"/>
        <v>0</v>
      </c>
      <c r="M37" s="93">
        <f t="shared" si="4"/>
        <v>0</v>
      </c>
      <c r="P37" s="93">
        <f t="shared" si="5"/>
        <v>0</v>
      </c>
      <c r="Q37" s="124">
        <v>130000000</v>
      </c>
      <c r="R37" s="125">
        <v>2.129E-2</v>
      </c>
      <c r="S37" s="93">
        <f t="shared" si="6"/>
        <v>7688.0555555555557</v>
      </c>
      <c r="V37" s="93">
        <f t="shared" si="7"/>
        <v>0</v>
      </c>
      <c r="Y37" s="93">
        <f t="shared" si="8"/>
        <v>0</v>
      </c>
      <c r="AB37" s="93">
        <f t="shared" si="9"/>
        <v>0</v>
      </c>
      <c r="AE37" s="93">
        <f>(AC37*AD37)/'[18]Input Sheet'!$B$11</f>
        <v>0</v>
      </c>
      <c r="AH37" s="93">
        <f>(AF37*AG37)/'[18]Input Sheet'!$B$11</f>
        <v>0</v>
      </c>
      <c r="AI37" s="124"/>
      <c r="AJ37" s="125"/>
      <c r="AK37" s="93">
        <f t="shared" si="10"/>
        <v>0</v>
      </c>
      <c r="AL37" s="124"/>
      <c r="AM37" s="125"/>
      <c r="AN37" s="93">
        <f t="shared" si="11"/>
        <v>0</v>
      </c>
      <c r="AO37" s="124"/>
      <c r="AP37" s="125"/>
      <c r="AQ37" s="93">
        <f t="shared" si="12"/>
        <v>0</v>
      </c>
      <c r="AR37" s="124"/>
      <c r="AS37" s="125"/>
      <c r="AT37" s="93">
        <f t="shared" si="13"/>
        <v>0</v>
      </c>
      <c r="AW37" s="93">
        <f t="shared" si="14"/>
        <v>0</v>
      </c>
      <c r="AZ37" s="93">
        <f t="shared" si="15"/>
        <v>0</v>
      </c>
      <c r="BC37" s="93">
        <f t="shared" si="16"/>
        <v>0</v>
      </c>
      <c r="BF37" s="93">
        <f t="shared" si="17"/>
        <v>0</v>
      </c>
      <c r="BI37" s="93">
        <f t="shared" si="18"/>
        <v>0</v>
      </c>
      <c r="BL37" s="93">
        <f t="shared" si="19"/>
        <v>0</v>
      </c>
      <c r="BO37" s="93">
        <f t="shared" si="20"/>
        <v>0</v>
      </c>
      <c r="BR37" s="93">
        <f t="shared" si="21"/>
        <v>0</v>
      </c>
      <c r="BU37" s="93">
        <f t="shared" si="22"/>
        <v>0</v>
      </c>
      <c r="BX37" s="93">
        <f t="shared" si="23"/>
        <v>0</v>
      </c>
      <c r="CA37" s="93">
        <f t="shared" si="24"/>
        <v>0</v>
      </c>
      <c r="CD37" s="93">
        <f t="shared" si="25"/>
        <v>0</v>
      </c>
      <c r="CG37" s="93">
        <f t="shared" si="26"/>
        <v>0</v>
      </c>
      <c r="CJ37" s="93">
        <f t="shared" si="27"/>
        <v>0</v>
      </c>
      <c r="CM37" s="93">
        <f t="shared" si="28"/>
        <v>0</v>
      </c>
      <c r="CP37" s="93">
        <f t="shared" si="29"/>
        <v>0</v>
      </c>
      <c r="CS37" s="93">
        <f t="shared" si="30"/>
        <v>0</v>
      </c>
      <c r="CV37" s="93">
        <f t="shared" si="31"/>
        <v>0</v>
      </c>
      <c r="CY37" s="93">
        <f t="shared" si="32"/>
        <v>0</v>
      </c>
      <c r="DB37" s="93">
        <f t="shared" si="33"/>
        <v>0</v>
      </c>
      <c r="DE37" s="93">
        <f t="shared" si="34"/>
        <v>0</v>
      </c>
      <c r="DH37" s="93">
        <f t="shared" si="35"/>
        <v>0</v>
      </c>
      <c r="DK37" s="93">
        <f t="shared" si="36"/>
        <v>0</v>
      </c>
      <c r="DN37" s="93">
        <f t="shared" si="37"/>
        <v>0</v>
      </c>
      <c r="DQ37" s="93">
        <f t="shared" si="38"/>
        <v>0</v>
      </c>
      <c r="DT37" s="93">
        <f t="shared" si="39"/>
        <v>0</v>
      </c>
      <c r="DW37" s="93">
        <f t="shared" si="40"/>
        <v>0</v>
      </c>
      <c r="DZ37" s="93"/>
      <c r="EA37" s="93"/>
      <c r="EB37" s="126">
        <f t="shared" si="41"/>
        <v>130000000</v>
      </c>
      <c r="EC37" s="126">
        <f t="shared" si="42"/>
        <v>130000000</v>
      </c>
      <c r="ED37" s="93">
        <f t="shared" si="43"/>
        <v>7688.0555555555557</v>
      </c>
      <c r="EE37" s="94">
        <f t="shared" si="44"/>
        <v>2.129E-2</v>
      </c>
      <c r="EG37" s="126">
        <f t="shared" si="45"/>
        <v>130000000</v>
      </c>
      <c r="EH37" s="93">
        <f t="shared" si="46"/>
        <v>7688.0555555555557</v>
      </c>
      <c r="EI37" s="94">
        <f t="shared" si="47"/>
        <v>2.129E-2</v>
      </c>
      <c r="EJ37" s="94"/>
      <c r="EK37" s="126">
        <f t="shared" si="48"/>
        <v>0</v>
      </c>
      <c r="EL37" s="126">
        <f t="shared" si="49"/>
        <v>0</v>
      </c>
      <c r="EM37" s="126">
        <f t="shared" si="50"/>
        <v>0</v>
      </c>
      <c r="EN37" s="94">
        <f t="shared" si="51"/>
        <v>0</v>
      </c>
      <c r="EP37" s="93"/>
    </row>
    <row r="38" spans="1:146" x14ac:dyDescent="0.25">
      <c r="A38" s="39">
        <f t="shared" si="52"/>
        <v>43918</v>
      </c>
      <c r="D38" s="93">
        <f t="shared" si="1"/>
        <v>0</v>
      </c>
      <c r="G38" s="93">
        <f t="shared" si="2"/>
        <v>0</v>
      </c>
      <c r="J38" s="93">
        <f t="shared" si="3"/>
        <v>0</v>
      </c>
      <c r="M38" s="93">
        <f t="shared" si="4"/>
        <v>0</v>
      </c>
      <c r="P38" s="93">
        <f t="shared" si="5"/>
        <v>0</v>
      </c>
      <c r="Q38" s="124">
        <v>130000000</v>
      </c>
      <c r="R38" s="125">
        <v>2.129E-2</v>
      </c>
      <c r="S38" s="93">
        <f t="shared" si="6"/>
        <v>7688.0555555555557</v>
      </c>
      <c r="V38" s="93">
        <f t="shared" si="7"/>
        <v>0</v>
      </c>
      <c r="Y38" s="93">
        <f t="shared" si="8"/>
        <v>0</v>
      </c>
      <c r="AB38" s="93">
        <f t="shared" si="9"/>
        <v>0</v>
      </c>
      <c r="AE38" s="93">
        <f>(AC38*AD38)/'[18]Input Sheet'!$B$11</f>
        <v>0</v>
      </c>
      <c r="AH38" s="93">
        <f>(AF38*AG38)/'[18]Input Sheet'!$B$11</f>
        <v>0</v>
      </c>
      <c r="AI38" s="124"/>
      <c r="AJ38" s="125"/>
      <c r="AK38" s="93">
        <f t="shared" si="10"/>
        <v>0</v>
      </c>
      <c r="AL38" s="124"/>
      <c r="AM38" s="125"/>
      <c r="AN38" s="93">
        <f t="shared" si="11"/>
        <v>0</v>
      </c>
      <c r="AO38" s="124"/>
      <c r="AP38" s="125"/>
      <c r="AQ38" s="93">
        <f t="shared" si="12"/>
        <v>0</v>
      </c>
      <c r="AR38" s="124"/>
      <c r="AS38" s="125"/>
      <c r="AT38" s="93">
        <f t="shared" si="13"/>
        <v>0</v>
      </c>
      <c r="AW38" s="93">
        <f t="shared" si="14"/>
        <v>0</v>
      </c>
      <c r="AZ38" s="93">
        <f t="shared" si="15"/>
        <v>0</v>
      </c>
      <c r="BC38" s="93">
        <f t="shared" si="16"/>
        <v>0</v>
      </c>
      <c r="BF38" s="93">
        <f t="shared" si="17"/>
        <v>0</v>
      </c>
      <c r="BI38" s="93">
        <f t="shared" si="18"/>
        <v>0</v>
      </c>
      <c r="BL38" s="93">
        <f t="shared" si="19"/>
        <v>0</v>
      </c>
      <c r="BO38" s="93">
        <f t="shared" si="20"/>
        <v>0</v>
      </c>
      <c r="BR38" s="93">
        <f t="shared" si="21"/>
        <v>0</v>
      </c>
      <c r="BU38" s="93">
        <f t="shared" si="22"/>
        <v>0</v>
      </c>
      <c r="BX38" s="93">
        <f t="shared" si="23"/>
        <v>0</v>
      </c>
      <c r="CA38" s="93">
        <f t="shared" si="24"/>
        <v>0</v>
      </c>
      <c r="CD38" s="93">
        <f t="shared" si="25"/>
        <v>0</v>
      </c>
      <c r="CG38" s="93">
        <f t="shared" si="26"/>
        <v>0</v>
      </c>
      <c r="CJ38" s="93">
        <f t="shared" si="27"/>
        <v>0</v>
      </c>
      <c r="CM38" s="93">
        <f t="shared" si="28"/>
        <v>0</v>
      </c>
      <c r="CP38" s="93">
        <f t="shared" si="29"/>
        <v>0</v>
      </c>
      <c r="CS38" s="93">
        <f t="shared" si="30"/>
        <v>0</v>
      </c>
      <c r="CV38" s="93">
        <f t="shared" si="31"/>
        <v>0</v>
      </c>
      <c r="CY38" s="93">
        <f t="shared" si="32"/>
        <v>0</v>
      </c>
      <c r="DB38" s="93">
        <f t="shared" si="33"/>
        <v>0</v>
      </c>
      <c r="DE38" s="93">
        <f t="shared" si="34"/>
        <v>0</v>
      </c>
      <c r="DH38" s="93">
        <f t="shared" si="35"/>
        <v>0</v>
      </c>
      <c r="DK38" s="93">
        <f t="shared" si="36"/>
        <v>0</v>
      </c>
      <c r="DN38" s="93">
        <f t="shared" si="37"/>
        <v>0</v>
      </c>
      <c r="DQ38" s="93">
        <f t="shared" si="38"/>
        <v>0</v>
      </c>
      <c r="DT38" s="93">
        <f t="shared" si="39"/>
        <v>0</v>
      </c>
      <c r="DW38" s="93">
        <f t="shared" si="40"/>
        <v>0</v>
      </c>
      <c r="DZ38" s="93"/>
      <c r="EA38" s="93"/>
      <c r="EB38" s="126">
        <f t="shared" si="41"/>
        <v>130000000</v>
      </c>
      <c r="EC38" s="126">
        <f t="shared" si="42"/>
        <v>130000000</v>
      </c>
      <c r="ED38" s="93">
        <f t="shared" si="43"/>
        <v>7688.0555555555557</v>
      </c>
      <c r="EE38" s="94">
        <f t="shared" si="44"/>
        <v>2.129E-2</v>
      </c>
      <c r="EG38" s="126">
        <f t="shared" si="45"/>
        <v>130000000</v>
      </c>
      <c r="EH38" s="93">
        <f t="shared" si="46"/>
        <v>7688.0555555555557</v>
      </c>
      <c r="EI38" s="94">
        <f t="shared" si="47"/>
        <v>2.129E-2</v>
      </c>
      <c r="EJ38" s="94"/>
      <c r="EK38" s="126">
        <f t="shared" si="48"/>
        <v>0</v>
      </c>
      <c r="EL38" s="126">
        <f t="shared" si="49"/>
        <v>0</v>
      </c>
      <c r="EM38" s="126">
        <f t="shared" si="50"/>
        <v>0</v>
      </c>
      <c r="EN38" s="94">
        <f t="shared" si="51"/>
        <v>0</v>
      </c>
      <c r="EP38" s="93"/>
    </row>
    <row r="39" spans="1:146" x14ac:dyDescent="0.25">
      <c r="A39" s="39">
        <f t="shared" si="52"/>
        <v>43919</v>
      </c>
      <c r="D39" s="93">
        <f t="shared" si="1"/>
        <v>0</v>
      </c>
      <c r="G39" s="93">
        <f t="shared" si="2"/>
        <v>0</v>
      </c>
      <c r="J39" s="93">
        <f t="shared" si="3"/>
        <v>0</v>
      </c>
      <c r="M39" s="93">
        <f t="shared" si="4"/>
        <v>0</v>
      </c>
      <c r="P39" s="93">
        <f t="shared" si="5"/>
        <v>0</v>
      </c>
      <c r="Q39" s="124">
        <v>130000000</v>
      </c>
      <c r="R39" s="125">
        <v>2.129E-2</v>
      </c>
      <c r="S39" s="93">
        <f t="shared" si="6"/>
        <v>7688.0555555555557</v>
      </c>
      <c r="V39" s="93">
        <f t="shared" si="7"/>
        <v>0</v>
      </c>
      <c r="Y39" s="93">
        <f t="shared" si="8"/>
        <v>0</v>
      </c>
      <c r="AB39" s="93">
        <f t="shared" si="9"/>
        <v>0</v>
      </c>
      <c r="AE39" s="93">
        <f>(AC39*AD39)/'[18]Input Sheet'!$B$11</f>
        <v>0</v>
      </c>
      <c r="AH39" s="93">
        <f>(AF39*AG39)/'[18]Input Sheet'!$B$11</f>
        <v>0</v>
      </c>
      <c r="AI39" s="124"/>
      <c r="AJ39" s="125"/>
      <c r="AK39" s="93">
        <f t="shared" si="10"/>
        <v>0</v>
      </c>
      <c r="AL39" s="124"/>
      <c r="AM39" s="125"/>
      <c r="AN39" s="93">
        <f t="shared" si="11"/>
        <v>0</v>
      </c>
      <c r="AO39" s="124"/>
      <c r="AP39" s="125"/>
      <c r="AQ39" s="93">
        <f t="shared" si="12"/>
        <v>0</v>
      </c>
      <c r="AR39" s="124"/>
      <c r="AS39" s="125"/>
      <c r="AT39" s="93">
        <f t="shared" si="13"/>
        <v>0</v>
      </c>
      <c r="AW39" s="93">
        <f t="shared" si="14"/>
        <v>0</v>
      </c>
      <c r="AZ39" s="93">
        <f t="shared" si="15"/>
        <v>0</v>
      </c>
      <c r="BC39" s="93">
        <f t="shared" si="16"/>
        <v>0</v>
      </c>
      <c r="BF39" s="93">
        <f t="shared" si="17"/>
        <v>0</v>
      </c>
      <c r="BI39" s="93">
        <f t="shared" si="18"/>
        <v>0</v>
      </c>
      <c r="BL39" s="93">
        <f t="shared" si="19"/>
        <v>0</v>
      </c>
      <c r="BO39" s="93">
        <f t="shared" si="20"/>
        <v>0</v>
      </c>
      <c r="BR39" s="93">
        <f t="shared" si="21"/>
        <v>0</v>
      </c>
      <c r="BU39" s="93">
        <f t="shared" si="22"/>
        <v>0</v>
      </c>
      <c r="BX39" s="93">
        <f t="shared" si="23"/>
        <v>0</v>
      </c>
      <c r="CA39" s="93">
        <f t="shared" si="24"/>
        <v>0</v>
      </c>
      <c r="CD39" s="93">
        <f t="shared" si="25"/>
        <v>0</v>
      </c>
      <c r="CG39" s="93">
        <f t="shared" si="26"/>
        <v>0</v>
      </c>
      <c r="CJ39" s="93">
        <f t="shared" si="27"/>
        <v>0</v>
      </c>
      <c r="CM39" s="93">
        <f t="shared" si="28"/>
        <v>0</v>
      </c>
      <c r="CP39" s="93">
        <f t="shared" si="29"/>
        <v>0</v>
      </c>
      <c r="CS39" s="93">
        <f t="shared" si="30"/>
        <v>0</v>
      </c>
      <c r="CV39" s="93">
        <f t="shared" si="31"/>
        <v>0</v>
      </c>
      <c r="CY39" s="93">
        <f t="shared" si="32"/>
        <v>0</v>
      </c>
      <c r="DB39" s="93">
        <f t="shared" si="33"/>
        <v>0</v>
      </c>
      <c r="DE39" s="93">
        <f t="shared" si="34"/>
        <v>0</v>
      </c>
      <c r="DH39" s="93">
        <f t="shared" si="35"/>
        <v>0</v>
      </c>
      <c r="DK39" s="93">
        <f t="shared" si="36"/>
        <v>0</v>
      </c>
      <c r="DN39" s="93">
        <f t="shared" si="37"/>
        <v>0</v>
      </c>
      <c r="DQ39" s="93">
        <f t="shared" si="38"/>
        <v>0</v>
      </c>
      <c r="DT39" s="93">
        <f t="shared" si="39"/>
        <v>0</v>
      </c>
      <c r="DW39" s="93">
        <f t="shared" si="40"/>
        <v>0</v>
      </c>
      <c r="DZ39" s="93"/>
      <c r="EA39" s="93"/>
      <c r="EB39" s="126">
        <f t="shared" si="41"/>
        <v>130000000</v>
      </c>
      <c r="EC39" s="126">
        <f t="shared" si="42"/>
        <v>130000000</v>
      </c>
      <c r="ED39" s="93">
        <f t="shared" si="43"/>
        <v>7688.0555555555557</v>
      </c>
      <c r="EE39" s="94">
        <f t="shared" si="44"/>
        <v>2.129E-2</v>
      </c>
      <c r="EG39" s="126">
        <f t="shared" si="45"/>
        <v>130000000</v>
      </c>
      <c r="EH39" s="93">
        <f t="shared" si="46"/>
        <v>7688.0555555555557</v>
      </c>
      <c r="EI39" s="94">
        <f t="shared" si="47"/>
        <v>2.129E-2</v>
      </c>
      <c r="EJ39" s="94"/>
      <c r="EK39" s="126">
        <f t="shared" si="48"/>
        <v>0</v>
      </c>
      <c r="EL39" s="126">
        <f t="shared" si="49"/>
        <v>0</v>
      </c>
      <c r="EM39" s="126">
        <f t="shared" si="50"/>
        <v>0</v>
      </c>
      <c r="EN39" s="94">
        <f t="shared" si="51"/>
        <v>0</v>
      </c>
      <c r="EP39" s="93"/>
    </row>
    <row r="40" spans="1:146" x14ac:dyDescent="0.25">
      <c r="A40" s="39">
        <f t="shared" si="52"/>
        <v>43920</v>
      </c>
      <c r="D40" s="93">
        <f t="shared" si="1"/>
        <v>0</v>
      </c>
      <c r="G40" s="93">
        <f t="shared" si="2"/>
        <v>0</v>
      </c>
      <c r="J40" s="93">
        <f t="shared" si="3"/>
        <v>0</v>
      </c>
      <c r="M40" s="93">
        <f t="shared" si="4"/>
        <v>0</v>
      </c>
      <c r="P40" s="93">
        <f t="shared" si="5"/>
        <v>0</v>
      </c>
      <c r="Q40" s="124">
        <v>130000000</v>
      </c>
      <c r="R40" s="125">
        <v>2.129E-2</v>
      </c>
      <c r="S40" s="93">
        <f t="shared" si="6"/>
        <v>7688.0555555555557</v>
      </c>
      <c r="V40" s="93">
        <f t="shared" si="7"/>
        <v>0</v>
      </c>
      <c r="Y40" s="93">
        <f t="shared" si="8"/>
        <v>0</v>
      </c>
      <c r="AB40" s="93">
        <f t="shared" si="9"/>
        <v>0</v>
      </c>
      <c r="AE40" s="93">
        <f>(AC40*AD40)/'[18]Input Sheet'!$B$11</f>
        <v>0</v>
      </c>
      <c r="AH40" s="93">
        <f>(AF40*AG40)/'[18]Input Sheet'!$B$11</f>
        <v>0</v>
      </c>
      <c r="AI40" s="124"/>
      <c r="AJ40" s="125"/>
      <c r="AK40" s="93">
        <f t="shared" si="10"/>
        <v>0</v>
      </c>
      <c r="AL40" s="124"/>
      <c r="AM40" s="125"/>
      <c r="AN40" s="93">
        <f t="shared" si="11"/>
        <v>0</v>
      </c>
      <c r="AO40" s="124"/>
      <c r="AP40" s="125"/>
      <c r="AQ40" s="93">
        <f t="shared" si="12"/>
        <v>0</v>
      </c>
      <c r="AR40" s="124"/>
      <c r="AS40" s="125"/>
      <c r="AT40" s="93">
        <f t="shared" si="13"/>
        <v>0</v>
      </c>
      <c r="AW40" s="93">
        <f t="shared" si="14"/>
        <v>0</v>
      </c>
      <c r="AZ40" s="93">
        <f t="shared" si="15"/>
        <v>0</v>
      </c>
      <c r="BC40" s="93">
        <f t="shared" si="16"/>
        <v>0</v>
      </c>
      <c r="BF40" s="93">
        <f t="shared" si="17"/>
        <v>0</v>
      </c>
      <c r="BI40" s="93">
        <f t="shared" si="18"/>
        <v>0</v>
      </c>
      <c r="BL40" s="93">
        <f t="shared" si="19"/>
        <v>0</v>
      </c>
      <c r="BO40" s="93">
        <f t="shared" si="20"/>
        <v>0</v>
      </c>
      <c r="BR40" s="93">
        <f t="shared" si="21"/>
        <v>0</v>
      </c>
      <c r="BU40" s="93">
        <f t="shared" si="22"/>
        <v>0</v>
      </c>
      <c r="BX40" s="93">
        <f t="shared" si="23"/>
        <v>0</v>
      </c>
      <c r="CA40" s="93">
        <f t="shared" si="24"/>
        <v>0</v>
      </c>
      <c r="CD40" s="93">
        <f t="shared" si="25"/>
        <v>0</v>
      </c>
      <c r="CG40" s="93">
        <f t="shared" si="26"/>
        <v>0</v>
      </c>
      <c r="CJ40" s="93">
        <f t="shared" si="27"/>
        <v>0</v>
      </c>
      <c r="CM40" s="93">
        <f t="shared" si="28"/>
        <v>0</v>
      </c>
      <c r="CP40" s="93">
        <f t="shared" si="29"/>
        <v>0</v>
      </c>
      <c r="CS40" s="93">
        <f t="shared" si="30"/>
        <v>0</v>
      </c>
      <c r="CV40" s="93">
        <f t="shared" si="31"/>
        <v>0</v>
      </c>
      <c r="CY40" s="93">
        <f t="shared" si="32"/>
        <v>0</v>
      </c>
      <c r="DB40" s="93">
        <f t="shared" si="33"/>
        <v>0</v>
      </c>
      <c r="DE40" s="93">
        <f t="shared" si="34"/>
        <v>0</v>
      </c>
      <c r="DH40" s="93">
        <f t="shared" si="35"/>
        <v>0</v>
      </c>
      <c r="DK40" s="93">
        <f t="shared" si="36"/>
        <v>0</v>
      </c>
      <c r="DN40" s="93">
        <f t="shared" si="37"/>
        <v>0</v>
      </c>
      <c r="DQ40" s="93">
        <f t="shared" si="38"/>
        <v>0</v>
      </c>
      <c r="DT40" s="93">
        <f t="shared" si="39"/>
        <v>0</v>
      </c>
      <c r="DW40" s="93">
        <f t="shared" si="40"/>
        <v>0</v>
      </c>
      <c r="DZ40" s="91"/>
      <c r="EA40" s="93"/>
      <c r="EB40" s="126">
        <f t="shared" si="41"/>
        <v>130000000</v>
      </c>
      <c r="EC40" s="126">
        <f t="shared" si="42"/>
        <v>130000000</v>
      </c>
      <c r="ED40" s="93">
        <f t="shared" si="43"/>
        <v>7688.0555555555557</v>
      </c>
      <c r="EE40" s="94">
        <f t="shared" si="44"/>
        <v>2.129E-2</v>
      </c>
      <c r="EG40" s="126">
        <f t="shared" si="45"/>
        <v>130000000</v>
      </c>
      <c r="EH40" s="93">
        <f t="shared" si="46"/>
        <v>7688.0555555555557</v>
      </c>
      <c r="EI40" s="94">
        <f t="shared" si="47"/>
        <v>2.129E-2</v>
      </c>
      <c r="EJ40" s="94"/>
      <c r="EK40" s="126">
        <f t="shared" si="48"/>
        <v>0</v>
      </c>
      <c r="EL40" s="126">
        <f t="shared" si="49"/>
        <v>0</v>
      </c>
      <c r="EM40" s="126">
        <f t="shared" si="50"/>
        <v>0</v>
      </c>
      <c r="EN40" s="94">
        <f t="shared" si="51"/>
        <v>0</v>
      </c>
      <c r="EP40" s="93"/>
    </row>
    <row r="41" spans="1:146" x14ac:dyDescent="0.25">
      <c r="A41" s="39">
        <f t="shared" si="52"/>
        <v>43921</v>
      </c>
      <c r="D41" s="93">
        <f t="shared" si="1"/>
        <v>0</v>
      </c>
      <c r="G41" s="93">
        <f t="shared" si="2"/>
        <v>0</v>
      </c>
      <c r="J41" s="93">
        <f t="shared" si="3"/>
        <v>0</v>
      </c>
      <c r="M41" s="93">
        <f t="shared" si="4"/>
        <v>0</v>
      </c>
      <c r="P41" s="93">
        <f t="shared" si="5"/>
        <v>0</v>
      </c>
      <c r="Q41" s="124">
        <v>130000000</v>
      </c>
      <c r="R41" s="125">
        <v>2.129E-2</v>
      </c>
      <c r="S41" s="93">
        <f t="shared" si="6"/>
        <v>7688.0555555555557</v>
      </c>
      <c r="V41" s="93">
        <f t="shared" si="7"/>
        <v>0</v>
      </c>
      <c r="Y41" s="93">
        <f t="shared" si="8"/>
        <v>0</v>
      </c>
      <c r="AB41" s="93">
        <f t="shared" si="9"/>
        <v>0</v>
      </c>
      <c r="AE41" s="93">
        <f>(AC41*AD41)/'[18]Input Sheet'!$B$11</f>
        <v>0</v>
      </c>
      <c r="AH41" s="93">
        <f>(AF41*AG41)/'[18]Input Sheet'!$B$11</f>
        <v>0</v>
      </c>
      <c r="AI41" s="124"/>
      <c r="AJ41" s="125"/>
      <c r="AK41" s="93">
        <f t="shared" si="10"/>
        <v>0</v>
      </c>
      <c r="AL41" s="124"/>
      <c r="AM41" s="125"/>
      <c r="AN41" s="93">
        <f t="shared" si="11"/>
        <v>0</v>
      </c>
      <c r="AO41" s="124"/>
      <c r="AP41" s="125"/>
      <c r="AQ41" s="93">
        <f t="shared" si="12"/>
        <v>0</v>
      </c>
      <c r="AR41" s="124"/>
      <c r="AS41" s="125"/>
      <c r="AT41" s="93">
        <f t="shared" si="13"/>
        <v>0</v>
      </c>
      <c r="AW41" s="93">
        <f t="shared" si="14"/>
        <v>0</v>
      </c>
      <c r="AZ41" s="93">
        <f t="shared" si="15"/>
        <v>0</v>
      </c>
      <c r="BC41" s="93">
        <f t="shared" si="16"/>
        <v>0</v>
      </c>
      <c r="BF41" s="93">
        <f t="shared" si="17"/>
        <v>0</v>
      </c>
      <c r="BI41" s="93">
        <f t="shared" si="18"/>
        <v>0</v>
      </c>
      <c r="BL41" s="93">
        <f t="shared" si="19"/>
        <v>0</v>
      </c>
      <c r="BO41" s="93">
        <f t="shared" si="20"/>
        <v>0</v>
      </c>
      <c r="BR41" s="93">
        <f t="shared" si="21"/>
        <v>0</v>
      </c>
      <c r="BU41" s="93">
        <f t="shared" si="22"/>
        <v>0</v>
      </c>
      <c r="BX41" s="93">
        <f t="shared" si="23"/>
        <v>0</v>
      </c>
      <c r="CA41" s="93">
        <f t="shared" si="24"/>
        <v>0</v>
      </c>
      <c r="CD41" s="93">
        <f t="shared" si="25"/>
        <v>0</v>
      </c>
      <c r="CG41" s="93">
        <f t="shared" si="26"/>
        <v>0</v>
      </c>
      <c r="CJ41" s="93">
        <f t="shared" si="27"/>
        <v>0</v>
      </c>
      <c r="CM41" s="93">
        <f t="shared" si="28"/>
        <v>0</v>
      </c>
      <c r="CP41" s="93">
        <f t="shared" si="29"/>
        <v>0</v>
      </c>
      <c r="CS41" s="93">
        <f t="shared" si="30"/>
        <v>0</v>
      </c>
      <c r="CV41" s="93">
        <f t="shared" si="31"/>
        <v>0</v>
      </c>
      <c r="CY41" s="93">
        <f t="shared" si="32"/>
        <v>0</v>
      </c>
      <c r="DB41" s="93">
        <f t="shared" si="33"/>
        <v>0</v>
      </c>
      <c r="DE41" s="93">
        <f t="shared" si="34"/>
        <v>0</v>
      </c>
      <c r="DH41" s="93">
        <f t="shared" si="35"/>
        <v>0</v>
      </c>
      <c r="DK41" s="93">
        <f t="shared" si="36"/>
        <v>0</v>
      </c>
      <c r="DN41" s="93">
        <f t="shared" si="37"/>
        <v>0</v>
      </c>
      <c r="DQ41" s="93">
        <f t="shared" si="38"/>
        <v>0</v>
      </c>
      <c r="DT41" s="93">
        <f t="shared" si="39"/>
        <v>0</v>
      </c>
      <c r="DW41" s="93">
        <f t="shared" si="40"/>
        <v>0</v>
      </c>
      <c r="DZ41" s="91"/>
      <c r="EA41" s="93"/>
      <c r="EB41" s="126">
        <f t="shared" si="41"/>
        <v>130000000</v>
      </c>
      <c r="EC41" s="126">
        <f t="shared" si="42"/>
        <v>130000000</v>
      </c>
      <c r="ED41" s="93">
        <f t="shared" si="43"/>
        <v>7688.0555555555557</v>
      </c>
      <c r="EE41" s="94">
        <f t="shared" si="44"/>
        <v>2.129E-2</v>
      </c>
      <c r="EG41" s="126">
        <f t="shared" si="45"/>
        <v>130000000</v>
      </c>
      <c r="EH41" s="93">
        <f t="shared" si="46"/>
        <v>7688.0555555555557</v>
      </c>
      <c r="EI41" s="94">
        <f t="shared" si="47"/>
        <v>2.129E-2</v>
      </c>
      <c r="EJ41" s="94"/>
      <c r="EK41" s="126">
        <f t="shared" si="48"/>
        <v>0</v>
      </c>
      <c r="EL41" s="126">
        <f t="shared" si="49"/>
        <v>0</v>
      </c>
      <c r="EM41" s="126">
        <f t="shared" si="50"/>
        <v>0</v>
      </c>
      <c r="EN41" s="94">
        <f t="shared" si="51"/>
        <v>0</v>
      </c>
      <c r="EP41" s="93"/>
    </row>
    <row r="42" spans="1:146" x14ac:dyDescent="0.25">
      <c r="A42" s="127" t="s">
        <v>88</v>
      </c>
      <c r="D42" s="128">
        <f>SUM(D11:D41)</f>
        <v>0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53816.388888888891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19622.950819672133</v>
      </c>
      <c r="AH42" s="128">
        <f>SUM(AH11:AH41)</f>
        <v>0</v>
      </c>
      <c r="AK42" s="128">
        <f>SUM(AK11:AK41)</f>
        <v>93031.618055555562</v>
      </c>
      <c r="AN42" s="128">
        <f>SUM(AN11:AN41)</f>
        <v>112733.33333333331</v>
      </c>
      <c r="AQ42" s="128">
        <f>SUM(AQ11:AQ41)</f>
        <v>80266.666666666672</v>
      </c>
      <c r="AT42" s="128">
        <f>SUM(AT11:AT41)</f>
        <v>82480.700000000026</v>
      </c>
      <c r="AW42" s="128">
        <f>SUM(AW11:AW41)</f>
        <v>107138.88888888892</v>
      </c>
      <c r="AZ42" s="128">
        <f>SUM(AZ11:AZ41)</f>
        <v>2655.9722222222222</v>
      </c>
      <c r="BC42" s="128">
        <f>SUM(BC11:BC41)</f>
        <v>3886.25</v>
      </c>
      <c r="BF42" s="128">
        <f>SUM(BF11:BF41)</f>
        <v>24105.555555555555</v>
      </c>
      <c r="BI42" s="128">
        <f>SUM(BI11:BI41)</f>
        <v>10333.333333333332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590071.65776411607</v>
      </c>
      <c r="EE42" s="94"/>
      <c r="EG42" s="93"/>
      <c r="EH42" s="128">
        <f>SUM(EH11:EH41)</f>
        <v>73439.339708561034</v>
      </c>
      <c r="EI42" s="94"/>
      <c r="EJ42" s="94"/>
      <c r="EK42" s="93"/>
      <c r="EL42" s="93"/>
      <c r="EM42" s="128">
        <f>SUM(EM11:EM41)</f>
        <v>516632.31805555552</v>
      </c>
      <c r="EN42" s="94"/>
    </row>
    <row r="44" spans="1:146" x14ac:dyDescent="0.25">
      <c r="EM44" s="129"/>
    </row>
    <row r="46" spans="1:146" x14ac:dyDescent="0.25">
      <c r="EM46" s="93"/>
    </row>
    <row r="47" spans="1:146" x14ac:dyDescent="0.25">
      <c r="EM47" s="93"/>
    </row>
    <row r="48" spans="1:146" x14ac:dyDescent="0.25">
      <c r="EM48" s="9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Q47"/>
  <sheetViews>
    <sheetView workbookViewId="0">
      <selection activeCell="B11" sqref="B11"/>
    </sheetView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customWidth="1"/>
    <col min="18" max="18" width="10.28515625" style="94" customWidth="1"/>
    <col min="19" max="19" width="11.7109375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EB40</f>
        <v>193225000</v>
      </c>
      <c r="EI2" s="91">
        <f>EG40</f>
        <v>0</v>
      </c>
      <c r="EM2" s="91"/>
      <c r="EN2" s="91">
        <f>EK40</f>
        <v>0</v>
      </c>
      <c r="EO2" s="84">
        <v>0</v>
      </c>
      <c r="EP2" s="84">
        <f>EN2+EO2</f>
        <v>0</v>
      </c>
      <c r="EQ2" s="84">
        <f>EE2+EO2</f>
        <v>193225000</v>
      </c>
    </row>
    <row r="3" spans="1:147" ht="16.5" thickTop="1" x14ac:dyDescent="0.25">
      <c r="A3" s="92" t="s">
        <v>190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AVERAGE(EB11:EB40)</f>
        <v>151063333.33333334</v>
      </c>
      <c r="EI3" s="91">
        <f>AVERAGE(EG11:EG40)</f>
        <v>21666666.666666668</v>
      </c>
      <c r="EM3" s="91"/>
      <c r="EN3" s="91">
        <f>AVERAGE(EK11:EK40)</f>
        <v>216666.66666666666</v>
      </c>
    </row>
    <row r="4" spans="1:147" x14ac:dyDescent="0.25">
      <c r="D4" s="37"/>
      <c r="E4" s="99" t="s">
        <v>114</v>
      </c>
      <c r="F4" s="91"/>
      <c r="G4" s="100">
        <f>EQ2</f>
        <v>193225000</v>
      </c>
      <c r="Q4" s="101" t="s">
        <v>117</v>
      </c>
      <c r="EB4" s="37" t="s">
        <v>118</v>
      </c>
      <c r="EC4" s="37"/>
      <c r="ED4" s="98"/>
      <c r="EE4" s="98">
        <f>IF(EE3=0,0,360*(AVERAGE(ED11:ED40)/EE3))</f>
        <v>9.3845977000816382E-3</v>
      </c>
      <c r="EI4" s="98">
        <f>IF(EI3=0,0,360*(AVERAGE(EH11:EH40)/EI3))</f>
        <v>2.129E-2</v>
      </c>
      <c r="EM4" s="98"/>
      <c r="EN4" s="98">
        <f>IF(EN3=0,0,360*(AVERAGE(EM11:EM40)/EN3))</f>
        <v>1.6E-2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151063333.33333334</v>
      </c>
      <c r="Q5" s="104" t="s">
        <v>109</v>
      </c>
      <c r="EB5" s="105" t="s">
        <v>120</v>
      </c>
      <c r="EC5" s="105"/>
      <c r="ED5" s="91"/>
      <c r="EE5" s="91">
        <f>MAX(EB11:EB40)</f>
        <v>193225000</v>
      </c>
      <c r="EI5" s="91">
        <f>MAX(EG11:EG40)</f>
        <v>130000000</v>
      </c>
      <c r="EM5" s="91"/>
      <c r="EN5" s="91">
        <f>MAX(EK11:EK40)</f>
        <v>6500000</v>
      </c>
    </row>
    <row r="6" spans="1:147" x14ac:dyDescent="0.25">
      <c r="D6" s="37"/>
      <c r="E6" s="99" t="s">
        <v>118</v>
      </c>
      <c r="F6" s="91"/>
      <c r="G6" s="106">
        <f>EE4</f>
        <v>9.3845977000816382E-3</v>
      </c>
    </row>
    <row r="7" spans="1:147" ht="16.5" thickBot="1" x14ac:dyDescent="0.3">
      <c r="D7" s="37"/>
      <c r="E7" s="107" t="s">
        <v>120</v>
      </c>
      <c r="F7" s="108"/>
      <c r="G7" s="109">
        <f>EE5</f>
        <v>193225000</v>
      </c>
      <c r="Q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43922</v>
      </c>
      <c r="B11" s="93">
        <v>5900000</v>
      </c>
      <c r="C11" s="94">
        <v>2.3061750000000002E-2</v>
      </c>
      <c r="D11" s="93">
        <f>(B11*C11)/360</f>
        <v>377.95645833333339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Q11" s="124">
        <v>130000000</v>
      </c>
      <c r="R11" s="125">
        <v>2.129E-2</v>
      </c>
      <c r="S11" s="93">
        <f>(Q11*R11)/360</f>
        <v>7688.0555555555557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(AC11*AD11)/'[19]Input Sheet'!$B$11</f>
        <v>0</v>
      </c>
      <c r="AH11" s="93">
        <f>(AF11*AG11)/'[19]Input Sheet'!$B$11</f>
        <v>0</v>
      </c>
      <c r="AI11" s="124">
        <v>6500000</v>
      </c>
      <c r="AJ11" s="125">
        <v>1.6E-2</v>
      </c>
      <c r="AK11" s="93">
        <f>(AI11*AJ11)/360</f>
        <v>288.88888888888891</v>
      </c>
      <c r="AL11" s="124"/>
      <c r="AM11" s="125"/>
      <c r="AN11" s="93">
        <f>(AL11*AM11)/360</f>
        <v>0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 t="shared" ref="EB11:EB40" si="0">B11+E11+H11+K11+N11+Q11+T11+W11+Z11+AC11+AF11+AL11+AO11+AR11+AU11+AX11+BA11+BD11+BG11+DU11+AI11+DR11+DO11+DL11+DI11+DF11+DC11+CZ11+CW11+CT11+CQ11+CN11+CK11+CH11+CE11+CB11+BY11+BV11+BS11+BP11+BM11+BJ11</f>
        <v>142400000</v>
      </c>
      <c r="EC11" s="126">
        <f>EB11-EK11+EL11</f>
        <v>135900000</v>
      </c>
      <c r="ED11" s="93">
        <f t="shared" ref="ED11:ED40" si="1">D11+G11+J11+M11+P11+S11+V11+Y11+AB11+AE11+AH11+AK11+AN11+AQ11+AT11+AW11+AZ11+BC11+BF11+BI11+DW11+DT11+DQ11+DN11+DK11+DH11+DE11+DB11+CY11+CV11+CS11+CP11+CM11+CJ11+CG11+CD11+CA11+BX11+BU11+BR11+BO11+BL11</f>
        <v>8354.9009027777774</v>
      </c>
      <c r="EE11" s="94">
        <f>IF(EB11&lt;&gt;0,((ED11/EB11)*360),0)</f>
        <v>2.1121940484550562E-2</v>
      </c>
      <c r="EG11" s="126">
        <f t="shared" ref="EG11:EG40" si="2">Q11+T11+W11+Z11+AC11+AF11</f>
        <v>130000000</v>
      </c>
      <c r="EH11" s="93">
        <f t="shared" ref="EH11:EH40" si="3">S11+V11+Y11+AB11+AE11+AH11</f>
        <v>7688.0555555555557</v>
      </c>
      <c r="EI11" s="94">
        <f>IF(EG11&lt;&gt;0,((EH11/EG11)*360),0)</f>
        <v>2.129E-2</v>
      </c>
      <c r="EJ11" s="94"/>
      <c r="EK11" s="126">
        <f>DR11+DL11+DI11+DF11+DC11+CZ11+CW11+CT11+CQ11+CN11+CK11+CH11+CE11+CB11+BY11+BV11+BS11+BP11+BM11+BJ11+BG11+BD11+BA11+AX11+AU11+AR11+AO11+AL11+AI11+DO11</f>
        <v>6500000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288.88888888888891</v>
      </c>
      <c r="EN11" s="94">
        <f>IF(EK11&lt;&gt;0,((EM11/EK11)*360),0)</f>
        <v>1.6E-2</v>
      </c>
      <c r="EP11" s="93"/>
    </row>
    <row r="12" spans="1:147" x14ac:dyDescent="0.25">
      <c r="A12" s="39">
        <f>1+A11</f>
        <v>43923</v>
      </c>
      <c r="B12" s="93">
        <v>7100000</v>
      </c>
      <c r="C12" s="94">
        <v>2.3033519999999998E-2</v>
      </c>
      <c r="D12" s="93">
        <f t="shared" ref="D12:D40" si="4">(B12*C12)/360</f>
        <v>454.2722</v>
      </c>
      <c r="G12" s="93">
        <f t="shared" ref="G12:G40" si="5">(E12*F12)/360</f>
        <v>0</v>
      </c>
      <c r="J12" s="93">
        <f t="shared" ref="J12:J40" si="6">(H12*I12)/360</f>
        <v>0</v>
      </c>
      <c r="M12" s="93">
        <f t="shared" ref="M12:M40" si="7">(K12*L12)/360</f>
        <v>0</v>
      </c>
      <c r="P12" s="93">
        <f t="shared" ref="P12:P40" si="8">(N12*O12)/360</f>
        <v>0</v>
      </c>
      <c r="Q12" s="124">
        <v>130000000</v>
      </c>
      <c r="R12" s="125">
        <v>2.129E-2</v>
      </c>
      <c r="S12" s="93">
        <f t="shared" ref="S12:S40" si="9">(Q12*R12)/360</f>
        <v>7688.0555555555557</v>
      </c>
      <c r="V12" s="93">
        <f t="shared" ref="V12:V40" si="10">(T12*U12)/360</f>
        <v>0</v>
      </c>
      <c r="Y12" s="93">
        <f t="shared" ref="Y12:Y40" si="11">(W12*X12)/360</f>
        <v>0</v>
      </c>
      <c r="AB12" s="93">
        <f t="shared" ref="AB12:AB40" si="12">(Z12*AA12)/360</f>
        <v>0</v>
      </c>
      <c r="AE12" s="93">
        <f>(AC12*AD12)/'[19]Input Sheet'!$B$11</f>
        <v>0</v>
      </c>
      <c r="AH12" s="93">
        <f>(AF12*AG12)/'[19]Input Sheet'!$B$11</f>
        <v>0</v>
      </c>
      <c r="AI12" s="124"/>
      <c r="AJ12" s="125"/>
      <c r="AK12" s="93">
        <f t="shared" ref="AK12:AK40" si="13">(AI12*AJ12)/360</f>
        <v>0</v>
      </c>
      <c r="AL12" s="124"/>
      <c r="AM12" s="125"/>
      <c r="AN12" s="93">
        <f t="shared" ref="AN12:AN40" si="14">(AL12*AM12)/360</f>
        <v>0</v>
      </c>
      <c r="AO12" s="124"/>
      <c r="AP12" s="125"/>
      <c r="AQ12" s="93">
        <f t="shared" ref="AQ12:AQ40" si="15">(AO12*AP12)/360</f>
        <v>0</v>
      </c>
      <c r="AR12" s="124"/>
      <c r="AS12" s="125"/>
      <c r="AT12" s="93">
        <f t="shared" ref="AT12:AT40" si="16">(AR12*AS12)/360</f>
        <v>0</v>
      </c>
      <c r="AW12" s="93">
        <f t="shared" ref="AW12:AW40" si="17">(AU12*AV12)/360</f>
        <v>0</v>
      </c>
      <c r="AZ12" s="93">
        <f t="shared" ref="AZ12:AZ40" si="18">(AX12*AY12)/360</f>
        <v>0</v>
      </c>
      <c r="BC12" s="93">
        <f t="shared" ref="BC12:BC40" si="19">(BA12*BB12)/360</f>
        <v>0</v>
      </c>
      <c r="BF12" s="93">
        <f t="shared" ref="BF12:BF40" si="20">(BD12*BE12)/360</f>
        <v>0</v>
      </c>
      <c r="BI12" s="93">
        <f t="shared" ref="BI12:BI40" si="21">(BG12*BH12)/360</f>
        <v>0</v>
      </c>
      <c r="BL12" s="93">
        <f t="shared" ref="BL12:BL40" si="22">(BJ12*BK12)/360</f>
        <v>0</v>
      </c>
      <c r="BO12" s="93">
        <f t="shared" ref="BO12:BO40" si="23">(BM12*BN12)/360</f>
        <v>0</v>
      </c>
      <c r="BR12" s="93">
        <f t="shared" ref="BR12:BR40" si="24">(BP12*BQ12)/360</f>
        <v>0</v>
      </c>
      <c r="BU12" s="93">
        <f t="shared" ref="BU12:BU40" si="25">(BS12*BT12)/360</f>
        <v>0</v>
      </c>
      <c r="BX12" s="93">
        <f t="shared" ref="BX12:BX40" si="26">(BV12*BW12)/360</f>
        <v>0</v>
      </c>
      <c r="CA12" s="93">
        <f t="shared" ref="CA12:CA40" si="27">(BY12*BZ12)/360</f>
        <v>0</v>
      </c>
      <c r="CD12" s="93">
        <f t="shared" ref="CD12:CD40" si="28">(CB12*CC12)/360</f>
        <v>0</v>
      </c>
      <c r="CG12" s="93">
        <f t="shared" ref="CG12:CG40" si="29">(CE12*CF12)/360</f>
        <v>0</v>
      </c>
      <c r="CJ12" s="93">
        <f t="shared" ref="CJ12:CJ40" si="30">(CH12*CI12)/360</f>
        <v>0</v>
      </c>
      <c r="CM12" s="93">
        <f t="shared" ref="CM12:CM40" si="31">(CK12*CL12)/360</f>
        <v>0</v>
      </c>
      <c r="CP12" s="93">
        <f t="shared" ref="CP12:CP40" si="32">(CN12*CO12)/360</f>
        <v>0</v>
      </c>
      <c r="CS12" s="93">
        <f t="shared" ref="CS12:CS40" si="33">(CQ12*CR12)/360</f>
        <v>0</v>
      </c>
      <c r="CV12" s="93">
        <f t="shared" ref="CV12:CV40" si="34">(CT12*CU12)/360</f>
        <v>0</v>
      </c>
      <c r="CY12" s="93">
        <f t="shared" ref="CY12:CY40" si="35">(CW12*CX12)/360</f>
        <v>0</v>
      </c>
      <c r="DB12" s="93">
        <f t="shared" ref="DB12:DB40" si="36">(CZ12*DA12)/360</f>
        <v>0</v>
      </c>
      <c r="DE12" s="93">
        <f t="shared" ref="DE12:DE40" si="37">(DC12*DD12)/360</f>
        <v>0</v>
      </c>
      <c r="DH12" s="93">
        <f t="shared" ref="DH12:DH40" si="38">(DF12*DG12)/360</f>
        <v>0</v>
      </c>
      <c r="DK12" s="93">
        <f t="shared" ref="DK12:DK40" si="39">(DI12*DJ12)/360</f>
        <v>0</v>
      </c>
      <c r="DN12" s="93">
        <f t="shared" ref="DN12:DN40" si="40">(DL12*DM12)/360</f>
        <v>0</v>
      </c>
      <c r="DQ12" s="93">
        <f t="shared" ref="DQ12:DQ40" si="41">(DO12*DP12)/360</f>
        <v>0</v>
      </c>
      <c r="DT12" s="93">
        <f t="shared" ref="DT12:DT40" si="42">(DR12*DS12)/360</f>
        <v>0</v>
      </c>
      <c r="DW12" s="93">
        <f t="shared" ref="DW12:DW40" si="43">(DU12*DV12)/360</f>
        <v>0</v>
      </c>
      <c r="DZ12" s="93"/>
      <c r="EA12" s="93"/>
      <c r="EB12" s="126">
        <f t="shared" si="0"/>
        <v>137100000</v>
      </c>
      <c r="EC12" s="126">
        <f t="shared" ref="EC12:EC40" si="44">EB12-EK12+EL12</f>
        <v>137100000</v>
      </c>
      <c r="ED12" s="93">
        <f t="shared" si="1"/>
        <v>8142.327755555556</v>
      </c>
      <c r="EE12" s="94">
        <f t="shared" ref="EE12:EE40" si="45">IF(EB12&lt;&gt;0,((ED12/EB12)*360),0)</f>
        <v>2.1380291699489427E-2</v>
      </c>
      <c r="EG12" s="126">
        <f t="shared" si="2"/>
        <v>130000000</v>
      </c>
      <c r="EH12" s="93">
        <f t="shared" si="3"/>
        <v>7688.0555555555557</v>
      </c>
      <c r="EI12" s="94">
        <f t="shared" ref="EI12:EI40" si="46">IF(EG12&lt;&gt;0,((EH12/EG12)*360),0)</f>
        <v>2.129E-2</v>
      </c>
      <c r="EJ12" s="94"/>
      <c r="EK12" s="126">
        <f t="shared" ref="EK12:EK40" si="47">DR12+DL12+DI12+DF12+DC12+CZ12+CW12+CT12+CQ12+CN12+CK12+CH12+CE12+CB12+BY12+BV12+BS12+BP12+BM12+BJ12+BG12+BD12+BA12+AX12+AU12+AR12+AO12+AL12+AI12+DO12</f>
        <v>0</v>
      </c>
      <c r="EL12" s="126">
        <f t="shared" ref="EL12:EL40" si="48">DX12</f>
        <v>0</v>
      </c>
      <c r="EM12" s="126">
        <f t="shared" ref="EM12:EM40" si="49">DT12+DQ12+DN12+DK12+DH12+DE12+DB12+CY12+CV12+CS12+CP12+CM12+CJ12+CG12+CD12+CA12+BX12+BU12+BR12+BO12+BL12+BI12+BF12+BC12+AZ12+AW12+AT12+AQ12+AN12+AK12</f>
        <v>0</v>
      </c>
      <c r="EN12" s="94">
        <f t="shared" ref="EN12:EN40" si="50">IF(EK12&lt;&gt;0,((EM12/EK12)*360),0)</f>
        <v>0</v>
      </c>
      <c r="EP12" s="93"/>
    </row>
    <row r="13" spans="1:147" x14ac:dyDescent="0.25">
      <c r="A13" s="39">
        <f t="shared" ref="A13:A40" si="51">1+A12</f>
        <v>43924</v>
      </c>
      <c r="B13" s="93">
        <v>10100000</v>
      </c>
      <c r="C13" s="94">
        <v>2.0539999999999999E-2</v>
      </c>
      <c r="D13" s="93">
        <f t="shared" si="4"/>
        <v>576.26111111111106</v>
      </c>
      <c r="G13" s="93">
        <f t="shared" si="5"/>
        <v>0</v>
      </c>
      <c r="J13" s="93">
        <f t="shared" si="6"/>
        <v>0</v>
      </c>
      <c r="M13" s="93">
        <f t="shared" si="7"/>
        <v>0</v>
      </c>
      <c r="P13" s="93">
        <f t="shared" si="8"/>
        <v>0</v>
      </c>
      <c r="Q13" s="124">
        <v>130000000</v>
      </c>
      <c r="R13" s="125">
        <v>2.129E-2</v>
      </c>
      <c r="S13" s="93">
        <f t="shared" si="9"/>
        <v>7688.0555555555557</v>
      </c>
      <c r="V13" s="93">
        <f t="shared" si="10"/>
        <v>0</v>
      </c>
      <c r="Y13" s="93">
        <f t="shared" si="11"/>
        <v>0</v>
      </c>
      <c r="AB13" s="93">
        <f t="shared" si="12"/>
        <v>0</v>
      </c>
      <c r="AE13" s="93">
        <f>(AC13*AD13)/'[19]Input Sheet'!$B$11</f>
        <v>0</v>
      </c>
      <c r="AH13" s="93">
        <f>(AF13*AG13)/'[19]Input Sheet'!$B$11</f>
        <v>0</v>
      </c>
      <c r="AI13" s="124"/>
      <c r="AJ13" s="125"/>
      <c r="AK13" s="93">
        <f t="shared" si="13"/>
        <v>0</v>
      </c>
      <c r="AL13" s="124"/>
      <c r="AM13" s="125"/>
      <c r="AN13" s="93">
        <f t="shared" si="14"/>
        <v>0</v>
      </c>
      <c r="AO13" s="124"/>
      <c r="AP13" s="125"/>
      <c r="AQ13" s="93">
        <f t="shared" si="15"/>
        <v>0</v>
      </c>
      <c r="AR13" s="124"/>
      <c r="AS13" s="125"/>
      <c r="AT13" s="93">
        <f t="shared" si="16"/>
        <v>0</v>
      </c>
      <c r="AW13" s="93">
        <f t="shared" si="17"/>
        <v>0</v>
      </c>
      <c r="AZ13" s="93">
        <f t="shared" si="18"/>
        <v>0</v>
      </c>
      <c r="BC13" s="93">
        <f t="shared" si="19"/>
        <v>0</v>
      </c>
      <c r="BF13" s="93">
        <f t="shared" si="20"/>
        <v>0</v>
      </c>
      <c r="BI13" s="93">
        <f t="shared" si="21"/>
        <v>0</v>
      </c>
      <c r="BL13" s="93">
        <f t="shared" si="22"/>
        <v>0</v>
      </c>
      <c r="BO13" s="93">
        <f t="shared" si="23"/>
        <v>0</v>
      </c>
      <c r="BR13" s="93">
        <f t="shared" si="24"/>
        <v>0</v>
      </c>
      <c r="BU13" s="93">
        <f t="shared" si="25"/>
        <v>0</v>
      </c>
      <c r="BX13" s="93">
        <f t="shared" si="26"/>
        <v>0</v>
      </c>
      <c r="CA13" s="93">
        <f t="shared" si="27"/>
        <v>0</v>
      </c>
      <c r="CD13" s="93">
        <f t="shared" si="28"/>
        <v>0</v>
      </c>
      <c r="CG13" s="93">
        <f t="shared" si="29"/>
        <v>0</v>
      </c>
      <c r="CJ13" s="93">
        <f t="shared" si="30"/>
        <v>0</v>
      </c>
      <c r="CM13" s="93">
        <f t="shared" si="31"/>
        <v>0</v>
      </c>
      <c r="CP13" s="93">
        <f t="shared" si="32"/>
        <v>0</v>
      </c>
      <c r="CS13" s="93">
        <f t="shared" si="33"/>
        <v>0</v>
      </c>
      <c r="CV13" s="93">
        <f t="shared" si="34"/>
        <v>0</v>
      </c>
      <c r="CY13" s="93">
        <f t="shared" si="35"/>
        <v>0</v>
      </c>
      <c r="DB13" s="93">
        <f t="shared" si="36"/>
        <v>0</v>
      </c>
      <c r="DE13" s="93">
        <f t="shared" si="37"/>
        <v>0</v>
      </c>
      <c r="DH13" s="93">
        <f t="shared" si="38"/>
        <v>0</v>
      </c>
      <c r="DK13" s="93">
        <f t="shared" si="39"/>
        <v>0</v>
      </c>
      <c r="DN13" s="93">
        <f t="shared" si="40"/>
        <v>0</v>
      </c>
      <c r="DQ13" s="93">
        <f t="shared" si="41"/>
        <v>0</v>
      </c>
      <c r="DT13" s="93">
        <f t="shared" si="42"/>
        <v>0</v>
      </c>
      <c r="DW13" s="93">
        <f t="shared" si="43"/>
        <v>0</v>
      </c>
      <c r="DZ13" s="93"/>
      <c r="EA13" s="93"/>
      <c r="EB13" s="126">
        <f t="shared" si="0"/>
        <v>140100000</v>
      </c>
      <c r="EC13" s="126">
        <f t="shared" si="44"/>
        <v>140100000</v>
      </c>
      <c r="ED13" s="93">
        <f t="shared" si="1"/>
        <v>8264.3166666666675</v>
      </c>
      <c r="EE13" s="94">
        <f t="shared" si="45"/>
        <v>2.1235931477516061E-2</v>
      </c>
      <c r="EG13" s="126">
        <f t="shared" si="2"/>
        <v>130000000</v>
      </c>
      <c r="EH13" s="93">
        <f t="shared" si="3"/>
        <v>7688.0555555555557</v>
      </c>
      <c r="EI13" s="94">
        <f t="shared" si="46"/>
        <v>2.129E-2</v>
      </c>
      <c r="EJ13" s="94"/>
      <c r="EK13" s="126">
        <f t="shared" si="47"/>
        <v>0</v>
      </c>
      <c r="EL13" s="126">
        <f t="shared" si="48"/>
        <v>0</v>
      </c>
      <c r="EM13" s="126">
        <f t="shared" si="49"/>
        <v>0</v>
      </c>
      <c r="EN13" s="94">
        <f t="shared" si="50"/>
        <v>0</v>
      </c>
      <c r="EP13" s="93"/>
    </row>
    <row r="14" spans="1:147" x14ac:dyDescent="0.25">
      <c r="A14" s="39">
        <f t="shared" si="51"/>
        <v>43925</v>
      </c>
      <c r="B14" s="93">
        <v>10100000</v>
      </c>
      <c r="C14" s="94">
        <v>2.0539999999999999E-2</v>
      </c>
      <c r="D14" s="93">
        <f t="shared" si="4"/>
        <v>576.26111111111106</v>
      </c>
      <c r="G14" s="93">
        <f t="shared" si="5"/>
        <v>0</v>
      </c>
      <c r="J14" s="93">
        <f t="shared" si="6"/>
        <v>0</v>
      </c>
      <c r="M14" s="93">
        <f t="shared" si="7"/>
        <v>0</v>
      </c>
      <c r="P14" s="93">
        <f t="shared" si="8"/>
        <v>0</v>
      </c>
      <c r="Q14" s="124">
        <v>130000000</v>
      </c>
      <c r="R14" s="125">
        <v>2.129E-2</v>
      </c>
      <c r="S14" s="93">
        <f t="shared" si="9"/>
        <v>7688.0555555555557</v>
      </c>
      <c r="V14" s="93">
        <f t="shared" si="10"/>
        <v>0</v>
      </c>
      <c r="Y14" s="93">
        <f t="shared" si="11"/>
        <v>0</v>
      </c>
      <c r="AB14" s="93">
        <f t="shared" si="12"/>
        <v>0</v>
      </c>
      <c r="AE14" s="93">
        <f>(AC14*AD14)/'[19]Input Sheet'!$B$11</f>
        <v>0</v>
      </c>
      <c r="AH14" s="93">
        <f>(AF14*AG14)/'[19]Input Sheet'!$B$11</f>
        <v>0</v>
      </c>
      <c r="AI14" s="124"/>
      <c r="AJ14" s="125"/>
      <c r="AK14" s="93">
        <f t="shared" si="13"/>
        <v>0</v>
      </c>
      <c r="AL14" s="124"/>
      <c r="AM14" s="125"/>
      <c r="AN14" s="93">
        <f t="shared" si="14"/>
        <v>0</v>
      </c>
      <c r="AO14" s="124"/>
      <c r="AP14" s="125"/>
      <c r="AQ14" s="93">
        <f t="shared" si="15"/>
        <v>0</v>
      </c>
      <c r="AR14" s="124"/>
      <c r="AS14" s="125"/>
      <c r="AT14" s="93">
        <f t="shared" si="16"/>
        <v>0</v>
      </c>
      <c r="AW14" s="93">
        <f t="shared" si="17"/>
        <v>0</v>
      </c>
      <c r="AZ14" s="93">
        <f t="shared" si="18"/>
        <v>0</v>
      </c>
      <c r="BC14" s="93">
        <f t="shared" si="19"/>
        <v>0</v>
      </c>
      <c r="BF14" s="93">
        <f t="shared" si="20"/>
        <v>0</v>
      </c>
      <c r="BI14" s="93">
        <f t="shared" si="21"/>
        <v>0</v>
      </c>
      <c r="BL14" s="93">
        <f t="shared" si="22"/>
        <v>0</v>
      </c>
      <c r="BO14" s="93">
        <f t="shared" si="23"/>
        <v>0</v>
      </c>
      <c r="BR14" s="93">
        <f t="shared" si="24"/>
        <v>0</v>
      </c>
      <c r="BU14" s="93">
        <f t="shared" si="25"/>
        <v>0</v>
      </c>
      <c r="BX14" s="93">
        <f t="shared" si="26"/>
        <v>0</v>
      </c>
      <c r="CA14" s="93">
        <f t="shared" si="27"/>
        <v>0</v>
      </c>
      <c r="CD14" s="93">
        <f t="shared" si="28"/>
        <v>0</v>
      </c>
      <c r="CG14" s="93">
        <f t="shared" si="29"/>
        <v>0</v>
      </c>
      <c r="CJ14" s="93">
        <f t="shared" si="30"/>
        <v>0</v>
      </c>
      <c r="CM14" s="93">
        <f t="shared" si="31"/>
        <v>0</v>
      </c>
      <c r="CP14" s="93">
        <f t="shared" si="32"/>
        <v>0</v>
      </c>
      <c r="CS14" s="93">
        <f t="shared" si="33"/>
        <v>0</v>
      </c>
      <c r="CV14" s="93">
        <f t="shared" si="34"/>
        <v>0</v>
      </c>
      <c r="CY14" s="93">
        <f t="shared" si="35"/>
        <v>0</v>
      </c>
      <c r="DB14" s="93">
        <f t="shared" si="36"/>
        <v>0</v>
      </c>
      <c r="DE14" s="93">
        <f t="shared" si="37"/>
        <v>0</v>
      </c>
      <c r="DH14" s="93">
        <f t="shared" si="38"/>
        <v>0</v>
      </c>
      <c r="DK14" s="93">
        <f t="shared" si="39"/>
        <v>0</v>
      </c>
      <c r="DN14" s="93">
        <f t="shared" si="40"/>
        <v>0</v>
      </c>
      <c r="DQ14" s="93">
        <f t="shared" si="41"/>
        <v>0</v>
      </c>
      <c r="DT14" s="93">
        <f t="shared" si="42"/>
        <v>0</v>
      </c>
      <c r="DW14" s="93">
        <f t="shared" si="43"/>
        <v>0</v>
      </c>
      <c r="DZ14" s="93"/>
      <c r="EA14" s="93"/>
      <c r="EB14" s="126">
        <f t="shared" si="0"/>
        <v>140100000</v>
      </c>
      <c r="EC14" s="126">
        <f t="shared" si="44"/>
        <v>140100000</v>
      </c>
      <c r="ED14" s="93">
        <f t="shared" si="1"/>
        <v>8264.3166666666675</v>
      </c>
      <c r="EE14" s="94">
        <f t="shared" si="45"/>
        <v>2.1235931477516061E-2</v>
      </c>
      <c r="EG14" s="126">
        <f t="shared" si="2"/>
        <v>130000000</v>
      </c>
      <c r="EH14" s="93">
        <f t="shared" si="3"/>
        <v>7688.0555555555557</v>
      </c>
      <c r="EI14" s="94">
        <f t="shared" si="46"/>
        <v>2.129E-2</v>
      </c>
      <c r="EJ14" s="94"/>
      <c r="EK14" s="126">
        <f t="shared" si="47"/>
        <v>0</v>
      </c>
      <c r="EL14" s="126">
        <f t="shared" si="48"/>
        <v>0</v>
      </c>
      <c r="EM14" s="126">
        <f t="shared" si="49"/>
        <v>0</v>
      </c>
      <c r="EN14" s="94">
        <f t="shared" si="50"/>
        <v>0</v>
      </c>
      <c r="EP14" s="93"/>
    </row>
    <row r="15" spans="1:147" x14ac:dyDescent="0.25">
      <c r="A15" s="39">
        <f t="shared" si="51"/>
        <v>43926</v>
      </c>
      <c r="B15" s="93">
        <v>10100000</v>
      </c>
      <c r="C15" s="94">
        <v>2.0539999999999999E-2</v>
      </c>
      <c r="D15" s="93">
        <f t="shared" si="4"/>
        <v>576.26111111111106</v>
      </c>
      <c r="G15" s="93">
        <f t="shared" si="5"/>
        <v>0</v>
      </c>
      <c r="J15" s="93">
        <f t="shared" si="6"/>
        <v>0</v>
      </c>
      <c r="M15" s="93">
        <f t="shared" si="7"/>
        <v>0</v>
      </c>
      <c r="P15" s="93">
        <f t="shared" si="8"/>
        <v>0</v>
      </c>
      <c r="Q15" s="124">
        <v>130000000</v>
      </c>
      <c r="R15" s="125">
        <v>2.129E-2</v>
      </c>
      <c r="S15" s="93">
        <f t="shared" si="9"/>
        <v>7688.0555555555557</v>
      </c>
      <c r="V15" s="93">
        <f t="shared" si="10"/>
        <v>0</v>
      </c>
      <c r="Y15" s="93">
        <f t="shared" si="11"/>
        <v>0</v>
      </c>
      <c r="AB15" s="93">
        <f t="shared" si="12"/>
        <v>0</v>
      </c>
      <c r="AE15" s="93">
        <f>(AC15*AD15)/'[19]Input Sheet'!$B$11</f>
        <v>0</v>
      </c>
      <c r="AH15" s="93">
        <f>(AF15*AG15)/'[19]Input Sheet'!$B$11</f>
        <v>0</v>
      </c>
      <c r="AI15" s="124"/>
      <c r="AJ15" s="125"/>
      <c r="AK15" s="93">
        <f t="shared" si="13"/>
        <v>0</v>
      </c>
      <c r="AL15" s="124"/>
      <c r="AM15" s="125"/>
      <c r="AN15" s="93">
        <f t="shared" si="14"/>
        <v>0</v>
      </c>
      <c r="AO15" s="124"/>
      <c r="AP15" s="125"/>
      <c r="AQ15" s="93">
        <f t="shared" si="15"/>
        <v>0</v>
      </c>
      <c r="AR15" s="124"/>
      <c r="AS15" s="125"/>
      <c r="AT15" s="93">
        <f t="shared" si="16"/>
        <v>0</v>
      </c>
      <c r="AW15" s="93">
        <f t="shared" si="17"/>
        <v>0</v>
      </c>
      <c r="AZ15" s="93">
        <f t="shared" si="18"/>
        <v>0</v>
      </c>
      <c r="BC15" s="93">
        <f t="shared" si="19"/>
        <v>0</v>
      </c>
      <c r="BF15" s="93">
        <f t="shared" si="20"/>
        <v>0</v>
      </c>
      <c r="BI15" s="93">
        <f t="shared" si="21"/>
        <v>0</v>
      </c>
      <c r="BL15" s="93">
        <f t="shared" si="22"/>
        <v>0</v>
      </c>
      <c r="BO15" s="93">
        <f t="shared" si="23"/>
        <v>0</v>
      </c>
      <c r="BR15" s="93">
        <f t="shared" si="24"/>
        <v>0</v>
      </c>
      <c r="BU15" s="93">
        <f t="shared" si="25"/>
        <v>0</v>
      </c>
      <c r="BX15" s="93">
        <f t="shared" si="26"/>
        <v>0</v>
      </c>
      <c r="CA15" s="93">
        <f t="shared" si="27"/>
        <v>0</v>
      </c>
      <c r="CD15" s="93">
        <f t="shared" si="28"/>
        <v>0</v>
      </c>
      <c r="CG15" s="93">
        <f t="shared" si="29"/>
        <v>0</v>
      </c>
      <c r="CJ15" s="93">
        <f t="shared" si="30"/>
        <v>0</v>
      </c>
      <c r="CM15" s="93">
        <f t="shared" si="31"/>
        <v>0</v>
      </c>
      <c r="CP15" s="93">
        <f t="shared" si="32"/>
        <v>0</v>
      </c>
      <c r="CS15" s="93">
        <f t="shared" si="33"/>
        <v>0</v>
      </c>
      <c r="CV15" s="93">
        <f t="shared" si="34"/>
        <v>0</v>
      </c>
      <c r="CY15" s="93">
        <f t="shared" si="35"/>
        <v>0</v>
      </c>
      <c r="DB15" s="93">
        <f t="shared" si="36"/>
        <v>0</v>
      </c>
      <c r="DE15" s="93">
        <f t="shared" si="37"/>
        <v>0</v>
      </c>
      <c r="DH15" s="93">
        <f t="shared" si="38"/>
        <v>0</v>
      </c>
      <c r="DK15" s="93">
        <f t="shared" si="39"/>
        <v>0</v>
      </c>
      <c r="DN15" s="93">
        <f t="shared" si="40"/>
        <v>0</v>
      </c>
      <c r="DQ15" s="93">
        <f t="shared" si="41"/>
        <v>0</v>
      </c>
      <c r="DT15" s="93">
        <f t="shared" si="42"/>
        <v>0</v>
      </c>
      <c r="DW15" s="93">
        <f t="shared" si="43"/>
        <v>0</v>
      </c>
      <c r="DZ15" s="93"/>
      <c r="EA15" s="93"/>
      <c r="EB15" s="126">
        <f t="shared" si="0"/>
        <v>140100000</v>
      </c>
      <c r="EC15" s="126">
        <f t="shared" si="44"/>
        <v>140100000</v>
      </c>
      <c r="ED15" s="93">
        <f t="shared" si="1"/>
        <v>8264.3166666666675</v>
      </c>
      <c r="EE15" s="94">
        <f t="shared" si="45"/>
        <v>2.1235931477516061E-2</v>
      </c>
      <c r="EG15" s="126">
        <f t="shared" si="2"/>
        <v>130000000</v>
      </c>
      <c r="EH15" s="93">
        <f t="shared" si="3"/>
        <v>7688.0555555555557</v>
      </c>
      <c r="EI15" s="94">
        <f t="shared" si="46"/>
        <v>2.129E-2</v>
      </c>
      <c r="EJ15" s="94"/>
      <c r="EK15" s="126">
        <f t="shared" si="47"/>
        <v>0</v>
      </c>
      <c r="EL15" s="126">
        <f t="shared" si="48"/>
        <v>0</v>
      </c>
      <c r="EM15" s="126">
        <f t="shared" si="49"/>
        <v>0</v>
      </c>
      <c r="EN15" s="94">
        <f t="shared" si="50"/>
        <v>0</v>
      </c>
      <c r="EP15" s="93"/>
    </row>
    <row r="16" spans="1:147" x14ac:dyDescent="0.25">
      <c r="A16" s="39">
        <f t="shared" si="51"/>
        <v>43927</v>
      </c>
      <c r="B16" s="93">
        <v>138825000</v>
      </c>
      <c r="C16" s="94">
        <v>2.0539999999999999E-2</v>
      </c>
      <c r="D16" s="93">
        <f t="shared" si="4"/>
        <v>7920.7375000000002</v>
      </c>
      <c r="G16" s="93">
        <f t="shared" si="5"/>
        <v>0</v>
      </c>
      <c r="J16" s="93">
        <f t="shared" si="6"/>
        <v>0</v>
      </c>
      <c r="M16" s="93">
        <f t="shared" si="7"/>
        <v>0</v>
      </c>
      <c r="P16" s="93">
        <f t="shared" si="8"/>
        <v>0</v>
      </c>
      <c r="S16" s="93">
        <f t="shared" si="9"/>
        <v>0</v>
      </c>
      <c r="V16" s="93">
        <f t="shared" si="10"/>
        <v>0</v>
      </c>
      <c r="Y16" s="93">
        <f t="shared" si="11"/>
        <v>0</v>
      </c>
      <c r="AB16" s="93">
        <f t="shared" si="12"/>
        <v>0</v>
      </c>
      <c r="AE16" s="93">
        <f>(AC16*AD16)/'[19]Input Sheet'!$B$11</f>
        <v>0</v>
      </c>
      <c r="AH16" s="93">
        <f>(AF16*AG16)/'[19]Input Sheet'!$B$11</f>
        <v>0</v>
      </c>
      <c r="AI16" s="124"/>
      <c r="AJ16" s="125"/>
      <c r="AK16" s="93">
        <f t="shared" si="13"/>
        <v>0</v>
      </c>
      <c r="AL16" s="124"/>
      <c r="AM16" s="125"/>
      <c r="AN16" s="93">
        <f t="shared" si="14"/>
        <v>0</v>
      </c>
      <c r="AO16" s="124"/>
      <c r="AP16" s="125"/>
      <c r="AQ16" s="93">
        <f t="shared" si="15"/>
        <v>0</v>
      </c>
      <c r="AR16" s="124"/>
      <c r="AS16" s="125"/>
      <c r="AT16" s="93">
        <f t="shared" si="16"/>
        <v>0</v>
      </c>
      <c r="AW16" s="93">
        <f t="shared" si="17"/>
        <v>0</v>
      </c>
      <c r="AZ16" s="93">
        <f t="shared" si="18"/>
        <v>0</v>
      </c>
      <c r="BC16" s="93">
        <f t="shared" si="19"/>
        <v>0</v>
      </c>
      <c r="BF16" s="93">
        <f t="shared" si="20"/>
        <v>0</v>
      </c>
      <c r="BI16" s="93">
        <f t="shared" si="21"/>
        <v>0</v>
      </c>
      <c r="BL16" s="93">
        <f t="shared" si="22"/>
        <v>0</v>
      </c>
      <c r="BO16" s="93">
        <f t="shared" si="23"/>
        <v>0</v>
      </c>
      <c r="BR16" s="93">
        <f t="shared" si="24"/>
        <v>0</v>
      </c>
      <c r="BU16" s="93">
        <f t="shared" si="25"/>
        <v>0</v>
      </c>
      <c r="BX16" s="93">
        <f t="shared" si="26"/>
        <v>0</v>
      </c>
      <c r="CA16" s="93">
        <f t="shared" si="27"/>
        <v>0</v>
      </c>
      <c r="CD16" s="93">
        <f t="shared" si="28"/>
        <v>0</v>
      </c>
      <c r="CG16" s="93">
        <f t="shared" si="29"/>
        <v>0</v>
      </c>
      <c r="CJ16" s="93">
        <f t="shared" si="30"/>
        <v>0</v>
      </c>
      <c r="CM16" s="93">
        <f t="shared" si="31"/>
        <v>0</v>
      </c>
      <c r="CP16" s="93">
        <f t="shared" si="32"/>
        <v>0</v>
      </c>
      <c r="CS16" s="93">
        <f t="shared" si="33"/>
        <v>0</v>
      </c>
      <c r="CV16" s="93">
        <f t="shared" si="34"/>
        <v>0</v>
      </c>
      <c r="CY16" s="93">
        <f t="shared" si="35"/>
        <v>0</v>
      </c>
      <c r="DB16" s="93">
        <f t="shared" si="36"/>
        <v>0</v>
      </c>
      <c r="DE16" s="93">
        <f t="shared" si="37"/>
        <v>0</v>
      </c>
      <c r="DH16" s="93">
        <f t="shared" si="38"/>
        <v>0</v>
      </c>
      <c r="DK16" s="93">
        <f t="shared" si="39"/>
        <v>0</v>
      </c>
      <c r="DN16" s="93">
        <f t="shared" si="40"/>
        <v>0</v>
      </c>
      <c r="DQ16" s="93">
        <f t="shared" si="41"/>
        <v>0</v>
      </c>
      <c r="DT16" s="93">
        <f t="shared" si="42"/>
        <v>0</v>
      </c>
      <c r="DW16" s="93">
        <f t="shared" si="43"/>
        <v>0</v>
      </c>
      <c r="DZ16" s="93"/>
      <c r="EA16" s="93"/>
      <c r="EB16" s="126">
        <f t="shared" si="0"/>
        <v>138825000</v>
      </c>
      <c r="EC16" s="126">
        <f t="shared" si="44"/>
        <v>138825000</v>
      </c>
      <c r="ED16" s="93">
        <f t="shared" si="1"/>
        <v>7920.7375000000002</v>
      </c>
      <c r="EE16" s="94">
        <f t="shared" si="45"/>
        <v>2.0539999999999999E-2</v>
      </c>
      <c r="EG16" s="126">
        <f t="shared" si="2"/>
        <v>0</v>
      </c>
      <c r="EH16" s="93">
        <f t="shared" si="3"/>
        <v>0</v>
      </c>
      <c r="EI16" s="94">
        <f t="shared" si="46"/>
        <v>0</v>
      </c>
      <c r="EJ16" s="94"/>
      <c r="EK16" s="126">
        <f t="shared" si="47"/>
        <v>0</v>
      </c>
      <c r="EL16" s="126">
        <f t="shared" si="48"/>
        <v>0</v>
      </c>
      <c r="EM16" s="126">
        <f t="shared" si="49"/>
        <v>0</v>
      </c>
      <c r="EN16" s="94">
        <f t="shared" si="50"/>
        <v>0</v>
      </c>
      <c r="EP16" s="93"/>
    </row>
    <row r="17" spans="1:146" x14ac:dyDescent="0.25">
      <c r="A17" s="39">
        <f t="shared" si="51"/>
        <v>43928</v>
      </c>
      <c r="B17" s="93">
        <v>131175000</v>
      </c>
      <c r="C17" s="94">
        <v>2.0539999999999999E-2</v>
      </c>
      <c r="D17" s="93">
        <f t="shared" si="4"/>
        <v>7484.2624999999998</v>
      </c>
      <c r="G17" s="93">
        <f t="shared" si="5"/>
        <v>0</v>
      </c>
      <c r="J17" s="93">
        <f t="shared" si="6"/>
        <v>0</v>
      </c>
      <c r="M17" s="93">
        <f t="shared" si="7"/>
        <v>0</v>
      </c>
      <c r="P17" s="93">
        <f t="shared" si="8"/>
        <v>0</v>
      </c>
      <c r="S17" s="93">
        <f t="shared" si="9"/>
        <v>0</v>
      </c>
      <c r="V17" s="93">
        <f t="shared" si="10"/>
        <v>0</v>
      </c>
      <c r="Y17" s="93">
        <f t="shared" si="11"/>
        <v>0</v>
      </c>
      <c r="AB17" s="93">
        <f t="shared" si="12"/>
        <v>0</v>
      </c>
      <c r="AE17" s="93">
        <f>(AC17*AD17)/'[19]Input Sheet'!$B$11</f>
        <v>0</v>
      </c>
      <c r="AH17" s="93">
        <f>(AF17*AG17)/'[19]Input Sheet'!$B$11</f>
        <v>0</v>
      </c>
      <c r="AI17" s="124"/>
      <c r="AJ17" s="125"/>
      <c r="AK17" s="93">
        <f t="shared" si="13"/>
        <v>0</v>
      </c>
      <c r="AL17" s="124"/>
      <c r="AM17" s="125"/>
      <c r="AN17" s="93">
        <f t="shared" si="14"/>
        <v>0</v>
      </c>
      <c r="AO17" s="124"/>
      <c r="AP17" s="125"/>
      <c r="AQ17" s="93">
        <f t="shared" si="15"/>
        <v>0</v>
      </c>
      <c r="AR17" s="124"/>
      <c r="AS17" s="125"/>
      <c r="AT17" s="93">
        <f t="shared" si="16"/>
        <v>0</v>
      </c>
      <c r="AW17" s="93">
        <f t="shared" si="17"/>
        <v>0</v>
      </c>
      <c r="AZ17" s="93">
        <f t="shared" si="18"/>
        <v>0</v>
      </c>
      <c r="BC17" s="93">
        <f t="shared" si="19"/>
        <v>0</v>
      </c>
      <c r="BF17" s="93">
        <f t="shared" si="20"/>
        <v>0</v>
      </c>
      <c r="BI17" s="93">
        <f t="shared" si="21"/>
        <v>0</v>
      </c>
      <c r="BL17" s="93">
        <f t="shared" si="22"/>
        <v>0</v>
      </c>
      <c r="BO17" s="93">
        <f t="shared" si="23"/>
        <v>0</v>
      </c>
      <c r="BR17" s="93">
        <f t="shared" si="24"/>
        <v>0</v>
      </c>
      <c r="BU17" s="93">
        <f t="shared" si="25"/>
        <v>0</v>
      </c>
      <c r="BX17" s="93">
        <f t="shared" si="26"/>
        <v>0</v>
      </c>
      <c r="CA17" s="93">
        <f t="shared" si="27"/>
        <v>0</v>
      </c>
      <c r="CD17" s="93">
        <f t="shared" si="28"/>
        <v>0</v>
      </c>
      <c r="CG17" s="93">
        <f t="shared" si="29"/>
        <v>0</v>
      </c>
      <c r="CJ17" s="93">
        <f t="shared" si="30"/>
        <v>0</v>
      </c>
      <c r="CM17" s="93">
        <f t="shared" si="31"/>
        <v>0</v>
      </c>
      <c r="CP17" s="93">
        <f t="shared" si="32"/>
        <v>0</v>
      </c>
      <c r="CS17" s="93">
        <f t="shared" si="33"/>
        <v>0</v>
      </c>
      <c r="CV17" s="93">
        <f t="shared" si="34"/>
        <v>0</v>
      </c>
      <c r="CY17" s="93">
        <f t="shared" si="35"/>
        <v>0</v>
      </c>
      <c r="DB17" s="93">
        <f t="shared" si="36"/>
        <v>0</v>
      </c>
      <c r="DE17" s="93">
        <f t="shared" si="37"/>
        <v>0</v>
      </c>
      <c r="DH17" s="93">
        <f t="shared" si="38"/>
        <v>0</v>
      </c>
      <c r="DK17" s="93">
        <f t="shared" si="39"/>
        <v>0</v>
      </c>
      <c r="DN17" s="93">
        <f t="shared" si="40"/>
        <v>0</v>
      </c>
      <c r="DQ17" s="93">
        <f t="shared" si="41"/>
        <v>0</v>
      </c>
      <c r="DT17" s="93">
        <f t="shared" si="42"/>
        <v>0</v>
      </c>
      <c r="DW17" s="93">
        <f t="shared" si="43"/>
        <v>0</v>
      </c>
      <c r="DZ17" s="93"/>
      <c r="EA17" s="93"/>
      <c r="EB17" s="126">
        <f t="shared" si="0"/>
        <v>131175000</v>
      </c>
      <c r="EC17" s="126">
        <f t="shared" si="44"/>
        <v>131175000</v>
      </c>
      <c r="ED17" s="93">
        <f t="shared" si="1"/>
        <v>7484.2624999999998</v>
      </c>
      <c r="EE17" s="94">
        <f t="shared" si="45"/>
        <v>2.0539999999999999E-2</v>
      </c>
      <c r="EG17" s="126">
        <f t="shared" si="2"/>
        <v>0</v>
      </c>
      <c r="EH17" s="93">
        <f t="shared" si="3"/>
        <v>0</v>
      </c>
      <c r="EI17" s="94">
        <f t="shared" si="46"/>
        <v>0</v>
      </c>
      <c r="EJ17" s="94"/>
      <c r="EK17" s="126">
        <f t="shared" si="47"/>
        <v>0</v>
      </c>
      <c r="EL17" s="126">
        <f t="shared" si="48"/>
        <v>0</v>
      </c>
      <c r="EM17" s="126">
        <f t="shared" si="49"/>
        <v>0</v>
      </c>
      <c r="EN17" s="94">
        <f t="shared" si="50"/>
        <v>0</v>
      </c>
      <c r="EP17" s="93"/>
    </row>
    <row r="18" spans="1:146" x14ac:dyDescent="0.25">
      <c r="A18" s="39">
        <f t="shared" si="51"/>
        <v>43929</v>
      </c>
      <c r="B18" s="93">
        <v>124925000</v>
      </c>
      <c r="C18" s="94">
        <v>2.0539999999999999E-2</v>
      </c>
      <c r="D18" s="93">
        <f t="shared" si="4"/>
        <v>7127.6652777777781</v>
      </c>
      <c r="G18" s="93">
        <f t="shared" si="5"/>
        <v>0</v>
      </c>
      <c r="J18" s="93">
        <f t="shared" si="6"/>
        <v>0</v>
      </c>
      <c r="M18" s="93">
        <f t="shared" si="7"/>
        <v>0</v>
      </c>
      <c r="P18" s="93">
        <f t="shared" si="8"/>
        <v>0</v>
      </c>
      <c r="S18" s="93">
        <f t="shared" si="9"/>
        <v>0</v>
      </c>
      <c r="V18" s="93">
        <f t="shared" si="10"/>
        <v>0</v>
      </c>
      <c r="Y18" s="93">
        <f t="shared" si="11"/>
        <v>0</v>
      </c>
      <c r="AB18" s="93">
        <f t="shared" si="12"/>
        <v>0</v>
      </c>
      <c r="AE18" s="93">
        <f>(AC18*AD18)/'[19]Input Sheet'!$B$11</f>
        <v>0</v>
      </c>
      <c r="AH18" s="93">
        <f>(AF18*AG18)/'[19]Input Sheet'!$B$11</f>
        <v>0</v>
      </c>
      <c r="AI18" s="124"/>
      <c r="AJ18" s="125"/>
      <c r="AK18" s="93">
        <f t="shared" si="13"/>
        <v>0</v>
      </c>
      <c r="AL18" s="124"/>
      <c r="AM18" s="125"/>
      <c r="AN18" s="93">
        <f t="shared" si="14"/>
        <v>0</v>
      </c>
      <c r="AO18" s="124"/>
      <c r="AP18" s="125"/>
      <c r="AQ18" s="93">
        <f t="shared" si="15"/>
        <v>0</v>
      </c>
      <c r="AR18" s="124"/>
      <c r="AS18" s="125"/>
      <c r="AT18" s="93">
        <f t="shared" si="16"/>
        <v>0</v>
      </c>
      <c r="AW18" s="93">
        <f t="shared" si="17"/>
        <v>0</v>
      </c>
      <c r="AZ18" s="93">
        <f t="shared" si="18"/>
        <v>0</v>
      </c>
      <c r="BC18" s="93">
        <f t="shared" si="19"/>
        <v>0</v>
      </c>
      <c r="BF18" s="93">
        <f t="shared" si="20"/>
        <v>0</v>
      </c>
      <c r="BI18" s="93">
        <f t="shared" si="21"/>
        <v>0</v>
      </c>
      <c r="BL18" s="93">
        <f t="shared" si="22"/>
        <v>0</v>
      </c>
      <c r="BO18" s="93">
        <f t="shared" si="23"/>
        <v>0</v>
      </c>
      <c r="BR18" s="93">
        <f t="shared" si="24"/>
        <v>0</v>
      </c>
      <c r="BU18" s="93">
        <f t="shared" si="25"/>
        <v>0</v>
      </c>
      <c r="BX18" s="93">
        <f t="shared" si="26"/>
        <v>0</v>
      </c>
      <c r="CA18" s="93">
        <f t="shared" si="27"/>
        <v>0</v>
      </c>
      <c r="CD18" s="93">
        <f t="shared" si="28"/>
        <v>0</v>
      </c>
      <c r="CG18" s="93">
        <f t="shared" si="29"/>
        <v>0</v>
      </c>
      <c r="CJ18" s="93">
        <f t="shared" si="30"/>
        <v>0</v>
      </c>
      <c r="CM18" s="93">
        <f t="shared" si="31"/>
        <v>0</v>
      </c>
      <c r="CP18" s="93">
        <f t="shared" si="32"/>
        <v>0</v>
      </c>
      <c r="CS18" s="93">
        <f t="shared" si="33"/>
        <v>0</v>
      </c>
      <c r="CV18" s="93">
        <f t="shared" si="34"/>
        <v>0</v>
      </c>
      <c r="CY18" s="93">
        <f t="shared" si="35"/>
        <v>0</v>
      </c>
      <c r="DB18" s="93">
        <f t="shared" si="36"/>
        <v>0</v>
      </c>
      <c r="DE18" s="93">
        <f t="shared" si="37"/>
        <v>0</v>
      </c>
      <c r="DH18" s="93">
        <f t="shared" si="38"/>
        <v>0</v>
      </c>
      <c r="DK18" s="93">
        <f t="shared" si="39"/>
        <v>0</v>
      </c>
      <c r="DN18" s="93">
        <f t="shared" si="40"/>
        <v>0</v>
      </c>
      <c r="DQ18" s="93">
        <f t="shared" si="41"/>
        <v>0</v>
      </c>
      <c r="DT18" s="93">
        <f t="shared" si="42"/>
        <v>0</v>
      </c>
      <c r="DW18" s="93">
        <f t="shared" si="43"/>
        <v>0</v>
      </c>
      <c r="DZ18" s="93"/>
      <c r="EA18" s="93"/>
      <c r="EB18" s="126">
        <f t="shared" si="0"/>
        <v>124925000</v>
      </c>
      <c r="EC18" s="126">
        <f t="shared" si="44"/>
        <v>124925000</v>
      </c>
      <c r="ED18" s="93">
        <f t="shared" si="1"/>
        <v>7127.6652777777781</v>
      </c>
      <c r="EE18" s="94">
        <f t="shared" si="45"/>
        <v>2.0540000000000003E-2</v>
      </c>
      <c r="EG18" s="126">
        <f t="shared" si="2"/>
        <v>0</v>
      </c>
      <c r="EH18" s="93">
        <f t="shared" si="3"/>
        <v>0</v>
      </c>
      <c r="EI18" s="94">
        <f t="shared" si="46"/>
        <v>0</v>
      </c>
      <c r="EJ18" s="94"/>
      <c r="EK18" s="126">
        <f t="shared" si="47"/>
        <v>0</v>
      </c>
      <c r="EL18" s="126">
        <f t="shared" si="48"/>
        <v>0</v>
      </c>
      <c r="EM18" s="126">
        <f t="shared" si="49"/>
        <v>0</v>
      </c>
      <c r="EN18" s="94">
        <f t="shared" si="50"/>
        <v>0</v>
      </c>
      <c r="EP18" s="93"/>
    </row>
    <row r="19" spans="1:146" x14ac:dyDescent="0.25">
      <c r="A19" s="39">
        <f t="shared" si="51"/>
        <v>43930</v>
      </c>
      <c r="B19" s="93">
        <v>125150000</v>
      </c>
      <c r="C19" s="94">
        <v>2.0539999999999999E-2</v>
      </c>
      <c r="D19" s="93">
        <f t="shared" si="4"/>
        <v>7140.5027777777777</v>
      </c>
      <c r="G19" s="93">
        <f t="shared" si="5"/>
        <v>0</v>
      </c>
      <c r="J19" s="93">
        <f t="shared" si="6"/>
        <v>0</v>
      </c>
      <c r="M19" s="93">
        <f t="shared" si="7"/>
        <v>0</v>
      </c>
      <c r="P19" s="93">
        <f t="shared" si="8"/>
        <v>0</v>
      </c>
      <c r="S19" s="93">
        <f t="shared" si="9"/>
        <v>0</v>
      </c>
      <c r="V19" s="93">
        <f t="shared" si="10"/>
        <v>0</v>
      </c>
      <c r="Y19" s="93">
        <f t="shared" si="11"/>
        <v>0</v>
      </c>
      <c r="AB19" s="93">
        <f t="shared" si="12"/>
        <v>0</v>
      </c>
      <c r="AE19" s="93">
        <f>(AC19*AD19)/'[19]Input Sheet'!$B$11</f>
        <v>0</v>
      </c>
      <c r="AH19" s="93">
        <f>(AF19*AG19)/'[19]Input Sheet'!$B$11</f>
        <v>0</v>
      </c>
      <c r="AI19" s="124"/>
      <c r="AJ19" s="125"/>
      <c r="AK19" s="93">
        <f t="shared" si="13"/>
        <v>0</v>
      </c>
      <c r="AL19" s="124"/>
      <c r="AM19" s="125"/>
      <c r="AN19" s="93">
        <f t="shared" si="14"/>
        <v>0</v>
      </c>
      <c r="AO19" s="124"/>
      <c r="AP19" s="125"/>
      <c r="AQ19" s="93">
        <f t="shared" si="15"/>
        <v>0</v>
      </c>
      <c r="AR19" s="124"/>
      <c r="AS19" s="125"/>
      <c r="AT19" s="93">
        <f t="shared" si="16"/>
        <v>0</v>
      </c>
      <c r="AW19" s="93">
        <f t="shared" si="17"/>
        <v>0</v>
      </c>
      <c r="AZ19" s="93">
        <f t="shared" si="18"/>
        <v>0</v>
      </c>
      <c r="BC19" s="93">
        <f t="shared" si="19"/>
        <v>0</v>
      </c>
      <c r="BF19" s="93">
        <f t="shared" si="20"/>
        <v>0</v>
      </c>
      <c r="BI19" s="93">
        <f t="shared" si="21"/>
        <v>0</v>
      </c>
      <c r="BL19" s="93">
        <f t="shared" si="22"/>
        <v>0</v>
      </c>
      <c r="BO19" s="93">
        <f t="shared" si="23"/>
        <v>0</v>
      </c>
      <c r="BR19" s="93">
        <f t="shared" si="24"/>
        <v>0</v>
      </c>
      <c r="BU19" s="93">
        <f t="shared" si="25"/>
        <v>0</v>
      </c>
      <c r="BX19" s="93">
        <f t="shared" si="26"/>
        <v>0</v>
      </c>
      <c r="CA19" s="93">
        <f t="shared" si="27"/>
        <v>0</v>
      </c>
      <c r="CD19" s="93">
        <f t="shared" si="28"/>
        <v>0</v>
      </c>
      <c r="CG19" s="93">
        <f t="shared" si="29"/>
        <v>0</v>
      </c>
      <c r="CJ19" s="93">
        <f t="shared" si="30"/>
        <v>0</v>
      </c>
      <c r="CM19" s="93">
        <f t="shared" si="31"/>
        <v>0</v>
      </c>
      <c r="CP19" s="93">
        <f t="shared" si="32"/>
        <v>0</v>
      </c>
      <c r="CS19" s="93">
        <f t="shared" si="33"/>
        <v>0</v>
      </c>
      <c r="CV19" s="93">
        <f t="shared" si="34"/>
        <v>0</v>
      </c>
      <c r="CY19" s="93">
        <f t="shared" si="35"/>
        <v>0</v>
      </c>
      <c r="DB19" s="93">
        <f t="shared" si="36"/>
        <v>0</v>
      </c>
      <c r="DE19" s="93">
        <f t="shared" si="37"/>
        <v>0</v>
      </c>
      <c r="DH19" s="93">
        <f t="shared" si="38"/>
        <v>0</v>
      </c>
      <c r="DK19" s="93">
        <f t="shared" si="39"/>
        <v>0</v>
      </c>
      <c r="DN19" s="93">
        <f t="shared" si="40"/>
        <v>0</v>
      </c>
      <c r="DQ19" s="93">
        <f t="shared" si="41"/>
        <v>0</v>
      </c>
      <c r="DT19" s="93">
        <f t="shared" si="42"/>
        <v>0</v>
      </c>
      <c r="DW19" s="93">
        <f t="shared" si="43"/>
        <v>0</v>
      </c>
      <c r="DZ19" s="93"/>
      <c r="EA19" s="93"/>
      <c r="EB19" s="126">
        <f t="shared" si="0"/>
        <v>125150000</v>
      </c>
      <c r="EC19" s="126">
        <f t="shared" si="44"/>
        <v>125150000</v>
      </c>
      <c r="ED19" s="93">
        <f t="shared" si="1"/>
        <v>7140.5027777777777</v>
      </c>
      <c r="EE19" s="94">
        <f t="shared" si="45"/>
        <v>2.0539999999999999E-2</v>
      </c>
      <c r="EG19" s="126">
        <f t="shared" si="2"/>
        <v>0</v>
      </c>
      <c r="EH19" s="93">
        <f t="shared" si="3"/>
        <v>0</v>
      </c>
      <c r="EI19" s="94">
        <f t="shared" si="46"/>
        <v>0</v>
      </c>
      <c r="EJ19" s="94"/>
      <c r="EK19" s="126">
        <f t="shared" si="47"/>
        <v>0</v>
      </c>
      <c r="EL19" s="126">
        <f t="shared" si="48"/>
        <v>0</v>
      </c>
      <c r="EM19" s="126">
        <f t="shared" si="49"/>
        <v>0</v>
      </c>
      <c r="EN19" s="94">
        <f t="shared" si="50"/>
        <v>0</v>
      </c>
      <c r="EP19" s="93"/>
    </row>
    <row r="20" spans="1:146" x14ac:dyDescent="0.25">
      <c r="A20" s="39">
        <f t="shared" si="51"/>
        <v>43931</v>
      </c>
      <c r="B20" s="93">
        <v>127550000</v>
      </c>
      <c r="C20" s="94">
        <v>2.0539999999999999E-2</v>
      </c>
      <c r="D20" s="93">
        <f t="shared" si="4"/>
        <v>7277.4361111111111</v>
      </c>
      <c r="G20" s="93">
        <f t="shared" si="5"/>
        <v>0</v>
      </c>
      <c r="J20" s="93">
        <f t="shared" si="6"/>
        <v>0</v>
      </c>
      <c r="M20" s="93">
        <f t="shared" si="7"/>
        <v>0</v>
      </c>
      <c r="P20" s="93">
        <f t="shared" si="8"/>
        <v>0</v>
      </c>
      <c r="S20" s="93">
        <f t="shared" si="9"/>
        <v>0</v>
      </c>
      <c r="V20" s="93">
        <f t="shared" si="10"/>
        <v>0</v>
      </c>
      <c r="Y20" s="93">
        <f t="shared" si="11"/>
        <v>0</v>
      </c>
      <c r="AB20" s="93">
        <f t="shared" si="12"/>
        <v>0</v>
      </c>
      <c r="AE20" s="93">
        <f>(AC20*AD20)/'[19]Input Sheet'!$B$11</f>
        <v>0</v>
      </c>
      <c r="AH20" s="93">
        <f>(AF20*AG20)/'[19]Input Sheet'!$B$11</f>
        <v>0</v>
      </c>
      <c r="AI20" s="124"/>
      <c r="AJ20" s="125"/>
      <c r="AK20" s="93">
        <f t="shared" si="13"/>
        <v>0</v>
      </c>
      <c r="AL20" s="124"/>
      <c r="AM20" s="125"/>
      <c r="AN20" s="93">
        <f t="shared" si="14"/>
        <v>0</v>
      </c>
      <c r="AO20" s="124"/>
      <c r="AP20" s="125"/>
      <c r="AQ20" s="93">
        <f t="shared" si="15"/>
        <v>0</v>
      </c>
      <c r="AR20" s="124"/>
      <c r="AS20" s="125"/>
      <c r="AT20" s="93">
        <f t="shared" si="16"/>
        <v>0</v>
      </c>
      <c r="AW20" s="93">
        <f t="shared" si="17"/>
        <v>0</v>
      </c>
      <c r="AZ20" s="93">
        <f t="shared" si="18"/>
        <v>0</v>
      </c>
      <c r="BC20" s="93">
        <f t="shared" si="19"/>
        <v>0</v>
      </c>
      <c r="BF20" s="93">
        <f t="shared" si="20"/>
        <v>0</v>
      </c>
      <c r="BI20" s="93">
        <f t="shared" si="21"/>
        <v>0</v>
      </c>
      <c r="BL20" s="93">
        <f t="shared" si="22"/>
        <v>0</v>
      </c>
      <c r="BO20" s="93">
        <f t="shared" si="23"/>
        <v>0</v>
      </c>
      <c r="BR20" s="93">
        <f t="shared" si="24"/>
        <v>0</v>
      </c>
      <c r="BU20" s="93">
        <f t="shared" si="25"/>
        <v>0</v>
      </c>
      <c r="BX20" s="93">
        <f t="shared" si="26"/>
        <v>0</v>
      </c>
      <c r="CA20" s="93">
        <f t="shared" si="27"/>
        <v>0</v>
      </c>
      <c r="CD20" s="93">
        <f t="shared" si="28"/>
        <v>0</v>
      </c>
      <c r="CG20" s="93">
        <f t="shared" si="29"/>
        <v>0</v>
      </c>
      <c r="CJ20" s="93">
        <f t="shared" si="30"/>
        <v>0</v>
      </c>
      <c r="CM20" s="93">
        <f t="shared" si="31"/>
        <v>0</v>
      </c>
      <c r="CP20" s="93">
        <f t="shared" si="32"/>
        <v>0</v>
      </c>
      <c r="CS20" s="93">
        <f t="shared" si="33"/>
        <v>0</v>
      </c>
      <c r="CV20" s="93">
        <f t="shared" si="34"/>
        <v>0</v>
      </c>
      <c r="CY20" s="93">
        <f t="shared" si="35"/>
        <v>0</v>
      </c>
      <c r="DB20" s="93">
        <f t="shared" si="36"/>
        <v>0</v>
      </c>
      <c r="DE20" s="93">
        <f t="shared" si="37"/>
        <v>0</v>
      </c>
      <c r="DH20" s="93">
        <f t="shared" si="38"/>
        <v>0</v>
      </c>
      <c r="DK20" s="93">
        <f t="shared" si="39"/>
        <v>0</v>
      </c>
      <c r="DN20" s="93">
        <f t="shared" si="40"/>
        <v>0</v>
      </c>
      <c r="DQ20" s="93">
        <f t="shared" si="41"/>
        <v>0</v>
      </c>
      <c r="DT20" s="93">
        <f t="shared" si="42"/>
        <v>0</v>
      </c>
      <c r="DW20" s="93">
        <f t="shared" si="43"/>
        <v>0</v>
      </c>
      <c r="DZ20" s="93"/>
      <c r="EA20" s="93"/>
      <c r="EB20" s="126">
        <f t="shared" si="0"/>
        <v>127550000</v>
      </c>
      <c r="EC20" s="126">
        <f t="shared" si="44"/>
        <v>127550000</v>
      </c>
      <c r="ED20" s="93">
        <f t="shared" si="1"/>
        <v>7277.4361111111111</v>
      </c>
      <c r="EE20" s="94">
        <f t="shared" si="45"/>
        <v>2.0539999999999999E-2</v>
      </c>
      <c r="EG20" s="126">
        <f t="shared" si="2"/>
        <v>0</v>
      </c>
      <c r="EH20" s="93">
        <f t="shared" si="3"/>
        <v>0</v>
      </c>
      <c r="EI20" s="94">
        <f t="shared" si="46"/>
        <v>0</v>
      </c>
      <c r="EJ20" s="94"/>
      <c r="EK20" s="126">
        <f t="shared" si="47"/>
        <v>0</v>
      </c>
      <c r="EL20" s="126">
        <f t="shared" si="48"/>
        <v>0</v>
      </c>
      <c r="EM20" s="126">
        <f t="shared" si="49"/>
        <v>0</v>
      </c>
      <c r="EN20" s="94">
        <f t="shared" si="50"/>
        <v>0</v>
      </c>
      <c r="EP20" s="93"/>
    </row>
    <row r="21" spans="1:146" x14ac:dyDescent="0.25">
      <c r="A21" s="39">
        <f t="shared" si="51"/>
        <v>43932</v>
      </c>
      <c r="B21" s="93">
        <v>127550000</v>
      </c>
      <c r="C21" s="94">
        <v>2.0539999999999999E-2</v>
      </c>
      <c r="D21" s="93">
        <f t="shared" si="4"/>
        <v>7277.4361111111111</v>
      </c>
      <c r="G21" s="93">
        <f t="shared" si="5"/>
        <v>0</v>
      </c>
      <c r="J21" s="93">
        <f t="shared" si="6"/>
        <v>0</v>
      </c>
      <c r="M21" s="93">
        <f t="shared" si="7"/>
        <v>0</v>
      </c>
      <c r="P21" s="93">
        <f t="shared" si="8"/>
        <v>0</v>
      </c>
      <c r="S21" s="93">
        <f t="shared" si="9"/>
        <v>0</v>
      </c>
      <c r="V21" s="93">
        <f t="shared" si="10"/>
        <v>0</v>
      </c>
      <c r="Y21" s="93">
        <f t="shared" si="11"/>
        <v>0</v>
      </c>
      <c r="AB21" s="93">
        <f t="shared" si="12"/>
        <v>0</v>
      </c>
      <c r="AE21" s="93">
        <f>(AC21*AD21)/'[19]Input Sheet'!$B$11</f>
        <v>0</v>
      </c>
      <c r="AH21" s="93">
        <f>(AF21*AG21)/'[19]Input Sheet'!$B$11</f>
        <v>0</v>
      </c>
      <c r="AI21" s="124"/>
      <c r="AJ21" s="125"/>
      <c r="AK21" s="93">
        <f t="shared" si="13"/>
        <v>0</v>
      </c>
      <c r="AL21" s="124"/>
      <c r="AM21" s="125"/>
      <c r="AN21" s="93">
        <f t="shared" si="14"/>
        <v>0</v>
      </c>
      <c r="AO21" s="124"/>
      <c r="AP21" s="125"/>
      <c r="AQ21" s="93">
        <f t="shared" si="15"/>
        <v>0</v>
      </c>
      <c r="AR21" s="124"/>
      <c r="AS21" s="125"/>
      <c r="AT21" s="93">
        <f t="shared" si="16"/>
        <v>0</v>
      </c>
      <c r="AW21" s="93">
        <f t="shared" si="17"/>
        <v>0</v>
      </c>
      <c r="AZ21" s="93">
        <f t="shared" si="18"/>
        <v>0</v>
      </c>
      <c r="BC21" s="93">
        <f t="shared" si="19"/>
        <v>0</v>
      </c>
      <c r="BF21" s="93">
        <f t="shared" si="20"/>
        <v>0</v>
      </c>
      <c r="BI21" s="93">
        <f t="shared" si="21"/>
        <v>0</v>
      </c>
      <c r="BL21" s="93">
        <f t="shared" si="22"/>
        <v>0</v>
      </c>
      <c r="BO21" s="93">
        <f t="shared" si="23"/>
        <v>0</v>
      </c>
      <c r="BR21" s="93">
        <f t="shared" si="24"/>
        <v>0</v>
      </c>
      <c r="BU21" s="93">
        <f t="shared" si="25"/>
        <v>0</v>
      </c>
      <c r="BX21" s="93">
        <f t="shared" si="26"/>
        <v>0</v>
      </c>
      <c r="CA21" s="93">
        <f t="shared" si="27"/>
        <v>0</v>
      </c>
      <c r="CD21" s="93">
        <f t="shared" si="28"/>
        <v>0</v>
      </c>
      <c r="CG21" s="93">
        <f t="shared" si="29"/>
        <v>0</v>
      </c>
      <c r="CJ21" s="93">
        <f t="shared" si="30"/>
        <v>0</v>
      </c>
      <c r="CM21" s="93">
        <f t="shared" si="31"/>
        <v>0</v>
      </c>
      <c r="CP21" s="93">
        <f t="shared" si="32"/>
        <v>0</v>
      </c>
      <c r="CS21" s="93">
        <f t="shared" si="33"/>
        <v>0</v>
      </c>
      <c r="CV21" s="93">
        <f t="shared" si="34"/>
        <v>0</v>
      </c>
      <c r="CY21" s="93">
        <f t="shared" si="35"/>
        <v>0</v>
      </c>
      <c r="DB21" s="93">
        <f t="shared" si="36"/>
        <v>0</v>
      </c>
      <c r="DE21" s="93">
        <f t="shared" si="37"/>
        <v>0</v>
      </c>
      <c r="DH21" s="93">
        <f t="shared" si="38"/>
        <v>0</v>
      </c>
      <c r="DK21" s="93">
        <f t="shared" si="39"/>
        <v>0</v>
      </c>
      <c r="DN21" s="93">
        <f t="shared" si="40"/>
        <v>0</v>
      </c>
      <c r="DQ21" s="93">
        <f t="shared" si="41"/>
        <v>0</v>
      </c>
      <c r="DT21" s="93">
        <f t="shared" si="42"/>
        <v>0</v>
      </c>
      <c r="DW21" s="93">
        <f t="shared" si="43"/>
        <v>0</v>
      </c>
      <c r="DZ21" s="93"/>
      <c r="EA21" s="93"/>
      <c r="EB21" s="126">
        <f t="shared" si="0"/>
        <v>127550000</v>
      </c>
      <c r="EC21" s="126">
        <f t="shared" si="44"/>
        <v>127550000</v>
      </c>
      <c r="ED21" s="93">
        <f t="shared" si="1"/>
        <v>7277.4361111111111</v>
      </c>
      <c r="EE21" s="94">
        <f t="shared" si="45"/>
        <v>2.0539999999999999E-2</v>
      </c>
      <c r="EG21" s="126">
        <f t="shared" si="2"/>
        <v>0</v>
      </c>
      <c r="EH21" s="93">
        <f t="shared" si="3"/>
        <v>0</v>
      </c>
      <c r="EI21" s="94">
        <f t="shared" si="46"/>
        <v>0</v>
      </c>
      <c r="EJ21" s="94"/>
      <c r="EK21" s="126">
        <f t="shared" si="47"/>
        <v>0</v>
      </c>
      <c r="EL21" s="126">
        <f t="shared" si="48"/>
        <v>0</v>
      </c>
      <c r="EM21" s="126">
        <f t="shared" si="49"/>
        <v>0</v>
      </c>
      <c r="EN21" s="94">
        <f t="shared" si="50"/>
        <v>0</v>
      </c>
      <c r="EP21" s="93"/>
    </row>
    <row r="22" spans="1:146" x14ac:dyDescent="0.25">
      <c r="A22" s="39">
        <f t="shared" si="51"/>
        <v>43933</v>
      </c>
      <c r="B22" s="93">
        <v>127550000</v>
      </c>
      <c r="C22" s="94">
        <v>2.0539999999999999E-2</v>
      </c>
      <c r="D22" s="93">
        <f t="shared" si="4"/>
        <v>7277.4361111111111</v>
      </c>
      <c r="G22" s="93">
        <f t="shared" si="5"/>
        <v>0</v>
      </c>
      <c r="J22" s="93">
        <f t="shared" si="6"/>
        <v>0</v>
      </c>
      <c r="M22" s="93">
        <f t="shared" si="7"/>
        <v>0</v>
      </c>
      <c r="P22" s="93">
        <f t="shared" si="8"/>
        <v>0</v>
      </c>
      <c r="S22" s="93">
        <f t="shared" si="9"/>
        <v>0</v>
      </c>
      <c r="V22" s="93">
        <f t="shared" si="10"/>
        <v>0</v>
      </c>
      <c r="Y22" s="93">
        <f t="shared" si="11"/>
        <v>0</v>
      </c>
      <c r="AB22" s="93">
        <f t="shared" si="12"/>
        <v>0</v>
      </c>
      <c r="AE22" s="93">
        <f>(AC22*AD22)/'[19]Input Sheet'!$B$11</f>
        <v>0</v>
      </c>
      <c r="AH22" s="93">
        <f>(AF22*AG22)/'[19]Input Sheet'!$B$11</f>
        <v>0</v>
      </c>
      <c r="AI22" s="124"/>
      <c r="AJ22" s="125"/>
      <c r="AK22" s="93">
        <f t="shared" si="13"/>
        <v>0</v>
      </c>
      <c r="AL22" s="124"/>
      <c r="AM22" s="125"/>
      <c r="AN22" s="93">
        <f t="shared" si="14"/>
        <v>0</v>
      </c>
      <c r="AO22" s="124"/>
      <c r="AP22" s="125"/>
      <c r="AQ22" s="93">
        <f t="shared" si="15"/>
        <v>0</v>
      </c>
      <c r="AR22" s="124"/>
      <c r="AS22" s="125"/>
      <c r="AT22" s="93">
        <f t="shared" si="16"/>
        <v>0</v>
      </c>
      <c r="AW22" s="93">
        <f t="shared" si="17"/>
        <v>0</v>
      </c>
      <c r="AZ22" s="93">
        <f t="shared" si="18"/>
        <v>0</v>
      </c>
      <c r="BC22" s="93">
        <f t="shared" si="19"/>
        <v>0</v>
      </c>
      <c r="BF22" s="93">
        <f t="shared" si="20"/>
        <v>0</v>
      </c>
      <c r="BI22" s="93">
        <f t="shared" si="21"/>
        <v>0</v>
      </c>
      <c r="BL22" s="93">
        <f t="shared" si="22"/>
        <v>0</v>
      </c>
      <c r="BO22" s="93">
        <f t="shared" si="23"/>
        <v>0</v>
      </c>
      <c r="BR22" s="93">
        <f t="shared" si="24"/>
        <v>0</v>
      </c>
      <c r="BU22" s="93">
        <f t="shared" si="25"/>
        <v>0</v>
      </c>
      <c r="BX22" s="93">
        <f t="shared" si="26"/>
        <v>0</v>
      </c>
      <c r="CA22" s="93">
        <f t="shared" si="27"/>
        <v>0</v>
      </c>
      <c r="CD22" s="93">
        <f t="shared" si="28"/>
        <v>0</v>
      </c>
      <c r="CG22" s="93">
        <f t="shared" si="29"/>
        <v>0</v>
      </c>
      <c r="CJ22" s="93">
        <f t="shared" si="30"/>
        <v>0</v>
      </c>
      <c r="CM22" s="93">
        <f t="shared" si="31"/>
        <v>0</v>
      </c>
      <c r="CP22" s="93">
        <f t="shared" si="32"/>
        <v>0</v>
      </c>
      <c r="CS22" s="93">
        <f t="shared" si="33"/>
        <v>0</v>
      </c>
      <c r="CV22" s="93">
        <f t="shared" si="34"/>
        <v>0</v>
      </c>
      <c r="CY22" s="93">
        <f t="shared" si="35"/>
        <v>0</v>
      </c>
      <c r="DB22" s="93">
        <f t="shared" si="36"/>
        <v>0</v>
      </c>
      <c r="DE22" s="93">
        <f t="shared" si="37"/>
        <v>0</v>
      </c>
      <c r="DH22" s="93">
        <f t="shared" si="38"/>
        <v>0</v>
      </c>
      <c r="DK22" s="93">
        <f t="shared" si="39"/>
        <v>0</v>
      </c>
      <c r="DN22" s="93">
        <f t="shared" si="40"/>
        <v>0</v>
      </c>
      <c r="DQ22" s="93">
        <f t="shared" si="41"/>
        <v>0</v>
      </c>
      <c r="DT22" s="93">
        <f t="shared" si="42"/>
        <v>0</v>
      </c>
      <c r="DW22" s="93">
        <f t="shared" si="43"/>
        <v>0</v>
      </c>
      <c r="DZ22" s="93"/>
      <c r="EA22" s="93"/>
      <c r="EB22" s="126">
        <f t="shared" si="0"/>
        <v>127550000</v>
      </c>
      <c r="EC22" s="126">
        <f t="shared" si="44"/>
        <v>127550000</v>
      </c>
      <c r="ED22" s="93">
        <f t="shared" si="1"/>
        <v>7277.4361111111111</v>
      </c>
      <c r="EE22" s="94">
        <f t="shared" si="45"/>
        <v>2.0539999999999999E-2</v>
      </c>
      <c r="EG22" s="126">
        <f t="shared" si="2"/>
        <v>0</v>
      </c>
      <c r="EH22" s="93">
        <f t="shared" si="3"/>
        <v>0</v>
      </c>
      <c r="EI22" s="94">
        <f t="shared" si="46"/>
        <v>0</v>
      </c>
      <c r="EJ22" s="94"/>
      <c r="EK22" s="126">
        <f t="shared" si="47"/>
        <v>0</v>
      </c>
      <c r="EL22" s="126">
        <f t="shared" si="48"/>
        <v>0</v>
      </c>
      <c r="EM22" s="126">
        <f t="shared" si="49"/>
        <v>0</v>
      </c>
      <c r="EN22" s="94">
        <f t="shared" si="50"/>
        <v>0</v>
      </c>
      <c r="EP22" s="93"/>
    </row>
    <row r="23" spans="1:146" x14ac:dyDescent="0.25">
      <c r="A23" s="39">
        <f t="shared" si="51"/>
        <v>43934</v>
      </c>
      <c r="B23" s="93">
        <v>137825000</v>
      </c>
      <c r="C23" s="94">
        <v>2.0999999999999999E-3</v>
      </c>
      <c r="D23" s="93">
        <f t="shared" si="4"/>
        <v>803.97916666666663</v>
      </c>
      <c r="G23" s="93">
        <f t="shared" si="5"/>
        <v>0</v>
      </c>
      <c r="J23" s="93">
        <f t="shared" si="6"/>
        <v>0</v>
      </c>
      <c r="M23" s="93">
        <f t="shared" si="7"/>
        <v>0</v>
      </c>
      <c r="P23" s="93">
        <f t="shared" si="8"/>
        <v>0</v>
      </c>
      <c r="S23" s="93">
        <f t="shared" si="9"/>
        <v>0</v>
      </c>
      <c r="V23" s="93">
        <f t="shared" si="10"/>
        <v>0</v>
      </c>
      <c r="Y23" s="93">
        <f t="shared" si="11"/>
        <v>0</v>
      </c>
      <c r="AB23" s="93">
        <f t="shared" si="12"/>
        <v>0</v>
      </c>
      <c r="AE23" s="93">
        <f>(AC23*AD23)/'[19]Input Sheet'!$B$11</f>
        <v>0</v>
      </c>
      <c r="AH23" s="93">
        <f>(AF23*AG23)/'[19]Input Sheet'!$B$11</f>
        <v>0</v>
      </c>
      <c r="AI23" s="124"/>
      <c r="AJ23" s="125"/>
      <c r="AK23" s="93">
        <f t="shared" si="13"/>
        <v>0</v>
      </c>
      <c r="AL23" s="124"/>
      <c r="AM23" s="125"/>
      <c r="AN23" s="93">
        <f t="shared" si="14"/>
        <v>0</v>
      </c>
      <c r="AO23" s="124"/>
      <c r="AP23" s="125"/>
      <c r="AQ23" s="93">
        <f t="shared" si="15"/>
        <v>0</v>
      </c>
      <c r="AR23" s="124"/>
      <c r="AS23" s="125"/>
      <c r="AT23" s="93">
        <f t="shared" si="16"/>
        <v>0</v>
      </c>
      <c r="AW23" s="93">
        <f t="shared" si="17"/>
        <v>0</v>
      </c>
      <c r="AZ23" s="93">
        <f t="shared" si="18"/>
        <v>0</v>
      </c>
      <c r="BC23" s="93">
        <f t="shared" si="19"/>
        <v>0</v>
      </c>
      <c r="BF23" s="93">
        <f t="shared" si="20"/>
        <v>0</v>
      </c>
      <c r="BI23" s="93">
        <f t="shared" si="21"/>
        <v>0</v>
      </c>
      <c r="BL23" s="93">
        <f t="shared" si="22"/>
        <v>0</v>
      </c>
      <c r="BO23" s="93">
        <f t="shared" si="23"/>
        <v>0</v>
      </c>
      <c r="BR23" s="93">
        <f t="shared" si="24"/>
        <v>0</v>
      </c>
      <c r="BU23" s="93">
        <f t="shared" si="25"/>
        <v>0</v>
      </c>
      <c r="BX23" s="93">
        <f t="shared" si="26"/>
        <v>0</v>
      </c>
      <c r="CA23" s="93">
        <f t="shared" si="27"/>
        <v>0</v>
      </c>
      <c r="CD23" s="93">
        <f t="shared" si="28"/>
        <v>0</v>
      </c>
      <c r="CG23" s="93">
        <f t="shared" si="29"/>
        <v>0</v>
      </c>
      <c r="CJ23" s="93">
        <f t="shared" si="30"/>
        <v>0</v>
      </c>
      <c r="CM23" s="93">
        <f t="shared" si="31"/>
        <v>0</v>
      </c>
      <c r="CP23" s="93">
        <f t="shared" si="32"/>
        <v>0</v>
      </c>
      <c r="CS23" s="93">
        <f t="shared" si="33"/>
        <v>0</v>
      </c>
      <c r="CV23" s="93">
        <f t="shared" si="34"/>
        <v>0</v>
      </c>
      <c r="CY23" s="93">
        <f t="shared" si="35"/>
        <v>0</v>
      </c>
      <c r="DB23" s="93">
        <f t="shared" si="36"/>
        <v>0</v>
      </c>
      <c r="DE23" s="93">
        <f t="shared" si="37"/>
        <v>0</v>
      </c>
      <c r="DH23" s="93">
        <f t="shared" si="38"/>
        <v>0</v>
      </c>
      <c r="DK23" s="93">
        <f t="shared" si="39"/>
        <v>0</v>
      </c>
      <c r="DN23" s="93">
        <f t="shared" si="40"/>
        <v>0</v>
      </c>
      <c r="DQ23" s="93">
        <f t="shared" si="41"/>
        <v>0</v>
      </c>
      <c r="DT23" s="93">
        <f t="shared" si="42"/>
        <v>0</v>
      </c>
      <c r="DW23" s="93">
        <f t="shared" si="43"/>
        <v>0</v>
      </c>
      <c r="DZ23" s="93"/>
      <c r="EA23" s="93"/>
      <c r="EB23" s="126">
        <f t="shared" si="0"/>
        <v>137825000</v>
      </c>
      <c r="EC23" s="126">
        <f t="shared" si="44"/>
        <v>137825000</v>
      </c>
      <c r="ED23" s="93">
        <f t="shared" si="1"/>
        <v>803.97916666666663</v>
      </c>
      <c r="EE23" s="94">
        <f t="shared" si="45"/>
        <v>2.0999999999999999E-3</v>
      </c>
      <c r="EG23" s="126">
        <f t="shared" si="2"/>
        <v>0</v>
      </c>
      <c r="EH23" s="93">
        <f t="shared" si="3"/>
        <v>0</v>
      </c>
      <c r="EI23" s="94">
        <f t="shared" si="46"/>
        <v>0</v>
      </c>
      <c r="EJ23" s="94"/>
      <c r="EK23" s="126">
        <f t="shared" si="47"/>
        <v>0</v>
      </c>
      <c r="EL23" s="126">
        <f t="shared" si="48"/>
        <v>0</v>
      </c>
      <c r="EM23" s="126">
        <f t="shared" si="49"/>
        <v>0</v>
      </c>
      <c r="EN23" s="94">
        <f t="shared" si="50"/>
        <v>0</v>
      </c>
      <c r="EP23" s="93"/>
    </row>
    <row r="24" spans="1:146" x14ac:dyDescent="0.25">
      <c r="A24" s="39">
        <f t="shared" si="51"/>
        <v>43935</v>
      </c>
      <c r="B24" s="93">
        <v>138275000</v>
      </c>
      <c r="C24" s="94">
        <v>3.0999999999999999E-3</v>
      </c>
      <c r="D24" s="93">
        <f t="shared" si="4"/>
        <v>1190.7013888888889</v>
      </c>
      <c r="G24" s="93">
        <f t="shared" si="5"/>
        <v>0</v>
      </c>
      <c r="J24" s="93">
        <f t="shared" si="6"/>
        <v>0</v>
      </c>
      <c r="M24" s="93">
        <f t="shared" si="7"/>
        <v>0</v>
      </c>
      <c r="P24" s="93">
        <f t="shared" si="8"/>
        <v>0</v>
      </c>
      <c r="S24" s="93">
        <f t="shared" si="9"/>
        <v>0</v>
      </c>
      <c r="V24" s="93">
        <f t="shared" si="10"/>
        <v>0</v>
      </c>
      <c r="Y24" s="93">
        <f t="shared" si="11"/>
        <v>0</v>
      </c>
      <c r="AB24" s="93">
        <f t="shared" si="12"/>
        <v>0</v>
      </c>
      <c r="AE24" s="93">
        <f>(AC24*AD24)/'[19]Input Sheet'!$B$11</f>
        <v>0</v>
      </c>
      <c r="AH24" s="93">
        <f>(AF24*AG24)/'[19]Input Sheet'!$B$11</f>
        <v>0</v>
      </c>
      <c r="AI24" s="124"/>
      <c r="AJ24" s="125"/>
      <c r="AK24" s="93">
        <f t="shared" si="13"/>
        <v>0</v>
      </c>
      <c r="AL24" s="124"/>
      <c r="AM24" s="125"/>
      <c r="AN24" s="93">
        <f t="shared" si="14"/>
        <v>0</v>
      </c>
      <c r="AO24" s="124"/>
      <c r="AP24" s="125"/>
      <c r="AQ24" s="93">
        <f t="shared" si="15"/>
        <v>0</v>
      </c>
      <c r="AR24" s="124"/>
      <c r="AS24" s="125"/>
      <c r="AT24" s="93">
        <f t="shared" si="16"/>
        <v>0</v>
      </c>
      <c r="AW24" s="93">
        <f t="shared" si="17"/>
        <v>0</v>
      </c>
      <c r="AZ24" s="93">
        <f t="shared" si="18"/>
        <v>0</v>
      </c>
      <c r="BC24" s="93">
        <f t="shared" si="19"/>
        <v>0</v>
      </c>
      <c r="BF24" s="93">
        <f t="shared" si="20"/>
        <v>0</v>
      </c>
      <c r="BI24" s="93">
        <f t="shared" si="21"/>
        <v>0</v>
      </c>
      <c r="BL24" s="93">
        <f t="shared" si="22"/>
        <v>0</v>
      </c>
      <c r="BO24" s="93">
        <f t="shared" si="23"/>
        <v>0</v>
      </c>
      <c r="BR24" s="93">
        <f t="shared" si="24"/>
        <v>0</v>
      </c>
      <c r="BU24" s="93">
        <f t="shared" si="25"/>
        <v>0</v>
      </c>
      <c r="BX24" s="93">
        <f t="shared" si="26"/>
        <v>0</v>
      </c>
      <c r="CA24" s="93">
        <f t="shared" si="27"/>
        <v>0</v>
      </c>
      <c r="CD24" s="93">
        <f t="shared" si="28"/>
        <v>0</v>
      </c>
      <c r="CG24" s="93">
        <f t="shared" si="29"/>
        <v>0</v>
      </c>
      <c r="CJ24" s="93">
        <f t="shared" si="30"/>
        <v>0</v>
      </c>
      <c r="CM24" s="93">
        <f t="shared" si="31"/>
        <v>0</v>
      </c>
      <c r="CP24" s="93">
        <f t="shared" si="32"/>
        <v>0</v>
      </c>
      <c r="CS24" s="93">
        <f t="shared" si="33"/>
        <v>0</v>
      </c>
      <c r="CV24" s="93">
        <f t="shared" si="34"/>
        <v>0</v>
      </c>
      <c r="CY24" s="93">
        <f t="shared" si="35"/>
        <v>0</v>
      </c>
      <c r="DB24" s="93">
        <f t="shared" si="36"/>
        <v>0</v>
      </c>
      <c r="DE24" s="93">
        <f t="shared" si="37"/>
        <v>0</v>
      </c>
      <c r="DH24" s="93">
        <f t="shared" si="38"/>
        <v>0</v>
      </c>
      <c r="DK24" s="93">
        <f t="shared" si="39"/>
        <v>0</v>
      </c>
      <c r="DN24" s="93">
        <f t="shared" si="40"/>
        <v>0</v>
      </c>
      <c r="DQ24" s="93">
        <f t="shared" si="41"/>
        <v>0</v>
      </c>
      <c r="DT24" s="93">
        <f t="shared" si="42"/>
        <v>0</v>
      </c>
      <c r="DW24" s="93">
        <f t="shared" si="43"/>
        <v>0</v>
      </c>
      <c r="DZ24" s="93"/>
      <c r="EA24" s="93"/>
      <c r="EB24" s="126">
        <f t="shared" si="0"/>
        <v>138275000</v>
      </c>
      <c r="EC24" s="126">
        <f t="shared" si="44"/>
        <v>138275000</v>
      </c>
      <c r="ED24" s="93">
        <f t="shared" si="1"/>
        <v>1190.7013888888889</v>
      </c>
      <c r="EE24" s="94">
        <f t="shared" si="45"/>
        <v>3.1000000000000003E-3</v>
      </c>
      <c r="EG24" s="126">
        <f t="shared" si="2"/>
        <v>0</v>
      </c>
      <c r="EH24" s="93">
        <f t="shared" si="3"/>
        <v>0</v>
      </c>
      <c r="EI24" s="94">
        <f t="shared" si="46"/>
        <v>0</v>
      </c>
      <c r="EJ24" s="94"/>
      <c r="EK24" s="126">
        <f t="shared" si="47"/>
        <v>0</v>
      </c>
      <c r="EL24" s="126">
        <f t="shared" si="48"/>
        <v>0</v>
      </c>
      <c r="EM24" s="126">
        <f t="shared" si="49"/>
        <v>0</v>
      </c>
      <c r="EN24" s="94">
        <f t="shared" si="50"/>
        <v>0</v>
      </c>
      <c r="EP24" s="93"/>
    </row>
    <row r="25" spans="1:146" x14ac:dyDescent="0.25">
      <c r="A25" s="39">
        <f t="shared" si="51"/>
        <v>43936</v>
      </c>
      <c r="B25" s="93">
        <v>146500000</v>
      </c>
      <c r="C25" s="94">
        <v>3.4000000000000002E-3</v>
      </c>
      <c r="D25" s="93">
        <f t="shared" si="4"/>
        <v>1383.6111111111113</v>
      </c>
      <c r="G25" s="93">
        <f t="shared" si="5"/>
        <v>0</v>
      </c>
      <c r="J25" s="93">
        <f t="shared" si="6"/>
        <v>0</v>
      </c>
      <c r="M25" s="93">
        <f t="shared" si="7"/>
        <v>0</v>
      </c>
      <c r="P25" s="93">
        <f t="shared" si="8"/>
        <v>0</v>
      </c>
      <c r="S25" s="93">
        <f t="shared" si="9"/>
        <v>0</v>
      </c>
      <c r="V25" s="93">
        <f t="shared" si="10"/>
        <v>0</v>
      </c>
      <c r="Y25" s="93">
        <f t="shared" si="11"/>
        <v>0</v>
      </c>
      <c r="AB25" s="93">
        <f t="shared" si="12"/>
        <v>0</v>
      </c>
      <c r="AE25" s="93">
        <f>(AC25*AD25)/'[19]Input Sheet'!$B$11</f>
        <v>0</v>
      </c>
      <c r="AH25" s="93">
        <f>(AF25*AG25)/'[19]Input Sheet'!$B$11</f>
        <v>0</v>
      </c>
      <c r="AI25" s="124"/>
      <c r="AJ25" s="125"/>
      <c r="AK25" s="93">
        <f t="shared" si="13"/>
        <v>0</v>
      </c>
      <c r="AL25" s="124"/>
      <c r="AM25" s="125"/>
      <c r="AN25" s="93">
        <f t="shared" si="14"/>
        <v>0</v>
      </c>
      <c r="AO25" s="124"/>
      <c r="AP25" s="125"/>
      <c r="AQ25" s="93">
        <f t="shared" si="15"/>
        <v>0</v>
      </c>
      <c r="AR25" s="124"/>
      <c r="AS25" s="125"/>
      <c r="AT25" s="93">
        <f t="shared" si="16"/>
        <v>0</v>
      </c>
      <c r="AW25" s="93">
        <f t="shared" si="17"/>
        <v>0</v>
      </c>
      <c r="AZ25" s="93">
        <f t="shared" si="18"/>
        <v>0</v>
      </c>
      <c r="BC25" s="93">
        <f t="shared" si="19"/>
        <v>0</v>
      </c>
      <c r="BF25" s="93">
        <f t="shared" si="20"/>
        <v>0</v>
      </c>
      <c r="BI25" s="93">
        <f t="shared" si="21"/>
        <v>0</v>
      </c>
      <c r="BL25" s="93">
        <f t="shared" si="22"/>
        <v>0</v>
      </c>
      <c r="BO25" s="93">
        <f t="shared" si="23"/>
        <v>0</v>
      </c>
      <c r="BR25" s="93">
        <f t="shared" si="24"/>
        <v>0</v>
      </c>
      <c r="BU25" s="93">
        <f t="shared" si="25"/>
        <v>0</v>
      </c>
      <c r="BX25" s="93">
        <f t="shared" si="26"/>
        <v>0</v>
      </c>
      <c r="CA25" s="93">
        <f t="shared" si="27"/>
        <v>0</v>
      </c>
      <c r="CD25" s="93">
        <f t="shared" si="28"/>
        <v>0</v>
      </c>
      <c r="CG25" s="93">
        <f t="shared" si="29"/>
        <v>0</v>
      </c>
      <c r="CJ25" s="93">
        <f t="shared" si="30"/>
        <v>0</v>
      </c>
      <c r="CM25" s="93">
        <f t="shared" si="31"/>
        <v>0</v>
      </c>
      <c r="CP25" s="93">
        <f t="shared" si="32"/>
        <v>0</v>
      </c>
      <c r="CS25" s="93">
        <f t="shared" si="33"/>
        <v>0</v>
      </c>
      <c r="CV25" s="93">
        <f t="shared" si="34"/>
        <v>0</v>
      </c>
      <c r="CY25" s="93">
        <f t="shared" si="35"/>
        <v>0</v>
      </c>
      <c r="DB25" s="93">
        <f t="shared" si="36"/>
        <v>0</v>
      </c>
      <c r="DE25" s="93">
        <f t="shared" si="37"/>
        <v>0</v>
      </c>
      <c r="DH25" s="93">
        <f t="shared" si="38"/>
        <v>0</v>
      </c>
      <c r="DK25" s="93">
        <f t="shared" si="39"/>
        <v>0</v>
      </c>
      <c r="DN25" s="93">
        <f t="shared" si="40"/>
        <v>0</v>
      </c>
      <c r="DQ25" s="93">
        <f t="shared" si="41"/>
        <v>0</v>
      </c>
      <c r="DT25" s="93">
        <f t="shared" si="42"/>
        <v>0</v>
      </c>
      <c r="DW25" s="93">
        <f t="shared" si="43"/>
        <v>0</v>
      </c>
      <c r="DZ25" s="93"/>
      <c r="EA25" s="93"/>
      <c r="EB25" s="126">
        <f t="shared" si="0"/>
        <v>146500000</v>
      </c>
      <c r="EC25" s="126">
        <f t="shared" si="44"/>
        <v>146500000</v>
      </c>
      <c r="ED25" s="93">
        <f t="shared" si="1"/>
        <v>1383.6111111111113</v>
      </c>
      <c r="EE25" s="94">
        <f t="shared" si="45"/>
        <v>3.4000000000000007E-3</v>
      </c>
      <c r="EG25" s="126">
        <f t="shared" si="2"/>
        <v>0</v>
      </c>
      <c r="EH25" s="93">
        <f t="shared" si="3"/>
        <v>0</v>
      </c>
      <c r="EI25" s="94">
        <f t="shared" si="46"/>
        <v>0</v>
      </c>
      <c r="EJ25" s="94"/>
      <c r="EK25" s="126">
        <f t="shared" si="47"/>
        <v>0</v>
      </c>
      <c r="EL25" s="126">
        <f t="shared" si="48"/>
        <v>0</v>
      </c>
      <c r="EM25" s="126">
        <f t="shared" si="49"/>
        <v>0</v>
      </c>
      <c r="EN25" s="94">
        <f t="shared" si="50"/>
        <v>0</v>
      </c>
      <c r="EP25" s="93"/>
    </row>
    <row r="26" spans="1:146" x14ac:dyDescent="0.25">
      <c r="A26" s="39">
        <f t="shared" si="51"/>
        <v>43937</v>
      </c>
      <c r="B26" s="93">
        <v>137950000</v>
      </c>
      <c r="C26" s="94">
        <v>6.8999999999999999E-3</v>
      </c>
      <c r="D26" s="93">
        <f t="shared" si="4"/>
        <v>2644.0416666666665</v>
      </c>
      <c r="G26" s="93">
        <f t="shared" si="5"/>
        <v>0</v>
      </c>
      <c r="J26" s="93">
        <f t="shared" si="6"/>
        <v>0</v>
      </c>
      <c r="M26" s="93">
        <f t="shared" si="7"/>
        <v>0</v>
      </c>
      <c r="P26" s="93">
        <f t="shared" si="8"/>
        <v>0</v>
      </c>
      <c r="S26" s="93">
        <f t="shared" si="9"/>
        <v>0</v>
      </c>
      <c r="V26" s="93">
        <f t="shared" si="10"/>
        <v>0</v>
      </c>
      <c r="Y26" s="93">
        <f t="shared" si="11"/>
        <v>0</v>
      </c>
      <c r="AB26" s="93">
        <f t="shared" si="12"/>
        <v>0</v>
      </c>
      <c r="AE26" s="93">
        <f>(AC26*AD26)/'[19]Input Sheet'!$B$11</f>
        <v>0</v>
      </c>
      <c r="AH26" s="93">
        <f>(AF26*AG26)/'[19]Input Sheet'!$B$11</f>
        <v>0</v>
      </c>
      <c r="AI26" s="124"/>
      <c r="AJ26" s="125"/>
      <c r="AK26" s="93">
        <f t="shared" si="13"/>
        <v>0</v>
      </c>
      <c r="AL26" s="124"/>
      <c r="AM26" s="125"/>
      <c r="AN26" s="93">
        <f t="shared" si="14"/>
        <v>0</v>
      </c>
      <c r="AO26" s="124"/>
      <c r="AP26" s="125"/>
      <c r="AQ26" s="93">
        <f t="shared" si="15"/>
        <v>0</v>
      </c>
      <c r="AR26" s="124"/>
      <c r="AS26" s="125"/>
      <c r="AT26" s="93">
        <f t="shared" si="16"/>
        <v>0</v>
      </c>
      <c r="AW26" s="93">
        <f t="shared" si="17"/>
        <v>0</v>
      </c>
      <c r="AZ26" s="93">
        <f t="shared" si="18"/>
        <v>0</v>
      </c>
      <c r="BC26" s="93">
        <f t="shared" si="19"/>
        <v>0</v>
      </c>
      <c r="BF26" s="93">
        <f t="shared" si="20"/>
        <v>0</v>
      </c>
      <c r="BI26" s="93">
        <f t="shared" si="21"/>
        <v>0</v>
      </c>
      <c r="BL26" s="93">
        <f t="shared" si="22"/>
        <v>0</v>
      </c>
      <c r="BO26" s="93">
        <f t="shared" si="23"/>
        <v>0</v>
      </c>
      <c r="BR26" s="93">
        <f t="shared" si="24"/>
        <v>0</v>
      </c>
      <c r="BU26" s="93">
        <f t="shared" si="25"/>
        <v>0</v>
      </c>
      <c r="BX26" s="93">
        <f t="shared" si="26"/>
        <v>0</v>
      </c>
      <c r="CA26" s="93">
        <f t="shared" si="27"/>
        <v>0</v>
      </c>
      <c r="CD26" s="93">
        <f t="shared" si="28"/>
        <v>0</v>
      </c>
      <c r="CG26" s="93">
        <f t="shared" si="29"/>
        <v>0</v>
      </c>
      <c r="CJ26" s="93">
        <f t="shared" si="30"/>
        <v>0</v>
      </c>
      <c r="CM26" s="93">
        <f t="shared" si="31"/>
        <v>0</v>
      </c>
      <c r="CP26" s="93">
        <f t="shared" si="32"/>
        <v>0</v>
      </c>
      <c r="CS26" s="93">
        <f t="shared" si="33"/>
        <v>0</v>
      </c>
      <c r="CV26" s="93">
        <f t="shared" si="34"/>
        <v>0</v>
      </c>
      <c r="CY26" s="93">
        <f t="shared" si="35"/>
        <v>0</v>
      </c>
      <c r="DB26" s="93">
        <f t="shared" si="36"/>
        <v>0</v>
      </c>
      <c r="DE26" s="93">
        <f t="shared" si="37"/>
        <v>0</v>
      </c>
      <c r="DH26" s="93">
        <f t="shared" si="38"/>
        <v>0</v>
      </c>
      <c r="DK26" s="93">
        <f t="shared" si="39"/>
        <v>0</v>
      </c>
      <c r="DN26" s="93">
        <f t="shared" si="40"/>
        <v>0</v>
      </c>
      <c r="DQ26" s="93">
        <f t="shared" si="41"/>
        <v>0</v>
      </c>
      <c r="DT26" s="93">
        <f t="shared" si="42"/>
        <v>0</v>
      </c>
      <c r="DW26" s="93">
        <f t="shared" si="43"/>
        <v>0</v>
      </c>
      <c r="DZ26" s="93"/>
      <c r="EA26" s="93"/>
      <c r="EB26" s="126">
        <f t="shared" si="0"/>
        <v>137950000</v>
      </c>
      <c r="EC26" s="126">
        <f t="shared" si="44"/>
        <v>137950000</v>
      </c>
      <c r="ED26" s="93">
        <f t="shared" si="1"/>
        <v>2644.0416666666665</v>
      </c>
      <c r="EE26" s="94">
        <f t="shared" si="45"/>
        <v>6.8999999999999999E-3</v>
      </c>
      <c r="EG26" s="126">
        <f t="shared" si="2"/>
        <v>0</v>
      </c>
      <c r="EH26" s="93">
        <f t="shared" si="3"/>
        <v>0</v>
      </c>
      <c r="EI26" s="94">
        <f t="shared" si="46"/>
        <v>0</v>
      </c>
      <c r="EJ26" s="94"/>
      <c r="EK26" s="126">
        <f t="shared" si="47"/>
        <v>0</v>
      </c>
      <c r="EL26" s="126">
        <f t="shared" si="48"/>
        <v>0</v>
      </c>
      <c r="EM26" s="126">
        <f t="shared" si="49"/>
        <v>0</v>
      </c>
      <c r="EN26" s="94">
        <f t="shared" si="50"/>
        <v>0</v>
      </c>
      <c r="EP26" s="93"/>
    </row>
    <row r="27" spans="1:146" x14ac:dyDescent="0.25">
      <c r="A27" s="39">
        <f t="shared" si="51"/>
        <v>43938</v>
      </c>
      <c r="B27" s="93">
        <v>170950000</v>
      </c>
      <c r="C27" s="94">
        <v>3.0999999999999999E-3</v>
      </c>
      <c r="D27" s="93">
        <f t="shared" si="4"/>
        <v>1472.0694444444443</v>
      </c>
      <c r="G27" s="93">
        <f t="shared" si="5"/>
        <v>0</v>
      </c>
      <c r="J27" s="93">
        <f t="shared" si="6"/>
        <v>0</v>
      </c>
      <c r="M27" s="93">
        <f t="shared" si="7"/>
        <v>0</v>
      </c>
      <c r="P27" s="93">
        <f t="shared" si="8"/>
        <v>0</v>
      </c>
      <c r="S27" s="93">
        <f t="shared" si="9"/>
        <v>0</v>
      </c>
      <c r="V27" s="93">
        <f t="shared" si="10"/>
        <v>0</v>
      </c>
      <c r="Y27" s="93">
        <f t="shared" si="11"/>
        <v>0</v>
      </c>
      <c r="AB27" s="93">
        <f t="shared" si="12"/>
        <v>0</v>
      </c>
      <c r="AE27" s="93">
        <f>(AC27*AD27)/'[19]Input Sheet'!$B$11</f>
        <v>0</v>
      </c>
      <c r="AH27" s="93">
        <f>(AF27*AG27)/'[19]Input Sheet'!$B$11</f>
        <v>0</v>
      </c>
      <c r="AI27" s="124"/>
      <c r="AJ27" s="125"/>
      <c r="AK27" s="93">
        <f t="shared" si="13"/>
        <v>0</v>
      </c>
      <c r="AL27" s="124"/>
      <c r="AM27" s="125"/>
      <c r="AN27" s="93">
        <f t="shared" si="14"/>
        <v>0</v>
      </c>
      <c r="AO27" s="124"/>
      <c r="AP27" s="125"/>
      <c r="AQ27" s="93">
        <f t="shared" si="15"/>
        <v>0</v>
      </c>
      <c r="AR27" s="124"/>
      <c r="AS27" s="125"/>
      <c r="AT27" s="93">
        <f t="shared" si="16"/>
        <v>0</v>
      </c>
      <c r="AW27" s="93">
        <f t="shared" si="17"/>
        <v>0</v>
      </c>
      <c r="AZ27" s="93">
        <f t="shared" si="18"/>
        <v>0</v>
      </c>
      <c r="BC27" s="93">
        <f t="shared" si="19"/>
        <v>0</v>
      </c>
      <c r="BF27" s="93">
        <f t="shared" si="20"/>
        <v>0</v>
      </c>
      <c r="BI27" s="93">
        <f t="shared" si="21"/>
        <v>0</v>
      </c>
      <c r="BL27" s="93">
        <f t="shared" si="22"/>
        <v>0</v>
      </c>
      <c r="BO27" s="93">
        <f t="shared" si="23"/>
        <v>0</v>
      </c>
      <c r="BR27" s="93">
        <f t="shared" si="24"/>
        <v>0</v>
      </c>
      <c r="BU27" s="93">
        <f t="shared" si="25"/>
        <v>0</v>
      </c>
      <c r="BX27" s="93">
        <f t="shared" si="26"/>
        <v>0</v>
      </c>
      <c r="CA27" s="93">
        <f t="shared" si="27"/>
        <v>0</v>
      </c>
      <c r="CD27" s="93">
        <f t="shared" si="28"/>
        <v>0</v>
      </c>
      <c r="CG27" s="93">
        <f t="shared" si="29"/>
        <v>0</v>
      </c>
      <c r="CJ27" s="93">
        <f t="shared" si="30"/>
        <v>0</v>
      </c>
      <c r="CM27" s="93">
        <f t="shared" si="31"/>
        <v>0</v>
      </c>
      <c r="CP27" s="93">
        <f t="shared" si="32"/>
        <v>0</v>
      </c>
      <c r="CS27" s="93">
        <f t="shared" si="33"/>
        <v>0</v>
      </c>
      <c r="CV27" s="93">
        <f t="shared" si="34"/>
        <v>0</v>
      </c>
      <c r="CY27" s="93">
        <f t="shared" si="35"/>
        <v>0</v>
      </c>
      <c r="DB27" s="93">
        <f t="shared" si="36"/>
        <v>0</v>
      </c>
      <c r="DE27" s="93">
        <f t="shared" si="37"/>
        <v>0</v>
      </c>
      <c r="DH27" s="93">
        <f t="shared" si="38"/>
        <v>0</v>
      </c>
      <c r="DK27" s="93">
        <f t="shared" si="39"/>
        <v>0</v>
      </c>
      <c r="DN27" s="93">
        <f t="shared" si="40"/>
        <v>0</v>
      </c>
      <c r="DQ27" s="93">
        <f t="shared" si="41"/>
        <v>0</v>
      </c>
      <c r="DT27" s="93">
        <f t="shared" si="42"/>
        <v>0</v>
      </c>
      <c r="DW27" s="93">
        <f t="shared" si="43"/>
        <v>0</v>
      </c>
      <c r="DZ27" s="93"/>
      <c r="EA27" s="93"/>
      <c r="EB27" s="126">
        <f t="shared" si="0"/>
        <v>170950000</v>
      </c>
      <c r="EC27" s="126">
        <f t="shared" si="44"/>
        <v>170950000</v>
      </c>
      <c r="ED27" s="93">
        <f t="shared" si="1"/>
        <v>1472.0694444444443</v>
      </c>
      <c r="EE27" s="94">
        <f t="shared" si="45"/>
        <v>3.0999999999999995E-3</v>
      </c>
      <c r="EG27" s="126">
        <f t="shared" si="2"/>
        <v>0</v>
      </c>
      <c r="EH27" s="93">
        <f t="shared" si="3"/>
        <v>0</v>
      </c>
      <c r="EI27" s="94">
        <f t="shared" si="46"/>
        <v>0</v>
      </c>
      <c r="EJ27" s="94"/>
      <c r="EK27" s="126">
        <f t="shared" si="47"/>
        <v>0</v>
      </c>
      <c r="EL27" s="126">
        <f t="shared" si="48"/>
        <v>0</v>
      </c>
      <c r="EM27" s="126">
        <f t="shared" si="49"/>
        <v>0</v>
      </c>
      <c r="EN27" s="94">
        <f t="shared" si="50"/>
        <v>0</v>
      </c>
      <c r="EP27" s="93"/>
    </row>
    <row r="28" spans="1:146" x14ac:dyDescent="0.25">
      <c r="A28" s="39">
        <f t="shared" si="51"/>
        <v>43939</v>
      </c>
      <c r="B28" s="93">
        <v>170950000</v>
      </c>
      <c r="C28" s="94">
        <v>3.0999999999999999E-3</v>
      </c>
      <c r="D28" s="93">
        <f t="shared" si="4"/>
        <v>1472.0694444444443</v>
      </c>
      <c r="G28" s="93">
        <f t="shared" si="5"/>
        <v>0</v>
      </c>
      <c r="J28" s="93">
        <f t="shared" si="6"/>
        <v>0</v>
      </c>
      <c r="M28" s="93">
        <f t="shared" si="7"/>
        <v>0</v>
      </c>
      <c r="P28" s="93">
        <f t="shared" si="8"/>
        <v>0</v>
      </c>
      <c r="S28" s="93">
        <f t="shared" si="9"/>
        <v>0</v>
      </c>
      <c r="V28" s="93">
        <f t="shared" si="10"/>
        <v>0</v>
      </c>
      <c r="Y28" s="93">
        <f t="shared" si="11"/>
        <v>0</v>
      </c>
      <c r="AB28" s="93">
        <f t="shared" si="12"/>
        <v>0</v>
      </c>
      <c r="AE28" s="93">
        <f>(AC28*AD28)/'[19]Input Sheet'!$B$11</f>
        <v>0</v>
      </c>
      <c r="AH28" s="93">
        <f>(AF28*AG28)/'[19]Input Sheet'!$B$11</f>
        <v>0</v>
      </c>
      <c r="AI28" s="124"/>
      <c r="AJ28" s="125"/>
      <c r="AK28" s="93">
        <f t="shared" si="13"/>
        <v>0</v>
      </c>
      <c r="AL28" s="124"/>
      <c r="AM28" s="125"/>
      <c r="AN28" s="93">
        <f t="shared" si="14"/>
        <v>0</v>
      </c>
      <c r="AO28" s="124"/>
      <c r="AP28" s="125"/>
      <c r="AQ28" s="93">
        <f t="shared" si="15"/>
        <v>0</v>
      </c>
      <c r="AR28" s="124"/>
      <c r="AS28" s="125"/>
      <c r="AT28" s="93">
        <f t="shared" si="16"/>
        <v>0</v>
      </c>
      <c r="AW28" s="93">
        <f t="shared" si="17"/>
        <v>0</v>
      </c>
      <c r="AZ28" s="93">
        <f t="shared" si="18"/>
        <v>0</v>
      </c>
      <c r="BC28" s="93">
        <f t="shared" si="19"/>
        <v>0</v>
      </c>
      <c r="BF28" s="93">
        <f t="shared" si="20"/>
        <v>0</v>
      </c>
      <c r="BI28" s="93">
        <f t="shared" si="21"/>
        <v>0</v>
      </c>
      <c r="BL28" s="93">
        <f t="shared" si="22"/>
        <v>0</v>
      </c>
      <c r="BO28" s="93">
        <f t="shared" si="23"/>
        <v>0</v>
      </c>
      <c r="BR28" s="93">
        <f t="shared" si="24"/>
        <v>0</v>
      </c>
      <c r="BU28" s="93">
        <f t="shared" si="25"/>
        <v>0</v>
      </c>
      <c r="BX28" s="93">
        <f t="shared" si="26"/>
        <v>0</v>
      </c>
      <c r="CA28" s="93">
        <f t="shared" si="27"/>
        <v>0</v>
      </c>
      <c r="CD28" s="93">
        <f t="shared" si="28"/>
        <v>0</v>
      </c>
      <c r="CG28" s="93">
        <f t="shared" si="29"/>
        <v>0</v>
      </c>
      <c r="CJ28" s="93">
        <f t="shared" si="30"/>
        <v>0</v>
      </c>
      <c r="CM28" s="93">
        <f t="shared" si="31"/>
        <v>0</v>
      </c>
      <c r="CP28" s="93">
        <f t="shared" si="32"/>
        <v>0</v>
      </c>
      <c r="CS28" s="93">
        <f t="shared" si="33"/>
        <v>0</v>
      </c>
      <c r="CV28" s="93">
        <f t="shared" si="34"/>
        <v>0</v>
      </c>
      <c r="CY28" s="93">
        <f t="shared" si="35"/>
        <v>0</v>
      </c>
      <c r="DB28" s="93">
        <f t="shared" si="36"/>
        <v>0</v>
      </c>
      <c r="DE28" s="93">
        <f t="shared" si="37"/>
        <v>0</v>
      </c>
      <c r="DH28" s="93">
        <f t="shared" si="38"/>
        <v>0</v>
      </c>
      <c r="DK28" s="93">
        <f t="shared" si="39"/>
        <v>0</v>
      </c>
      <c r="DN28" s="93">
        <f t="shared" si="40"/>
        <v>0</v>
      </c>
      <c r="DQ28" s="93">
        <f t="shared" si="41"/>
        <v>0</v>
      </c>
      <c r="DT28" s="93">
        <f t="shared" si="42"/>
        <v>0</v>
      </c>
      <c r="DW28" s="93">
        <f t="shared" si="43"/>
        <v>0</v>
      </c>
      <c r="DZ28" s="93"/>
      <c r="EA28" s="93"/>
      <c r="EB28" s="126">
        <f t="shared" si="0"/>
        <v>170950000</v>
      </c>
      <c r="EC28" s="126">
        <f t="shared" si="44"/>
        <v>170950000</v>
      </c>
      <c r="ED28" s="93">
        <f t="shared" si="1"/>
        <v>1472.0694444444443</v>
      </c>
      <c r="EE28" s="94">
        <f t="shared" si="45"/>
        <v>3.0999999999999995E-3</v>
      </c>
      <c r="EG28" s="126">
        <f t="shared" si="2"/>
        <v>0</v>
      </c>
      <c r="EH28" s="93">
        <f t="shared" si="3"/>
        <v>0</v>
      </c>
      <c r="EI28" s="94">
        <f t="shared" si="46"/>
        <v>0</v>
      </c>
      <c r="EJ28" s="94"/>
      <c r="EK28" s="126">
        <f t="shared" si="47"/>
        <v>0</v>
      </c>
      <c r="EL28" s="126">
        <f t="shared" si="48"/>
        <v>0</v>
      </c>
      <c r="EM28" s="126">
        <f t="shared" si="49"/>
        <v>0</v>
      </c>
      <c r="EN28" s="94">
        <f t="shared" si="50"/>
        <v>0</v>
      </c>
      <c r="EP28" s="93"/>
    </row>
    <row r="29" spans="1:146" x14ac:dyDescent="0.25">
      <c r="A29" s="39">
        <f t="shared" si="51"/>
        <v>43940</v>
      </c>
      <c r="B29" s="93">
        <v>170950000</v>
      </c>
      <c r="C29" s="94">
        <v>3.0999999999999999E-3</v>
      </c>
      <c r="D29" s="93">
        <f t="shared" si="4"/>
        <v>1472.0694444444443</v>
      </c>
      <c r="G29" s="93">
        <f t="shared" si="5"/>
        <v>0</v>
      </c>
      <c r="J29" s="93">
        <f t="shared" si="6"/>
        <v>0</v>
      </c>
      <c r="M29" s="93">
        <f t="shared" si="7"/>
        <v>0</v>
      </c>
      <c r="P29" s="93">
        <f t="shared" si="8"/>
        <v>0</v>
      </c>
      <c r="S29" s="93">
        <f t="shared" si="9"/>
        <v>0</v>
      </c>
      <c r="V29" s="93">
        <f t="shared" si="10"/>
        <v>0</v>
      </c>
      <c r="Y29" s="93">
        <f t="shared" si="11"/>
        <v>0</v>
      </c>
      <c r="AB29" s="93">
        <f t="shared" si="12"/>
        <v>0</v>
      </c>
      <c r="AE29" s="93">
        <f>(AC29*AD29)/'[19]Input Sheet'!$B$11</f>
        <v>0</v>
      </c>
      <c r="AH29" s="93">
        <f>(AF29*AG29)/'[19]Input Sheet'!$B$11</f>
        <v>0</v>
      </c>
      <c r="AI29" s="124"/>
      <c r="AJ29" s="125"/>
      <c r="AK29" s="93">
        <f t="shared" si="13"/>
        <v>0</v>
      </c>
      <c r="AL29" s="124"/>
      <c r="AM29" s="125"/>
      <c r="AN29" s="93">
        <f t="shared" si="14"/>
        <v>0</v>
      </c>
      <c r="AO29" s="124"/>
      <c r="AP29" s="125"/>
      <c r="AQ29" s="93">
        <f t="shared" si="15"/>
        <v>0</v>
      </c>
      <c r="AR29" s="124"/>
      <c r="AS29" s="125"/>
      <c r="AT29" s="93">
        <f t="shared" si="16"/>
        <v>0</v>
      </c>
      <c r="AW29" s="93">
        <f t="shared" si="17"/>
        <v>0</v>
      </c>
      <c r="AZ29" s="93">
        <f t="shared" si="18"/>
        <v>0</v>
      </c>
      <c r="BC29" s="93">
        <f t="shared" si="19"/>
        <v>0</v>
      </c>
      <c r="BF29" s="93">
        <f t="shared" si="20"/>
        <v>0</v>
      </c>
      <c r="BI29" s="93">
        <f t="shared" si="21"/>
        <v>0</v>
      </c>
      <c r="BL29" s="93">
        <f t="shared" si="22"/>
        <v>0</v>
      </c>
      <c r="BO29" s="93">
        <f t="shared" si="23"/>
        <v>0</v>
      </c>
      <c r="BR29" s="93">
        <f t="shared" si="24"/>
        <v>0</v>
      </c>
      <c r="BU29" s="93">
        <f t="shared" si="25"/>
        <v>0</v>
      </c>
      <c r="BX29" s="93">
        <f t="shared" si="26"/>
        <v>0</v>
      </c>
      <c r="CA29" s="93">
        <f t="shared" si="27"/>
        <v>0</v>
      </c>
      <c r="CD29" s="93">
        <f t="shared" si="28"/>
        <v>0</v>
      </c>
      <c r="CG29" s="93">
        <f t="shared" si="29"/>
        <v>0</v>
      </c>
      <c r="CJ29" s="93">
        <f t="shared" si="30"/>
        <v>0</v>
      </c>
      <c r="CM29" s="93">
        <f t="shared" si="31"/>
        <v>0</v>
      </c>
      <c r="CP29" s="93">
        <f t="shared" si="32"/>
        <v>0</v>
      </c>
      <c r="CS29" s="93">
        <f t="shared" si="33"/>
        <v>0</v>
      </c>
      <c r="CV29" s="93">
        <f t="shared" si="34"/>
        <v>0</v>
      </c>
      <c r="CY29" s="93">
        <f t="shared" si="35"/>
        <v>0</v>
      </c>
      <c r="DB29" s="93">
        <f t="shared" si="36"/>
        <v>0</v>
      </c>
      <c r="DE29" s="93">
        <f t="shared" si="37"/>
        <v>0</v>
      </c>
      <c r="DH29" s="93">
        <f t="shared" si="38"/>
        <v>0</v>
      </c>
      <c r="DK29" s="93">
        <f t="shared" si="39"/>
        <v>0</v>
      </c>
      <c r="DN29" s="93">
        <f t="shared" si="40"/>
        <v>0</v>
      </c>
      <c r="DQ29" s="93">
        <f t="shared" si="41"/>
        <v>0</v>
      </c>
      <c r="DT29" s="93">
        <f t="shared" si="42"/>
        <v>0</v>
      </c>
      <c r="DW29" s="93">
        <f t="shared" si="43"/>
        <v>0</v>
      </c>
      <c r="DZ29" s="93"/>
      <c r="EA29" s="93"/>
      <c r="EB29" s="126">
        <f t="shared" si="0"/>
        <v>170950000</v>
      </c>
      <c r="EC29" s="126">
        <f t="shared" si="44"/>
        <v>170950000</v>
      </c>
      <c r="ED29" s="93">
        <f t="shared" si="1"/>
        <v>1472.0694444444443</v>
      </c>
      <c r="EE29" s="94">
        <f t="shared" si="45"/>
        <v>3.0999999999999995E-3</v>
      </c>
      <c r="EG29" s="126">
        <f t="shared" si="2"/>
        <v>0</v>
      </c>
      <c r="EH29" s="93">
        <f t="shared" si="3"/>
        <v>0</v>
      </c>
      <c r="EI29" s="94">
        <f t="shared" si="46"/>
        <v>0</v>
      </c>
      <c r="EJ29" s="94"/>
      <c r="EK29" s="126">
        <f t="shared" si="47"/>
        <v>0</v>
      </c>
      <c r="EL29" s="126">
        <f t="shared" si="48"/>
        <v>0</v>
      </c>
      <c r="EM29" s="126">
        <f t="shared" si="49"/>
        <v>0</v>
      </c>
      <c r="EN29" s="94">
        <f t="shared" si="50"/>
        <v>0</v>
      </c>
      <c r="EP29" s="93"/>
    </row>
    <row r="30" spans="1:146" x14ac:dyDescent="0.25">
      <c r="A30" s="39">
        <f t="shared" si="51"/>
        <v>43941</v>
      </c>
      <c r="B30" s="93">
        <v>178625000</v>
      </c>
      <c r="C30" s="94">
        <v>5.5000000000000005E-3</v>
      </c>
      <c r="D30" s="93">
        <f t="shared" si="4"/>
        <v>2728.9930555555557</v>
      </c>
      <c r="G30" s="93">
        <f t="shared" si="5"/>
        <v>0</v>
      </c>
      <c r="J30" s="93">
        <f t="shared" si="6"/>
        <v>0</v>
      </c>
      <c r="M30" s="93">
        <f t="shared" si="7"/>
        <v>0</v>
      </c>
      <c r="P30" s="93">
        <f t="shared" si="8"/>
        <v>0</v>
      </c>
      <c r="S30" s="93">
        <f t="shared" si="9"/>
        <v>0</v>
      </c>
      <c r="V30" s="93">
        <f t="shared" si="10"/>
        <v>0</v>
      </c>
      <c r="Y30" s="93">
        <f t="shared" si="11"/>
        <v>0</v>
      </c>
      <c r="AB30" s="93">
        <f t="shared" si="12"/>
        <v>0</v>
      </c>
      <c r="AE30" s="93">
        <f>(AC30*AD30)/'[19]Input Sheet'!$B$11</f>
        <v>0</v>
      </c>
      <c r="AH30" s="93">
        <f>(AF30*AG30)/'[19]Input Sheet'!$B$11</f>
        <v>0</v>
      </c>
      <c r="AI30" s="124"/>
      <c r="AJ30" s="125"/>
      <c r="AK30" s="93">
        <f t="shared" si="13"/>
        <v>0</v>
      </c>
      <c r="AL30" s="124"/>
      <c r="AM30" s="125"/>
      <c r="AN30" s="93">
        <f t="shared" si="14"/>
        <v>0</v>
      </c>
      <c r="AO30" s="124"/>
      <c r="AP30" s="125"/>
      <c r="AQ30" s="93">
        <f t="shared" si="15"/>
        <v>0</v>
      </c>
      <c r="AR30" s="124"/>
      <c r="AS30" s="125"/>
      <c r="AT30" s="93">
        <f t="shared" si="16"/>
        <v>0</v>
      </c>
      <c r="AW30" s="93">
        <f t="shared" si="17"/>
        <v>0</v>
      </c>
      <c r="AZ30" s="93">
        <f t="shared" si="18"/>
        <v>0</v>
      </c>
      <c r="BC30" s="93">
        <f t="shared" si="19"/>
        <v>0</v>
      </c>
      <c r="BF30" s="93">
        <f t="shared" si="20"/>
        <v>0</v>
      </c>
      <c r="BI30" s="93">
        <f t="shared" si="21"/>
        <v>0</v>
      </c>
      <c r="BL30" s="93">
        <f t="shared" si="22"/>
        <v>0</v>
      </c>
      <c r="BO30" s="93">
        <f t="shared" si="23"/>
        <v>0</v>
      </c>
      <c r="BR30" s="93">
        <f t="shared" si="24"/>
        <v>0</v>
      </c>
      <c r="BU30" s="93">
        <f t="shared" si="25"/>
        <v>0</v>
      </c>
      <c r="BX30" s="93">
        <f t="shared" si="26"/>
        <v>0</v>
      </c>
      <c r="CA30" s="93">
        <f t="shared" si="27"/>
        <v>0</v>
      </c>
      <c r="CD30" s="93">
        <f t="shared" si="28"/>
        <v>0</v>
      </c>
      <c r="CG30" s="93">
        <f t="shared" si="29"/>
        <v>0</v>
      </c>
      <c r="CJ30" s="93">
        <f t="shared" si="30"/>
        <v>0</v>
      </c>
      <c r="CM30" s="93">
        <f t="shared" si="31"/>
        <v>0</v>
      </c>
      <c r="CP30" s="93">
        <f t="shared" si="32"/>
        <v>0</v>
      </c>
      <c r="CS30" s="93">
        <f t="shared" si="33"/>
        <v>0</v>
      </c>
      <c r="CV30" s="93">
        <f t="shared" si="34"/>
        <v>0</v>
      </c>
      <c r="CY30" s="93">
        <f t="shared" si="35"/>
        <v>0</v>
      </c>
      <c r="DB30" s="93">
        <f t="shared" si="36"/>
        <v>0</v>
      </c>
      <c r="DE30" s="93">
        <f t="shared" si="37"/>
        <v>0</v>
      </c>
      <c r="DH30" s="93">
        <f t="shared" si="38"/>
        <v>0</v>
      </c>
      <c r="DK30" s="93">
        <f t="shared" si="39"/>
        <v>0</v>
      </c>
      <c r="DN30" s="93">
        <f t="shared" si="40"/>
        <v>0</v>
      </c>
      <c r="DQ30" s="93">
        <f t="shared" si="41"/>
        <v>0</v>
      </c>
      <c r="DT30" s="93">
        <f t="shared" si="42"/>
        <v>0</v>
      </c>
      <c r="DW30" s="93">
        <f t="shared" si="43"/>
        <v>0</v>
      </c>
      <c r="DZ30" s="93"/>
      <c r="EA30" s="93"/>
      <c r="EB30" s="126">
        <f t="shared" si="0"/>
        <v>178625000</v>
      </c>
      <c r="EC30" s="126">
        <f t="shared" si="44"/>
        <v>178625000</v>
      </c>
      <c r="ED30" s="93">
        <f t="shared" si="1"/>
        <v>2728.9930555555557</v>
      </c>
      <c r="EE30" s="94">
        <f t="shared" si="45"/>
        <v>5.4999999999999997E-3</v>
      </c>
      <c r="EG30" s="126">
        <f t="shared" si="2"/>
        <v>0</v>
      </c>
      <c r="EH30" s="93">
        <f t="shared" si="3"/>
        <v>0</v>
      </c>
      <c r="EI30" s="94">
        <f t="shared" si="46"/>
        <v>0</v>
      </c>
      <c r="EJ30" s="94"/>
      <c r="EK30" s="126">
        <f t="shared" si="47"/>
        <v>0</v>
      </c>
      <c r="EL30" s="126">
        <f t="shared" si="48"/>
        <v>0</v>
      </c>
      <c r="EM30" s="126">
        <f t="shared" si="49"/>
        <v>0</v>
      </c>
      <c r="EN30" s="94">
        <f t="shared" si="50"/>
        <v>0</v>
      </c>
      <c r="EP30" s="93"/>
    </row>
    <row r="31" spans="1:146" x14ac:dyDescent="0.25">
      <c r="A31" s="39">
        <f t="shared" si="51"/>
        <v>43942</v>
      </c>
      <c r="B31" s="93">
        <v>167975000</v>
      </c>
      <c r="C31" s="94">
        <v>5.4000000000000003E-3</v>
      </c>
      <c r="D31" s="93">
        <f t="shared" si="4"/>
        <v>2519.625</v>
      </c>
      <c r="G31" s="93">
        <f t="shared" si="5"/>
        <v>0</v>
      </c>
      <c r="J31" s="93">
        <f t="shared" si="6"/>
        <v>0</v>
      </c>
      <c r="M31" s="93">
        <f t="shared" si="7"/>
        <v>0</v>
      </c>
      <c r="P31" s="93">
        <f t="shared" si="8"/>
        <v>0</v>
      </c>
      <c r="S31" s="93">
        <f t="shared" si="9"/>
        <v>0</v>
      </c>
      <c r="V31" s="93">
        <f t="shared" si="10"/>
        <v>0</v>
      </c>
      <c r="Y31" s="93">
        <f t="shared" si="11"/>
        <v>0</v>
      </c>
      <c r="AB31" s="93">
        <f t="shared" si="12"/>
        <v>0</v>
      </c>
      <c r="AE31" s="93">
        <f>(AC31*AD31)/'[19]Input Sheet'!$B$11</f>
        <v>0</v>
      </c>
      <c r="AH31" s="93">
        <f>(AF31*AG31)/'[19]Input Sheet'!$B$11</f>
        <v>0</v>
      </c>
      <c r="AI31" s="124"/>
      <c r="AJ31" s="125"/>
      <c r="AK31" s="93">
        <f t="shared" si="13"/>
        <v>0</v>
      </c>
      <c r="AL31" s="124"/>
      <c r="AM31" s="125"/>
      <c r="AN31" s="93">
        <f t="shared" si="14"/>
        <v>0</v>
      </c>
      <c r="AO31" s="124"/>
      <c r="AP31" s="125"/>
      <c r="AQ31" s="93">
        <f t="shared" si="15"/>
        <v>0</v>
      </c>
      <c r="AR31" s="124"/>
      <c r="AS31" s="125"/>
      <c r="AT31" s="93">
        <f t="shared" si="16"/>
        <v>0</v>
      </c>
      <c r="AW31" s="93">
        <f t="shared" si="17"/>
        <v>0</v>
      </c>
      <c r="AZ31" s="93">
        <f t="shared" si="18"/>
        <v>0</v>
      </c>
      <c r="BC31" s="93">
        <f t="shared" si="19"/>
        <v>0</v>
      </c>
      <c r="BF31" s="93">
        <f t="shared" si="20"/>
        <v>0</v>
      </c>
      <c r="BI31" s="93">
        <f t="shared" si="21"/>
        <v>0</v>
      </c>
      <c r="BL31" s="93">
        <f t="shared" si="22"/>
        <v>0</v>
      </c>
      <c r="BO31" s="93">
        <f t="shared" si="23"/>
        <v>0</v>
      </c>
      <c r="BR31" s="93">
        <f t="shared" si="24"/>
        <v>0</v>
      </c>
      <c r="BU31" s="93">
        <f t="shared" si="25"/>
        <v>0</v>
      </c>
      <c r="BX31" s="93">
        <f t="shared" si="26"/>
        <v>0</v>
      </c>
      <c r="CA31" s="93">
        <f t="shared" si="27"/>
        <v>0</v>
      </c>
      <c r="CD31" s="93">
        <f t="shared" si="28"/>
        <v>0</v>
      </c>
      <c r="CG31" s="93">
        <f t="shared" si="29"/>
        <v>0</v>
      </c>
      <c r="CJ31" s="93">
        <f t="shared" si="30"/>
        <v>0</v>
      </c>
      <c r="CM31" s="93">
        <f t="shared" si="31"/>
        <v>0</v>
      </c>
      <c r="CP31" s="93">
        <f t="shared" si="32"/>
        <v>0</v>
      </c>
      <c r="CS31" s="93">
        <f t="shared" si="33"/>
        <v>0</v>
      </c>
      <c r="CV31" s="93">
        <f t="shared" si="34"/>
        <v>0</v>
      </c>
      <c r="CY31" s="93">
        <f t="shared" si="35"/>
        <v>0</v>
      </c>
      <c r="DB31" s="93">
        <f t="shared" si="36"/>
        <v>0</v>
      </c>
      <c r="DE31" s="93">
        <f t="shared" si="37"/>
        <v>0</v>
      </c>
      <c r="DH31" s="93">
        <f t="shared" si="38"/>
        <v>0</v>
      </c>
      <c r="DK31" s="93">
        <f t="shared" si="39"/>
        <v>0</v>
      </c>
      <c r="DN31" s="93">
        <f t="shared" si="40"/>
        <v>0</v>
      </c>
      <c r="DQ31" s="93">
        <f t="shared" si="41"/>
        <v>0</v>
      </c>
      <c r="DT31" s="93">
        <f t="shared" si="42"/>
        <v>0</v>
      </c>
      <c r="DW31" s="93">
        <f t="shared" si="43"/>
        <v>0</v>
      </c>
      <c r="DZ31" s="93"/>
      <c r="EA31" s="93"/>
      <c r="EB31" s="126">
        <f t="shared" si="0"/>
        <v>167975000</v>
      </c>
      <c r="EC31" s="126">
        <f t="shared" si="44"/>
        <v>167975000</v>
      </c>
      <c r="ED31" s="93">
        <f t="shared" si="1"/>
        <v>2519.625</v>
      </c>
      <c r="EE31" s="94">
        <f t="shared" si="45"/>
        <v>5.4000000000000003E-3</v>
      </c>
      <c r="EG31" s="126">
        <f t="shared" si="2"/>
        <v>0</v>
      </c>
      <c r="EH31" s="93">
        <f t="shared" si="3"/>
        <v>0</v>
      </c>
      <c r="EI31" s="94">
        <f t="shared" si="46"/>
        <v>0</v>
      </c>
      <c r="EJ31" s="94"/>
      <c r="EK31" s="126">
        <f t="shared" si="47"/>
        <v>0</v>
      </c>
      <c r="EL31" s="126">
        <f t="shared" si="48"/>
        <v>0</v>
      </c>
      <c r="EM31" s="126">
        <f t="shared" si="49"/>
        <v>0</v>
      </c>
      <c r="EN31" s="94">
        <f t="shared" si="50"/>
        <v>0</v>
      </c>
      <c r="EP31" s="93"/>
    </row>
    <row r="32" spans="1:146" x14ac:dyDescent="0.25">
      <c r="A32" s="39">
        <f t="shared" si="51"/>
        <v>43943</v>
      </c>
      <c r="B32" s="93">
        <v>161550000</v>
      </c>
      <c r="C32" s="94">
        <v>3.3E-3</v>
      </c>
      <c r="D32" s="93">
        <f t="shared" si="4"/>
        <v>1480.875</v>
      </c>
      <c r="G32" s="93">
        <f t="shared" si="5"/>
        <v>0</v>
      </c>
      <c r="J32" s="93">
        <f t="shared" si="6"/>
        <v>0</v>
      </c>
      <c r="M32" s="93">
        <f t="shared" si="7"/>
        <v>0</v>
      </c>
      <c r="P32" s="93">
        <f t="shared" si="8"/>
        <v>0</v>
      </c>
      <c r="S32" s="93">
        <f t="shared" si="9"/>
        <v>0</v>
      </c>
      <c r="V32" s="93">
        <f t="shared" si="10"/>
        <v>0</v>
      </c>
      <c r="Y32" s="93">
        <f t="shared" si="11"/>
        <v>0</v>
      </c>
      <c r="AB32" s="93">
        <f t="shared" si="12"/>
        <v>0</v>
      </c>
      <c r="AE32" s="93">
        <f>(AC32*AD32)/'[19]Input Sheet'!$B$11</f>
        <v>0</v>
      </c>
      <c r="AH32" s="93">
        <f>(AF32*AG32)/'[19]Input Sheet'!$B$11</f>
        <v>0</v>
      </c>
      <c r="AI32" s="124"/>
      <c r="AJ32" s="125"/>
      <c r="AK32" s="93">
        <f t="shared" si="13"/>
        <v>0</v>
      </c>
      <c r="AL32" s="124"/>
      <c r="AM32" s="125"/>
      <c r="AN32" s="93">
        <f t="shared" si="14"/>
        <v>0</v>
      </c>
      <c r="AO32" s="124"/>
      <c r="AP32" s="125"/>
      <c r="AQ32" s="93">
        <f t="shared" si="15"/>
        <v>0</v>
      </c>
      <c r="AR32" s="124"/>
      <c r="AS32" s="125"/>
      <c r="AT32" s="93">
        <f t="shared" si="16"/>
        <v>0</v>
      </c>
      <c r="AW32" s="93">
        <f t="shared" si="17"/>
        <v>0</v>
      </c>
      <c r="AZ32" s="93">
        <f t="shared" si="18"/>
        <v>0</v>
      </c>
      <c r="BC32" s="93">
        <f t="shared" si="19"/>
        <v>0</v>
      </c>
      <c r="BF32" s="93">
        <f t="shared" si="20"/>
        <v>0</v>
      </c>
      <c r="BI32" s="93">
        <f t="shared" si="21"/>
        <v>0</v>
      </c>
      <c r="BL32" s="93">
        <f t="shared" si="22"/>
        <v>0</v>
      </c>
      <c r="BO32" s="93">
        <f t="shared" si="23"/>
        <v>0</v>
      </c>
      <c r="BR32" s="93">
        <f t="shared" si="24"/>
        <v>0</v>
      </c>
      <c r="BU32" s="93">
        <f t="shared" si="25"/>
        <v>0</v>
      </c>
      <c r="BX32" s="93">
        <f t="shared" si="26"/>
        <v>0</v>
      </c>
      <c r="CA32" s="93">
        <f t="shared" si="27"/>
        <v>0</v>
      </c>
      <c r="CD32" s="93">
        <f t="shared" si="28"/>
        <v>0</v>
      </c>
      <c r="CG32" s="93">
        <f t="shared" si="29"/>
        <v>0</v>
      </c>
      <c r="CJ32" s="93">
        <f t="shared" si="30"/>
        <v>0</v>
      </c>
      <c r="CM32" s="93">
        <f t="shared" si="31"/>
        <v>0</v>
      </c>
      <c r="CP32" s="93">
        <f t="shared" si="32"/>
        <v>0</v>
      </c>
      <c r="CS32" s="93">
        <f t="shared" si="33"/>
        <v>0</v>
      </c>
      <c r="CV32" s="93">
        <f t="shared" si="34"/>
        <v>0</v>
      </c>
      <c r="CY32" s="93">
        <f t="shared" si="35"/>
        <v>0</v>
      </c>
      <c r="DB32" s="93">
        <f t="shared" si="36"/>
        <v>0</v>
      </c>
      <c r="DE32" s="93">
        <f t="shared" si="37"/>
        <v>0</v>
      </c>
      <c r="DH32" s="93">
        <f t="shared" si="38"/>
        <v>0</v>
      </c>
      <c r="DK32" s="93">
        <f t="shared" si="39"/>
        <v>0</v>
      </c>
      <c r="DN32" s="93">
        <f t="shared" si="40"/>
        <v>0</v>
      </c>
      <c r="DQ32" s="93">
        <f t="shared" si="41"/>
        <v>0</v>
      </c>
      <c r="DT32" s="93">
        <f t="shared" si="42"/>
        <v>0</v>
      </c>
      <c r="DW32" s="93">
        <f t="shared" si="43"/>
        <v>0</v>
      </c>
      <c r="DZ32" s="93"/>
      <c r="EA32" s="93"/>
      <c r="EB32" s="126">
        <f t="shared" si="0"/>
        <v>161550000</v>
      </c>
      <c r="EC32" s="126">
        <f t="shared" si="44"/>
        <v>161550000</v>
      </c>
      <c r="ED32" s="93">
        <f t="shared" si="1"/>
        <v>1480.875</v>
      </c>
      <c r="EE32" s="94">
        <f t="shared" si="45"/>
        <v>3.3E-3</v>
      </c>
      <c r="EG32" s="126">
        <f t="shared" si="2"/>
        <v>0</v>
      </c>
      <c r="EH32" s="93">
        <f t="shared" si="3"/>
        <v>0</v>
      </c>
      <c r="EI32" s="94">
        <f t="shared" si="46"/>
        <v>0</v>
      </c>
      <c r="EJ32" s="94"/>
      <c r="EK32" s="126">
        <f t="shared" si="47"/>
        <v>0</v>
      </c>
      <c r="EL32" s="126">
        <f t="shared" si="48"/>
        <v>0</v>
      </c>
      <c r="EM32" s="126">
        <f t="shared" si="49"/>
        <v>0</v>
      </c>
      <c r="EN32" s="94">
        <f t="shared" si="50"/>
        <v>0</v>
      </c>
      <c r="EP32" s="93"/>
    </row>
    <row r="33" spans="1:146" x14ac:dyDescent="0.25">
      <c r="A33" s="39">
        <f t="shared" si="51"/>
        <v>43944</v>
      </c>
      <c r="B33" s="93">
        <v>159250000</v>
      </c>
      <c r="C33" s="94">
        <v>2.7000000000000001E-3</v>
      </c>
      <c r="D33" s="93">
        <f t="shared" si="4"/>
        <v>1194.375</v>
      </c>
      <c r="G33" s="93">
        <f t="shared" si="5"/>
        <v>0</v>
      </c>
      <c r="J33" s="93">
        <f t="shared" si="6"/>
        <v>0</v>
      </c>
      <c r="M33" s="93">
        <f t="shared" si="7"/>
        <v>0</v>
      </c>
      <c r="P33" s="93">
        <f t="shared" si="8"/>
        <v>0</v>
      </c>
      <c r="S33" s="93">
        <f t="shared" si="9"/>
        <v>0</v>
      </c>
      <c r="V33" s="93">
        <f t="shared" si="10"/>
        <v>0</v>
      </c>
      <c r="Y33" s="93">
        <f t="shared" si="11"/>
        <v>0</v>
      </c>
      <c r="AB33" s="93">
        <f t="shared" si="12"/>
        <v>0</v>
      </c>
      <c r="AE33" s="93">
        <f>(AC33*AD33)/'[19]Input Sheet'!$B$11</f>
        <v>0</v>
      </c>
      <c r="AH33" s="93">
        <f>(AF33*AG33)/'[19]Input Sheet'!$B$11</f>
        <v>0</v>
      </c>
      <c r="AI33" s="124"/>
      <c r="AJ33" s="125"/>
      <c r="AK33" s="93">
        <f t="shared" si="13"/>
        <v>0</v>
      </c>
      <c r="AL33" s="124"/>
      <c r="AM33" s="125"/>
      <c r="AN33" s="93">
        <f t="shared" si="14"/>
        <v>0</v>
      </c>
      <c r="AO33" s="124"/>
      <c r="AP33" s="125"/>
      <c r="AQ33" s="93">
        <f t="shared" si="15"/>
        <v>0</v>
      </c>
      <c r="AR33" s="124"/>
      <c r="AS33" s="125"/>
      <c r="AT33" s="93">
        <f t="shared" si="16"/>
        <v>0</v>
      </c>
      <c r="AW33" s="93">
        <f t="shared" si="17"/>
        <v>0</v>
      </c>
      <c r="AZ33" s="93">
        <f t="shared" si="18"/>
        <v>0</v>
      </c>
      <c r="BC33" s="93">
        <f t="shared" si="19"/>
        <v>0</v>
      </c>
      <c r="BF33" s="93">
        <f t="shared" si="20"/>
        <v>0</v>
      </c>
      <c r="BI33" s="93">
        <f t="shared" si="21"/>
        <v>0</v>
      </c>
      <c r="BL33" s="93">
        <f t="shared" si="22"/>
        <v>0</v>
      </c>
      <c r="BO33" s="93">
        <f t="shared" si="23"/>
        <v>0</v>
      </c>
      <c r="BR33" s="93">
        <f t="shared" si="24"/>
        <v>0</v>
      </c>
      <c r="BU33" s="93">
        <f t="shared" si="25"/>
        <v>0</v>
      </c>
      <c r="BX33" s="93">
        <f t="shared" si="26"/>
        <v>0</v>
      </c>
      <c r="CA33" s="93">
        <f t="shared" si="27"/>
        <v>0</v>
      </c>
      <c r="CD33" s="93">
        <f t="shared" si="28"/>
        <v>0</v>
      </c>
      <c r="CG33" s="93">
        <f t="shared" si="29"/>
        <v>0</v>
      </c>
      <c r="CJ33" s="93">
        <f t="shared" si="30"/>
        <v>0</v>
      </c>
      <c r="CM33" s="93">
        <f t="shared" si="31"/>
        <v>0</v>
      </c>
      <c r="CP33" s="93">
        <f t="shared" si="32"/>
        <v>0</v>
      </c>
      <c r="CS33" s="93">
        <f t="shared" si="33"/>
        <v>0</v>
      </c>
      <c r="CV33" s="93">
        <f t="shared" si="34"/>
        <v>0</v>
      </c>
      <c r="CY33" s="93">
        <f t="shared" si="35"/>
        <v>0</v>
      </c>
      <c r="DB33" s="93">
        <f t="shared" si="36"/>
        <v>0</v>
      </c>
      <c r="DE33" s="93">
        <f t="shared" si="37"/>
        <v>0</v>
      </c>
      <c r="DH33" s="93">
        <f t="shared" si="38"/>
        <v>0</v>
      </c>
      <c r="DK33" s="93">
        <f t="shared" si="39"/>
        <v>0</v>
      </c>
      <c r="DN33" s="93">
        <f t="shared" si="40"/>
        <v>0</v>
      </c>
      <c r="DQ33" s="93">
        <f t="shared" si="41"/>
        <v>0</v>
      </c>
      <c r="DT33" s="93">
        <f t="shared" si="42"/>
        <v>0</v>
      </c>
      <c r="DW33" s="93">
        <f t="shared" si="43"/>
        <v>0</v>
      </c>
      <c r="DZ33" s="93"/>
      <c r="EA33" s="93"/>
      <c r="EB33" s="126">
        <f t="shared" si="0"/>
        <v>159250000</v>
      </c>
      <c r="EC33" s="126">
        <f t="shared" si="44"/>
        <v>159250000</v>
      </c>
      <c r="ED33" s="93">
        <f t="shared" si="1"/>
        <v>1194.375</v>
      </c>
      <c r="EE33" s="94">
        <f t="shared" si="45"/>
        <v>2.7000000000000001E-3</v>
      </c>
      <c r="EG33" s="126">
        <f t="shared" si="2"/>
        <v>0</v>
      </c>
      <c r="EH33" s="93">
        <f t="shared" si="3"/>
        <v>0</v>
      </c>
      <c r="EI33" s="94">
        <f t="shared" si="46"/>
        <v>0</v>
      </c>
      <c r="EJ33" s="94"/>
      <c r="EK33" s="126">
        <f t="shared" si="47"/>
        <v>0</v>
      </c>
      <c r="EL33" s="126">
        <f t="shared" si="48"/>
        <v>0</v>
      </c>
      <c r="EM33" s="126">
        <f t="shared" si="49"/>
        <v>0</v>
      </c>
      <c r="EN33" s="94">
        <f t="shared" si="50"/>
        <v>0</v>
      </c>
      <c r="EP33" s="93"/>
    </row>
    <row r="34" spans="1:146" x14ac:dyDescent="0.25">
      <c r="A34" s="39">
        <f t="shared" si="51"/>
        <v>43945</v>
      </c>
      <c r="B34" s="93">
        <v>161625000</v>
      </c>
      <c r="C34" s="94">
        <v>2.2000000000000001E-3</v>
      </c>
      <c r="D34" s="93">
        <f t="shared" si="4"/>
        <v>987.70833333333337</v>
      </c>
      <c r="G34" s="93">
        <f t="shared" si="5"/>
        <v>0</v>
      </c>
      <c r="J34" s="93">
        <f t="shared" si="6"/>
        <v>0</v>
      </c>
      <c r="M34" s="93">
        <f t="shared" si="7"/>
        <v>0</v>
      </c>
      <c r="P34" s="93">
        <f t="shared" si="8"/>
        <v>0</v>
      </c>
      <c r="S34" s="93">
        <f t="shared" si="9"/>
        <v>0</v>
      </c>
      <c r="V34" s="93">
        <f t="shared" si="10"/>
        <v>0</v>
      </c>
      <c r="Y34" s="93">
        <f t="shared" si="11"/>
        <v>0</v>
      </c>
      <c r="AB34" s="93">
        <f t="shared" si="12"/>
        <v>0</v>
      </c>
      <c r="AE34" s="93">
        <f>(AC34*AD34)/'[19]Input Sheet'!$B$11</f>
        <v>0</v>
      </c>
      <c r="AH34" s="93">
        <f>(AF34*AG34)/'[19]Input Sheet'!$B$11</f>
        <v>0</v>
      </c>
      <c r="AI34" s="124"/>
      <c r="AJ34" s="125"/>
      <c r="AK34" s="93">
        <f t="shared" si="13"/>
        <v>0</v>
      </c>
      <c r="AL34" s="124"/>
      <c r="AM34" s="125"/>
      <c r="AN34" s="93">
        <f t="shared" si="14"/>
        <v>0</v>
      </c>
      <c r="AO34" s="124"/>
      <c r="AP34" s="125"/>
      <c r="AQ34" s="93">
        <f t="shared" si="15"/>
        <v>0</v>
      </c>
      <c r="AR34" s="124"/>
      <c r="AS34" s="125"/>
      <c r="AT34" s="93">
        <f t="shared" si="16"/>
        <v>0</v>
      </c>
      <c r="AW34" s="93">
        <f t="shared" si="17"/>
        <v>0</v>
      </c>
      <c r="AZ34" s="93">
        <f t="shared" si="18"/>
        <v>0</v>
      </c>
      <c r="BC34" s="93">
        <f t="shared" si="19"/>
        <v>0</v>
      </c>
      <c r="BF34" s="93">
        <f t="shared" si="20"/>
        <v>0</v>
      </c>
      <c r="BI34" s="93">
        <f t="shared" si="21"/>
        <v>0</v>
      </c>
      <c r="BL34" s="93">
        <f t="shared" si="22"/>
        <v>0</v>
      </c>
      <c r="BO34" s="93">
        <f t="shared" si="23"/>
        <v>0</v>
      </c>
      <c r="BR34" s="93">
        <f t="shared" si="24"/>
        <v>0</v>
      </c>
      <c r="BU34" s="93">
        <f t="shared" si="25"/>
        <v>0</v>
      </c>
      <c r="BX34" s="93">
        <f t="shared" si="26"/>
        <v>0</v>
      </c>
      <c r="CA34" s="93">
        <f t="shared" si="27"/>
        <v>0</v>
      </c>
      <c r="CD34" s="93">
        <f t="shared" si="28"/>
        <v>0</v>
      </c>
      <c r="CG34" s="93">
        <f t="shared" si="29"/>
        <v>0</v>
      </c>
      <c r="CJ34" s="93">
        <f t="shared" si="30"/>
        <v>0</v>
      </c>
      <c r="CM34" s="93">
        <f t="shared" si="31"/>
        <v>0</v>
      </c>
      <c r="CP34" s="93">
        <f t="shared" si="32"/>
        <v>0</v>
      </c>
      <c r="CS34" s="93">
        <f t="shared" si="33"/>
        <v>0</v>
      </c>
      <c r="CV34" s="93">
        <f t="shared" si="34"/>
        <v>0</v>
      </c>
      <c r="CY34" s="93">
        <f t="shared" si="35"/>
        <v>0</v>
      </c>
      <c r="DB34" s="93">
        <f t="shared" si="36"/>
        <v>0</v>
      </c>
      <c r="DE34" s="93">
        <f t="shared" si="37"/>
        <v>0</v>
      </c>
      <c r="DH34" s="93">
        <f t="shared" si="38"/>
        <v>0</v>
      </c>
      <c r="DK34" s="93">
        <f t="shared" si="39"/>
        <v>0</v>
      </c>
      <c r="DN34" s="93">
        <f t="shared" si="40"/>
        <v>0</v>
      </c>
      <c r="DQ34" s="93">
        <f t="shared" si="41"/>
        <v>0</v>
      </c>
      <c r="DT34" s="93">
        <f t="shared" si="42"/>
        <v>0</v>
      </c>
      <c r="DW34" s="93">
        <f t="shared" si="43"/>
        <v>0</v>
      </c>
      <c r="DZ34" s="93"/>
      <c r="EA34" s="93"/>
      <c r="EB34" s="126">
        <f t="shared" si="0"/>
        <v>161625000</v>
      </c>
      <c r="EC34" s="126">
        <f t="shared" si="44"/>
        <v>161625000</v>
      </c>
      <c r="ED34" s="93">
        <f t="shared" si="1"/>
        <v>987.70833333333337</v>
      </c>
      <c r="EE34" s="94">
        <f t="shared" si="45"/>
        <v>2.2000000000000001E-3</v>
      </c>
      <c r="EG34" s="126">
        <f t="shared" si="2"/>
        <v>0</v>
      </c>
      <c r="EH34" s="93">
        <f t="shared" si="3"/>
        <v>0</v>
      </c>
      <c r="EI34" s="94">
        <f t="shared" si="46"/>
        <v>0</v>
      </c>
      <c r="EJ34" s="94"/>
      <c r="EK34" s="126">
        <f t="shared" si="47"/>
        <v>0</v>
      </c>
      <c r="EL34" s="126">
        <f t="shared" si="48"/>
        <v>0</v>
      </c>
      <c r="EM34" s="126">
        <f t="shared" si="49"/>
        <v>0</v>
      </c>
      <c r="EN34" s="94">
        <f t="shared" si="50"/>
        <v>0</v>
      </c>
      <c r="EP34" s="93"/>
    </row>
    <row r="35" spans="1:146" x14ac:dyDescent="0.25">
      <c r="A35" s="39">
        <f t="shared" si="51"/>
        <v>43946</v>
      </c>
      <c r="B35" s="93">
        <v>161625000</v>
      </c>
      <c r="C35" s="94">
        <v>2.2000000000000001E-3</v>
      </c>
      <c r="D35" s="93">
        <f t="shared" si="4"/>
        <v>987.70833333333337</v>
      </c>
      <c r="G35" s="93">
        <f t="shared" si="5"/>
        <v>0</v>
      </c>
      <c r="J35" s="93">
        <f t="shared" si="6"/>
        <v>0</v>
      </c>
      <c r="M35" s="93">
        <f t="shared" si="7"/>
        <v>0</v>
      </c>
      <c r="P35" s="93">
        <f t="shared" si="8"/>
        <v>0</v>
      </c>
      <c r="S35" s="93">
        <f t="shared" si="9"/>
        <v>0</v>
      </c>
      <c r="V35" s="93">
        <f t="shared" si="10"/>
        <v>0</v>
      </c>
      <c r="Y35" s="93">
        <f t="shared" si="11"/>
        <v>0</v>
      </c>
      <c r="AB35" s="93">
        <f t="shared" si="12"/>
        <v>0</v>
      </c>
      <c r="AE35" s="93">
        <f>(AC35*AD35)/'[19]Input Sheet'!$B$11</f>
        <v>0</v>
      </c>
      <c r="AH35" s="93">
        <f>(AF35*AG35)/'[19]Input Sheet'!$B$11</f>
        <v>0</v>
      </c>
      <c r="AI35" s="124"/>
      <c r="AJ35" s="125"/>
      <c r="AK35" s="93">
        <f t="shared" si="13"/>
        <v>0</v>
      </c>
      <c r="AL35" s="124"/>
      <c r="AM35" s="125"/>
      <c r="AN35" s="93">
        <f t="shared" si="14"/>
        <v>0</v>
      </c>
      <c r="AO35" s="124"/>
      <c r="AP35" s="125"/>
      <c r="AQ35" s="93">
        <f t="shared" si="15"/>
        <v>0</v>
      </c>
      <c r="AR35" s="124"/>
      <c r="AS35" s="125"/>
      <c r="AT35" s="93">
        <f t="shared" si="16"/>
        <v>0</v>
      </c>
      <c r="AW35" s="93">
        <f t="shared" si="17"/>
        <v>0</v>
      </c>
      <c r="AZ35" s="93">
        <f t="shared" si="18"/>
        <v>0</v>
      </c>
      <c r="BC35" s="93">
        <f t="shared" si="19"/>
        <v>0</v>
      </c>
      <c r="BF35" s="93">
        <f t="shared" si="20"/>
        <v>0</v>
      </c>
      <c r="BI35" s="93">
        <f t="shared" si="21"/>
        <v>0</v>
      </c>
      <c r="BL35" s="93">
        <f t="shared" si="22"/>
        <v>0</v>
      </c>
      <c r="BO35" s="93">
        <f t="shared" si="23"/>
        <v>0</v>
      </c>
      <c r="BR35" s="93">
        <f t="shared" si="24"/>
        <v>0</v>
      </c>
      <c r="BU35" s="93">
        <f t="shared" si="25"/>
        <v>0</v>
      </c>
      <c r="BX35" s="93">
        <f t="shared" si="26"/>
        <v>0</v>
      </c>
      <c r="CA35" s="93">
        <f t="shared" si="27"/>
        <v>0</v>
      </c>
      <c r="CD35" s="93">
        <f t="shared" si="28"/>
        <v>0</v>
      </c>
      <c r="CG35" s="93">
        <f t="shared" si="29"/>
        <v>0</v>
      </c>
      <c r="CJ35" s="93">
        <f t="shared" si="30"/>
        <v>0</v>
      </c>
      <c r="CM35" s="93">
        <f t="shared" si="31"/>
        <v>0</v>
      </c>
      <c r="CP35" s="93">
        <f t="shared" si="32"/>
        <v>0</v>
      </c>
      <c r="CS35" s="93">
        <f t="shared" si="33"/>
        <v>0</v>
      </c>
      <c r="CV35" s="93">
        <f t="shared" si="34"/>
        <v>0</v>
      </c>
      <c r="CY35" s="93">
        <f t="shared" si="35"/>
        <v>0</v>
      </c>
      <c r="DB35" s="93">
        <f t="shared" si="36"/>
        <v>0</v>
      </c>
      <c r="DE35" s="93">
        <f t="shared" si="37"/>
        <v>0</v>
      </c>
      <c r="DH35" s="93">
        <f t="shared" si="38"/>
        <v>0</v>
      </c>
      <c r="DK35" s="93">
        <f t="shared" si="39"/>
        <v>0</v>
      </c>
      <c r="DN35" s="93">
        <f t="shared" si="40"/>
        <v>0</v>
      </c>
      <c r="DQ35" s="93">
        <f t="shared" si="41"/>
        <v>0</v>
      </c>
      <c r="DT35" s="93">
        <f t="shared" si="42"/>
        <v>0</v>
      </c>
      <c r="DW35" s="93">
        <f t="shared" si="43"/>
        <v>0</v>
      </c>
      <c r="DZ35" s="93"/>
      <c r="EA35" s="93"/>
      <c r="EB35" s="126">
        <f t="shared" si="0"/>
        <v>161625000</v>
      </c>
      <c r="EC35" s="126">
        <f t="shared" si="44"/>
        <v>161625000</v>
      </c>
      <c r="ED35" s="93">
        <f t="shared" si="1"/>
        <v>987.70833333333337</v>
      </c>
      <c r="EE35" s="94">
        <f t="shared" si="45"/>
        <v>2.2000000000000001E-3</v>
      </c>
      <c r="EG35" s="126">
        <f t="shared" si="2"/>
        <v>0</v>
      </c>
      <c r="EH35" s="93">
        <f t="shared" si="3"/>
        <v>0</v>
      </c>
      <c r="EI35" s="94">
        <f t="shared" si="46"/>
        <v>0</v>
      </c>
      <c r="EJ35" s="94"/>
      <c r="EK35" s="126">
        <f t="shared" si="47"/>
        <v>0</v>
      </c>
      <c r="EL35" s="126">
        <f t="shared" si="48"/>
        <v>0</v>
      </c>
      <c r="EM35" s="126">
        <f t="shared" si="49"/>
        <v>0</v>
      </c>
      <c r="EN35" s="94">
        <f t="shared" si="50"/>
        <v>0</v>
      </c>
      <c r="EP35" s="93"/>
    </row>
    <row r="36" spans="1:146" x14ac:dyDescent="0.25">
      <c r="A36" s="39">
        <f t="shared" si="51"/>
        <v>43947</v>
      </c>
      <c r="B36" s="93">
        <v>161625000</v>
      </c>
      <c r="C36" s="94">
        <v>2.2000000000000001E-3</v>
      </c>
      <c r="D36" s="93">
        <f t="shared" si="4"/>
        <v>987.70833333333337</v>
      </c>
      <c r="G36" s="93">
        <f t="shared" si="5"/>
        <v>0</v>
      </c>
      <c r="J36" s="93">
        <f t="shared" si="6"/>
        <v>0</v>
      </c>
      <c r="M36" s="93">
        <f t="shared" si="7"/>
        <v>0</v>
      </c>
      <c r="P36" s="93">
        <f t="shared" si="8"/>
        <v>0</v>
      </c>
      <c r="S36" s="93">
        <f t="shared" si="9"/>
        <v>0</v>
      </c>
      <c r="V36" s="93">
        <f t="shared" si="10"/>
        <v>0</v>
      </c>
      <c r="Y36" s="93">
        <f t="shared" si="11"/>
        <v>0</v>
      </c>
      <c r="AB36" s="93">
        <f t="shared" si="12"/>
        <v>0</v>
      </c>
      <c r="AE36" s="93">
        <f>(AC36*AD36)/'[19]Input Sheet'!$B$11</f>
        <v>0</v>
      </c>
      <c r="AH36" s="93">
        <f>(AF36*AG36)/'[19]Input Sheet'!$B$11</f>
        <v>0</v>
      </c>
      <c r="AI36" s="124"/>
      <c r="AJ36" s="125"/>
      <c r="AK36" s="93">
        <f t="shared" si="13"/>
        <v>0</v>
      </c>
      <c r="AL36" s="124"/>
      <c r="AM36" s="125"/>
      <c r="AN36" s="93">
        <f t="shared" si="14"/>
        <v>0</v>
      </c>
      <c r="AO36" s="124"/>
      <c r="AP36" s="125"/>
      <c r="AQ36" s="93">
        <f t="shared" si="15"/>
        <v>0</v>
      </c>
      <c r="AR36" s="124"/>
      <c r="AS36" s="125"/>
      <c r="AT36" s="93">
        <f t="shared" si="16"/>
        <v>0</v>
      </c>
      <c r="AW36" s="93">
        <f t="shared" si="17"/>
        <v>0</v>
      </c>
      <c r="AZ36" s="93">
        <f t="shared" si="18"/>
        <v>0</v>
      </c>
      <c r="BC36" s="93">
        <f t="shared" si="19"/>
        <v>0</v>
      </c>
      <c r="BF36" s="93">
        <f t="shared" si="20"/>
        <v>0</v>
      </c>
      <c r="BI36" s="93">
        <f t="shared" si="21"/>
        <v>0</v>
      </c>
      <c r="BL36" s="93">
        <f t="shared" si="22"/>
        <v>0</v>
      </c>
      <c r="BO36" s="93">
        <f t="shared" si="23"/>
        <v>0</v>
      </c>
      <c r="BR36" s="93">
        <f t="shared" si="24"/>
        <v>0</v>
      </c>
      <c r="BU36" s="93">
        <f t="shared" si="25"/>
        <v>0</v>
      </c>
      <c r="BX36" s="93">
        <f t="shared" si="26"/>
        <v>0</v>
      </c>
      <c r="CA36" s="93">
        <f t="shared" si="27"/>
        <v>0</v>
      </c>
      <c r="CD36" s="93">
        <f t="shared" si="28"/>
        <v>0</v>
      </c>
      <c r="CG36" s="93">
        <f t="shared" si="29"/>
        <v>0</v>
      </c>
      <c r="CJ36" s="93">
        <f t="shared" si="30"/>
        <v>0</v>
      </c>
      <c r="CM36" s="93">
        <f t="shared" si="31"/>
        <v>0</v>
      </c>
      <c r="CP36" s="93">
        <f t="shared" si="32"/>
        <v>0</v>
      </c>
      <c r="CS36" s="93">
        <f t="shared" si="33"/>
        <v>0</v>
      </c>
      <c r="CV36" s="93">
        <f t="shared" si="34"/>
        <v>0</v>
      </c>
      <c r="CY36" s="93">
        <f t="shared" si="35"/>
        <v>0</v>
      </c>
      <c r="DB36" s="93">
        <f t="shared" si="36"/>
        <v>0</v>
      </c>
      <c r="DE36" s="93">
        <f t="shared" si="37"/>
        <v>0</v>
      </c>
      <c r="DH36" s="93">
        <f t="shared" si="38"/>
        <v>0</v>
      </c>
      <c r="DK36" s="93">
        <f t="shared" si="39"/>
        <v>0</v>
      </c>
      <c r="DN36" s="93">
        <f t="shared" si="40"/>
        <v>0</v>
      </c>
      <c r="DQ36" s="93">
        <f t="shared" si="41"/>
        <v>0</v>
      </c>
      <c r="DT36" s="93">
        <f t="shared" si="42"/>
        <v>0</v>
      </c>
      <c r="DW36" s="93">
        <f t="shared" si="43"/>
        <v>0</v>
      </c>
      <c r="DZ36" s="93"/>
      <c r="EA36" s="93"/>
      <c r="EB36" s="126">
        <f t="shared" si="0"/>
        <v>161625000</v>
      </c>
      <c r="EC36" s="126">
        <f t="shared" si="44"/>
        <v>161625000</v>
      </c>
      <c r="ED36" s="93">
        <f t="shared" si="1"/>
        <v>987.70833333333337</v>
      </c>
      <c r="EE36" s="94">
        <f t="shared" si="45"/>
        <v>2.2000000000000001E-3</v>
      </c>
      <c r="EG36" s="126">
        <f t="shared" si="2"/>
        <v>0</v>
      </c>
      <c r="EH36" s="93">
        <f t="shared" si="3"/>
        <v>0</v>
      </c>
      <c r="EI36" s="94">
        <f t="shared" si="46"/>
        <v>0</v>
      </c>
      <c r="EJ36" s="94"/>
      <c r="EK36" s="126">
        <f t="shared" si="47"/>
        <v>0</v>
      </c>
      <c r="EL36" s="126">
        <f t="shared" si="48"/>
        <v>0</v>
      </c>
      <c r="EM36" s="126">
        <f t="shared" si="49"/>
        <v>0</v>
      </c>
      <c r="EN36" s="94">
        <f t="shared" si="50"/>
        <v>0</v>
      </c>
      <c r="EP36" s="93"/>
    </row>
    <row r="37" spans="1:146" x14ac:dyDescent="0.25">
      <c r="A37" s="39">
        <f t="shared" si="51"/>
        <v>43948</v>
      </c>
      <c r="B37" s="93">
        <v>168875000</v>
      </c>
      <c r="C37" s="94">
        <v>1.8E-3</v>
      </c>
      <c r="D37" s="93">
        <f t="shared" si="4"/>
        <v>844.375</v>
      </c>
      <c r="G37" s="93">
        <f t="shared" si="5"/>
        <v>0</v>
      </c>
      <c r="J37" s="93">
        <f t="shared" si="6"/>
        <v>0</v>
      </c>
      <c r="M37" s="93">
        <f t="shared" si="7"/>
        <v>0</v>
      </c>
      <c r="P37" s="93">
        <f t="shared" si="8"/>
        <v>0</v>
      </c>
      <c r="S37" s="93">
        <f t="shared" si="9"/>
        <v>0</v>
      </c>
      <c r="V37" s="93">
        <f t="shared" si="10"/>
        <v>0</v>
      </c>
      <c r="Y37" s="93">
        <f t="shared" si="11"/>
        <v>0</v>
      </c>
      <c r="AB37" s="93">
        <f t="shared" si="12"/>
        <v>0</v>
      </c>
      <c r="AE37" s="93">
        <f>(AC37*AD37)/'[19]Input Sheet'!$B$11</f>
        <v>0</v>
      </c>
      <c r="AH37" s="93">
        <f>(AF37*AG37)/'[19]Input Sheet'!$B$11</f>
        <v>0</v>
      </c>
      <c r="AI37" s="124"/>
      <c r="AJ37" s="125"/>
      <c r="AK37" s="93">
        <f t="shared" si="13"/>
        <v>0</v>
      </c>
      <c r="AL37" s="124"/>
      <c r="AM37" s="125"/>
      <c r="AN37" s="93">
        <f t="shared" si="14"/>
        <v>0</v>
      </c>
      <c r="AO37" s="124"/>
      <c r="AP37" s="125"/>
      <c r="AQ37" s="93">
        <f t="shared" si="15"/>
        <v>0</v>
      </c>
      <c r="AR37" s="124"/>
      <c r="AS37" s="125"/>
      <c r="AT37" s="93">
        <f t="shared" si="16"/>
        <v>0</v>
      </c>
      <c r="AW37" s="93">
        <f t="shared" si="17"/>
        <v>0</v>
      </c>
      <c r="AZ37" s="93">
        <f t="shared" si="18"/>
        <v>0</v>
      </c>
      <c r="BC37" s="93">
        <f t="shared" si="19"/>
        <v>0</v>
      </c>
      <c r="BF37" s="93">
        <f t="shared" si="20"/>
        <v>0</v>
      </c>
      <c r="BI37" s="93">
        <f t="shared" si="21"/>
        <v>0</v>
      </c>
      <c r="BL37" s="93">
        <f t="shared" si="22"/>
        <v>0</v>
      </c>
      <c r="BO37" s="93">
        <f t="shared" si="23"/>
        <v>0</v>
      </c>
      <c r="BR37" s="93">
        <f t="shared" si="24"/>
        <v>0</v>
      </c>
      <c r="BU37" s="93">
        <f t="shared" si="25"/>
        <v>0</v>
      </c>
      <c r="BX37" s="93">
        <f t="shared" si="26"/>
        <v>0</v>
      </c>
      <c r="CA37" s="93">
        <f t="shared" si="27"/>
        <v>0</v>
      </c>
      <c r="CD37" s="93">
        <f t="shared" si="28"/>
        <v>0</v>
      </c>
      <c r="CG37" s="93">
        <f t="shared" si="29"/>
        <v>0</v>
      </c>
      <c r="CJ37" s="93">
        <f t="shared" si="30"/>
        <v>0</v>
      </c>
      <c r="CM37" s="93">
        <f t="shared" si="31"/>
        <v>0</v>
      </c>
      <c r="CP37" s="93">
        <f t="shared" si="32"/>
        <v>0</v>
      </c>
      <c r="CS37" s="93">
        <f t="shared" si="33"/>
        <v>0</v>
      </c>
      <c r="CV37" s="93">
        <f t="shared" si="34"/>
        <v>0</v>
      </c>
      <c r="CY37" s="93">
        <f t="shared" si="35"/>
        <v>0</v>
      </c>
      <c r="DB37" s="93">
        <f t="shared" si="36"/>
        <v>0</v>
      </c>
      <c r="DE37" s="93">
        <f t="shared" si="37"/>
        <v>0</v>
      </c>
      <c r="DH37" s="93">
        <f t="shared" si="38"/>
        <v>0</v>
      </c>
      <c r="DK37" s="93">
        <f t="shared" si="39"/>
        <v>0</v>
      </c>
      <c r="DN37" s="93">
        <f t="shared" si="40"/>
        <v>0</v>
      </c>
      <c r="DQ37" s="93">
        <f t="shared" si="41"/>
        <v>0</v>
      </c>
      <c r="DT37" s="93">
        <f t="shared" si="42"/>
        <v>0</v>
      </c>
      <c r="DW37" s="93">
        <f t="shared" si="43"/>
        <v>0</v>
      </c>
      <c r="DZ37" s="93"/>
      <c r="EA37" s="93"/>
      <c r="EB37" s="126">
        <f t="shared" si="0"/>
        <v>168875000</v>
      </c>
      <c r="EC37" s="126">
        <f t="shared" si="44"/>
        <v>168875000</v>
      </c>
      <c r="ED37" s="93">
        <f t="shared" si="1"/>
        <v>844.375</v>
      </c>
      <c r="EE37" s="94">
        <f t="shared" si="45"/>
        <v>1.8000000000000002E-3</v>
      </c>
      <c r="EG37" s="126">
        <f t="shared" si="2"/>
        <v>0</v>
      </c>
      <c r="EH37" s="93">
        <f t="shared" si="3"/>
        <v>0</v>
      </c>
      <c r="EI37" s="94">
        <f t="shared" si="46"/>
        <v>0</v>
      </c>
      <c r="EJ37" s="94"/>
      <c r="EK37" s="126">
        <f t="shared" si="47"/>
        <v>0</v>
      </c>
      <c r="EL37" s="126">
        <f t="shared" si="48"/>
        <v>0</v>
      </c>
      <c r="EM37" s="126">
        <f t="shared" si="49"/>
        <v>0</v>
      </c>
      <c r="EN37" s="94">
        <f t="shared" si="50"/>
        <v>0</v>
      </c>
      <c r="EP37" s="93"/>
    </row>
    <row r="38" spans="1:146" x14ac:dyDescent="0.25">
      <c r="A38" s="39">
        <f t="shared" si="51"/>
        <v>43949</v>
      </c>
      <c r="B38" s="93">
        <v>170125000</v>
      </c>
      <c r="C38" s="94">
        <v>2.0999999999999999E-3</v>
      </c>
      <c r="D38" s="93">
        <f t="shared" si="4"/>
        <v>992.39583333333337</v>
      </c>
      <c r="G38" s="93">
        <f t="shared" si="5"/>
        <v>0</v>
      </c>
      <c r="J38" s="93">
        <f t="shared" si="6"/>
        <v>0</v>
      </c>
      <c r="M38" s="93">
        <f t="shared" si="7"/>
        <v>0</v>
      </c>
      <c r="P38" s="93">
        <f t="shared" si="8"/>
        <v>0</v>
      </c>
      <c r="S38" s="93">
        <f t="shared" si="9"/>
        <v>0</v>
      </c>
      <c r="V38" s="93">
        <f t="shared" si="10"/>
        <v>0</v>
      </c>
      <c r="Y38" s="93">
        <f t="shared" si="11"/>
        <v>0</v>
      </c>
      <c r="AB38" s="93">
        <f t="shared" si="12"/>
        <v>0</v>
      </c>
      <c r="AE38" s="93">
        <f>(AC38*AD38)/'[19]Input Sheet'!$B$11</f>
        <v>0</v>
      </c>
      <c r="AH38" s="93">
        <f>(AF38*AG38)/'[19]Input Sheet'!$B$11</f>
        <v>0</v>
      </c>
      <c r="AI38" s="124"/>
      <c r="AJ38" s="125"/>
      <c r="AK38" s="93">
        <f t="shared" si="13"/>
        <v>0</v>
      </c>
      <c r="AL38" s="124"/>
      <c r="AM38" s="125"/>
      <c r="AN38" s="93">
        <f t="shared" si="14"/>
        <v>0</v>
      </c>
      <c r="AO38" s="124"/>
      <c r="AP38" s="125"/>
      <c r="AQ38" s="93">
        <f t="shared" si="15"/>
        <v>0</v>
      </c>
      <c r="AR38" s="124"/>
      <c r="AS38" s="125"/>
      <c r="AT38" s="93">
        <f t="shared" si="16"/>
        <v>0</v>
      </c>
      <c r="AW38" s="93">
        <f t="shared" si="17"/>
        <v>0</v>
      </c>
      <c r="AZ38" s="93">
        <f t="shared" si="18"/>
        <v>0</v>
      </c>
      <c r="BC38" s="93">
        <f t="shared" si="19"/>
        <v>0</v>
      </c>
      <c r="BF38" s="93">
        <f t="shared" si="20"/>
        <v>0</v>
      </c>
      <c r="BI38" s="93">
        <f t="shared" si="21"/>
        <v>0</v>
      </c>
      <c r="BL38" s="93">
        <f t="shared" si="22"/>
        <v>0</v>
      </c>
      <c r="BO38" s="93">
        <f t="shared" si="23"/>
        <v>0</v>
      </c>
      <c r="BR38" s="93">
        <f t="shared" si="24"/>
        <v>0</v>
      </c>
      <c r="BU38" s="93">
        <f t="shared" si="25"/>
        <v>0</v>
      </c>
      <c r="BX38" s="93">
        <f t="shared" si="26"/>
        <v>0</v>
      </c>
      <c r="CA38" s="93">
        <f t="shared" si="27"/>
        <v>0</v>
      </c>
      <c r="CD38" s="93">
        <f t="shared" si="28"/>
        <v>0</v>
      </c>
      <c r="CG38" s="93">
        <f t="shared" si="29"/>
        <v>0</v>
      </c>
      <c r="CJ38" s="93">
        <f t="shared" si="30"/>
        <v>0</v>
      </c>
      <c r="CM38" s="93">
        <f t="shared" si="31"/>
        <v>0</v>
      </c>
      <c r="CP38" s="93">
        <f t="shared" si="32"/>
        <v>0</v>
      </c>
      <c r="CS38" s="93">
        <f t="shared" si="33"/>
        <v>0</v>
      </c>
      <c r="CV38" s="93">
        <f t="shared" si="34"/>
        <v>0</v>
      </c>
      <c r="CY38" s="93">
        <f t="shared" si="35"/>
        <v>0</v>
      </c>
      <c r="DB38" s="93">
        <f t="shared" si="36"/>
        <v>0</v>
      </c>
      <c r="DE38" s="93">
        <f t="shared" si="37"/>
        <v>0</v>
      </c>
      <c r="DH38" s="93">
        <f t="shared" si="38"/>
        <v>0</v>
      </c>
      <c r="DK38" s="93">
        <f t="shared" si="39"/>
        <v>0</v>
      </c>
      <c r="DN38" s="93">
        <f t="shared" si="40"/>
        <v>0</v>
      </c>
      <c r="DQ38" s="93">
        <f t="shared" si="41"/>
        <v>0</v>
      </c>
      <c r="DT38" s="93">
        <f t="shared" si="42"/>
        <v>0</v>
      </c>
      <c r="DW38" s="93">
        <f t="shared" si="43"/>
        <v>0</v>
      </c>
      <c r="DZ38" s="93"/>
      <c r="EA38" s="93"/>
      <c r="EB38" s="126">
        <f t="shared" si="0"/>
        <v>170125000</v>
      </c>
      <c r="EC38" s="126">
        <f t="shared" si="44"/>
        <v>170125000</v>
      </c>
      <c r="ED38" s="93">
        <f t="shared" si="1"/>
        <v>992.39583333333337</v>
      </c>
      <c r="EE38" s="94">
        <f t="shared" si="45"/>
        <v>2.1000000000000003E-3</v>
      </c>
      <c r="EG38" s="126">
        <f t="shared" si="2"/>
        <v>0</v>
      </c>
      <c r="EH38" s="93">
        <f t="shared" si="3"/>
        <v>0</v>
      </c>
      <c r="EI38" s="94">
        <f t="shared" si="46"/>
        <v>0</v>
      </c>
      <c r="EJ38" s="94"/>
      <c r="EK38" s="126">
        <f t="shared" si="47"/>
        <v>0</v>
      </c>
      <c r="EL38" s="126">
        <f t="shared" si="48"/>
        <v>0</v>
      </c>
      <c r="EM38" s="126">
        <f t="shared" si="49"/>
        <v>0</v>
      </c>
      <c r="EN38" s="94">
        <f t="shared" si="50"/>
        <v>0</v>
      </c>
      <c r="EP38" s="93"/>
    </row>
    <row r="39" spans="1:146" x14ac:dyDescent="0.25">
      <c r="A39" s="39">
        <f t="shared" si="51"/>
        <v>43950</v>
      </c>
      <c r="B39" s="93">
        <v>171475000</v>
      </c>
      <c r="C39" s="94">
        <v>2.0999999999999999E-3</v>
      </c>
      <c r="D39" s="93">
        <f t="shared" si="4"/>
        <v>1000.2708333333334</v>
      </c>
      <c r="G39" s="93">
        <f t="shared" si="5"/>
        <v>0</v>
      </c>
      <c r="J39" s="93">
        <f t="shared" si="6"/>
        <v>0</v>
      </c>
      <c r="M39" s="93">
        <f t="shared" si="7"/>
        <v>0</v>
      </c>
      <c r="P39" s="93">
        <f t="shared" si="8"/>
        <v>0</v>
      </c>
      <c r="S39" s="93">
        <f t="shared" si="9"/>
        <v>0</v>
      </c>
      <c r="V39" s="93">
        <f t="shared" si="10"/>
        <v>0</v>
      </c>
      <c r="Y39" s="93">
        <f t="shared" si="11"/>
        <v>0</v>
      </c>
      <c r="AB39" s="93">
        <f t="shared" si="12"/>
        <v>0</v>
      </c>
      <c r="AE39" s="93">
        <f>(AC39*AD39)/'[19]Input Sheet'!$B$11</f>
        <v>0</v>
      </c>
      <c r="AH39" s="93">
        <f>(AF39*AG39)/'[19]Input Sheet'!$B$11</f>
        <v>0</v>
      </c>
      <c r="AI39" s="124"/>
      <c r="AJ39" s="125"/>
      <c r="AK39" s="93">
        <f t="shared" si="13"/>
        <v>0</v>
      </c>
      <c r="AL39" s="124"/>
      <c r="AM39" s="125"/>
      <c r="AN39" s="93">
        <f t="shared" si="14"/>
        <v>0</v>
      </c>
      <c r="AO39" s="124"/>
      <c r="AP39" s="125"/>
      <c r="AQ39" s="93">
        <f t="shared" si="15"/>
        <v>0</v>
      </c>
      <c r="AR39" s="124"/>
      <c r="AS39" s="125"/>
      <c r="AT39" s="93">
        <f t="shared" si="16"/>
        <v>0</v>
      </c>
      <c r="AW39" s="93">
        <f t="shared" si="17"/>
        <v>0</v>
      </c>
      <c r="AZ39" s="93">
        <f t="shared" si="18"/>
        <v>0</v>
      </c>
      <c r="BC39" s="93">
        <f t="shared" si="19"/>
        <v>0</v>
      </c>
      <c r="BF39" s="93">
        <f t="shared" si="20"/>
        <v>0</v>
      </c>
      <c r="BI39" s="93">
        <f t="shared" si="21"/>
        <v>0</v>
      </c>
      <c r="BL39" s="93">
        <f t="shared" si="22"/>
        <v>0</v>
      </c>
      <c r="BO39" s="93">
        <f t="shared" si="23"/>
        <v>0</v>
      </c>
      <c r="BR39" s="93">
        <f t="shared" si="24"/>
        <v>0</v>
      </c>
      <c r="BU39" s="93">
        <f t="shared" si="25"/>
        <v>0</v>
      </c>
      <c r="BX39" s="93">
        <f t="shared" si="26"/>
        <v>0</v>
      </c>
      <c r="CA39" s="93">
        <f t="shared" si="27"/>
        <v>0</v>
      </c>
      <c r="CD39" s="93">
        <f t="shared" si="28"/>
        <v>0</v>
      </c>
      <c r="CG39" s="93">
        <f t="shared" si="29"/>
        <v>0</v>
      </c>
      <c r="CJ39" s="93">
        <f t="shared" si="30"/>
        <v>0</v>
      </c>
      <c r="CM39" s="93">
        <f t="shared" si="31"/>
        <v>0</v>
      </c>
      <c r="CP39" s="93">
        <f t="shared" si="32"/>
        <v>0</v>
      </c>
      <c r="CS39" s="93">
        <f t="shared" si="33"/>
        <v>0</v>
      </c>
      <c r="CV39" s="93">
        <f t="shared" si="34"/>
        <v>0</v>
      </c>
      <c r="CY39" s="93">
        <f t="shared" si="35"/>
        <v>0</v>
      </c>
      <c r="DB39" s="93">
        <f t="shared" si="36"/>
        <v>0</v>
      </c>
      <c r="DE39" s="93">
        <f t="shared" si="37"/>
        <v>0</v>
      </c>
      <c r="DH39" s="93">
        <f t="shared" si="38"/>
        <v>0</v>
      </c>
      <c r="DK39" s="93">
        <f t="shared" si="39"/>
        <v>0</v>
      </c>
      <c r="DN39" s="93">
        <f t="shared" si="40"/>
        <v>0</v>
      </c>
      <c r="DQ39" s="93">
        <f t="shared" si="41"/>
        <v>0</v>
      </c>
      <c r="DT39" s="93">
        <f t="shared" si="42"/>
        <v>0</v>
      </c>
      <c r="DW39" s="93">
        <f t="shared" si="43"/>
        <v>0</v>
      </c>
      <c r="DZ39" s="93"/>
      <c r="EA39" s="93"/>
      <c r="EB39" s="126">
        <f t="shared" si="0"/>
        <v>171475000</v>
      </c>
      <c r="EC39" s="126">
        <f t="shared" si="44"/>
        <v>171475000</v>
      </c>
      <c r="ED39" s="93">
        <f t="shared" si="1"/>
        <v>1000.2708333333334</v>
      </c>
      <c r="EE39" s="94">
        <f t="shared" si="45"/>
        <v>2.1000000000000003E-3</v>
      </c>
      <c r="EG39" s="126">
        <f t="shared" si="2"/>
        <v>0</v>
      </c>
      <c r="EH39" s="93">
        <f t="shared" si="3"/>
        <v>0</v>
      </c>
      <c r="EI39" s="94">
        <f t="shared" si="46"/>
        <v>0</v>
      </c>
      <c r="EJ39" s="94"/>
      <c r="EK39" s="126">
        <f t="shared" si="47"/>
        <v>0</v>
      </c>
      <c r="EL39" s="126">
        <f t="shared" si="48"/>
        <v>0</v>
      </c>
      <c r="EM39" s="126">
        <f t="shared" si="49"/>
        <v>0</v>
      </c>
      <c r="EN39" s="94">
        <f t="shared" si="50"/>
        <v>0</v>
      </c>
      <c r="EP39" s="93"/>
    </row>
    <row r="40" spans="1:146" x14ac:dyDescent="0.25">
      <c r="A40" s="39">
        <f t="shared" si="51"/>
        <v>43951</v>
      </c>
      <c r="B40" s="93">
        <v>193225000</v>
      </c>
      <c r="C40" s="94">
        <v>2.2000000000000001E-3</v>
      </c>
      <c r="D40" s="93">
        <f t="shared" si="4"/>
        <v>1180.8194444444443</v>
      </c>
      <c r="G40" s="93">
        <f t="shared" si="5"/>
        <v>0</v>
      </c>
      <c r="J40" s="93">
        <f t="shared" si="6"/>
        <v>0</v>
      </c>
      <c r="M40" s="93">
        <f t="shared" si="7"/>
        <v>0</v>
      </c>
      <c r="P40" s="93">
        <f t="shared" si="8"/>
        <v>0</v>
      </c>
      <c r="S40" s="93">
        <f t="shared" si="9"/>
        <v>0</v>
      </c>
      <c r="V40" s="93">
        <f t="shared" si="10"/>
        <v>0</v>
      </c>
      <c r="Y40" s="93">
        <f t="shared" si="11"/>
        <v>0</v>
      </c>
      <c r="AB40" s="93">
        <f t="shared" si="12"/>
        <v>0</v>
      </c>
      <c r="AE40" s="93">
        <f>(AC40*AD40)/'[19]Input Sheet'!$B$11</f>
        <v>0</v>
      </c>
      <c r="AH40" s="93">
        <f>(AF40*AG40)/'[19]Input Sheet'!$B$11</f>
        <v>0</v>
      </c>
      <c r="AI40" s="124"/>
      <c r="AJ40" s="125"/>
      <c r="AK40" s="93">
        <f t="shared" si="13"/>
        <v>0</v>
      </c>
      <c r="AL40" s="124"/>
      <c r="AM40" s="125"/>
      <c r="AN40" s="93">
        <f t="shared" si="14"/>
        <v>0</v>
      </c>
      <c r="AO40" s="124"/>
      <c r="AP40" s="125"/>
      <c r="AQ40" s="93">
        <f t="shared" si="15"/>
        <v>0</v>
      </c>
      <c r="AR40" s="124"/>
      <c r="AS40" s="125"/>
      <c r="AT40" s="93">
        <f t="shared" si="16"/>
        <v>0</v>
      </c>
      <c r="AW40" s="93">
        <f t="shared" si="17"/>
        <v>0</v>
      </c>
      <c r="AZ40" s="93">
        <f t="shared" si="18"/>
        <v>0</v>
      </c>
      <c r="BC40" s="93">
        <f t="shared" si="19"/>
        <v>0</v>
      </c>
      <c r="BF40" s="93">
        <f t="shared" si="20"/>
        <v>0</v>
      </c>
      <c r="BI40" s="93">
        <f t="shared" si="21"/>
        <v>0</v>
      </c>
      <c r="BL40" s="93">
        <f t="shared" si="22"/>
        <v>0</v>
      </c>
      <c r="BO40" s="93">
        <f t="shared" si="23"/>
        <v>0</v>
      </c>
      <c r="BR40" s="93">
        <f t="shared" si="24"/>
        <v>0</v>
      </c>
      <c r="BU40" s="93">
        <f t="shared" si="25"/>
        <v>0</v>
      </c>
      <c r="BX40" s="93">
        <f t="shared" si="26"/>
        <v>0</v>
      </c>
      <c r="CA40" s="93">
        <f t="shared" si="27"/>
        <v>0</v>
      </c>
      <c r="CD40" s="93">
        <f t="shared" si="28"/>
        <v>0</v>
      </c>
      <c r="CG40" s="93">
        <f t="shared" si="29"/>
        <v>0</v>
      </c>
      <c r="CJ40" s="93">
        <f t="shared" si="30"/>
        <v>0</v>
      </c>
      <c r="CM40" s="93">
        <f t="shared" si="31"/>
        <v>0</v>
      </c>
      <c r="CP40" s="93">
        <f t="shared" si="32"/>
        <v>0</v>
      </c>
      <c r="CS40" s="93">
        <f t="shared" si="33"/>
        <v>0</v>
      </c>
      <c r="CV40" s="93">
        <f t="shared" si="34"/>
        <v>0</v>
      </c>
      <c r="CY40" s="93">
        <f t="shared" si="35"/>
        <v>0</v>
      </c>
      <c r="DB40" s="93">
        <f t="shared" si="36"/>
        <v>0</v>
      </c>
      <c r="DE40" s="93">
        <f t="shared" si="37"/>
        <v>0</v>
      </c>
      <c r="DH40" s="93">
        <f t="shared" si="38"/>
        <v>0</v>
      </c>
      <c r="DK40" s="93">
        <f t="shared" si="39"/>
        <v>0</v>
      </c>
      <c r="DN40" s="93">
        <f t="shared" si="40"/>
        <v>0</v>
      </c>
      <c r="DQ40" s="93">
        <f t="shared" si="41"/>
        <v>0</v>
      </c>
      <c r="DT40" s="93">
        <f t="shared" si="42"/>
        <v>0</v>
      </c>
      <c r="DW40" s="93">
        <f t="shared" si="43"/>
        <v>0</v>
      </c>
      <c r="DZ40" s="91"/>
      <c r="EA40" s="93"/>
      <c r="EB40" s="126">
        <f t="shared" si="0"/>
        <v>193225000</v>
      </c>
      <c r="EC40" s="126">
        <f t="shared" si="44"/>
        <v>193225000</v>
      </c>
      <c r="ED40" s="93">
        <f t="shared" si="1"/>
        <v>1180.8194444444443</v>
      </c>
      <c r="EE40" s="94">
        <f t="shared" si="45"/>
        <v>2.1999999999999997E-3</v>
      </c>
      <c r="EG40" s="126">
        <f t="shared" si="2"/>
        <v>0</v>
      </c>
      <c r="EH40" s="93">
        <f t="shared" si="3"/>
        <v>0</v>
      </c>
      <c r="EI40" s="94">
        <f t="shared" si="46"/>
        <v>0</v>
      </c>
      <c r="EJ40" s="94"/>
      <c r="EK40" s="126">
        <f t="shared" si="47"/>
        <v>0</v>
      </c>
      <c r="EL40" s="126">
        <f t="shared" si="48"/>
        <v>0</v>
      </c>
      <c r="EM40" s="126">
        <f t="shared" si="49"/>
        <v>0</v>
      </c>
      <c r="EN40" s="94">
        <f t="shared" si="50"/>
        <v>0</v>
      </c>
      <c r="EP40" s="93"/>
    </row>
    <row r="41" spans="1:146" x14ac:dyDescent="0.25">
      <c r="A41" s="127" t="s">
        <v>88</v>
      </c>
      <c r="D41" s="128">
        <f>SUM(D11:D40)</f>
        <v>79409.884213888872</v>
      </c>
      <c r="G41" s="128">
        <f>SUM(G11:G40)</f>
        <v>0</v>
      </c>
      <c r="J41" s="128">
        <f>SUM(J11:J40)</f>
        <v>0</v>
      </c>
      <c r="M41" s="128">
        <f>SUM(M11:M40)</f>
        <v>0</v>
      </c>
      <c r="P41" s="128">
        <f>SUM(P11:P40)</f>
        <v>0</v>
      </c>
      <c r="S41" s="128">
        <f>SUM(S11:S40)</f>
        <v>38440.277777777781</v>
      </c>
      <c r="V41" s="128">
        <f>SUM(V11:V40)</f>
        <v>0</v>
      </c>
      <c r="Y41" s="128">
        <f>SUM(Y11:Y40)</f>
        <v>0</v>
      </c>
      <c r="AB41" s="128">
        <f>SUM(AB11:AB40)</f>
        <v>0</v>
      </c>
      <c r="AE41" s="128">
        <f>SUM(AE11:AE40)</f>
        <v>0</v>
      </c>
      <c r="AH41" s="128">
        <f>SUM(AH11:AH40)</f>
        <v>0</v>
      </c>
      <c r="AK41" s="128">
        <f>SUM(AK11:AK40)</f>
        <v>288.88888888888891</v>
      </c>
      <c r="AN41" s="128">
        <f>SUM(AN11:AN40)</f>
        <v>0</v>
      </c>
      <c r="AQ41" s="128">
        <f>SUM(AQ11:AQ40)</f>
        <v>0</v>
      </c>
      <c r="AT41" s="128">
        <f>SUM(AT11:AT40)</f>
        <v>0</v>
      </c>
      <c r="AW41" s="128">
        <f>SUM(AW11:AW40)</f>
        <v>0</v>
      </c>
      <c r="AZ41" s="128">
        <f>SUM(AZ11:AZ40)</f>
        <v>0</v>
      </c>
      <c r="BC41" s="128">
        <f>SUM(BC11:BC40)</f>
        <v>0</v>
      </c>
      <c r="BF41" s="128">
        <f>SUM(BF11:BF40)</f>
        <v>0</v>
      </c>
      <c r="BI41" s="128">
        <f>SUM(BI11:BI40)</f>
        <v>0</v>
      </c>
      <c r="BL41" s="128">
        <f>SUM(BL11:BL40)</f>
        <v>0</v>
      </c>
      <c r="BO41" s="128">
        <f>SUM(BO11:BO40)</f>
        <v>0</v>
      </c>
      <c r="BR41" s="128">
        <f>SUM(BR11:BR40)</f>
        <v>0</v>
      </c>
      <c r="BU41" s="128">
        <f>SUM(BU11:BU40)</f>
        <v>0</v>
      </c>
      <c r="BX41" s="128">
        <f>SUM(BX11:BX40)</f>
        <v>0</v>
      </c>
      <c r="CA41" s="128">
        <f>SUM(CA11:CA40)</f>
        <v>0</v>
      </c>
      <c r="CD41" s="128">
        <f>SUM(CD11:CD40)</f>
        <v>0</v>
      </c>
      <c r="CG41" s="128">
        <f>SUM(CG11:CG40)</f>
        <v>0</v>
      </c>
      <c r="CJ41" s="128">
        <f>SUM(CJ11:CJ40)</f>
        <v>0</v>
      </c>
      <c r="CM41" s="128">
        <f>SUM(CM11:CM40)</f>
        <v>0</v>
      </c>
      <c r="CP41" s="128">
        <f>SUM(CP11:CP40)</f>
        <v>0</v>
      </c>
      <c r="CS41" s="128">
        <f>SUM(CS11:CS40)</f>
        <v>0</v>
      </c>
      <c r="CV41" s="128">
        <f>SUM(CV11:CV40)</f>
        <v>0</v>
      </c>
      <c r="CY41" s="128">
        <f>SUM(CY11:CY40)</f>
        <v>0</v>
      </c>
      <c r="DB41" s="128">
        <f>SUM(DB11:DB40)</f>
        <v>0</v>
      </c>
      <c r="DE41" s="128">
        <f>SUM(DE11:DE40)</f>
        <v>0</v>
      </c>
      <c r="DH41" s="128">
        <f>SUM(DH11:DH40)</f>
        <v>0</v>
      </c>
      <c r="DK41" s="128">
        <f>SUM(DK11:DK40)</f>
        <v>0</v>
      </c>
      <c r="DN41" s="128">
        <f>SUM(DN11:DN40)</f>
        <v>0</v>
      </c>
      <c r="DQ41" s="128">
        <f>SUM(DQ11:DQ40)</f>
        <v>0</v>
      </c>
      <c r="DT41" s="128">
        <f>SUM(DT11:DT40)</f>
        <v>0</v>
      </c>
      <c r="DW41" s="128">
        <f>SUM(DW11:DW40)</f>
        <v>0</v>
      </c>
      <c r="DZ41" s="91"/>
      <c r="EA41" s="91"/>
      <c r="EB41" s="93"/>
      <c r="EC41" s="93"/>
      <c r="ED41" s="128">
        <f>SUM(ED11:ED40)</f>
        <v>118139.0508805555</v>
      </c>
      <c r="EE41" s="94"/>
      <c r="EG41" s="93"/>
      <c r="EH41" s="128">
        <f>SUM(EH11:EH40)</f>
        <v>38440.277777777781</v>
      </c>
      <c r="EI41" s="94"/>
      <c r="EJ41" s="94"/>
      <c r="EK41" s="93"/>
      <c r="EL41" s="93"/>
      <c r="EM41" s="128">
        <f>SUM(EM11:EM40)</f>
        <v>288.88888888888891</v>
      </c>
      <c r="EN41" s="94"/>
    </row>
    <row r="43" spans="1:146" x14ac:dyDescent="0.25">
      <c r="EM43" s="129"/>
    </row>
    <row r="45" spans="1:146" x14ac:dyDescent="0.25">
      <c r="EM45" s="93"/>
    </row>
    <row r="47" spans="1:146" x14ac:dyDescent="0.25">
      <c r="EM47" s="9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198650000</v>
      </c>
      <c r="EI2" s="91">
        <f>EG40</f>
        <v>0</v>
      </c>
      <c r="EM2" s="91"/>
      <c r="EN2" s="91">
        <f>EK41</f>
        <v>0</v>
      </c>
      <c r="EO2" s="84">
        <v>0</v>
      </c>
      <c r="EP2" s="84">
        <f>EN2+EO2</f>
        <v>0</v>
      </c>
      <c r="EQ2" s="84">
        <f>EE2+EO2</f>
        <v>198650000</v>
      </c>
    </row>
    <row r="3" spans="1:147" ht="16.5" thickTop="1" x14ac:dyDescent="0.25">
      <c r="A3" s="92" t="s">
        <v>191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180958870.96774194</v>
      </c>
      <c r="EI3" s="91">
        <f>AVERAGE(EG11:EG40)</f>
        <v>0</v>
      </c>
      <c r="EM3" s="91"/>
      <c r="EN3" s="91">
        <f>AVERAGE(EK11:EK41)</f>
        <v>0</v>
      </c>
    </row>
    <row r="4" spans="1:147" x14ac:dyDescent="0.25">
      <c r="D4" s="37"/>
      <c r="E4" s="99" t="s">
        <v>114</v>
      </c>
      <c r="F4" s="91"/>
      <c r="G4" s="100">
        <f>EQ2</f>
        <v>198650000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1.2906715569836311E-3</v>
      </c>
      <c r="EI4" s="98">
        <f>IF(EI3=0,0,360*(AVERAGE(EH11:EH40)/EI3))</f>
        <v>0</v>
      </c>
      <c r="EM4" s="98"/>
      <c r="EN4" s="98">
        <f>IF(EN3=0,0,360*(AVERAGE(EM11:EM41)/EN3))</f>
        <v>0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180958870.96774194</v>
      </c>
      <c r="AI5" s="104" t="s">
        <v>109</v>
      </c>
      <c r="EB5" s="105" t="s">
        <v>120</v>
      </c>
      <c r="EC5" s="105"/>
      <c r="ED5" s="91"/>
      <c r="EE5" s="91">
        <f>MAX(EB11:EB41)</f>
        <v>198650000</v>
      </c>
      <c r="EI5" s="91">
        <f>MAX(EG11:EG40)</f>
        <v>0</v>
      </c>
      <c r="EM5" s="91"/>
      <c r="EN5" s="91">
        <f>MAX(EK11:EK41)</f>
        <v>0</v>
      </c>
    </row>
    <row r="6" spans="1:147" x14ac:dyDescent="0.25">
      <c r="D6" s="37"/>
      <c r="E6" s="99" t="s">
        <v>118</v>
      </c>
      <c r="F6" s="91"/>
      <c r="G6" s="106">
        <f>EE4</f>
        <v>1.2906715569836311E-3</v>
      </c>
    </row>
    <row r="7" spans="1:147" ht="16.5" thickBot="1" x14ac:dyDescent="0.3">
      <c r="D7" s="37"/>
      <c r="E7" s="107" t="s">
        <v>120</v>
      </c>
      <c r="F7" s="108"/>
      <c r="G7" s="109">
        <f>EE5</f>
        <v>198650000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43952</v>
      </c>
      <c r="B11" s="93">
        <v>196375000</v>
      </c>
      <c r="C11" s="94">
        <v>1.5E-3</v>
      </c>
      <c r="D11" s="93">
        <f>(B11*C11)/360</f>
        <v>818.22916666666663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(AC11*AD11)/'[20]Input Sheet'!$B$11</f>
        <v>0</v>
      </c>
      <c r="AH11" s="93">
        <f>(AF11*AG11)/'[20]Input Sheet'!$B$11</f>
        <v>0</v>
      </c>
      <c r="AI11" s="124"/>
      <c r="AJ11" s="125"/>
      <c r="AK11" s="93">
        <f>(AI11*AJ11)/360</f>
        <v>0</v>
      </c>
      <c r="AL11" s="124"/>
      <c r="AM11" s="125"/>
      <c r="AN11" s="93">
        <f>(AL11*AM11)/360</f>
        <v>0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196375000</v>
      </c>
      <c r="EC11" s="126">
        <f>EB11-EK11+EL11</f>
        <v>196375000</v>
      </c>
      <c r="ED11" s="93">
        <f>D11+G11+J11+M11+P11+S11+V11+Y11+AB11+AE11+AH11+AK11+AN11+AQ11+AT11+AW11+AZ11+BC11+BF11+BI11+DW11+DT11+DQ11+DN11+DK11+DH11+DE11+DB11+CY11+CV11+CS11+CP11+CM11+CJ11+CG11+CD11+CA11+BX11+BU11+BR11+BO11+BL11</f>
        <v>818.22916666666663</v>
      </c>
      <c r="EE11" s="94">
        <f>IF(EB11&lt;&gt;0,((ED11/EB11)*360),0)</f>
        <v>1.5E-3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0</v>
      </c>
      <c r="EN11" s="94">
        <f>IF(EK11&lt;&gt;0,((EM11/EK11)*360),0)</f>
        <v>0</v>
      </c>
      <c r="EP11" s="93"/>
    </row>
    <row r="12" spans="1:147" x14ac:dyDescent="0.25">
      <c r="A12" s="39">
        <f>1+A11</f>
        <v>43953</v>
      </c>
      <c r="B12" s="93">
        <v>196375000</v>
      </c>
      <c r="C12" s="94">
        <v>1.5E-3</v>
      </c>
      <c r="D12" s="93">
        <f t="shared" ref="D12:D41" si="0">(B12*C12)/360</f>
        <v>818.22916666666663</v>
      </c>
      <c r="G12" s="93">
        <f t="shared" ref="G12:G41" si="1">(E12*F12)/360</f>
        <v>0</v>
      </c>
      <c r="J12" s="93">
        <f t="shared" ref="J12:J41" si="2">(H12*I12)/360</f>
        <v>0</v>
      </c>
      <c r="M12" s="93">
        <f t="shared" ref="M12:M41" si="3">(K12*L12)/360</f>
        <v>0</v>
      </c>
      <c r="P12" s="93">
        <f t="shared" ref="P12:P41" si="4">(N12*O12)/360</f>
        <v>0</v>
      </c>
      <c r="S12" s="93">
        <f t="shared" ref="S12:S41" si="5">(Q12*R12)/360</f>
        <v>0</v>
      </c>
      <c r="V12" s="93">
        <f t="shared" ref="V12:V41" si="6">(T12*U12)/360</f>
        <v>0</v>
      </c>
      <c r="Y12" s="93">
        <f t="shared" ref="Y12:Y41" si="7">(W12*X12)/360</f>
        <v>0</v>
      </c>
      <c r="AB12" s="93">
        <f t="shared" ref="AB12:AB41" si="8">(Z12*AA12)/360</f>
        <v>0</v>
      </c>
      <c r="AE12" s="93">
        <f>(AC12*AD12)/'[20]Input Sheet'!$B$11</f>
        <v>0</v>
      </c>
      <c r="AH12" s="93">
        <f>(AF12*AG12)/'[20]Input Sheet'!$B$11</f>
        <v>0</v>
      </c>
      <c r="AI12" s="124"/>
      <c r="AJ12" s="125"/>
      <c r="AK12" s="93">
        <f t="shared" ref="AK12:AK41" si="9">(AI12*AJ12)/360</f>
        <v>0</v>
      </c>
      <c r="AL12" s="124"/>
      <c r="AM12" s="125"/>
      <c r="AN12" s="93">
        <f t="shared" ref="AN12:AN41" si="10">(AL12*AM12)/360</f>
        <v>0</v>
      </c>
      <c r="AO12" s="124"/>
      <c r="AP12" s="125"/>
      <c r="AQ12" s="93">
        <f t="shared" ref="AQ12:AQ41" si="11">(AO12*AP12)/360</f>
        <v>0</v>
      </c>
      <c r="AR12" s="124"/>
      <c r="AS12" s="125"/>
      <c r="AT12" s="93">
        <f t="shared" ref="AT12:AT41" si="12">(AR12*AS12)/360</f>
        <v>0</v>
      </c>
      <c r="AW12" s="93">
        <f t="shared" ref="AW12:AW41" si="13">(AU12*AV12)/360</f>
        <v>0</v>
      </c>
      <c r="AZ12" s="93">
        <f t="shared" ref="AZ12:AZ41" si="14">(AX12*AY12)/360</f>
        <v>0</v>
      </c>
      <c r="BC12" s="93">
        <f t="shared" ref="BC12:BC41" si="15">(BA12*BB12)/360</f>
        <v>0</v>
      </c>
      <c r="BF12" s="93">
        <f t="shared" ref="BF12:BF41" si="16">(BD12*BE12)/360</f>
        <v>0</v>
      </c>
      <c r="BI12" s="93">
        <f t="shared" ref="BI12:BI41" si="17">(BG12*BH12)/360</f>
        <v>0</v>
      </c>
      <c r="BL12" s="93">
        <f t="shared" ref="BL12:BL41" si="18">(BJ12*BK12)/360</f>
        <v>0</v>
      </c>
      <c r="BO12" s="93">
        <f t="shared" ref="BO12:BO41" si="19">(BM12*BN12)/360</f>
        <v>0</v>
      </c>
      <c r="BR12" s="93">
        <f t="shared" ref="BR12:BR41" si="20">(BP12*BQ12)/360</f>
        <v>0</v>
      </c>
      <c r="BU12" s="93">
        <f t="shared" ref="BU12:BU41" si="21">(BS12*BT12)/360</f>
        <v>0</v>
      </c>
      <c r="BX12" s="93">
        <f t="shared" ref="BX12:BX41" si="22">(BV12*BW12)/360</f>
        <v>0</v>
      </c>
      <c r="CA12" s="93">
        <f t="shared" ref="CA12:CA41" si="23">(BY12*BZ12)/360</f>
        <v>0</v>
      </c>
      <c r="CD12" s="93">
        <f t="shared" ref="CD12:CD41" si="24">(CB12*CC12)/360</f>
        <v>0</v>
      </c>
      <c r="CG12" s="93">
        <f t="shared" ref="CG12:CG41" si="25">(CE12*CF12)/360</f>
        <v>0</v>
      </c>
      <c r="CJ12" s="93">
        <f t="shared" ref="CJ12:CJ41" si="26">(CH12*CI12)/360</f>
        <v>0</v>
      </c>
      <c r="CM12" s="93">
        <f t="shared" ref="CM12:CM41" si="27">(CK12*CL12)/360</f>
        <v>0</v>
      </c>
      <c r="CP12" s="93">
        <f t="shared" ref="CP12:CP41" si="28">(CN12*CO12)/360</f>
        <v>0</v>
      </c>
      <c r="CS12" s="93">
        <f t="shared" ref="CS12:CS41" si="29">(CQ12*CR12)/360</f>
        <v>0</v>
      </c>
      <c r="CV12" s="93">
        <f t="shared" ref="CV12:CV41" si="30">(CT12*CU12)/360</f>
        <v>0</v>
      </c>
      <c r="CY12" s="93">
        <f t="shared" ref="CY12:CY41" si="31">(CW12*CX12)/360</f>
        <v>0</v>
      </c>
      <c r="DB12" s="93">
        <f t="shared" ref="DB12:DB41" si="32">(CZ12*DA12)/360</f>
        <v>0</v>
      </c>
      <c r="DE12" s="93">
        <f t="shared" ref="DE12:DE41" si="33">(DC12*DD12)/360</f>
        <v>0</v>
      </c>
      <c r="DH12" s="93">
        <f t="shared" ref="DH12:DH41" si="34">(DF12*DG12)/360</f>
        <v>0</v>
      </c>
      <c r="DK12" s="93">
        <f t="shared" ref="DK12:DK41" si="35">(DI12*DJ12)/360</f>
        <v>0</v>
      </c>
      <c r="DN12" s="93">
        <f t="shared" ref="DN12:DN41" si="36">(DL12*DM12)/360</f>
        <v>0</v>
      </c>
      <c r="DQ12" s="93">
        <f t="shared" ref="DQ12:DQ41" si="37">(DO12*DP12)/360</f>
        <v>0</v>
      </c>
      <c r="DT12" s="93">
        <f t="shared" ref="DT12:DT41" si="38">(DR12*DS12)/360</f>
        <v>0</v>
      </c>
      <c r="DW12" s="93">
        <f t="shared" ref="DW12:DW41" si="39">(DU12*DV12)/360</f>
        <v>0</v>
      </c>
      <c r="DZ12" s="93"/>
      <c r="EA12" s="93"/>
      <c r="EB12" s="126">
        <f t="shared" ref="EB12:EB41" si="40">B12+E12+H12+K12+N12+Q12+T12+W12+Z12+AC12+AF12+AL12+AO12+AR12+AU12+AX12+BA12+BD12+BG12+DU12+AI12+DR12+DO12+DL12+DI12+DF12+DC12+CZ12+CW12+CT12+CQ12+CN12+CK12+CH12+CE12+CB12+BY12+BV12+BS12+BP12+BM12+BJ12</f>
        <v>196375000</v>
      </c>
      <c r="EC12" s="126">
        <f t="shared" ref="EC12:EC41" si="41">EB12-EK12+EL12</f>
        <v>196375000</v>
      </c>
      <c r="ED12" s="93">
        <f t="shared" ref="ED12:ED41" si="42">D12+G12+J12+M12+P12+S12+V12+Y12+AB12+AE12+AH12+AK12+AN12+AQ12+AT12+AW12+AZ12+BC12+BF12+BI12+DW12+DT12+DQ12+DN12+DK12+DH12+DE12+DB12+CY12+CV12+CS12+CP12+CM12+CJ12+CG12+CD12+CA12+BX12+BU12+BR12+BO12+BL12</f>
        <v>818.22916666666663</v>
      </c>
      <c r="EE12" s="94">
        <f t="shared" ref="EE12:EE41" si="43">IF(EB12&lt;&gt;0,((ED12/EB12)*360),0)</f>
        <v>1.5E-3</v>
      </c>
      <c r="EG12" s="126">
        <f t="shared" ref="EG12:EG41" si="44">Q12+T12+W12+Z12+AC12+AF12</f>
        <v>0</v>
      </c>
      <c r="EH12" s="93">
        <f t="shared" ref="EH12:EH41" si="45">S12+V12+Y12+AB12+AE12+AH12</f>
        <v>0</v>
      </c>
      <c r="EI12" s="94">
        <f t="shared" ref="EI12:EI41" si="46">IF(EG12&lt;&gt;0,((EH12/EG12)*360),0)</f>
        <v>0</v>
      </c>
      <c r="EJ12" s="94"/>
      <c r="EK12" s="126">
        <f t="shared" ref="EK12:EK41" si="47">DR12+DL12+DI12+DF12+DC12+CZ12+CW12+CT12+CQ12+CN12+CK12+CH12+CE12+CB12+BY12+BV12+BS12+BP12+BM12+BJ12+BG12+BD12+BA12+AX12+AU12+AR12+AO12+AL12+AI12+DO12</f>
        <v>0</v>
      </c>
      <c r="EL12" s="126">
        <f t="shared" ref="EL12:EL41" si="48">DX12</f>
        <v>0</v>
      </c>
      <c r="EM12" s="126">
        <f t="shared" ref="EM12:EM41" si="49">DT12+DQ12+DN12+DK12+DH12+DE12+DB12+CY12+CV12+CS12+CP12+CM12+CJ12+CG12+CD12+CA12+BX12+BU12+BR12+BO12+BL12+BI12+BF12+BC12+AZ12+AW12+AT12+AQ12+AN12+AK12</f>
        <v>0</v>
      </c>
      <c r="EN12" s="94">
        <f t="shared" ref="EN12:EN41" si="50">IF(EK12&lt;&gt;0,((EM12/EK12)*360),0)</f>
        <v>0</v>
      </c>
      <c r="EP12" s="93"/>
    </row>
    <row r="13" spans="1:147" x14ac:dyDescent="0.25">
      <c r="A13" s="39">
        <f t="shared" ref="A13:A41" si="51">1+A12</f>
        <v>43954</v>
      </c>
      <c r="B13" s="93">
        <v>196375000</v>
      </c>
      <c r="C13" s="94">
        <v>1.5E-3</v>
      </c>
      <c r="D13" s="93">
        <f t="shared" si="0"/>
        <v>818.22916666666663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(AC13*AD13)/'[20]Input Sheet'!$B$11</f>
        <v>0</v>
      </c>
      <c r="AH13" s="93">
        <f>(AF13*AG13)/'[20]Input Sheet'!$B$11</f>
        <v>0</v>
      </c>
      <c r="AI13" s="124"/>
      <c r="AJ13" s="125"/>
      <c r="AK13" s="93">
        <f t="shared" si="9"/>
        <v>0</v>
      </c>
      <c r="AL13" s="124"/>
      <c r="AM13" s="125"/>
      <c r="AN13" s="93">
        <f t="shared" si="10"/>
        <v>0</v>
      </c>
      <c r="AO13" s="124"/>
      <c r="AP13" s="125"/>
      <c r="AQ13" s="93">
        <f t="shared" si="11"/>
        <v>0</v>
      </c>
      <c r="AR13" s="124"/>
      <c r="AS13" s="125"/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196375000</v>
      </c>
      <c r="EC13" s="126">
        <f t="shared" si="41"/>
        <v>196375000</v>
      </c>
      <c r="ED13" s="93">
        <f t="shared" si="42"/>
        <v>818.22916666666663</v>
      </c>
      <c r="EE13" s="94">
        <f t="shared" si="43"/>
        <v>1.5E-3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0</v>
      </c>
      <c r="EL13" s="126">
        <f t="shared" si="48"/>
        <v>0</v>
      </c>
      <c r="EM13" s="126">
        <f t="shared" si="49"/>
        <v>0</v>
      </c>
      <c r="EN13" s="94">
        <f t="shared" si="50"/>
        <v>0</v>
      </c>
      <c r="EP13" s="93"/>
    </row>
    <row r="14" spans="1:147" x14ac:dyDescent="0.25">
      <c r="A14" s="39">
        <f t="shared" si="51"/>
        <v>43955</v>
      </c>
      <c r="B14" s="93">
        <v>196250000</v>
      </c>
      <c r="C14" s="94">
        <v>2E-3</v>
      </c>
      <c r="D14" s="93">
        <f t="shared" si="0"/>
        <v>1090.2777777777778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(AC14*AD14)/'[20]Input Sheet'!$B$11</f>
        <v>0</v>
      </c>
      <c r="AH14" s="93">
        <f>(AF14*AG14)/'[20]Input Sheet'!$B$11</f>
        <v>0</v>
      </c>
      <c r="AI14" s="124"/>
      <c r="AJ14" s="125"/>
      <c r="AK14" s="93">
        <f t="shared" si="9"/>
        <v>0</v>
      </c>
      <c r="AL14" s="124"/>
      <c r="AM14" s="125"/>
      <c r="AN14" s="93">
        <f t="shared" si="10"/>
        <v>0</v>
      </c>
      <c r="AO14" s="124"/>
      <c r="AP14" s="125"/>
      <c r="AQ14" s="93">
        <f t="shared" si="11"/>
        <v>0</v>
      </c>
      <c r="AR14" s="124"/>
      <c r="AS14" s="125"/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196250000</v>
      </c>
      <c r="EC14" s="126">
        <f t="shared" si="41"/>
        <v>196250000</v>
      </c>
      <c r="ED14" s="93">
        <f t="shared" si="42"/>
        <v>1090.2777777777778</v>
      </c>
      <c r="EE14" s="94">
        <f t="shared" si="43"/>
        <v>2E-3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0</v>
      </c>
      <c r="EL14" s="126">
        <f t="shared" si="48"/>
        <v>0</v>
      </c>
      <c r="EM14" s="126">
        <f t="shared" si="49"/>
        <v>0</v>
      </c>
      <c r="EN14" s="94">
        <f t="shared" si="50"/>
        <v>0</v>
      </c>
      <c r="EP14" s="93"/>
    </row>
    <row r="15" spans="1:147" x14ac:dyDescent="0.25">
      <c r="A15" s="39">
        <f t="shared" si="51"/>
        <v>43956</v>
      </c>
      <c r="B15" s="93">
        <v>189575000</v>
      </c>
      <c r="C15" s="94">
        <v>1.1999999999999999E-3</v>
      </c>
      <c r="D15" s="93">
        <f t="shared" si="0"/>
        <v>631.91666666666663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(AC15*AD15)/'[20]Input Sheet'!$B$11</f>
        <v>0</v>
      </c>
      <c r="AH15" s="93">
        <f>(AF15*AG15)/'[20]Input Sheet'!$B$11</f>
        <v>0</v>
      </c>
      <c r="AI15" s="124"/>
      <c r="AJ15" s="125"/>
      <c r="AK15" s="93">
        <f t="shared" si="9"/>
        <v>0</v>
      </c>
      <c r="AL15" s="124"/>
      <c r="AM15" s="125"/>
      <c r="AN15" s="93">
        <f t="shared" si="10"/>
        <v>0</v>
      </c>
      <c r="AO15" s="124"/>
      <c r="AP15" s="125"/>
      <c r="AQ15" s="93">
        <f t="shared" si="11"/>
        <v>0</v>
      </c>
      <c r="AR15" s="124"/>
      <c r="AS15" s="125"/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189575000</v>
      </c>
      <c r="EC15" s="126">
        <f t="shared" si="41"/>
        <v>189575000</v>
      </c>
      <c r="ED15" s="93">
        <f t="shared" si="42"/>
        <v>631.91666666666663</v>
      </c>
      <c r="EE15" s="94">
        <f t="shared" si="43"/>
        <v>1.1999999999999999E-3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0</v>
      </c>
      <c r="EL15" s="126">
        <f t="shared" si="48"/>
        <v>0</v>
      </c>
      <c r="EM15" s="126">
        <f t="shared" si="49"/>
        <v>0</v>
      </c>
      <c r="EN15" s="94">
        <f t="shared" si="50"/>
        <v>0</v>
      </c>
      <c r="EP15" s="93"/>
    </row>
    <row r="16" spans="1:147" x14ac:dyDescent="0.25">
      <c r="A16" s="39">
        <f t="shared" si="51"/>
        <v>43957</v>
      </c>
      <c r="B16" s="93">
        <v>180350000</v>
      </c>
      <c r="C16" s="94">
        <v>7.000000000000001E-4</v>
      </c>
      <c r="D16" s="93">
        <f t="shared" si="0"/>
        <v>350.6805555555556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(AC16*AD16)/'[20]Input Sheet'!$B$11</f>
        <v>0</v>
      </c>
      <c r="AH16" s="93">
        <f>(AF16*AG16)/'[20]Input Sheet'!$B$11</f>
        <v>0</v>
      </c>
      <c r="AI16" s="124"/>
      <c r="AJ16" s="125"/>
      <c r="AK16" s="93">
        <f t="shared" si="9"/>
        <v>0</v>
      </c>
      <c r="AL16" s="124"/>
      <c r="AM16" s="125"/>
      <c r="AN16" s="93">
        <f t="shared" si="10"/>
        <v>0</v>
      </c>
      <c r="AO16" s="124"/>
      <c r="AP16" s="125"/>
      <c r="AQ16" s="93">
        <f t="shared" si="11"/>
        <v>0</v>
      </c>
      <c r="AR16" s="124"/>
      <c r="AS16" s="125"/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180350000</v>
      </c>
      <c r="EC16" s="126">
        <f t="shared" si="41"/>
        <v>180350000</v>
      </c>
      <c r="ED16" s="93">
        <f t="shared" si="42"/>
        <v>350.6805555555556</v>
      </c>
      <c r="EE16" s="94">
        <f t="shared" si="43"/>
        <v>7.000000000000001E-4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0</v>
      </c>
      <c r="EL16" s="126">
        <f t="shared" si="48"/>
        <v>0</v>
      </c>
      <c r="EM16" s="126">
        <f t="shared" si="49"/>
        <v>0</v>
      </c>
      <c r="EN16" s="94">
        <f t="shared" si="50"/>
        <v>0</v>
      </c>
      <c r="EP16" s="93"/>
    </row>
    <row r="17" spans="1:146" x14ac:dyDescent="0.25">
      <c r="A17" s="39">
        <f t="shared" si="51"/>
        <v>43958</v>
      </c>
      <c r="B17" s="93">
        <v>173175000</v>
      </c>
      <c r="C17" s="94">
        <v>1.4000000000000002E-3</v>
      </c>
      <c r="D17" s="93">
        <f t="shared" si="0"/>
        <v>673.45833333333337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(AC17*AD17)/'[20]Input Sheet'!$B$11</f>
        <v>0</v>
      </c>
      <c r="AH17" s="93">
        <f>(AF17*AG17)/'[20]Input Sheet'!$B$11</f>
        <v>0</v>
      </c>
      <c r="AI17" s="124"/>
      <c r="AJ17" s="125"/>
      <c r="AK17" s="93">
        <f t="shared" si="9"/>
        <v>0</v>
      </c>
      <c r="AL17" s="124"/>
      <c r="AM17" s="125"/>
      <c r="AN17" s="93">
        <f t="shared" si="10"/>
        <v>0</v>
      </c>
      <c r="AO17" s="124"/>
      <c r="AP17" s="125"/>
      <c r="AQ17" s="93">
        <f t="shared" si="11"/>
        <v>0</v>
      </c>
      <c r="AR17" s="124"/>
      <c r="AS17" s="125"/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173175000</v>
      </c>
      <c r="EC17" s="126">
        <f t="shared" si="41"/>
        <v>173175000</v>
      </c>
      <c r="ED17" s="93">
        <f t="shared" si="42"/>
        <v>673.45833333333337</v>
      </c>
      <c r="EE17" s="94">
        <f t="shared" si="43"/>
        <v>1.4E-3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0</v>
      </c>
      <c r="EL17" s="126">
        <f t="shared" si="48"/>
        <v>0</v>
      </c>
      <c r="EM17" s="126">
        <f t="shared" si="49"/>
        <v>0</v>
      </c>
      <c r="EN17" s="94">
        <f t="shared" si="50"/>
        <v>0</v>
      </c>
      <c r="EP17" s="93"/>
    </row>
    <row r="18" spans="1:146" x14ac:dyDescent="0.25">
      <c r="A18" s="39">
        <f t="shared" si="51"/>
        <v>43959</v>
      </c>
      <c r="B18" s="93">
        <v>174125000</v>
      </c>
      <c r="C18" s="94">
        <v>1.7000000000000001E-3</v>
      </c>
      <c r="D18" s="93">
        <f t="shared" si="0"/>
        <v>822.25694444444446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(AC18*AD18)/'[20]Input Sheet'!$B$11</f>
        <v>0</v>
      </c>
      <c r="AH18" s="93">
        <f>(AF18*AG18)/'[20]Input Sheet'!$B$11</f>
        <v>0</v>
      </c>
      <c r="AI18" s="124"/>
      <c r="AJ18" s="125"/>
      <c r="AK18" s="93">
        <f t="shared" si="9"/>
        <v>0</v>
      </c>
      <c r="AL18" s="124"/>
      <c r="AM18" s="125"/>
      <c r="AN18" s="93">
        <f t="shared" si="10"/>
        <v>0</v>
      </c>
      <c r="AO18" s="124"/>
      <c r="AP18" s="125"/>
      <c r="AQ18" s="93">
        <f t="shared" si="11"/>
        <v>0</v>
      </c>
      <c r="AR18" s="124"/>
      <c r="AS18" s="125"/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174125000</v>
      </c>
      <c r="EC18" s="126">
        <f t="shared" si="41"/>
        <v>174125000</v>
      </c>
      <c r="ED18" s="93">
        <f t="shared" si="42"/>
        <v>822.25694444444446</v>
      </c>
      <c r="EE18" s="94">
        <f t="shared" si="43"/>
        <v>1.7000000000000001E-3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0</v>
      </c>
      <c r="EL18" s="126">
        <f t="shared" si="48"/>
        <v>0</v>
      </c>
      <c r="EM18" s="126">
        <f t="shared" si="49"/>
        <v>0</v>
      </c>
      <c r="EN18" s="94">
        <f t="shared" si="50"/>
        <v>0</v>
      </c>
      <c r="EP18" s="93"/>
    </row>
    <row r="19" spans="1:146" x14ac:dyDescent="0.25">
      <c r="A19" s="39">
        <f t="shared" si="51"/>
        <v>43960</v>
      </c>
      <c r="B19" s="93">
        <v>174125000</v>
      </c>
      <c r="C19" s="94">
        <v>1.7000000000000001E-3</v>
      </c>
      <c r="D19" s="93">
        <f t="shared" si="0"/>
        <v>822.25694444444446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(AC19*AD19)/'[20]Input Sheet'!$B$11</f>
        <v>0</v>
      </c>
      <c r="AH19" s="93">
        <f>(AF19*AG19)/'[20]Input Sheet'!$B$11</f>
        <v>0</v>
      </c>
      <c r="AI19" s="124"/>
      <c r="AJ19" s="125"/>
      <c r="AK19" s="93">
        <f t="shared" si="9"/>
        <v>0</v>
      </c>
      <c r="AL19" s="124"/>
      <c r="AM19" s="125"/>
      <c r="AN19" s="93">
        <f t="shared" si="10"/>
        <v>0</v>
      </c>
      <c r="AO19" s="124"/>
      <c r="AP19" s="125"/>
      <c r="AQ19" s="93">
        <f t="shared" si="11"/>
        <v>0</v>
      </c>
      <c r="AR19" s="124"/>
      <c r="AS19" s="125"/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174125000</v>
      </c>
      <c r="EC19" s="126">
        <f t="shared" si="41"/>
        <v>174125000</v>
      </c>
      <c r="ED19" s="93">
        <f t="shared" si="42"/>
        <v>822.25694444444446</v>
      </c>
      <c r="EE19" s="94">
        <f t="shared" si="43"/>
        <v>1.7000000000000001E-3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0</v>
      </c>
      <c r="EL19" s="126">
        <f t="shared" si="48"/>
        <v>0</v>
      </c>
      <c r="EM19" s="126">
        <f t="shared" si="49"/>
        <v>0</v>
      </c>
      <c r="EN19" s="94">
        <f t="shared" si="50"/>
        <v>0</v>
      </c>
      <c r="EP19" s="93"/>
    </row>
    <row r="20" spans="1:146" x14ac:dyDescent="0.25">
      <c r="A20" s="39">
        <f t="shared" si="51"/>
        <v>43961</v>
      </c>
      <c r="B20" s="93">
        <v>174125000</v>
      </c>
      <c r="C20" s="94">
        <v>1.7000000000000001E-3</v>
      </c>
      <c r="D20" s="93">
        <f t="shared" si="0"/>
        <v>822.25694444444446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(AC20*AD20)/'[20]Input Sheet'!$B$11</f>
        <v>0</v>
      </c>
      <c r="AH20" s="93">
        <f>(AF20*AG20)/'[20]Input Sheet'!$B$11</f>
        <v>0</v>
      </c>
      <c r="AI20" s="124"/>
      <c r="AJ20" s="125"/>
      <c r="AK20" s="93">
        <f t="shared" si="9"/>
        <v>0</v>
      </c>
      <c r="AL20" s="124"/>
      <c r="AM20" s="125"/>
      <c r="AN20" s="93">
        <f t="shared" si="10"/>
        <v>0</v>
      </c>
      <c r="AO20" s="124"/>
      <c r="AP20" s="125"/>
      <c r="AQ20" s="93">
        <f t="shared" si="11"/>
        <v>0</v>
      </c>
      <c r="AR20" s="124"/>
      <c r="AS20" s="125"/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174125000</v>
      </c>
      <c r="EC20" s="126">
        <f t="shared" si="41"/>
        <v>174125000</v>
      </c>
      <c r="ED20" s="93">
        <f t="shared" si="42"/>
        <v>822.25694444444446</v>
      </c>
      <c r="EE20" s="94">
        <f t="shared" si="43"/>
        <v>1.7000000000000001E-3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0</v>
      </c>
      <c r="EL20" s="126">
        <f t="shared" si="48"/>
        <v>0</v>
      </c>
      <c r="EM20" s="126">
        <f t="shared" si="49"/>
        <v>0</v>
      </c>
      <c r="EN20" s="94">
        <f t="shared" si="50"/>
        <v>0</v>
      </c>
      <c r="EP20" s="93"/>
    </row>
    <row r="21" spans="1:146" x14ac:dyDescent="0.25">
      <c r="A21" s="39">
        <f t="shared" si="51"/>
        <v>43962</v>
      </c>
      <c r="B21" s="93">
        <v>171425000</v>
      </c>
      <c r="C21" s="94">
        <v>1.7000000000000001E-3</v>
      </c>
      <c r="D21" s="93">
        <f t="shared" si="0"/>
        <v>809.50694444444446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(AC21*AD21)/'[20]Input Sheet'!$B$11</f>
        <v>0</v>
      </c>
      <c r="AH21" s="93">
        <f>(AF21*AG21)/'[20]Input Sheet'!$B$11</f>
        <v>0</v>
      </c>
      <c r="AI21" s="124"/>
      <c r="AJ21" s="125"/>
      <c r="AK21" s="93">
        <f t="shared" si="9"/>
        <v>0</v>
      </c>
      <c r="AL21" s="124"/>
      <c r="AM21" s="125"/>
      <c r="AN21" s="93">
        <f t="shared" si="10"/>
        <v>0</v>
      </c>
      <c r="AO21" s="124"/>
      <c r="AP21" s="125"/>
      <c r="AQ21" s="93">
        <f t="shared" si="11"/>
        <v>0</v>
      </c>
      <c r="AR21" s="124"/>
      <c r="AS21" s="125"/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171425000</v>
      </c>
      <c r="EC21" s="126">
        <f t="shared" si="41"/>
        <v>171425000</v>
      </c>
      <c r="ED21" s="93">
        <f t="shared" si="42"/>
        <v>809.50694444444446</v>
      </c>
      <c r="EE21" s="94">
        <f t="shared" si="43"/>
        <v>1.7000000000000001E-3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0</v>
      </c>
      <c r="EL21" s="126">
        <f t="shared" si="48"/>
        <v>0</v>
      </c>
      <c r="EM21" s="126">
        <f t="shared" si="49"/>
        <v>0</v>
      </c>
      <c r="EN21" s="94">
        <f t="shared" si="50"/>
        <v>0</v>
      </c>
      <c r="EP21" s="93"/>
    </row>
    <row r="22" spans="1:146" x14ac:dyDescent="0.25">
      <c r="A22" s="39">
        <f t="shared" si="51"/>
        <v>43963</v>
      </c>
      <c r="B22" s="93">
        <v>165650000</v>
      </c>
      <c r="C22" s="94">
        <v>1.6000000000000001E-3</v>
      </c>
      <c r="D22" s="93">
        <f t="shared" si="0"/>
        <v>736.22222222222217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(AC22*AD22)/'[20]Input Sheet'!$B$11</f>
        <v>0</v>
      </c>
      <c r="AH22" s="93">
        <f>(AF22*AG22)/'[20]Input Sheet'!$B$11</f>
        <v>0</v>
      </c>
      <c r="AI22" s="124"/>
      <c r="AJ22" s="125"/>
      <c r="AK22" s="93">
        <f t="shared" si="9"/>
        <v>0</v>
      </c>
      <c r="AL22" s="124"/>
      <c r="AM22" s="125"/>
      <c r="AN22" s="93">
        <f t="shared" si="10"/>
        <v>0</v>
      </c>
      <c r="AO22" s="124"/>
      <c r="AP22" s="125"/>
      <c r="AQ22" s="93">
        <f t="shared" si="11"/>
        <v>0</v>
      </c>
      <c r="AR22" s="124"/>
      <c r="AS22" s="125"/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165650000</v>
      </c>
      <c r="EC22" s="126">
        <f t="shared" si="41"/>
        <v>165650000</v>
      </c>
      <c r="ED22" s="93">
        <f t="shared" si="42"/>
        <v>736.22222222222217</v>
      </c>
      <c r="EE22" s="94">
        <f t="shared" si="43"/>
        <v>1.5999999999999999E-3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0</v>
      </c>
      <c r="EL22" s="126">
        <f t="shared" si="48"/>
        <v>0</v>
      </c>
      <c r="EM22" s="126">
        <f t="shared" si="49"/>
        <v>0</v>
      </c>
      <c r="EN22" s="94">
        <f t="shared" si="50"/>
        <v>0</v>
      </c>
      <c r="EP22" s="93"/>
    </row>
    <row r="23" spans="1:146" x14ac:dyDescent="0.25">
      <c r="A23" s="39">
        <f t="shared" si="51"/>
        <v>43964</v>
      </c>
      <c r="B23" s="93">
        <v>168000000</v>
      </c>
      <c r="C23" s="94">
        <v>1.2999999999999999E-3</v>
      </c>
      <c r="D23" s="93">
        <f t="shared" si="0"/>
        <v>606.66666666666663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(AC23*AD23)/'[20]Input Sheet'!$B$11</f>
        <v>0</v>
      </c>
      <c r="AH23" s="93">
        <f>(AF23*AG23)/'[20]Input Sheet'!$B$11</f>
        <v>0</v>
      </c>
      <c r="AI23" s="124"/>
      <c r="AJ23" s="125"/>
      <c r="AK23" s="93">
        <f t="shared" si="9"/>
        <v>0</v>
      </c>
      <c r="AL23" s="124"/>
      <c r="AM23" s="125"/>
      <c r="AN23" s="93">
        <f t="shared" si="10"/>
        <v>0</v>
      </c>
      <c r="AO23" s="124"/>
      <c r="AP23" s="125"/>
      <c r="AQ23" s="93">
        <f t="shared" si="11"/>
        <v>0</v>
      </c>
      <c r="AR23" s="124"/>
      <c r="AS23" s="125"/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168000000</v>
      </c>
      <c r="EC23" s="126">
        <f t="shared" si="41"/>
        <v>168000000</v>
      </c>
      <c r="ED23" s="93">
        <f t="shared" si="42"/>
        <v>606.66666666666663</v>
      </c>
      <c r="EE23" s="94">
        <f t="shared" si="43"/>
        <v>1.2999999999999999E-3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0</v>
      </c>
      <c r="EL23" s="126">
        <f t="shared" si="48"/>
        <v>0</v>
      </c>
      <c r="EM23" s="126">
        <f t="shared" si="49"/>
        <v>0</v>
      </c>
      <c r="EN23" s="94">
        <f t="shared" si="50"/>
        <v>0</v>
      </c>
      <c r="EP23" s="93"/>
    </row>
    <row r="24" spans="1:146" x14ac:dyDescent="0.25">
      <c r="A24" s="39">
        <f t="shared" si="51"/>
        <v>43965</v>
      </c>
      <c r="B24" s="93">
        <v>168000000</v>
      </c>
      <c r="C24" s="94">
        <v>1.1000000000000001E-3</v>
      </c>
      <c r="D24" s="93">
        <f t="shared" si="0"/>
        <v>513.33333333333337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(AC24*AD24)/'[20]Input Sheet'!$B$11</f>
        <v>0</v>
      </c>
      <c r="AH24" s="93">
        <f>(AF24*AG24)/'[20]Input Sheet'!$B$11</f>
        <v>0</v>
      </c>
      <c r="AI24" s="124"/>
      <c r="AJ24" s="125"/>
      <c r="AK24" s="93">
        <f t="shared" si="9"/>
        <v>0</v>
      </c>
      <c r="AL24" s="124"/>
      <c r="AM24" s="125"/>
      <c r="AN24" s="93">
        <f t="shared" si="10"/>
        <v>0</v>
      </c>
      <c r="AO24" s="124"/>
      <c r="AP24" s="125"/>
      <c r="AQ24" s="93">
        <f t="shared" si="11"/>
        <v>0</v>
      </c>
      <c r="AR24" s="124"/>
      <c r="AS24" s="125"/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168000000</v>
      </c>
      <c r="EC24" s="126">
        <f t="shared" si="41"/>
        <v>168000000</v>
      </c>
      <c r="ED24" s="93">
        <f t="shared" si="42"/>
        <v>513.33333333333337</v>
      </c>
      <c r="EE24" s="94">
        <f t="shared" si="43"/>
        <v>1.1000000000000001E-3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0</v>
      </c>
      <c r="EL24" s="126">
        <f t="shared" si="48"/>
        <v>0</v>
      </c>
      <c r="EM24" s="126">
        <f t="shared" si="49"/>
        <v>0</v>
      </c>
      <c r="EN24" s="94">
        <f t="shared" si="50"/>
        <v>0</v>
      </c>
      <c r="EP24" s="93"/>
    </row>
    <row r="25" spans="1:146" x14ac:dyDescent="0.25">
      <c r="A25" s="39">
        <f t="shared" si="51"/>
        <v>43966</v>
      </c>
      <c r="B25" s="93">
        <v>175525000</v>
      </c>
      <c r="C25" s="94">
        <v>8.9999999999999998E-4</v>
      </c>
      <c r="D25" s="93">
        <f t="shared" si="0"/>
        <v>438.8125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(AC25*AD25)/'[20]Input Sheet'!$B$11</f>
        <v>0</v>
      </c>
      <c r="AH25" s="93">
        <f>(AF25*AG25)/'[20]Input Sheet'!$B$11</f>
        <v>0</v>
      </c>
      <c r="AI25" s="124"/>
      <c r="AJ25" s="125"/>
      <c r="AK25" s="93">
        <f t="shared" si="9"/>
        <v>0</v>
      </c>
      <c r="AL25" s="124"/>
      <c r="AM25" s="125"/>
      <c r="AN25" s="93">
        <f t="shared" si="10"/>
        <v>0</v>
      </c>
      <c r="AO25" s="124"/>
      <c r="AP25" s="125"/>
      <c r="AQ25" s="93">
        <f t="shared" si="11"/>
        <v>0</v>
      </c>
      <c r="AR25" s="124"/>
      <c r="AS25" s="125"/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175525000</v>
      </c>
      <c r="EC25" s="126">
        <f t="shared" si="41"/>
        <v>175525000</v>
      </c>
      <c r="ED25" s="93">
        <f t="shared" si="42"/>
        <v>438.8125</v>
      </c>
      <c r="EE25" s="94">
        <f t="shared" si="43"/>
        <v>9.0000000000000008E-4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0</v>
      </c>
      <c r="EL25" s="126">
        <f t="shared" si="48"/>
        <v>0</v>
      </c>
      <c r="EM25" s="126">
        <f t="shared" si="49"/>
        <v>0</v>
      </c>
      <c r="EN25" s="94">
        <f t="shared" si="50"/>
        <v>0</v>
      </c>
      <c r="EP25" s="93"/>
    </row>
    <row r="26" spans="1:146" x14ac:dyDescent="0.25">
      <c r="A26" s="39">
        <f t="shared" si="51"/>
        <v>43967</v>
      </c>
      <c r="B26" s="93">
        <v>175525000</v>
      </c>
      <c r="C26" s="94">
        <v>8.9999999999999998E-4</v>
      </c>
      <c r="D26" s="93">
        <f t="shared" si="0"/>
        <v>438.8125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(AC26*AD26)/'[20]Input Sheet'!$B$11</f>
        <v>0</v>
      </c>
      <c r="AH26" s="93">
        <f>(AF26*AG26)/'[20]Input Sheet'!$B$11</f>
        <v>0</v>
      </c>
      <c r="AI26" s="124"/>
      <c r="AJ26" s="125"/>
      <c r="AK26" s="93">
        <f t="shared" si="9"/>
        <v>0</v>
      </c>
      <c r="AL26" s="124"/>
      <c r="AM26" s="125"/>
      <c r="AN26" s="93">
        <f t="shared" si="10"/>
        <v>0</v>
      </c>
      <c r="AO26" s="124"/>
      <c r="AP26" s="125"/>
      <c r="AQ26" s="93">
        <f t="shared" si="11"/>
        <v>0</v>
      </c>
      <c r="AR26" s="124"/>
      <c r="AS26" s="125"/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175525000</v>
      </c>
      <c r="EC26" s="126">
        <f t="shared" si="41"/>
        <v>175525000</v>
      </c>
      <c r="ED26" s="93">
        <f t="shared" si="42"/>
        <v>438.8125</v>
      </c>
      <c r="EE26" s="94">
        <f t="shared" si="43"/>
        <v>9.0000000000000008E-4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0</v>
      </c>
      <c r="EL26" s="126">
        <f t="shared" si="48"/>
        <v>0</v>
      </c>
      <c r="EM26" s="126">
        <f t="shared" si="49"/>
        <v>0</v>
      </c>
      <c r="EN26" s="94">
        <f t="shared" si="50"/>
        <v>0</v>
      </c>
      <c r="EP26" s="93"/>
    </row>
    <row r="27" spans="1:146" x14ac:dyDescent="0.25">
      <c r="A27" s="39">
        <f t="shared" si="51"/>
        <v>43968</v>
      </c>
      <c r="B27" s="93">
        <v>175525000</v>
      </c>
      <c r="C27" s="94">
        <v>8.9999999999999998E-4</v>
      </c>
      <c r="D27" s="93">
        <f t="shared" si="0"/>
        <v>438.8125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(AC27*AD27)/'[20]Input Sheet'!$B$11</f>
        <v>0</v>
      </c>
      <c r="AH27" s="93">
        <f>(AF27*AG27)/'[20]Input Sheet'!$B$11</f>
        <v>0</v>
      </c>
      <c r="AI27" s="124"/>
      <c r="AJ27" s="125"/>
      <c r="AK27" s="93">
        <f t="shared" si="9"/>
        <v>0</v>
      </c>
      <c r="AL27" s="124"/>
      <c r="AM27" s="125"/>
      <c r="AN27" s="93">
        <f t="shared" si="10"/>
        <v>0</v>
      </c>
      <c r="AO27" s="124"/>
      <c r="AP27" s="125"/>
      <c r="AQ27" s="93">
        <f t="shared" si="11"/>
        <v>0</v>
      </c>
      <c r="AR27" s="124"/>
      <c r="AS27" s="125"/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175525000</v>
      </c>
      <c r="EC27" s="126">
        <f t="shared" si="41"/>
        <v>175525000</v>
      </c>
      <c r="ED27" s="93">
        <f t="shared" si="42"/>
        <v>438.8125</v>
      </c>
      <c r="EE27" s="94">
        <f t="shared" si="43"/>
        <v>9.0000000000000008E-4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0</v>
      </c>
      <c r="EL27" s="126">
        <f t="shared" si="48"/>
        <v>0</v>
      </c>
      <c r="EM27" s="126">
        <f t="shared" si="49"/>
        <v>0</v>
      </c>
      <c r="EN27" s="94">
        <f t="shared" si="50"/>
        <v>0</v>
      </c>
      <c r="EP27" s="93"/>
    </row>
    <row r="28" spans="1:146" x14ac:dyDescent="0.25">
      <c r="A28" s="39">
        <f t="shared" si="51"/>
        <v>43969</v>
      </c>
      <c r="B28" s="93">
        <v>173850000</v>
      </c>
      <c r="C28" s="94">
        <v>1.7000000000000001E-3</v>
      </c>
      <c r="D28" s="93">
        <f t="shared" si="0"/>
        <v>820.95833333333337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(AC28*AD28)/'[20]Input Sheet'!$B$11</f>
        <v>0</v>
      </c>
      <c r="AH28" s="93">
        <f>(AF28*AG28)/'[20]Input Sheet'!$B$11</f>
        <v>0</v>
      </c>
      <c r="AI28" s="124"/>
      <c r="AJ28" s="125"/>
      <c r="AK28" s="93">
        <f t="shared" si="9"/>
        <v>0</v>
      </c>
      <c r="AL28" s="124"/>
      <c r="AM28" s="125"/>
      <c r="AN28" s="93">
        <f t="shared" si="10"/>
        <v>0</v>
      </c>
      <c r="AO28" s="124"/>
      <c r="AP28" s="125"/>
      <c r="AQ28" s="93">
        <f t="shared" si="11"/>
        <v>0</v>
      </c>
      <c r="AR28" s="124"/>
      <c r="AS28" s="125"/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173850000</v>
      </c>
      <c r="EC28" s="126">
        <f t="shared" si="41"/>
        <v>173850000</v>
      </c>
      <c r="ED28" s="93">
        <f t="shared" si="42"/>
        <v>820.95833333333337</v>
      </c>
      <c r="EE28" s="94">
        <f t="shared" si="43"/>
        <v>1.7000000000000001E-3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0</v>
      </c>
      <c r="EL28" s="126">
        <f t="shared" si="48"/>
        <v>0</v>
      </c>
      <c r="EM28" s="126">
        <f t="shared" si="49"/>
        <v>0</v>
      </c>
      <c r="EN28" s="94">
        <f t="shared" si="50"/>
        <v>0</v>
      </c>
      <c r="EP28" s="93"/>
    </row>
    <row r="29" spans="1:146" x14ac:dyDescent="0.25">
      <c r="A29" s="39">
        <f t="shared" si="51"/>
        <v>43970</v>
      </c>
      <c r="B29" s="93">
        <v>163275000</v>
      </c>
      <c r="C29" s="94">
        <v>1.1999999999999999E-3</v>
      </c>
      <c r="D29" s="93">
        <f t="shared" si="0"/>
        <v>544.24999999999989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(AC29*AD29)/'[20]Input Sheet'!$B$11</f>
        <v>0</v>
      </c>
      <c r="AH29" s="93">
        <f>(AF29*AG29)/'[20]Input Sheet'!$B$11</f>
        <v>0</v>
      </c>
      <c r="AI29" s="124"/>
      <c r="AJ29" s="125"/>
      <c r="AK29" s="93">
        <f t="shared" si="9"/>
        <v>0</v>
      </c>
      <c r="AL29" s="124"/>
      <c r="AM29" s="125"/>
      <c r="AN29" s="93">
        <f t="shared" si="10"/>
        <v>0</v>
      </c>
      <c r="AO29" s="124"/>
      <c r="AP29" s="125"/>
      <c r="AQ29" s="93">
        <f t="shared" si="11"/>
        <v>0</v>
      </c>
      <c r="AR29" s="124"/>
      <c r="AS29" s="125"/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163275000</v>
      </c>
      <c r="EC29" s="126">
        <f t="shared" si="41"/>
        <v>163275000</v>
      </c>
      <c r="ED29" s="93">
        <f t="shared" si="42"/>
        <v>544.24999999999989</v>
      </c>
      <c r="EE29" s="94">
        <f t="shared" si="43"/>
        <v>1.1999999999999997E-3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0</v>
      </c>
      <c r="EL29" s="126">
        <f t="shared" si="48"/>
        <v>0</v>
      </c>
      <c r="EM29" s="126">
        <f t="shared" si="49"/>
        <v>0</v>
      </c>
      <c r="EN29" s="94">
        <f t="shared" si="50"/>
        <v>0</v>
      </c>
      <c r="EP29" s="93"/>
    </row>
    <row r="30" spans="1:146" x14ac:dyDescent="0.25">
      <c r="A30" s="39">
        <f t="shared" si="51"/>
        <v>43971</v>
      </c>
      <c r="B30" s="93">
        <v>163450000</v>
      </c>
      <c r="C30" s="94">
        <v>1.5E-3</v>
      </c>
      <c r="D30" s="93">
        <f t="shared" si="0"/>
        <v>681.04166666666663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(AC30*AD30)/'[20]Input Sheet'!$B$11</f>
        <v>0</v>
      </c>
      <c r="AH30" s="93">
        <f>(AF30*AG30)/'[20]Input Sheet'!$B$11</f>
        <v>0</v>
      </c>
      <c r="AI30" s="124"/>
      <c r="AJ30" s="125"/>
      <c r="AK30" s="93">
        <f t="shared" si="9"/>
        <v>0</v>
      </c>
      <c r="AL30" s="124"/>
      <c r="AM30" s="125"/>
      <c r="AN30" s="93">
        <f t="shared" si="10"/>
        <v>0</v>
      </c>
      <c r="AO30" s="124"/>
      <c r="AP30" s="125"/>
      <c r="AQ30" s="93">
        <f t="shared" si="11"/>
        <v>0</v>
      </c>
      <c r="AR30" s="124"/>
      <c r="AS30" s="125"/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163450000</v>
      </c>
      <c r="EC30" s="126">
        <f t="shared" si="41"/>
        <v>163450000</v>
      </c>
      <c r="ED30" s="93">
        <f t="shared" si="42"/>
        <v>681.04166666666663</v>
      </c>
      <c r="EE30" s="94">
        <f t="shared" si="43"/>
        <v>1.4999999999999998E-3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0</v>
      </c>
      <c r="EL30" s="126">
        <f t="shared" si="48"/>
        <v>0</v>
      </c>
      <c r="EM30" s="126">
        <f t="shared" si="49"/>
        <v>0</v>
      </c>
      <c r="EN30" s="94">
        <f t="shared" si="50"/>
        <v>0</v>
      </c>
      <c r="EP30" s="93"/>
    </row>
    <row r="31" spans="1:146" x14ac:dyDescent="0.25">
      <c r="A31" s="39">
        <f t="shared" si="51"/>
        <v>43972</v>
      </c>
      <c r="B31" s="93">
        <v>160775000</v>
      </c>
      <c r="C31" s="94">
        <v>1.5E-3</v>
      </c>
      <c r="D31" s="93">
        <f t="shared" si="0"/>
        <v>669.89583333333337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(AC31*AD31)/'[20]Input Sheet'!$B$11</f>
        <v>0</v>
      </c>
      <c r="AH31" s="93">
        <f>(AF31*AG31)/'[20]Input Sheet'!$B$11</f>
        <v>0</v>
      </c>
      <c r="AI31" s="124"/>
      <c r="AJ31" s="125"/>
      <c r="AK31" s="93">
        <f t="shared" si="9"/>
        <v>0</v>
      </c>
      <c r="AL31" s="124"/>
      <c r="AM31" s="125"/>
      <c r="AN31" s="93">
        <f t="shared" si="10"/>
        <v>0</v>
      </c>
      <c r="AO31" s="124"/>
      <c r="AP31" s="125"/>
      <c r="AQ31" s="93">
        <f t="shared" si="11"/>
        <v>0</v>
      </c>
      <c r="AR31" s="124"/>
      <c r="AS31" s="125"/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160775000</v>
      </c>
      <c r="EC31" s="126">
        <f t="shared" si="41"/>
        <v>160775000</v>
      </c>
      <c r="ED31" s="93">
        <f t="shared" si="42"/>
        <v>669.89583333333337</v>
      </c>
      <c r="EE31" s="94">
        <f t="shared" si="43"/>
        <v>1.5E-3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0</v>
      </c>
      <c r="EL31" s="126">
        <f t="shared" si="48"/>
        <v>0</v>
      </c>
      <c r="EM31" s="126">
        <f t="shared" si="49"/>
        <v>0</v>
      </c>
      <c r="EN31" s="94">
        <f t="shared" si="50"/>
        <v>0</v>
      </c>
      <c r="EP31" s="93"/>
    </row>
    <row r="32" spans="1:146" x14ac:dyDescent="0.25">
      <c r="A32" s="39">
        <f t="shared" si="51"/>
        <v>43973</v>
      </c>
      <c r="B32" s="93">
        <v>185200000</v>
      </c>
      <c r="C32" s="94">
        <v>1.1999999999999999E-3</v>
      </c>
      <c r="D32" s="93">
        <f t="shared" si="0"/>
        <v>617.33333333333326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(AC32*AD32)/'[20]Input Sheet'!$B$11</f>
        <v>0</v>
      </c>
      <c r="AH32" s="93">
        <f>(AF32*AG32)/'[20]Input Sheet'!$B$11</f>
        <v>0</v>
      </c>
      <c r="AI32" s="124"/>
      <c r="AJ32" s="125"/>
      <c r="AK32" s="93">
        <f t="shared" si="9"/>
        <v>0</v>
      </c>
      <c r="AL32" s="124"/>
      <c r="AM32" s="125"/>
      <c r="AN32" s="93">
        <f t="shared" si="10"/>
        <v>0</v>
      </c>
      <c r="AO32" s="124"/>
      <c r="AP32" s="125"/>
      <c r="AQ32" s="93">
        <f t="shared" si="11"/>
        <v>0</v>
      </c>
      <c r="AR32" s="124"/>
      <c r="AS32" s="125"/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185200000</v>
      </c>
      <c r="EC32" s="126">
        <f t="shared" si="41"/>
        <v>185200000</v>
      </c>
      <c r="ED32" s="93">
        <f t="shared" si="42"/>
        <v>617.33333333333326</v>
      </c>
      <c r="EE32" s="94">
        <f t="shared" si="43"/>
        <v>1.1999999999999999E-3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0</v>
      </c>
      <c r="EL32" s="126">
        <f t="shared" si="48"/>
        <v>0</v>
      </c>
      <c r="EM32" s="126">
        <f t="shared" si="49"/>
        <v>0</v>
      </c>
      <c r="EN32" s="94">
        <f t="shared" si="50"/>
        <v>0</v>
      </c>
      <c r="EP32" s="93"/>
    </row>
    <row r="33" spans="1:146" x14ac:dyDescent="0.25">
      <c r="A33" s="39">
        <f t="shared" si="51"/>
        <v>43974</v>
      </c>
      <c r="B33" s="93">
        <v>185200000</v>
      </c>
      <c r="C33" s="94">
        <v>1.1999999999999999E-3</v>
      </c>
      <c r="D33" s="93">
        <f t="shared" si="0"/>
        <v>617.33333333333326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(AC33*AD33)/'[20]Input Sheet'!$B$11</f>
        <v>0</v>
      </c>
      <c r="AH33" s="93">
        <f>(AF33*AG33)/'[20]Input Sheet'!$B$11</f>
        <v>0</v>
      </c>
      <c r="AI33" s="124"/>
      <c r="AJ33" s="125"/>
      <c r="AK33" s="93">
        <f t="shared" si="9"/>
        <v>0</v>
      </c>
      <c r="AL33" s="124"/>
      <c r="AM33" s="125"/>
      <c r="AN33" s="93">
        <f t="shared" si="10"/>
        <v>0</v>
      </c>
      <c r="AO33" s="124"/>
      <c r="AP33" s="125"/>
      <c r="AQ33" s="93">
        <f t="shared" si="11"/>
        <v>0</v>
      </c>
      <c r="AR33" s="124"/>
      <c r="AS33" s="125"/>
      <c r="AT33" s="93">
        <f t="shared" si="12"/>
        <v>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185200000</v>
      </c>
      <c r="EC33" s="126">
        <f t="shared" si="41"/>
        <v>185200000</v>
      </c>
      <c r="ED33" s="93">
        <f t="shared" si="42"/>
        <v>617.33333333333326</v>
      </c>
      <c r="EE33" s="94">
        <f t="shared" si="43"/>
        <v>1.1999999999999999E-3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0</v>
      </c>
      <c r="EL33" s="126">
        <f t="shared" si="48"/>
        <v>0</v>
      </c>
      <c r="EM33" s="126">
        <f t="shared" si="49"/>
        <v>0</v>
      </c>
      <c r="EN33" s="94">
        <f t="shared" si="50"/>
        <v>0</v>
      </c>
      <c r="EP33" s="93"/>
    </row>
    <row r="34" spans="1:146" x14ac:dyDescent="0.25">
      <c r="A34" s="39">
        <f t="shared" si="51"/>
        <v>43975</v>
      </c>
      <c r="B34" s="93">
        <v>185200000</v>
      </c>
      <c r="C34" s="94">
        <v>1.1999999999999999E-3</v>
      </c>
      <c r="D34" s="93">
        <f t="shared" si="0"/>
        <v>617.33333333333326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(AC34*AD34)/'[20]Input Sheet'!$B$11</f>
        <v>0</v>
      </c>
      <c r="AH34" s="93">
        <f>(AF34*AG34)/'[20]Input Sheet'!$B$11</f>
        <v>0</v>
      </c>
      <c r="AI34" s="124"/>
      <c r="AJ34" s="125"/>
      <c r="AK34" s="93">
        <f t="shared" si="9"/>
        <v>0</v>
      </c>
      <c r="AL34" s="124"/>
      <c r="AM34" s="125"/>
      <c r="AN34" s="93">
        <f t="shared" si="10"/>
        <v>0</v>
      </c>
      <c r="AO34" s="124"/>
      <c r="AP34" s="125"/>
      <c r="AQ34" s="93">
        <f t="shared" si="11"/>
        <v>0</v>
      </c>
      <c r="AR34" s="124"/>
      <c r="AS34" s="125"/>
      <c r="AT34" s="93">
        <f t="shared" si="12"/>
        <v>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185200000</v>
      </c>
      <c r="EC34" s="126">
        <f t="shared" si="41"/>
        <v>185200000</v>
      </c>
      <c r="ED34" s="93">
        <f t="shared" si="42"/>
        <v>617.33333333333326</v>
      </c>
      <c r="EE34" s="94">
        <f t="shared" si="43"/>
        <v>1.1999999999999999E-3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0</v>
      </c>
      <c r="EL34" s="126">
        <f t="shared" si="48"/>
        <v>0</v>
      </c>
      <c r="EM34" s="126">
        <f t="shared" si="49"/>
        <v>0</v>
      </c>
      <c r="EN34" s="94">
        <f t="shared" si="50"/>
        <v>0</v>
      </c>
      <c r="EP34" s="93"/>
    </row>
    <row r="35" spans="1:146" x14ac:dyDescent="0.25">
      <c r="A35" s="39">
        <f t="shared" si="51"/>
        <v>43976</v>
      </c>
      <c r="B35" s="93">
        <v>185200000</v>
      </c>
      <c r="C35" s="94">
        <v>1.1999999999999999E-3</v>
      </c>
      <c r="D35" s="93">
        <f t="shared" si="0"/>
        <v>617.33333333333326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(AC35*AD35)/'[20]Input Sheet'!$B$11</f>
        <v>0</v>
      </c>
      <c r="AH35" s="93">
        <f>(AF35*AG35)/'[20]Input Sheet'!$B$11</f>
        <v>0</v>
      </c>
      <c r="AI35" s="124"/>
      <c r="AJ35" s="125"/>
      <c r="AK35" s="93">
        <f t="shared" si="9"/>
        <v>0</v>
      </c>
      <c r="AL35" s="124"/>
      <c r="AM35" s="125"/>
      <c r="AN35" s="93">
        <f t="shared" si="10"/>
        <v>0</v>
      </c>
      <c r="AO35" s="124"/>
      <c r="AP35" s="125"/>
      <c r="AQ35" s="93">
        <f t="shared" si="11"/>
        <v>0</v>
      </c>
      <c r="AR35" s="124"/>
      <c r="AS35" s="125"/>
      <c r="AT35" s="93">
        <f t="shared" si="12"/>
        <v>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185200000</v>
      </c>
      <c r="EC35" s="126">
        <f t="shared" si="41"/>
        <v>185200000</v>
      </c>
      <c r="ED35" s="93">
        <f t="shared" si="42"/>
        <v>617.33333333333326</v>
      </c>
      <c r="EE35" s="94">
        <f t="shared" si="43"/>
        <v>1.1999999999999999E-3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0</v>
      </c>
      <c r="EL35" s="126">
        <f t="shared" si="48"/>
        <v>0</v>
      </c>
      <c r="EM35" s="126">
        <f t="shared" si="49"/>
        <v>0</v>
      </c>
      <c r="EN35" s="94">
        <f t="shared" si="50"/>
        <v>0</v>
      </c>
      <c r="EP35" s="93"/>
    </row>
    <row r="36" spans="1:146" x14ac:dyDescent="0.25">
      <c r="A36" s="39">
        <f t="shared" si="51"/>
        <v>43977</v>
      </c>
      <c r="B36" s="93">
        <v>189975000</v>
      </c>
      <c r="C36" s="94">
        <v>1E-3</v>
      </c>
      <c r="D36" s="93">
        <f t="shared" si="0"/>
        <v>527.70833333333337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(AC36*AD36)/'[20]Input Sheet'!$B$11</f>
        <v>0</v>
      </c>
      <c r="AH36" s="93">
        <f>(AF36*AG36)/'[20]Input Sheet'!$B$11</f>
        <v>0</v>
      </c>
      <c r="AI36" s="124"/>
      <c r="AJ36" s="125"/>
      <c r="AK36" s="93">
        <f t="shared" si="9"/>
        <v>0</v>
      </c>
      <c r="AL36" s="124"/>
      <c r="AM36" s="125"/>
      <c r="AN36" s="93">
        <f t="shared" si="10"/>
        <v>0</v>
      </c>
      <c r="AO36" s="124"/>
      <c r="AP36" s="125"/>
      <c r="AQ36" s="93">
        <f t="shared" si="11"/>
        <v>0</v>
      </c>
      <c r="AR36" s="124"/>
      <c r="AS36" s="125"/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189975000</v>
      </c>
      <c r="EC36" s="126">
        <f t="shared" si="41"/>
        <v>189975000</v>
      </c>
      <c r="ED36" s="93">
        <f t="shared" si="42"/>
        <v>527.70833333333337</v>
      </c>
      <c r="EE36" s="94">
        <f t="shared" si="43"/>
        <v>1E-3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0</v>
      </c>
      <c r="EL36" s="126">
        <f t="shared" si="48"/>
        <v>0</v>
      </c>
      <c r="EM36" s="126">
        <f t="shared" si="49"/>
        <v>0</v>
      </c>
      <c r="EN36" s="94">
        <f t="shared" si="50"/>
        <v>0</v>
      </c>
      <c r="EP36" s="93"/>
    </row>
    <row r="37" spans="1:146" x14ac:dyDescent="0.25">
      <c r="A37" s="39">
        <f t="shared" si="51"/>
        <v>43978</v>
      </c>
      <c r="B37" s="93">
        <v>183275000</v>
      </c>
      <c r="C37" s="94">
        <v>8.9999999999999998E-4</v>
      </c>
      <c r="D37" s="93">
        <f t="shared" si="0"/>
        <v>458.1875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(AC37*AD37)/'[20]Input Sheet'!$B$11</f>
        <v>0</v>
      </c>
      <c r="AH37" s="93">
        <f>(AF37*AG37)/'[20]Input Sheet'!$B$11</f>
        <v>0</v>
      </c>
      <c r="AI37" s="124"/>
      <c r="AJ37" s="125"/>
      <c r="AK37" s="93">
        <f t="shared" si="9"/>
        <v>0</v>
      </c>
      <c r="AL37" s="124"/>
      <c r="AM37" s="125"/>
      <c r="AN37" s="93">
        <f t="shared" si="10"/>
        <v>0</v>
      </c>
      <c r="AO37" s="124"/>
      <c r="AP37" s="125"/>
      <c r="AQ37" s="93">
        <f t="shared" si="11"/>
        <v>0</v>
      </c>
      <c r="AR37" s="124"/>
      <c r="AS37" s="125"/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183275000</v>
      </c>
      <c r="EC37" s="126">
        <f t="shared" si="41"/>
        <v>183275000</v>
      </c>
      <c r="ED37" s="93">
        <f t="shared" si="42"/>
        <v>458.1875</v>
      </c>
      <c r="EE37" s="94">
        <f t="shared" si="43"/>
        <v>9.0000000000000008E-4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0</v>
      </c>
      <c r="EL37" s="126">
        <f t="shared" si="48"/>
        <v>0</v>
      </c>
      <c r="EM37" s="126">
        <f t="shared" si="49"/>
        <v>0</v>
      </c>
      <c r="EN37" s="94">
        <f t="shared" si="50"/>
        <v>0</v>
      </c>
      <c r="EP37" s="93"/>
    </row>
    <row r="38" spans="1:146" x14ac:dyDescent="0.25">
      <c r="A38" s="39">
        <f t="shared" si="51"/>
        <v>43979</v>
      </c>
      <c r="B38" s="93">
        <v>187875000</v>
      </c>
      <c r="C38" s="94">
        <v>8.9999999999999998E-4</v>
      </c>
      <c r="D38" s="93">
        <f t="shared" si="0"/>
        <v>469.6875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(AC38*AD38)/'[20]Input Sheet'!$B$11</f>
        <v>0</v>
      </c>
      <c r="AH38" s="93">
        <f>(AF38*AG38)/'[20]Input Sheet'!$B$11</f>
        <v>0</v>
      </c>
      <c r="AI38" s="124"/>
      <c r="AJ38" s="125"/>
      <c r="AK38" s="93">
        <f t="shared" si="9"/>
        <v>0</v>
      </c>
      <c r="AL38" s="124"/>
      <c r="AM38" s="125"/>
      <c r="AN38" s="93">
        <f t="shared" si="10"/>
        <v>0</v>
      </c>
      <c r="AO38" s="124"/>
      <c r="AP38" s="125"/>
      <c r="AQ38" s="93">
        <f t="shared" si="11"/>
        <v>0</v>
      </c>
      <c r="AR38" s="124"/>
      <c r="AS38" s="125"/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187875000</v>
      </c>
      <c r="EC38" s="126">
        <f t="shared" si="41"/>
        <v>187875000</v>
      </c>
      <c r="ED38" s="93">
        <f t="shared" si="42"/>
        <v>469.6875</v>
      </c>
      <c r="EE38" s="94">
        <f t="shared" si="43"/>
        <v>9.0000000000000008E-4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0</v>
      </c>
      <c r="EL38" s="126">
        <f t="shared" si="48"/>
        <v>0</v>
      </c>
      <c r="EM38" s="126">
        <f t="shared" si="49"/>
        <v>0</v>
      </c>
      <c r="EN38" s="94">
        <f t="shared" si="50"/>
        <v>0</v>
      </c>
      <c r="EP38" s="93"/>
    </row>
    <row r="39" spans="1:146" x14ac:dyDescent="0.25">
      <c r="A39" s="39">
        <f t="shared" si="51"/>
        <v>43980</v>
      </c>
      <c r="B39" s="93">
        <v>198650000</v>
      </c>
      <c r="C39" s="94">
        <v>1.1000000000000001E-3</v>
      </c>
      <c r="D39" s="93">
        <f t="shared" si="0"/>
        <v>606.98611111111109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(AC39*AD39)/'[20]Input Sheet'!$B$11</f>
        <v>0</v>
      </c>
      <c r="AH39" s="93">
        <f>(AF39*AG39)/'[20]Input Sheet'!$B$11</f>
        <v>0</v>
      </c>
      <c r="AI39" s="124"/>
      <c r="AJ39" s="125"/>
      <c r="AK39" s="93">
        <f t="shared" si="9"/>
        <v>0</v>
      </c>
      <c r="AL39" s="124"/>
      <c r="AM39" s="125"/>
      <c r="AN39" s="93">
        <f t="shared" si="10"/>
        <v>0</v>
      </c>
      <c r="AO39" s="124"/>
      <c r="AP39" s="125"/>
      <c r="AQ39" s="93">
        <f t="shared" si="11"/>
        <v>0</v>
      </c>
      <c r="AR39" s="124"/>
      <c r="AS39" s="125"/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198650000</v>
      </c>
      <c r="EC39" s="126">
        <f t="shared" si="41"/>
        <v>198650000</v>
      </c>
      <c r="ED39" s="93">
        <f t="shared" si="42"/>
        <v>606.98611111111109</v>
      </c>
      <c r="EE39" s="94">
        <f t="shared" si="43"/>
        <v>1.1000000000000001E-3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0</v>
      </c>
      <c r="EL39" s="126">
        <f t="shared" si="48"/>
        <v>0</v>
      </c>
      <c r="EM39" s="126">
        <f t="shared" si="49"/>
        <v>0</v>
      </c>
      <c r="EN39" s="94">
        <f t="shared" si="50"/>
        <v>0</v>
      </c>
      <c r="EP39" s="93"/>
    </row>
    <row r="40" spans="1:146" x14ac:dyDescent="0.25">
      <c r="A40" s="39">
        <f t="shared" si="51"/>
        <v>43981</v>
      </c>
      <c r="B40" s="93">
        <v>198650000</v>
      </c>
      <c r="C40" s="94">
        <v>1.1000000000000001E-3</v>
      </c>
      <c r="D40" s="93">
        <f t="shared" si="0"/>
        <v>606.98611111111109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(AC40*AD40)/'[20]Input Sheet'!$B$11</f>
        <v>0</v>
      </c>
      <c r="AH40" s="93">
        <f>(AF40*AG40)/'[20]Input Sheet'!$B$11</f>
        <v>0</v>
      </c>
      <c r="AI40" s="124"/>
      <c r="AJ40" s="125"/>
      <c r="AK40" s="93">
        <f t="shared" si="9"/>
        <v>0</v>
      </c>
      <c r="AL40" s="124"/>
      <c r="AM40" s="125"/>
      <c r="AN40" s="93">
        <f t="shared" si="10"/>
        <v>0</v>
      </c>
      <c r="AO40" s="124"/>
      <c r="AP40" s="125"/>
      <c r="AQ40" s="93">
        <f t="shared" si="11"/>
        <v>0</v>
      </c>
      <c r="AR40" s="124"/>
      <c r="AS40" s="125"/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198650000</v>
      </c>
      <c r="EC40" s="126">
        <f t="shared" si="41"/>
        <v>198650000</v>
      </c>
      <c r="ED40" s="93">
        <f t="shared" si="42"/>
        <v>606.98611111111109</v>
      </c>
      <c r="EE40" s="94">
        <f t="shared" si="43"/>
        <v>1.1000000000000001E-3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0</v>
      </c>
      <c r="EL40" s="126">
        <f t="shared" si="48"/>
        <v>0</v>
      </c>
      <c r="EM40" s="126">
        <f t="shared" si="49"/>
        <v>0</v>
      </c>
      <c r="EN40" s="94">
        <f t="shared" si="50"/>
        <v>0</v>
      </c>
      <c r="EP40" s="93"/>
    </row>
    <row r="41" spans="1:146" x14ac:dyDescent="0.25">
      <c r="A41" s="39">
        <f t="shared" si="51"/>
        <v>43982</v>
      </c>
      <c r="B41" s="93">
        <v>198650000</v>
      </c>
      <c r="C41" s="94">
        <v>1.1000000000000001E-3</v>
      </c>
      <c r="D41" s="93">
        <f t="shared" si="0"/>
        <v>606.98611111111109</v>
      </c>
      <c r="G41" s="93">
        <f t="shared" si="1"/>
        <v>0</v>
      </c>
      <c r="J41" s="93">
        <f t="shared" si="2"/>
        <v>0</v>
      </c>
      <c r="M41" s="93">
        <f t="shared" si="3"/>
        <v>0</v>
      </c>
      <c r="P41" s="93">
        <f t="shared" si="4"/>
        <v>0</v>
      </c>
      <c r="S41" s="93">
        <f t="shared" si="5"/>
        <v>0</v>
      </c>
      <c r="V41" s="93">
        <f t="shared" si="6"/>
        <v>0</v>
      </c>
      <c r="Y41" s="93">
        <f t="shared" si="7"/>
        <v>0</v>
      </c>
      <c r="AB41" s="93">
        <f t="shared" si="8"/>
        <v>0</v>
      </c>
      <c r="AE41" s="93">
        <f>(AC41*AD41)/'[20]Input Sheet'!$B$11</f>
        <v>0</v>
      </c>
      <c r="AH41" s="93">
        <f>(AF41*AG41)/'[20]Input Sheet'!$B$11</f>
        <v>0</v>
      </c>
      <c r="AI41" s="124"/>
      <c r="AJ41" s="125"/>
      <c r="AK41" s="93">
        <f t="shared" si="9"/>
        <v>0</v>
      </c>
      <c r="AL41" s="124"/>
      <c r="AM41" s="125"/>
      <c r="AN41" s="93">
        <f t="shared" si="10"/>
        <v>0</v>
      </c>
      <c r="AO41" s="124"/>
      <c r="AP41" s="125"/>
      <c r="AQ41" s="93">
        <f t="shared" si="11"/>
        <v>0</v>
      </c>
      <c r="AR41" s="124"/>
      <c r="AS41" s="125"/>
      <c r="AT41" s="93">
        <f t="shared" si="12"/>
        <v>0</v>
      </c>
      <c r="AW41" s="93">
        <f t="shared" si="13"/>
        <v>0</v>
      </c>
      <c r="AZ41" s="93">
        <f t="shared" si="14"/>
        <v>0</v>
      </c>
      <c r="BC41" s="93">
        <f t="shared" si="15"/>
        <v>0</v>
      </c>
      <c r="BF41" s="93">
        <f t="shared" si="16"/>
        <v>0</v>
      </c>
      <c r="BI41" s="93">
        <f t="shared" si="17"/>
        <v>0</v>
      </c>
      <c r="BL41" s="93">
        <f t="shared" si="18"/>
        <v>0</v>
      </c>
      <c r="BO41" s="93">
        <f t="shared" si="19"/>
        <v>0</v>
      </c>
      <c r="BR41" s="93">
        <f t="shared" si="20"/>
        <v>0</v>
      </c>
      <c r="BU41" s="93">
        <f t="shared" si="21"/>
        <v>0</v>
      </c>
      <c r="BX41" s="93">
        <f t="shared" si="22"/>
        <v>0</v>
      </c>
      <c r="CA41" s="93">
        <f t="shared" si="23"/>
        <v>0</v>
      </c>
      <c r="CD41" s="93">
        <f t="shared" si="24"/>
        <v>0</v>
      </c>
      <c r="CG41" s="93">
        <f t="shared" si="25"/>
        <v>0</v>
      </c>
      <c r="CJ41" s="93">
        <f t="shared" si="26"/>
        <v>0</v>
      </c>
      <c r="CM41" s="93">
        <f t="shared" si="27"/>
        <v>0</v>
      </c>
      <c r="CP41" s="93">
        <f t="shared" si="28"/>
        <v>0</v>
      </c>
      <c r="CS41" s="93">
        <f t="shared" si="29"/>
        <v>0</v>
      </c>
      <c r="CV41" s="93">
        <f t="shared" si="30"/>
        <v>0</v>
      </c>
      <c r="CY41" s="93">
        <f t="shared" si="31"/>
        <v>0</v>
      </c>
      <c r="DB41" s="93">
        <f t="shared" si="32"/>
        <v>0</v>
      </c>
      <c r="DE41" s="93">
        <f t="shared" si="33"/>
        <v>0</v>
      </c>
      <c r="DH41" s="93">
        <f t="shared" si="34"/>
        <v>0</v>
      </c>
      <c r="DK41" s="93">
        <f t="shared" si="35"/>
        <v>0</v>
      </c>
      <c r="DN41" s="93">
        <f t="shared" si="36"/>
        <v>0</v>
      </c>
      <c r="DQ41" s="93">
        <f t="shared" si="37"/>
        <v>0</v>
      </c>
      <c r="DT41" s="93">
        <f t="shared" si="38"/>
        <v>0</v>
      </c>
      <c r="DW41" s="93">
        <f t="shared" si="39"/>
        <v>0</v>
      </c>
      <c r="DZ41" s="91"/>
      <c r="EA41" s="93"/>
      <c r="EB41" s="126">
        <f t="shared" si="40"/>
        <v>198650000</v>
      </c>
      <c r="EC41" s="126">
        <f t="shared" si="41"/>
        <v>198650000</v>
      </c>
      <c r="ED41" s="93">
        <f t="shared" si="42"/>
        <v>606.98611111111109</v>
      </c>
      <c r="EE41" s="94">
        <f t="shared" si="43"/>
        <v>1.1000000000000001E-3</v>
      </c>
      <c r="EG41" s="126">
        <f t="shared" si="44"/>
        <v>0</v>
      </c>
      <c r="EH41" s="93">
        <f t="shared" si="45"/>
        <v>0</v>
      </c>
      <c r="EI41" s="94">
        <f t="shared" si="46"/>
        <v>0</v>
      </c>
      <c r="EJ41" s="94"/>
      <c r="EK41" s="126">
        <f t="shared" si="47"/>
        <v>0</v>
      </c>
      <c r="EL41" s="126">
        <f t="shared" si="48"/>
        <v>0</v>
      </c>
      <c r="EM41" s="126">
        <f t="shared" si="49"/>
        <v>0</v>
      </c>
      <c r="EN41" s="94">
        <f t="shared" si="50"/>
        <v>0</v>
      </c>
      <c r="EP41" s="93"/>
    </row>
    <row r="42" spans="1:146" x14ac:dyDescent="0.25">
      <c r="A42" s="127" t="s">
        <v>88</v>
      </c>
      <c r="D42" s="128">
        <f>SUM(D11:D41)</f>
        <v>20111.979166666664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0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0</v>
      </c>
      <c r="AH42" s="128">
        <f>SUM(AH11:AH41)</f>
        <v>0</v>
      </c>
      <c r="AK42" s="128">
        <f>SUM(AK11:AK41)</f>
        <v>0</v>
      </c>
      <c r="AN42" s="128">
        <f>SUM(AN11:AN41)</f>
        <v>0</v>
      </c>
      <c r="AQ42" s="128">
        <f>SUM(AQ11:AQ41)</f>
        <v>0</v>
      </c>
      <c r="AT42" s="128">
        <f>SUM(AT11:AT41)</f>
        <v>0</v>
      </c>
      <c r="AW42" s="128">
        <f>SUM(AW11:AW41)</f>
        <v>0</v>
      </c>
      <c r="AZ42" s="128">
        <f>SUM(AZ11:AZ41)</f>
        <v>0</v>
      </c>
      <c r="BC42" s="128">
        <f>SUM(BC11:BC41)</f>
        <v>0</v>
      </c>
      <c r="BF42" s="128">
        <f>SUM(BF11:BF41)</f>
        <v>0</v>
      </c>
      <c r="BI42" s="128">
        <f>SUM(BI11:BI41)</f>
        <v>0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20111.979166666664</v>
      </c>
      <c r="EE42" s="94"/>
      <c r="EG42" s="93"/>
      <c r="EH42" s="128">
        <f>SUM(EH11:EH41)</f>
        <v>0</v>
      </c>
      <c r="EI42" s="94"/>
      <c r="EJ42" s="94"/>
      <c r="EK42" s="93"/>
      <c r="EL42" s="93"/>
      <c r="EM42" s="128">
        <f>SUM(EM11:EM41)</f>
        <v>0</v>
      </c>
      <c r="EN42" s="94"/>
    </row>
    <row r="44" spans="1:146" x14ac:dyDescent="0.25">
      <c r="EM44" s="129"/>
    </row>
    <row r="46" spans="1:146" x14ac:dyDescent="0.25">
      <c r="EM46" s="93"/>
    </row>
    <row r="48" spans="1:146" x14ac:dyDescent="0.25">
      <c r="EM48" s="9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140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EB40</f>
        <v>143175000</v>
      </c>
      <c r="EI2" s="91">
        <f>EG40</f>
        <v>0</v>
      </c>
      <c r="EM2" s="91"/>
      <c r="EN2" s="91">
        <f>EK40</f>
        <v>78600000</v>
      </c>
      <c r="EO2" s="84">
        <v>0</v>
      </c>
      <c r="EP2" s="84">
        <f>EN2+EO2</f>
        <v>78600000</v>
      </c>
      <c r="EQ2" s="84">
        <f>EE2+EO2</f>
        <v>143175000</v>
      </c>
    </row>
    <row r="3" spans="1:147" ht="16.5" thickTop="1" x14ac:dyDescent="0.25">
      <c r="A3" s="92" t="s">
        <v>192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AVERAGE(EB11:EB40)</f>
        <v>169974166.66666666</v>
      </c>
      <c r="EI3" s="91">
        <f>AVERAGE(EG11:EG40)</f>
        <v>0</v>
      </c>
      <c r="EM3" s="91"/>
      <c r="EN3" s="91">
        <f>AVERAGE(EK11:EK40)</f>
        <v>2620000</v>
      </c>
    </row>
    <row r="4" spans="1:147" x14ac:dyDescent="0.25">
      <c r="D4" s="37"/>
      <c r="E4" s="99" t="s">
        <v>114</v>
      </c>
      <c r="F4" s="91"/>
      <c r="G4" s="100">
        <f>EQ2</f>
        <v>143175000</v>
      </c>
      <c r="AI4" s="101" t="s">
        <v>117</v>
      </c>
      <c r="EB4" s="37" t="s">
        <v>118</v>
      </c>
      <c r="EC4" s="37"/>
      <c r="ED4" s="98"/>
      <c r="EE4" s="98">
        <f>IF(EE3=0,0,360*(AVERAGE(ED11:ED40)/EE3))</f>
        <v>1.2563085566924385E-3</v>
      </c>
      <c r="EI4" s="98">
        <f>IF(EI3=0,0,360*(AVERAGE(EH11:EH40)/EI3))</f>
        <v>0</v>
      </c>
      <c r="EM4" s="98"/>
      <c r="EN4" s="98">
        <f>IF(EN3=0,0,360*(AVERAGE(EM11:EM40)/EN3))</f>
        <v>2.5000000000000001E-3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169974166.66666666</v>
      </c>
      <c r="AI5" s="104" t="s">
        <v>109</v>
      </c>
      <c r="EB5" s="105" t="s">
        <v>120</v>
      </c>
      <c r="EC5" s="105"/>
      <c r="ED5" s="91"/>
      <c r="EE5" s="91">
        <f>MAX(EB11:EB40)</f>
        <v>202575000</v>
      </c>
      <c r="EI5" s="91">
        <f>MAX(EG11:EG40)</f>
        <v>0</v>
      </c>
      <c r="EM5" s="91"/>
      <c r="EN5" s="91">
        <f>MAX(EK11:EK40)</f>
        <v>78600000</v>
      </c>
    </row>
    <row r="6" spans="1:147" x14ac:dyDescent="0.25">
      <c r="D6" s="37"/>
      <c r="E6" s="99" t="s">
        <v>118</v>
      </c>
      <c r="F6" s="91"/>
      <c r="G6" s="106">
        <f>EE4</f>
        <v>1.2563085566924385E-3</v>
      </c>
    </row>
    <row r="7" spans="1:147" ht="16.5" thickBot="1" x14ac:dyDescent="0.3">
      <c r="D7" s="37"/>
      <c r="E7" s="107" t="s">
        <v>120</v>
      </c>
      <c r="F7" s="108"/>
      <c r="G7" s="109">
        <f>EE5</f>
        <v>202575000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43983</v>
      </c>
      <c r="B11" s="93">
        <v>202575000</v>
      </c>
      <c r="C11" s="94">
        <v>3.0000000000000001E-3</v>
      </c>
      <c r="D11" s="93">
        <f>(B11*C11)/360</f>
        <v>1688.125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(AC11*AD11)/'[21]Input Sheet'!$B$11</f>
        <v>0</v>
      </c>
      <c r="AH11" s="93">
        <f>(AF11*AG11)/'[21]Input Sheet'!$B$11</f>
        <v>0</v>
      </c>
      <c r="AI11" s="124"/>
      <c r="AJ11" s="125"/>
      <c r="AK11" s="93">
        <f>(AI11*AJ11)/360</f>
        <v>0</v>
      </c>
      <c r="AL11" s="124"/>
      <c r="AM11" s="125"/>
      <c r="AN11" s="93">
        <f>(AL11*AM11)/360</f>
        <v>0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202575000</v>
      </c>
      <c r="EC11" s="126">
        <f>EB11-EK11+EL11</f>
        <v>202575000</v>
      </c>
      <c r="ED11" s="93">
        <f>D11+G11+J11+M11+P11+S11+V11+Y11+AB11+AE11+AH11+AK11+AN11+AQ11+AT11+AW11+AZ11+BC11+BF11+BI11+DW11+DT11+DQ11+DN11+DK11+DH11+DE11+DB11+CY11+CV11+CS11+CP11+CM11+CJ11+CG11+CD11+CA11+BX11+BU11+BR11+BO11+BL11</f>
        <v>1688.125</v>
      </c>
      <c r="EE11" s="94">
        <f>IF(EB11&lt;&gt;0,((ED11/EB11)*360),0)</f>
        <v>3.0000000000000001E-3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0</v>
      </c>
      <c r="EN11" s="94">
        <f>IF(EK11&lt;&gt;0,((EM11/EK11)*360),0)</f>
        <v>0</v>
      </c>
      <c r="EP11" s="93"/>
    </row>
    <row r="12" spans="1:147" x14ac:dyDescent="0.25">
      <c r="A12" s="39">
        <f>1+A11</f>
        <v>43984</v>
      </c>
      <c r="B12" s="93">
        <v>197600000</v>
      </c>
      <c r="C12" s="94">
        <v>1.2999999999999999E-3</v>
      </c>
      <c r="D12" s="93">
        <f t="shared" ref="D12:D40" si="0">(B12*C12)/360</f>
        <v>713.55555555555554</v>
      </c>
      <c r="G12" s="93">
        <f t="shared" ref="G12:G40" si="1">(E12*F12)/360</f>
        <v>0</v>
      </c>
      <c r="J12" s="93">
        <f t="shared" ref="J12:J40" si="2">(H12*I12)/360</f>
        <v>0</v>
      </c>
      <c r="M12" s="93">
        <f t="shared" ref="M12:M40" si="3">(K12*L12)/360</f>
        <v>0</v>
      </c>
      <c r="P12" s="93">
        <f t="shared" ref="P12:P40" si="4">(N12*O12)/360</f>
        <v>0</v>
      </c>
      <c r="S12" s="93">
        <f t="shared" ref="S12:S40" si="5">(Q12*R12)/360</f>
        <v>0</v>
      </c>
      <c r="V12" s="93">
        <f t="shared" ref="V12:V40" si="6">(T12*U12)/360</f>
        <v>0</v>
      </c>
      <c r="Y12" s="93">
        <f t="shared" ref="Y12:Y40" si="7">(W12*X12)/360</f>
        <v>0</v>
      </c>
      <c r="AB12" s="93">
        <f t="shared" ref="AB12:AB40" si="8">(Z12*AA12)/360</f>
        <v>0</v>
      </c>
      <c r="AE12" s="93">
        <f>(AC12*AD12)/'[21]Input Sheet'!$B$11</f>
        <v>0</v>
      </c>
      <c r="AH12" s="93">
        <f>(AF12*AG12)/'[21]Input Sheet'!$B$11</f>
        <v>0</v>
      </c>
      <c r="AI12" s="124"/>
      <c r="AJ12" s="125"/>
      <c r="AK12" s="93">
        <f t="shared" ref="AK12:AK40" si="9">(AI12*AJ12)/360</f>
        <v>0</v>
      </c>
      <c r="AL12" s="124"/>
      <c r="AM12" s="125"/>
      <c r="AN12" s="93">
        <f t="shared" ref="AN12:AN40" si="10">(AL12*AM12)/360</f>
        <v>0</v>
      </c>
      <c r="AO12" s="124"/>
      <c r="AP12" s="125"/>
      <c r="AQ12" s="93">
        <f t="shared" ref="AQ12:AQ40" si="11">(AO12*AP12)/360</f>
        <v>0</v>
      </c>
      <c r="AR12" s="124"/>
      <c r="AS12" s="125"/>
      <c r="AT12" s="93">
        <f t="shared" ref="AT12:AT40" si="12">(AR12*AS12)/360</f>
        <v>0</v>
      </c>
      <c r="AW12" s="93">
        <f t="shared" ref="AW12:AW40" si="13">(AU12*AV12)/360</f>
        <v>0</v>
      </c>
      <c r="AZ12" s="93">
        <f t="shared" ref="AZ12:AZ40" si="14">(AX12*AY12)/360</f>
        <v>0</v>
      </c>
      <c r="BC12" s="93">
        <f t="shared" ref="BC12:BC40" si="15">(BA12*BB12)/360</f>
        <v>0</v>
      </c>
      <c r="BF12" s="93">
        <f t="shared" ref="BF12:BF40" si="16">(BD12*BE12)/360</f>
        <v>0</v>
      </c>
      <c r="BI12" s="93">
        <f t="shared" ref="BI12:BI40" si="17">(BG12*BH12)/360</f>
        <v>0</v>
      </c>
      <c r="BL12" s="93">
        <f t="shared" ref="BL12:BL40" si="18">(BJ12*BK12)/360</f>
        <v>0</v>
      </c>
      <c r="BO12" s="93">
        <f t="shared" ref="BO12:BO40" si="19">(BM12*BN12)/360</f>
        <v>0</v>
      </c>
      <c r="BR12" s="93">
        <f t="shared" ref="BR12:BR40" si="20">(BP12*BQ12)/360</f>
        <v>0</v>
      </c>
      <c r="BU12" s="93">
        <f t="shared" ref="BU12:BU40" si="21">(BS12*BT12)/360</f>
        <v>0</v>
      </c>
      <c r="BX12" s="93">
        <f t="shared" ref="BX12:BX40" si="22">(BV12*BW12)/360</f>
        <v>0</v>
      </c>
      <c r="CA12" s="93">
        <f t="shared" ref="CA12:CA40" si="23">(BY12*BZ12)/360</f>
        <v>0</v>
      </c>
      <c r="CD12" s="93">
        <f t="shared" ref="CD12:CD40" si="24">(CB12*CC12)/360</f>
        <v>0</v>
      </c>
      <c r="CG12" s="93">
        <f t="shared" ref="CG12:CG40" si="25">(CE12*CF12)/360</f>
        <v>0</v>
      </c>
      <c r="CJ12" s="93">
        <f t="shared" ref="CJ12:CJ40" si="26">(CH12*CI12)/360</f>
        <v>0</v>
      </c>
      <c r="CM12" s="93">
        <f t="shared" ref="CM12:CM40" si="27">(CK12*CL12)/360</f>
        <v>0</v>
      </c>
      <c r="CP12" s="93">
        <f t="shared" ref="CP12:CP40" si="28">(CN12*CO12)/360</f>
        <v>0</v>
      </c>
      <c r="CS12" s="93">
        <f t="shared" ref="CS12:CS40" si="29">(CQ12*CR12)/360</f>
        <v>0</v>
      </c>
      <c r="CV12" s="93">
        <f t="shared" ref="CV12:CV40" si="30">(CT12*CU12)/360</f>
        <v>0</v>
      </c>
      <c r="CY12" s="93">
        <f t="shared" ref="CY12:CY40" si="31">(CW12*CX12)/360</f>
        <v>0</v>
      </c>
      <c r="DB12" s="93">
        <f t="shared" ref="DB12:DB40" si="32">(CZ12*DA12)/360</f>
        <v>0</v>
      </c>
      <c r="DE12" s="93">
        <f t="shared" ref="DE12:DE40" si="33">(DC12*DD12)/360</f>
        <v>0</v>
      </c>
      <c r="DH12" s="93">
        <f t="shared" ref="DH12:DH40" si="34">(DF12*DG12)/360</f>
        <v>0</v>
      </c>
      <c r="DK12" s="93">
        <f t="shared" ref="DK12:DK40" si="35">(DI12*DJ12)/360</f>
        <v>0</v>
      </c>
      <c r="DN12" s="93">
        <f t="shared" ref="DN12:DN40" si="36">(DL12*DM12)/360</f>
        <v>0</v>
      </c>
      <c r="DQ12" s="93">
        <f t="shared" ref="DQ12:DQ40" si="37">(DO12*DP12)/360</f>
        <v>0</v>
      </c>
      <c r="DT12" s="93">
        <f t="shared" ref="DT12:DT40" si="38">(DR12*DS12)/360</f>
        <v>0</v>
      </c>
      <c r="DW12" s="93">
        <f t="shared" ref="DW12:DW40" si="39">(DU12*DV12)/360</f>
        <v>0</v>
      </c>
      <c r="DZ12" s="93"/>
      <c r="EA12" s="93"/>
      <c r="EB12" s="126">
        <f t="shared" ref="EB12:EB40" si="40">B12+E12+H12+K12+N12+Q12+T12+W12+Z12+AC12+AF12+AL12+AO12+AR12+AU12+AX12+BA12+BD12+BG12+DU12+AI12+DR12+DO12+DL12+DI12+DF12+DC12+CZ12+CW12+CT12+CQ12+CN12+CK12+CH12+CE12+CB12+BY12+BV12+BS12+BP12+BM12+BJ12</f>
        <v>197600000</v>
      </c>
      <c r="EC12" s="126">
        <f t="shared" ref="EC12:EC40" si="41">EB12-EK12+EL12</f>
        <v>197600000</v>
      </c>
      <c r="ED12" s="93">
        <f t="shared" ref="ED12:ED40" si="42">D12+G12+J12+M12+P12+S12+V12+Y12+AB12+AE12+AH12+AK12+AN12+AQ12+AT12+AW12+AZ12+BC12+BF12+BI12+DW12+DT12+DQ12+DN12+DK12+DH12+DE12+DB12+CY12+CV12+CS12+CP12+CM12+CJ12+CG12+CD12+CA12+BX12+BU12+BR12+BO12+BL12</f>
        <v>713.55555555555554</v>
      </c>
      <c r="EE12" s="94">
        <f t="shared" ref="EE12:EE40" si="43">IF(EB12&lt;&gt;0,((ED12/EB12)*360),0)</f>
        <v>1.2999999999999999E-3</v>
      </c>
      <c r="EG12" s="126">
        <f t="shared" ref="EG12:EG40" si="44">Q12+T12+W12+Z12+AC12+AF12</f>
        <v>0</v>
      </c>
      <c r="EH12" s="93">
        <f t="shared" ref="EH12:EH40" si="45">S12+V12+Y12+AB12+AE12+AH12</f>
        <v>0</v>
      </c>
      <c r="EI12" s="94">
        <f t="shared" ref="EI12:EI40" si="46">IF(EG12&lt;&gt;0,((EH12/EG12)*360),0)</f>
        <v>0</v>
      </c>
      <c r="EJ12" s="94"/>
      <c r="EK12" s="126">
        <f t="shared" ref="EK12:EK40" si="47">DR12+DL12+DI12+DF12+DC12+CZ12+CW12+CT12+CQ12+CN12+CK12+CH12+CE12+CB12+BY12+BV12+BS12+BP12+BM12+BJ12+BG12+BD12+BA12+AX12+AU12+AR12+AO12+AL12+AI12+DO12</f>
        <v>0</v>
      </c>
      <c r="EL12" s="126">
        <f t="shared" ref="EL12:EL40" si="48">DX12</f>
        <v>0</v>
      </c>
      <c r="EM12" s="126">
        <f t="shared" ref="EM12:EM40" si="49">DT12+DQ12+DN12+DK12+DH12+DE12+DB12+CY12+CV12+CS12+CP12+CM12+CJ12+CG12+CD12+CA12+BX12+BU12+BR12+BO12+BL12+BI12+BF12+BC12+AZ12+AW12+AT12+AQ12+AN12+AK12</f>
        <v>0</v>
      </c>
      <c r="EN12" s="94">
        <f t="shared" ref="EN12:EN40" si="50">IF(EK12&lt;&gt;0,((EM12/EK12)*360),0)</f>
        <v>0</v>
      </c>
      <c r="EP12" s="93"/>
    </row>
    <row r="13" spans="1:147" x14ac:dyDescent="0.25">
      <c r="A13" s="39">
        <f t="shared" ref="A13:A40" si="51">1+A12</f>
        <v>43985</v>
      </c>
      <c r="B13" s="93">
        <v>192575000</v>
      </c>
      <c r="C13" s="94">
        <v>1E-3</v>
      </c>
      <c r="D13" s="93">
        <f t="shared" si="0"/>
        <v>534.93055555555554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(AC13*AD13)/'[21]Input Sheet'!$B$11</f>
        <v>0</v>
      </c>
      <c r="AH13" s="93">
        <f>(AF13*AG13)/'[21]Input Sheet'!$B$11</f>
        <v>0</v>
      </c>
      <c r="AI13" s="124"/>
      <c r="AJ13" s="125"/>
      <c r="AK13" s="93">
        <f t="shared" si="9"/>
        <v>0</v>
      </c>
      <c r="AL13" s="124"/>
      <c r="AM13" s="125"/>
      <c r="AN13" s="93">
        <f t="shared" si="10"/>
        <v>0</v>
      </c>
      <c r="AO13" s="124"/>
      <c r="AP13" s="125"/>
      <c r="AQ13" s="93">
        <f t="shared" si="11"/>
        <v>0</v>
      </c>
      <c r="AR13" s="124"/>
      <c r="AS13" s="125"/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192575000</v>
      </c>
      <c r="EC13" s="126">
        <f t="shared" si="41"/>
        <v>192575000</v>
      </c>
      <c r="ED13" s="93">
        <f t="shared" si="42"/>
        <v>534.93055555555554</v>
      </c>
      <c r="EE13" s="94">
        <f t="shared" si="43"/>
        <v>1E-3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0</v>
      </c>
      <c r="EL13" s="126">
        <f t="shared" si="48"/>
        <v>0</v>
      </c>
      <c r="EM13" s="126">
        <f t="shared" si="49"/>
        <v>0</v>
      </c>
      <c r="EN13" s="94">
        <f t="shared" si="50"/>
        <v>0</v>
      </c>
      <c r="EP13" s="93"/>
    </row>
    <row r="14" spans="1:147" x14ac:dyDescent="0.25">
      <c r="A14" s="39">
        <f t="shared" si="51"/>
        <v>43986</v>
      </c>
      <c r="B14" s="93">
        <v>190850000</v>
      </c>
      <c r="C14" s="94">
        <v>8.9999999999999998E-4</v>
      </c>
      <c r="D14" s="93">
        <f t="shared" si="0"/>
        <v>477.125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(AC14*AD14)/'[21]Input Sheet'!$B$11</f>
        <v>0</v>
      </c>
      <c r="AH14" s="93">
        <f>(AF14*AG14)/'[21]Input Sheet'!$B$11</f>
        <v>0</v>
      </c>
      <c r="AI14" s="124"/>
      <c r="AJ14" s="125"/>
      <c r="AK14" s="93">
        <f t="shared" si="9"/>
        <v>0</v>
      </c>
      <c r="AL14" s="124"/>
      <c r="AM14" s="125"/>
      <c r="AN14" s="93">
        <f t="shared" si="10"/>
        <v>0</v>
      </c>
      <c r="AO14" s="124"/>
      <c r="AP14" s="125"/>
      <c r="AQ14" s="93">
        <f t="shared" si="11"/>
        <v>0</v>
      </c>
      <c r="AR14" s="124"/>
      <c r="AS14" s="125"/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190850000</v>
      </c>
      <c r="EC14" s="126">
        <f t="shared" si="41"/>
        <v>190850000</v>
      </c>
      <c r="ED14" s="93">
        <f t="shared" si="42"/>
        <v>477.125</v>
      </c>
      <c r="EE14" s="94">
        <f t="shared" si="43"/>
        <v>9.0000000000000008E-4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0</v>
      </c>
      <c r="EL14" s="126">
        <f t="shared" si="48"/>
        <v>0</v>
      </c>
      <c r="EM14" s="126">
        <f t="shared" si="49"/>
        <v>0</v>
      </c>
      <c r="EN14" s="94">
        <f t="shared" si="50"/>
        <v>0</v>
      </c>
      <c r="EP14" s="93"/>
    </row>
    <row r="15" spans="1:147" x14ac:dyDescent="0.25">
      <c r="A15" s="39">
        <f t="shared" si="51"/>
        <v>43987</v>
      </c>
      <c r="B15" s="93">
        <v>194725000</v>
      </c>
      <c r="C15" s="94">
        <v>1E-3</v>
      </c>
      <c r="D15" s="93">
        <f t="shared" si="0"/>
        <v>540.90277777777783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(AC15*AD15)/'[21]Input Sheet'!$B$11</f>
        <v>0</v>
      </c>
      <c r="AH15" s="93">
        <f>(AF15*AG15)/'[21]Input Sheet'!$B$11</f>
        <v>0</v>
      </c>
      <c r="AI15" s="124"/>
      <c r="AJ15" s="125"/>
      <c r="AK15" s="93">
        <f t="shared" si="9"/>
        <v>0</v>
      </c>
      <c r="AL15" s="124"/>
      <c r="AM15" s="125"/>
      <c r="AN15" s="93">
        <f t="shared" si="10"/>
        <v>0</v>
      </c>
      <c r="AO15" s="124"/>
      <c r="AP15" s="125"/>
      <c r="AQ15" s="93">
        <f t="shared" si="11"/>
        <v>0</v>
      </c>
      <c r="AR15" s="124"/>
      <c r="AS15" s="125"/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194725000</v>
      </c>
      <c r="EC15" s="126">
        <f t="shared" si="41"/>
        <v>194725000</v>
      </c>
      <c r="ED15" s="93">
        <f t="shared" si="42"/>
        <v>540.90277777777783</v>
      </c>
      <c r="EE15" s="94">
        <f t="shared" si="43"/>
        <v>1E-3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0</v>
      </c>
      <c r="EL15" s="126">
        <f t="shared" si="48"/>
        <v>0</v>
      </c>
      <c r="EM15" s="126">
        <f t="shared" si="49"/>
        <v>0</v>
      </c>
      <c r="EN15" s="94">
        <f t="shared" si="50"/>
        <v>0</v>
      </c>
      <c r="EP15" s="93"/>
    </row>
    <row r="16" spans="1:147" x14ac:dyDescent="0.25">
      <c r="A16" s="39">
        <f t="shared" si="51"/>
        <v>43988</v>
      </c>
      <c r="B16" s="93">
        <v>194725000</v>
      </c>
      <c r="C16" s="94">
        <v>1E-3</v>
      </c>
      <c r="D16" s="93">
        <f t="shared" si="0"/>
        <v>540.90277777777783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(AC16*AD16)/'[21]Input Sheet'!$B$11</f>
        <v>0</v>
      </c>
      <c r="AH16" s="93">
        <f>(AF16*AG16)/'[21]Input Sheet'!$B$11</f>
        <v>0</v>
      </c>
      <c r="AI16" s="124"/>
      <c r="AJ16" s="125"/>
      <c r="AK16" s="93">
        <f t="shared" si="9"/>
        <v>0</v>
      </c>
      <c r="AL16" s="124"/>
      <c r="AM16" s="125"/>
      <c r="AN16" s="93">
        <f t="shared" si="10"/>
        <v>0</v>
      </c>
      <c r="AO16" s="124"/>
      <c r="AP16" s="125"/>
      <c r="AQ16" s="93">
        <f t="shared" si="11"/>
        <v>0</v>
      </c>
      <c r="AR16" s="124"/>
      <c r="AS16" s="125"/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194725000</v>
      </c>
      <c r="EC16" s="126">
        <f t="shared" si="41"/>
        <v>194725000</v>
      </c>
      <c r="ED16" s="93">
        <f t="shared" si="42"/>
        <v>540.90277777777783</v>
      </c>
      <c r="EE16" s="94">
        <f t="shared" si="43"/>
        <v>1E-3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0</v>
      </c>
      <c r="EL16" s="126">
        <f t="shared" si="48"/>
        <v>0</v>
      </c>
      <c r="EM16" s="126">
        <f t="shared" si="49"/>
        <v>0</v>
      </c>
      <c r="EN16" s="94">
        <f t="shared" si="50"/>
        <v>0</v>
      </c>
      <c r="EP16" s="93"/>
    </row>
    <row r="17" spans="1:146" x14ac:dyDescent="0.25">
      <c r="A17" s="39">
        <f t="shared" si="51"/>
        <v>43989</v>
      </c>
      <c r="B17" s="93">
        <v>194725000</v>
      </c>
      <c r="C17" s="94">
        <v>1E-3</v>
      </c>
      <c r="D17" s="93">
        <f t="shared" si="0"/>
        <v>540.90277777777783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(AC17*AD17)/'[21]Input Sheet'!$B$11</f>
        <v>0</v>
      </c>
      <c r="AH17" s="93">
        <f>(AF17*AG17)/'[21]Input Sheet'!$B$11</f>
        <v>0</v>
      </c>
      <c r="AI17" s="124"/>
      <c r="AJ17" s="125"/>
      <c r="AK17" s="93">
        <f t="shared" si="9"/>
        <v>0</v>
      </c>
      <c r="AL17" s="124"/>
      <c r="AM17" s="125"/>
      <c r="AN17" s="93">
        <f t="shared" si="10"/>
        <v>0</v>
      </c>
      <c r="AO17" s="124"/>
      <c r="AP17" s="125"/>
      <c r="AQ17" s="93">
        <f t="shared" si="11"/>
        <v>0</v>
      </c>
      <c r="AR17" s="124"/>
      <c r="AS17" s="125"/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194725000</v>
      </c>
      <c r="EC17" s="126">
        <f t="shared" si="41"/>
        <v>194725000</v>
      </c>
      <c r="ED17" s="93">
        <f t="shared" si="42"/>
        <v>540.90277777777783</v>
      </c>
      <c r="EE17" s="94">
        <f t="shared" si="43"/>
        <v>1E-3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0</v>
      </c>
      <c r="EL17" s="126">
        <f t="shared" si="48"/>
        <v>0</v>
      </c>
      <c r="EM17" s="126">
        <f t="shared" si="49"/>
        <v>0</v>
      </c>
      <c r="EN17" s="94">
        <f t="shared" si="50"/>
        <v>0</v>
      </c>
      <c r="EP17" s="93"/>
    </row>
    <row r="18" spans="1:146" x14ac:dyDescent="0.25">
      <c r="A18" s="39">
        <f t="shared" si="51"/>
        <v>43990</v>
      </c>
      <c r="B18" s="93">
        <v>197400000</v>
      </c>
      <c r="C18" s="94">
        <v>1E-3</v>
      </c>
      <c r="D18" s="93">
        <f t="shared" si="0"/>
        <v>548.33333333333337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(AC18*AD18)/'[21]Input Sheet'!$B$11</f>
        <v>0</v>
      </c>
      <c r="AH18" s="93">
        <f>(AF18*AG18)/'[21]Input Sheet'!$B$11</f>
        <v>0</v>
      </c>
      <c r="AI18" s="124"/>
      <c r="AJ18" s="125"/>
      <c r="AK18" s="93">
        <f t="shared" si="9"/>
        <v>0</v>
      </c>
      <c r="AL18" s="124"/>
      <c r="AM18" s="125"/>
      <c r="AN18" s="93">
        <f t="shared" si="10"/>
        <v>0</v>
      </c>
      <c r="AO18" s="124"/>
      <c r="AP18" s="125"/>
      <c r="AQ18" s="93">
        <f t="shared" si="11"/>
        <v>0</v>
      </c>
      <c r="AR18" s="124"/>
      <c r="AS18" s="125"/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197400000</v>
      </c>
      <c r="EC18" s="126">
        <f t="shared" si="41"/>
        <v>197400000</v>
      </c>
      <c r="ED18" s="93">
        <f t="shared" si="42"/>
        <v>548.33333333333337</v>
      </c>
      <c r="EE18" s="94">
        <f t="shared" si="43"/>
        <v>1E-3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0</v>
      </c>
      <c r="EL18" s="126">
        <f t="shared" si="48"/>
        <v>0</v>
      </c>
      <c r="EM18" s="126">
        <f t="shared" si="49"/>
        <v>0</v>
      </c>
      <c r="EN18" s="94">
        <f t="shared" si="50"/>
        <v>0</v>
      </c>
      <c r="EP18" s="93"/>
    </row>
    <row r="19" spans="1:146" x14ac:dyDescent="0.25">
      <c r="A19" s="39">
        <f t="shared" si="51"/>
        <v>43991</v>
      </c>
      <c r="B19" s="93">
        <v>186275000</v>
      </c>
      <c r="C19" s="94">
        <v>1.1000000000000001E-3</v>
      </c>
      <c r="D19" s="93">
        <f t="shared" si="0"/>
        <v>569.17361111111109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(AC19*AD19)/'[21]Input Sheet'!$B$11</f>
        <v>0</v>
      </c>
      <c r="AH19" s="93">
        <f>(AF19*AG19)/'[21]Input Sheet'!$B$11</f>
        <v>0</v>
      </c>
      <c r="AI19" s="124"/>
      <c r="AJ19" s="125"/>
      <c r="AK19" s="93">
        <f t="shared" si="9"/>
        <v>0</v>
      </c>
      <c r="AL19" s="124"/>
      <c r="AM19" s="125"/>
      <c r="AN19" s="93">
        <f t="shared" si="10"/>
        <v>0</v>
      </c>
      <c r="AO19" s="124"/>
      <c r="AP19" s="125"/>
      <c r="AQ19" s="93">
        <f t="shared" si="11"/>
        <v>0</v>
      </c>
      <c r="AR19" s="124"/>
      <c r="AS19" s="125"/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186275000</v>
      </c>
      <c r="EC19" s="126">
        <f t="shared" si="41"/>
        <v>186275000</v>
      </c>
      <c r="ED19" s="93">
        <f t="shared" si="42"/>
        <v>569.17361111111109</v>
      </c>
      <c r="EE19" s="94">
        <f t="shared" si="43"/>
        <v>1.1000000000000001E-3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0</v>
      </c>
      <c r="EL19" s="126">
        <f t="shared" si="48"/>
        <v>0</v>
      </c>
      <c r="EM19" s="126">
        <f t="shared" si="49"/>
        <v>0</v>
      </c>
      <c r="EN19" s="94">
        <f t="shared" si="50"/>
        <v>0</v>
      </c>
      <c r="EP19" s="93"/>
    </row>
    <row r="20" spans="1:146" x14ac:dyDescent="0.25">
      <c r="A20" s="39">
        <f t="shared" si="51"/>
        <v>43992</v>
      </c>
      <c r="B20" s="93">
        <v>181725000</v>
      </c>
      <c r="C20" s="94">
        <v>1.1000000000000001E-3</v>
      </c>
      <c r="D20" s="93">
        <f t="shared" si="0"/>
        <v>555.27083333333337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(AC20*AD20)/'[21]Input Sheet'!$B$11</f>
        <v>0</v>
      </c>
      <c r="AH20" s="93">
        <f>(AF20*AG20)/'[21]Input Sheet'!$B$11</f>
        <v>0</v>
      </c>
      <c r="AI20" s="124"/>
      <c r="AJ20" s="125"/>
      <c r="AK20" s="93">
        <f t="shared" si="9"/>
        <v>0</v>
      </c>
      <c r="AL20" s="124"/>
      <c r="AM20" s="125"/>
      <c r="AN20" s="93">
        <f t="shared" si="10"/>
        <v>0</v>
      </c>
      <c r="AO20" s="124"/>
      <c r="AP20" s="125"/>
      <c r="AQ20" s="93">
        <f t="shared" si="11"/>
        <v>0</v>
      </c>
      <c r="AR20" s="124"/>
      <c r="AS20" s="125"/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181725000</v>
      </c>
      <c r="EC20" s="126">
        <f t="shared" si="41"/>
        <v>181725000</v>
      </c>
      <c r="ED20" s="93">
        <f t="shared" si="42"/>
        <v>555.27083333333337</v>
      </c>
      <c r="EE20" s="94">
        <f t="shared" si="43"/>
        <v>1.1000000000000001E-3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0</v>
      </c>
      <c r="EL20" s="126">
        <f t="shared" si="48"/>
        <v>0</v>
      </c>
      <c r="EM20" s="126">
        <f t="shared" si="49"/>
        <v>0</v>
      </c>
      <c r="EN20" s="94">
        <f t="shared" si="50"/>
        <v>0</v>
      </c>
      <c r="EP20" s="93"/>
    </row>
    <row r="21" spans="1:146" x14ac:dyDescent="0.25">
      <c r="A21" s="39">
        <f t="shared" si="51"/>
        <v>43993</v>
      </c>
      <c r="B21" s="93">
        <v>183700000</v>
      </c>
      <c r="C21" s="94">
        <v>1.1999999999999999E-3</v>
      </c>
      <c r="D21" s="93">
        <f t="shared" si="0"/>
        <v>612.33333333333326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(AC21*AD21)/'[21]Input Sheet'!$B$11</f>
        <v>0</v>
      </c>
      <c r="AH21" s="93">
        <f>(AF21*AG21)/'[21]Input Sheet'!$B$11</f>
        <v>0</v>
      </c>
      <c r="AI21" s="124"/>
      <c r="AJ21" s="125"/>
      <c r="AK21" s="93">
        <f t="shared" si="9"/>
        <v>0</v>
      </c>
      <c r="AL21" s="124"/>
      <c r="AM21" s="125"/>
      <c r="AN21" s="93">
        <f t="shared" si="10"/>
        <v>0</v>
      </c>
      <c r="AO21" s="124"/>
      <c r="AP21" s="125"/>
      <c r="AQ21" s="93">
        <f t="shared" si="11"/>
        <v>0</v>
      </c>
      <c r="AR21" s="124"/>
      <c r="AS21" s="125"/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183700000</v>
      </c>
      <c r="EC21" s="126">
        <f t="shared" si="41"/>
        <v>183700000</v>
      </c>
      <c r="ED21" s="93">
        <f t="shared" si="42"/>
        <v>612.33333333333326</v>
      </c>
      <c r="EE21" s="94">
        <f t="shared" si="43"/>
        <v>1.1999999999999999E-3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0</v>
      </c>
      <c r="EL21" s="126">
        <f t="shared" si="48"/>
        <v>0</v>
      </c>
      <c r="EM21" s="126">
        <f t="shared" si="49"/>
        <v>0</v>
      </c>
      <c r="EN21" s="94">
        <f t="shared" si="50"/>
        <v>0</v>
      </c>
      <c r="EP21" s="93"/>
    </row>
    <row r="22" spans="1:146" x14ac:dyDescent="0.25">
      <c r="A22" s="39">
        <f t="shared" si="51"/>
        <v>43994</v>
      </c>
      <c r="B22" s="93">
        <v>201025000</v>
      </c>
      <c r="C22" s="94">
        <v>1.2999999999999999E-3</v>
      </c>
      <c r="D22" s="93">
        <f t="shared" si="0"/>
        <v>725.92361111111109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(AC22*AD22)/'[21]Input Sheet'!$B$11</f>
        <v>0</v>
      </c>
      <c r="AH22" s="93">
        <f>(AF22*AG22)/'[21]Input Sheet'!$B$11</f>
        <v>0</v>
      </c>
      <c r="AI22" s="124"/>
      <c r="AJ22" s="125"/>
      <c r="AK22" s="93">
        <f t="shared" si="9"/>
        <v>0</v>
      </c>
      <c r="AL22" s="124"/>
      <c r="AM22" s="125"/>
      <c r="AN22" s="93">
        <f t="shared" si="10"/>
        <v>0</v>
      </c>
      <c r="AO22" s="124"/>
      <c r="AP22" s="125"/>
      <c r="AQ22" s="93">
        <f t="shared" si="11"/>
        <v>0</v>
      </c>
      <c r="AR22" s="124"/>
      <c r="AS22" s="125"/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201025000</v>
      </c>
      <c r="EC22" s="126">
        <f t="shared" si="41"/>
        <v>201025000</v>
      </c>
      <c r="ED22" s="93">
        <f t="shared" si="42"/>
        <v>725.92361111111109</v>
      </c>
      <c r="EE22" s="94">
        <f t="shared" si="43"/>
        <v>1.2999999999999999E-3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0</v>
      </c>
      <c r="EL22" s="126">
        <f t="shared" si="48"/>
        <v>0</v>
      </c>
      <c r="EM22" s="126">
        <f t="shared" si="49"/>
        <v>0</v>
      </c>
      <c r="EN22" s="94">
        <f t="shared" si="50"/>
        <v>0</v>
      </c>
      <c r="EP22" s="93"/>
    </row>
    <row r="23" spans="1:146" x14ac:dyDescent="0.25">
      <c r="A23" s="39">
        <f t="shared" si="51"/>
        <v>43995</v>
      </c>
      <c r="B23" s="93">
        <v>201025000</v>
      </c>
      <c r="C23" s="94">
        <v>1.2999999999999999E-3</v>
      </c>
      <c r="D23" s="93">
        <f t="shared" si="0"/>
        <v>725.92361111111109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(AC23*AD23)/'[21]Input Sheet'!$B$11</f>
        <v>0</v>
      </c>
      <c r="AH23" s="93">
        <f>(AF23*AG23)/'[21]Input Sheet'!$B$11</f>
        <v>0</v>
      </c>
      <c r="AI23" s="124"/>
      <c r="AJ23" s="125"/>
      <c r="AK23" s="93">
        <f t="shared" si="9"/>
        <v>0</v>
      </c>
      <c r="AL23" s="124"/>
      <c r="AM23" s="125"/>
      <c r="AN23" s="93">
        <f t="shared" si="10"/>
        <v>0</v>
      </c>
      <c r="AO23" s="124"/>
      <c r="AP23" s="125"/>
      <c r="AQ23" s="93">
        <f t="shared" si="11"/>
        <v>0</v>
      </c>
      <c r="AR23" s="124"/>
      <c r="AS23" s="125"/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201025000</v>
      </c>
      <c r="EC23" s="126">
        <f t="shared" si="41"/>
        <v>201025000</v>
      </c>
      <c r="ED23" s="93">
        <f t="shared" si="42"/>
        <v>725.92361111111109</v>
      </c>
      <c r="EE23" s="94">
        <f t="shared" si="43"/>
        <v>1.2999999999999999E-3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0</v>
      </c>
      <c r="EL23" s="126">
        <f t="shared" si="48"/>
        <v>0</v>
      </c>
      <c r="EM23" s="126">
        <f t="shared" si="49"/>
        <v>0</v>
      </c>
      <c r="EN23" s="94">
        <f t="shared" si="50"/>
        <v>0</v>
      </c>
      <c r="EP23" s="93"/>
    </row>
    <row r="24" spans="1:146" x14ac:dyDescent="0.25">
      <c r="A24" s="39">
        <f t="shared" si="51"/>
        <v>43996</v>
      </c>
      <c r="B24" s="93">
        <v>201025000</v>
      </c>
      <c r="C24" s="94">
        <v>1.2999999999999999E-3</v>
      </c>
      <c r="D24" s="93">
        <f t="shared" si="0"/>
        <v>725.92361111111109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(AC24*AD24)/'[21]Input Sheet'!$B$11</f>
        <v>0</v>
      </c>
      <c r="AH24" s="93">
        <f>(AF24*AG24)/'[21]Input Sheet'!$B$11</f>
        <v>0</v>
      </c>
      <c r="AI24" s="124"/>
      <c r="AJ24" s="125"/>
      <c r="AK24" s="93">
        <f t="shared" si="9"/>
        <v>0</v>
      </c>
      <c r="AL24" s="124"/>
      <c r="AM24" s="125"/>
      <c r="AN24" s="93">
        <f t="shared" si="10"/>
        <v>0</v>
      </c>
      <c r="AO24" s="124"/>
      <c r="AP24" s="125"/>
      <c r="AQ24" s="93">
        <f t="shared" si="11"/>
        <v>0</v>
      </c>
      <c r="AR24" s="124"/>
      <c r="AS24" s="125"/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201025000</v>
      </c>
      <c r="EC24" s="126">
        <f t="shared" si="41"/>
        <v>201025000</v>
      </c>
      <c r="ED24" s="93">
        <f t="shared" si="42"/>
        <v>725.92361111111109</v>
      </c>
      <c r="EE24" s="94">
        <f t="shared" si="43"/>
        <v>1.2999999999999999E-3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0</v>
      </c>
      <c r="EL24" s="126">
        <f t="shared" si="48"/>
        <v>0</v>
      </c>
      <c r="EM24" s="126">
        <f t="shared" si="49"/>
        <v>0</v>
      </c>
      <c r="EN24" s="94">
        <f t="shared" si="50"/>
        <v>0</v>
      </c>
      <c r="EP24" s="93"/>
    </row>
    <row r="25" spans="1:146" x14ac:dyDescent="0.25">
      <c r="A25" s="39">
        <f t="shared" si="51"/>
        <v>43997</v>
      </c>
      <c r="B25" s="93">
        <v>155800000</v>
      </c>
      <c r="C25" s="94">
        <v>1.1000000000000001E-3</v>
      </c>
      <c r="D25" s="93">
        <f t="shared" si="0"/>
        <v>476.05555555555554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(AC25*AD25)/'[21]Input Sheet'!$B$11</f>
        <v>0</v>
      </c>
      <c r="AH25" s="93">
        <f>(AF25*AG25)/'[21]Input Sheet'!$B$11</f>
        <v>0</v>
      </c>
      <c r="AI25" s="124"/>
      <c r="AJ25" s="125"/>
      <c r="AK25" s="93">
        <f t="shared" si="9"/>
        <v>0</v>
      </c>
      <c r="AL25" s="124"/>
      <c r="AM25" s="125"/>
      <c r="AN25" s="93">
        <f t="shared" si="10"/>
        <v>0</v>
      </c>
      <c r="AO25" s="124"/>
      <c r="AP25" s="125"/>
      <c r="AQ25" s="93">
        <f t="shared" si="11"/>
        <v>0</v>
      </c>
      <c r="AR25" s="124"/>
      <c r="AS25" s="125"/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155800000</v>
      </c>
      <c r="EC25" s="126">
        <f t="shared" si="41"/>
        <v>155800000</v>
      </c>
      <c r="ED25" s="93">
        <f t="shared" si="42"/>
        <v>476.05555555555554</v>
      </c>
      <c r="EE25" s="94">
        <f t="shared" si="43"/>
        <v>1.1000000000000001E-3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0</v>
      </c>
      <c r="EL25" s="126">
        <f t="shared" si="48"/>
        <v>0</v>
      </c>
      <c r="EM25" s="126">
        <f t="shared" si="49"/>
        <v>0</v>
      </c>
      <c r="EN25" s="94">
        <f t="shared" si="50"/>
        <v>0</v>
      </c>
      <c r="EP25" s="93"/>
    </row>
    <row r="26" spans="1:146" x14ac:dyDescent="0.25">
      <c r="A26" s="39">
        <f t="shared" si="51"/>
        <v>43998</v>
      </c>
      <c r="B26" s="93">
        <v>165700000</v>
      </c>
      <c r="C26" s="94">
        <v>1.1999999999999999E-3</v>
      </c>
      <c r="D26" s="93">
        <f t="shared" si="0"/>
        <v>552.33333333333326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(AC26*AD26)/'[21]Input Sheet'!$B$11</f>
        <v>0</v>
      </c>
      <c r="AH26" s="93">
        <f>(AF26*AG26)/'[21]Input Sheet'!$B$11</f>
        <v>0</v>
      </c>
      <c r="AI26" s="124"/>
      <c r="AJ26" s="125"/>
      <c r="AK26" s="93">
        <f t="shared" si="9"/>
        <v>0</v>
      </c>
      <c r="AL26" s="124"/>
      <c r="AM26" s="125"/>
      <c r="AN26" s="93">
        <f t="shared" si="10"/>
        <v>0</v>
      </c>
      <c r="AO26" s="124"/>
      <c r="AP26" s="125"/>
      <c r="AQ26" s="93">
        <f t="shared" si="11"/>
        <v>0</v>
      </c>
      <c r="AR26" s="124"/>
      <c r="AS26" s="125"/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165700000</v>
      </c>
      <c r="EC26" s="126">
        <f t="shared" si="41"/>
        <v>165700000</v>
      </c>
      <c r="ED26" s="93">
        <f t="shared" si="42"/>
        <v>552.33333333333326</v>
      </c>
      <c r="EE26" s="94">
        <f t="shared" si="43"/>
        <v>1.1999999999999999E-3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0</v>
      </c>
      <c r="EL26" s="126">
        <f t="shared" si="48"/>
        <v>0</v>
      </c>
      <c r="EM26" s="126">
        <f t="shared" si="49"/>
        <v>0</v>
      </c>
      <c r="EN26" s="94">
        <f t="shared" si="50"/>
        <v>0</v>
      </c>
      <c r="EP26" s="93"/>
    </row>
    <row r="27" spans="1:146" x14ac:dyDescent="0.25">
      <c r="A27" s="39">
        <f t="shared" si="51"/>
        <v>43999</v>
      </c>
      <c r="B27" s="93">
        <v>158275000</v>
      </c>
      <c r="C27" s="94">
        <v>1.2999999999999999E-3</v>
      </c>
      <c r="D27" s="93">
        <f t="shared" si="0"/>
        <v>571.54861111111109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(AC27*AD27)/'[21]Input Sheet'!$B$11</f>
        <v>0</v>
      </c>
      <c r="AH27" s="93">
        <f>(AF27*AG27)/'[21]Input Sheet'!$B$11</f>
        <v>0</v>
      </c>
      <c r="AI27" s="124"/>
      <c r="AJ27" s="125"/>
      <c r="AK27" s="93">
        <f t="shared" si="9"/>
        <v>0</v>
      </c>
      <c r="AL27" s="124"/>
      <c r="AM27" s="125"/>
      <c r="AN27" s="93">
        <f t="shared" si="10"/>
        <v>0</v>
      </c>
      <c r="AO27" s="124"/>
      <c r="AP27" s="125"/>
      <c r="AQ27" s="93">
        <f t="shared" si="11"/>
        <v>0</v>
      </c>
      <c r="AR27" s="124"/>
      <c r="AS27" s="125"/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158275000</v>
      </c>
      <c r="EC27" s="126">
        <f t="shared" si="41"/>
        <v>158275000</v>
      </c>
      <c r="ED27" s="93">
        <f t="shared" si="42"/>
        <v>571.54861111111109</v>
      </c>
      <c r="EE27" s="94">
        <f t="shared" si="43"/>
        <v>1.2999999999999999E-3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0</v>
      </c>
      <c r="EL27" s="126">
        <f t="shared" si="48"/>
        <v>0</v>
      </c>
      <c r="EM27" s="126">
        <f t="shared" si="49"/>
        <v>0</v>
      </c>
      <c r="EN27" s="94">
        <f t="shared" si="50"/>
        <v>0</v>
      </c>
      <c r="EP27" s="93"/>
    </row>
    <row r="28" spans="1:146" x14ac:dyDescent="0.25">
      <c r="A28" s="39">
        <f t="shared" si="51"/>
        <v>44000</v>
      </c>
      <c r="B28" s="93">
        <v>153875000</v>
      </c>
      <c r="C28" s="94">
        <v>1.2999999999999999E-3</v>
      </c>
      <c r="D28" s="93">
        <f t="shared" si="0"/>
        <v>555.65972222222217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(AC28*AD28)/'[21]Input Sheet'!$B$11</f>
        <v>0</v>
      </c>
      <c r="AH28" s="93">
        <f>(AF28*AG28)/'[21]Input Sheet'!$B$11</f>
        <v>0</v>
      </c>
      <c r="AI28" s="124"/>
      <c r="AJ28" s="125"/>
      <c r="AK28" s="93">
        <f t="shared" si="9"/>
        <v>0</v>
      </c>
      <c r="AL28" s="124"/>
      <c r="AM28" s="125"/>
      <c r="AN28" s="93">
        <f t="shared" si="10"/>
        <v>0</v>
      </c>
      <c r="AO28" s="124"/>
      <c r="AP28" s="125"/>
      <c r="AQ28" s="93">
        <f t="shared" si="11"/>
        <v>0</v>
      </c>
      <c r="AR28" s="124"/>
      <c r="AS28" s="125"/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153875000</v>
      </c>
      <c r="EC28" s="126">
        <f t="shared" si="41"/>
        <v>153875000</v>
      </c>
      <c r="ED28" s="93">
        <f t="shared" si="42"/>
        <v>555.65972222222217</v>
      </c>
      <c r="EE28" s="94">
        <f t="shared" si="43"/>
        <v>1.2999999999999997E-3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0</v>
      </c>
      <c r="EL28" s="126">
        <f t="shared" si="48"/>
        <v>0</v>
      </c>
      <c r="EM28" s="126">
        <f t="shared" si="49"/>
        <v>0</v>
      </c>
      <c r="EN28" s="94">
        <f t="shared" si="50"/>
        <v>0</v>
      </c>
      <c r="EP28" s="93"/>
    </row>
    <row r="29" spans="1:146" x14ac:dyDescent="0.25">
      <c r="A29" s="39">
        <f t="shared" si="51"/>
        <v>44001</v>
      </c>
      <c r="B29" s="93">
        <v>155750000</v>
      </c>
      <c r="C29" s="94">
        <v>1.4000000000000002E-3</v>
      </c>
      <c r="D29" s="93">
        <f t="shared" si="0"/>
        <v>605.69444444444457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(AC29*AD29)/'[21]Input Sheet'!$B$11</f>
        <v>0</v>
      </c>
      <c r="AH29" s="93">
        <f>(AF29*AG29)/'[21]Input Sheet'!$B$11</f>
        <v>0</v>
      </c>
      <c r="AI29" s="124"/>
      <c r="AJ29" s="125"/>
      <c r="AK29" s="93">
        <f t="shared" si="9"/>
        <v>0</v>
      </c>
      <c r="AL29" s="124"/>
      <c r="AM29" s="125"/>
      <c r="AN29" s="93">
        <f t="shared" si="10"/>
        <v>0</v>
      </c>
      <c r="AO29" s="124"/>
      <c r="AP29" s="125"/>
      <c r="AQ29" s="93">
        <f t="shared" si="11"/>
        <v>0</v>
      </c>
      <c r="AR29" s="124"/>
      <c r="AS29" s="125"/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155750000</v>
      </c>
      <c r="EC29" s="126">
        <f t="shared" si="41"/>
        <v>155750000</v>
      </c>
      <c r="ED29" s="93">
        <f t="shared" si="42"/>
        <v>605.69444444444457</v>
      </c>
      <c r="EE29" s="94">
        <f t="shared" si="43"/>
        <v>1.4000000000000002E-3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0</v>
      </c>
      <c r="EL29" s="126">
        <f t="shared" si="48"/>
        <v>0</v>
      </c>
      <c r="EM29" s="126">
        <f t="shared" si="49"/>
        <v>0</v>
      </c>
      <c r="EN29" s="94">
        <f t="shared" si="50"/>
        <v>0</v>
      </c>
      <c r="EP29" s="93"/>
    </row>
    <row r="30" spans="1:146" x14ac:dyDescent="0.25">
      <c r="A30" s="39">
        <f t="shared" si="51"/>
        <v>44002</v>
      </c>
      <c r="B30" s="93">
        <v>155750000</v>
      </c>
      <c r="C30" s="94">
        <v>1.4000000000000002E-3</v>
      </c>
      <c r="D30" s="93">
        <f t="shared" si="0"/>
        <v>605.69444444444457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(AC30*AD30)/'[21]Input Sheet'!$B$11</f>
        <v>0</v>
      </c>
      <c r="AH30" s="93">
        <f>(AF30*AG30)/'[21]Input Sheet'!$B$11</f>
        <v>0</v>
      </c>
      <c r="AI30" s="124"/>
      <c r="AJ30" s="125"/>
      <c r="AK30" s="93">
        <f t="shared" si="9"/>
        <v>0</v>
      </c>
      <c r="AL30" s="124"/>
      <c r="AM30" s="125"/>
      <c r="AN30" s="93">
        <f t="shared" si="10"/>
        <v>0</v>
      </c>
      <c r="AO30" s="124"/>
      <c r="AP30" s="125"/>
      <c r="AQ30" s="93">
        <f t="shared" si="11"/>
        <v>0</v>
      </c>
      <c r="AR30" s="124"/>
      <c r="AS30" s="125"/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155750000</v>
      </c>
      <c r="EC30" s="126">
        <f t="shared" si="41"/>
        <v>155750000</v>
      </c>
      <c r="ED30" s="93">
        <f t="shared" si="42"/>
        <v>605.69444444444457</v>
      </c>
      <c r="EE30" s="94">
        <f t="shared" si="43"/>
        <v>1.4000000000000002E-3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0</v>
      </c>
      <c r="EL30" s="126">
        <f t="shared" si="48"/>
        <v>0</v>
      </c>
      <c r="EM30" s="126">
        <f t="shared" si="49"/>
        <v>0</v>
      </c>
      <c r="EN30" s="94">
        <f t="shared" si="50"/>
        <v>0</v>
      </c>
      <c r="EP30" s="93"/>
    </row>
    <row r="31" spans="1:146" x14ac:dyDescent="0.25">
      <c r="A31" s="39">
        <f t="shared" si="51"/>
        <v>44003</v>
      </c>
      <c r="B31" s="93">
        <v>155750000</v>
      </c>
      <c r="C31" s="94">
        <v>1.4000000000000002E-3</v>
      </c>
      <c r="D31" s="93">
        <f t="shared" si="0"/>
        <v>605.69444444444457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(AC31*AD31)/'[21]Input Sheet'!$B$11</f>
        <v>0</v>
      </c>
      <c r="AH31" s="93">
        <f>(AF31*AG31)/'[21]Input Sheet'!$B$11</f>
        <v>0</v>
      </c>
      <c r="AI31" s="124"/>
      <c r="AJ31" s="125"/>
      <c r="AK31" s="93">
        <f t="shared" si="9"/>
        <v>0</v>
      </c>
      <c r="AL31" s="124"/>
      <c r="AM31" s="125"/>
      <c r="AN31" s="93">
        <f t="shared" si="10"/>
        <v>0</v>
      </c>
      <c r="AO31" s="124"/>
      <c r="AP31" s="125"/>
      <c r="AQ31" s="93">
        <f t="shared" si="11"/>
        <v>0</v>
      </c>
      <c r="AR31" s="124"/>
      <c r="AS31" s="125"/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155750000</v>
      </c>
      <c r="EC31" s="126">
        <f t="shared" si="41"/>
        <v>155750000</v>
      </c>
      <c r="ED31" s="93">
        <f t="shared" si="42"/>
        <v>605.69444444444457</v>
      </c>
      <c r="EE31" s="94">
        <f t="shared" si="43"/>
        <v>1.4000000000000002E-3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0</v>
      </c>
      <c r="EL31" s="126">
        <f t="shared" si="48"/>
        <v>0</v>
      </c>
      <c r="EM31" s="126">
        <f t="shared" si="49"/>
        <v>0</v>
      </c>
      <c r="EN31" s="94">
        <f t="shared" si="50"/>
        <v>0</v>
      </c>
      <c r="EP31" s="93"/>
    </row>
    <row r="32" spans="1:146" x14ac:dyDescent="0.25">
      <c r="A32" s="39">
        <f t="shared" si="51"/>
        <v>44004</v>
      </c>
      <c r="B32" s="93">
        <v>155300000</v>
      </c>
      <c r="C32" s="94">
        <v>1.1999999999999999E-3</v>
      </c>
      <c r="D32" s="93">
        <f t="shared" si="0"/>
        <v>517.66666666666663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(AC32*AD32)/'[21]Input Sheet'!$B$11</f>
        <v>0</v>
      </c>
      <c r="AH32" s="93">
        <f>(AF32*AG32)/'[21]Input Sheet'!$B$11</f>
        <v>0</v>
      </c>
      <c r="AI32" s="124"/>
      <c r="AJ32" s="125"/>
      <c r="AK32" s="93">
        <f t="shared" si="9"/>
        <v>0</v>
      </c>
      <c r="AL32" s="124"/>
      <c r="AM32" s="125"/>
      <c r="AN32" s="93">
        <f t="shared" si="10"/>
        <v>0</v>
      </c>
      <c r="AO32" s="124"/>
      <c r="AP32" s="125"/>
      <c r="AQ32" s="93">
        <f t="shared" si="11"/>
        <v>0</v>
      </c>
      <c r="AR32" s="124"/>
      <c r="AS32" s="125"/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155300000</v>
      </c>
      <c r="EC32" s="126">
        <f t="shared" si="41"/>
        <v>155300000</v>
      </c>
      <c r="ED32" s="93">
        <f t="shared" si="42"/>
        <v>517.66666666666663</v>
      </c>
      <c r="EE32" s="94">
        <f t="shared" si="43"/>
        <v>1.1999999999999999E-3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0</v>
      </c>
      <c r="EL32" s="126">
        <f t="shared" si="48"/>
        <v>0</v>
      </c>
      <c r="EM32" s="126">
        <f t="shared" si="49"/>
        <v>0</v>
      </c>
      <c r="EN32" s="94">
        <f t="shared" si="50"/>
        <v>0</v>
      </c>
      <c r="EP32" s="93"/>
    </row>
    <row r="33" spans="1:146" x14ac:dyDescent="0.25">
      <c r="A33" s="39">
        <f t="shared" si="51"/>
        <v>44005</v>
      </c>
      <c r="B33" s="93">
        <v>143525000</v>
      </c>
      <c r="C33" s="94">
        <v>1.1000000000000001E-3</v>
      </c>
      <c r="D33" s="93">
        <f t="shared" si="0"/>
        <v>438.54861111111109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(AC33*AD33)/'[21]Input Sheet'!$B$11</f>
        <v>0</v>
      </c>
      <c r="AH33" s="93">
        <f>(AF33*AG33)/'[21]Input Sheet'!$B$11</f>
        <v>0</v>
      </c>
      <c r="AI33" s="124"/>
      <c r="AJ33" s="125"/>
      <c r="AK33" s="93">
        <f t="shared" si="9"/>
        <v>0</v>
      </c>
      <c r="AL33" s="124"/>
      <c r="AM33" s="125"/>
      <c r="AN33" s="93">
        <f t="shared" si="10"/>
        <v>0</v>
      </c>
      <c r="AO33" s="124"/>
      <c r="AP33" s="125"/>
      <c r="AQ33" s="93">
        <f t="shared" si="11"/>
        <v>0</v>
      </c>
      <c r="AR33" s="124"/>
      <c r="AS33" s="125"/>
      <c r="AT33" s="93">
        <f t="shared" si="12"/>
        <v>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143525000</v>
      </c>
      <c r="EC33" s="126">
        <f t="shared" si="41"/>
        <v>143525000</v>
      </c>
      <c r="ED33" s="93">
        <f t="shared" si="42"/>
        <v>438.54861111111109</v>
      </c>
      <c r="EE33" s="94">
        <f t="shared" si="43"/>
        <v>1.0999999999999998E-3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0</v>
      </c>
      <c r="EL33" s="126">
        <f t="shared" si="48"/>
        <v>0</v>
      </c>
      <c r="EM33" s="126">
        <f t="shared" si="49"/>
        <v>0</v>
      </c>
      <c r="EN33" s="94">
        <f t="shared" si="50"/>
        <v>0</v>
      </c>
      <c r="EP33" s="93"/>
    </row>
    <row r="34" spans="1:146" x14ac:dyDescent="0.25">
      <c r="A34" s="39">
        <f t="shared" si="51"/>
        <v>44006</v>
      </c>
      <c r="B34" s="93">
        <v>132950000</v>
      </c>
      <c r="C34" s="94">
        <v>8.9999999999999998E-4</v>
      </c>
      <c r="D34" s="93">
        <f t="shared" si="0"/>
        <v>332.375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(AC34*AD34)/'[21]Input Sheet'!$B$11</f>
        <v>0</v>
      </c>
      <c r="AH34" s="93">
        <f>(AF34*AG34)/'[21]Input Sheet'!$B$11</f>
        <v>0</v>
      </c>
      <c r="AI34" s="124"/>
      <c r="AJ34" s="125"/>
      <c r="AK34" s="93">
        <f t="shared" si="9"/>
        <v>0</v>
      </c>
      <c r="AL34" s="124"/>
      <c r="AM34" s="125"/>
      <c r="AN34" s="93">
        <f t="shared" si="10"/>
        <v>0</v>
      </c>
      <c r="AO34" s="124"/>
      <c r="AP34" s="125"/>
      <c r="AQ34" s="93">
        <f t="shared" si="11"/>
        <v>0</v>
      </c>
      <c r="AR34" s="124"/>
      <c r="AS34" s="125"/>
      <c r="AT34" s="93">
        <f t="shared" si="12"/>
        <v>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132950000</v>
      </c>
      <c r="EC34" s="126">
        <f t="shared" si="41"/>
        <v>132950000</v>
      </c>
      <c r="ED34" s="93">
        <f t="shared" si="42"/>
        <v>332.375</v>
      </c>
      <c r="EE34" s="94">
        <f t="shared" si="43"/>
        <v>9.0000000000000008E-4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0</v>
      </c>
      <c r="EL34" s="126">
        <f t="shared" si="48"/>
        <v>0</v>
      </c>
      <c r="EM34" s="126">
        <f t="shared" si="49"/>
        <v>0</v>
      </c>
      <c r="EN34" s="94">
        <f t="shared" si="50"/>
        <v>0</v>
      </c>
      <c r="EP34" s="93"/>
    </row>
    <row r="35" spans="1:146" x14ac:dyDescent="0.25">
      <c r="A35" s="39">
        <f t="shared" si="51"/>
        <v>44007</v>
      </c>
      <c r="B35" s="93">
        <v>128000000</v>
      </c>
      <c r="C35" s="94">
        <v>1.1000000000000001E-3</v>
      </c>
      <c r="D35" s="93">
        <f t="shared" si="0"/>
        <v>391.11111111111109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(AC35*AD35)/'[21]Input Sheet'!$B$11</f>
        <v>0</v>
      </c>
      <c r="AH35" s="93">
        <f>(AF35*AG35)/'[21]Input Sheet'!$B$11</f>
        <v>0</v>
      </c>
      <c r="AI35" s="124"/>
      <c r="AJ35" s="125"/>
      <c r="AK35" s="93">
        <f t="shared" si="9"/>
        <v>0</v>
      </c>
      <c r="AL35" s="124"/>
      <c r="AM35" s="125"/>
      <c r="AN35" s="93">
        <f t="shared" si="10"/>
        <v>0</v>
      </c>
      <c r="AO35" s="124"/>
      <c r="AP35" s="125"/>
      <c r="AQ35" s="93">
        <f t="shared" si="11"/>
        <v>0</v>
      </c>
      <c r="AR35" s="124"/>
      <c r="AS35" s="125"/>
      <c r="AT35" s="93">
        <f t="shared" si="12"/>
        <v>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128000000</v>
      </c>
      <c r="EC35" s="126">
        <f t="shared" si="41"/>
        <v>128000000</v>
      </c>
      <c r="ED35" s="93">
        <f t="shared" si="42"/>
        <v>391.11111111111109</v>
      </c>
      <c r="EE35" s="94">
        <f t="shared" si="43"/>
        <v>1.0999999999999998E-3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0</v>
      </c>
      <c r="EL35" s="126">
        <f t="shared" si="48"/>
        <v>0</v>
      </c>
      <c r="EM35" s="126">
        <f t="shared" si="49"/>
        <v>0</v>
      </c>
      <c r="EN35" s="94">
        <f t="shared" si="50"/>
        <v>0</v>
      </c>
      <c r="EP35" s="93"/>
    </row>
    <row r="36" spans="1:146" x14ac:dyDescent="0.25">
      <c r="A36" s="39">
        <f t="shared" si="51"/>
        <v>44008</v>
      </c>
      <c r="B36" s="93">
        <v>142250000</v>
      </c>
      <c r="C36" s="94">
        <v>1.1999999999999999E-3</v>
      </c>
      <c r="D36" s="93">
        <f t="shared" si="0"/>
        <v>474.16666666666657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(AC36*AD36)/'[21]Input Sheet'!$B$11</f>
        <v>0</v>
      </c>
      <c r="AH36" s="93">
        <f>(AF36*AG36)/'[21]Input Sheet'!$B$11</f>
        <v>0</v>
      </c>
      <c r="AI36" s="124"/>
      <c r="AJ36" s="125"/>
      <c r="AK36" s="93">
        <f t="shared" si="9"/>
        <v>0</v>
      </c>
      <c r="AL36" s="124"/>
      <c r="AM36" s="125"/>
      <c r="AN36" s="93">
        <f t="shared" si="10"/>
        <v>0</v>
      </c>
      <c r="AO36" s="124"/>
      <c r="AP36" s="125"/>
      <c r="AQ36" s="93">
        <f t="shared" si="11"/>
        <v>0</v>
      </c>
      <c r="AR36" s="124"/>
      <c r="AS36" s="125"/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142250000</v>
      </c>
      <c r="EC36" s="126">
        <f t="shared" si="41"/>
        <v>142250000</v>
      </c>
      <c r="ED36" s="93">
        <f t="shared" si="42"/>
        <v>474.16666666666657</v>
      </c>
      <c r="EE36" s="94">
        <f t="shared" si="43"/>
        <v>1.1999999999999997E-3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0</v>
      </c>
      <c r="EL36" s="126">
        <f t="shared" si="48"/>
        <v>0</v>
      </c>
      <c r="EM36" s="126">
        <f t="shared" si="49"/>
        <v>0</v>
      </c>
      <c r="EN36" s="94">
        <f t="shared" si="50"/>
        <v>0</v>
      </c>
      <c r="EP36" s="93"/>
    </row>
    <row r="37" spans="1:146" x14ac:dyDescent="0.25">
      <c r="A37" s="39">
        <f t="shared" si="51"/>
        <v>44009</v>
      </c>
      <c r="B37" s="93">
        <v>142250000</v>
      </c>
      <c r="C37" s="94">
        <v>1.1999999999999999E-3</v>
      </c>
      <c r="D37" s="93">
        <f t="shared" si="0"/>
        <v>474.16666666666657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(AC37*AD37)/'[21]Input Sheet'!$B$11</f>
        <v>0</v>
      </c>
      <c r="AH37" s="93">
        <f>(AF37*AG37)/'[21]Input Sheet'!$B$11</f>
        <v>0</v>
      </c>
      <c r="AI37" s="124"/>
      <c r="AJ37" s="125"/>
      <c r="AK37" s="93">
        <f t="shared" si="9"/>
        <v>0</v>
      </c>
      <c r="AL37" s="124"/>
      <c r="AM37" s="125"/>
      <c r="AN37" s="93">
        <f t="shared" si="10"/>
        <v>0</v>
      </c>
      <c r="AO37" s="124"/>
      <c r="AP37" s="125"/>
      <c r="AQ37" s="93">
        <f t="shared" si="11"/>
        <v>0</v>
      </c>
      <c r="AR37" s="124"/>
      <c r="AS37" s="125"/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142250000</v>
      </c>
      <c r="EC37" s="126">
        <f t="shared" si="41"/>
        <v>142250000</v>
      </c>
      <c r="ED37" s="93">
        <f t="shared" si="42"/>
        <v>474.16666666666657</v>
      </c>
      <c r="EE37" s="94">
        <f t="shared" si="43"/>
        <v>1.1999999999999997E-3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0</v>
      </c>
      <c r="EL37" s="126">
        <f t="shared" si="48"/>
        <v>0</v>
      </c>
      <c r="EM37" s="126">
        <f t="shared" si="49"/>
        <v>0</v>
      </c>
      <c r="EN37" s="94">
        <f t="shared" si="50"/>
        <v>0</v>
      </c>
      <c r="EP37" s="93"/>
    </row>
    <row r="38" spans="1:146" x14ac:dyDescent="0.25">
      <c r="A38" s="39">
        <f t="shared" si="51"/>
        <v>44010</v>
      </c>
      <c r="B38" s="93">
        <v>142250000</v>
      </c>
      <c r="C38" s="94">
        <v>1.1999999999999999E-3</v>
      </c>
      <c r="D38" s="93">
        <f t="shared" si="0"/>
        <v>474.16666666666657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(AC38*AD38)/'[21]Input Sheet'!$B$11</f>
        <v>0</v>
      </c>
      <c r="AH38" s="93">
        <f>(AF38*AG38)/'[21]Input Sheet'!$B$11</f>
        <v>0</v>
      </c>
      <c r="AI38" s="124"/>
      <c r="AJ38" s="125"/>
      <c r="AK38" s="93">
        <f t="shared" si="9"/>
        <v>0</v>
      </c>
      <c r="AL38" s="124"/>
      <c r="AM38" s="125"/>
      <c r="AN38" s="93">
        <f t="shared" si="10"/>
        <v>0</v>
      </c>
      <c r="AO38" s="124"/>
      <c r="AP38" s="125"/>
      <c r="AQ38" s="93">
        <f t="shared" si="11"/>
        <v>0</v>
      </c>
      <c r="AR38" s="124"/>
      <c r="AS38" s="125"/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142250000</v>
      </c>
      <c r="EC38" s="126">
        <f t="shared" si="41"/>
        <v>142250000</v>
      </c>
      <c r="ED38" s="93">
        <f t="shared" si="42"/>
        <v>474.16666666666657</v>
      </c>
      <c r="EE38" s="94">
        <f t="shared" si="43"/>
        <v>1.1999999999999997E-3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0</v>
      </c>
      <c r="EL38" s="126">
        <f t="shared" si="48"/>
        <v>0</v>
      </c>
      <c r="EM38" s="126">
        <f t="shared" si="49"/>
        <v>0</v>
      </c>
      <c r="EN38" s="94">
        <f t="shared" si="50"/>
        <v>0</v>
      </c>
      <c r="EP38" s="93"/>
    </row>
    <row r="39" spans="1:146" x14ac:dyDescent="0.25">
      <c r="A39" s="39">
        <f t="shared" si="51"/>
        <v>44011</v>
      </c>
      <c r="B39" s="93">
        <v>148675000</v>
      </c>
      <c r="C39" s="94">
        <v>1.1999999999999999E-3</v>
      </c>
      <c r="D39" s="93">
        <f t="shared" si="0"/>
        <v>495.58333333333326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(AC39*AD39)/'[21]Input Sheet'!$B$11</f>
        <v>0</v>
      </c>
      <c r="AH39" s="93">
        <f>(AF39*AG39)/'[21]Input Sheet'!$B$11</f>
        <v>0</v>
      </c>
      <c r="AI39" s="124"/>
      <c r="AJ39" s="125"/>
      <c r="AK39" s="93">
        <f t="shared" si="9"/>
        <v>0</v>
      </c>
      <c r="AL39" s="124"/>
      <c r="AM39" s="125"/>
      <c r="AN39" s="93">
        <f t="shared" si="10"/>
        <v>0</v>
      </c>
      <c r="AO39" s="124"/>
      <c r="AP39" s="125"/>
      <c r="AQ39" s="93">
        <f t="shared" si="11"/>
        <v>0</v>
      </c>
      <c r="AR39" s="124"/>
      <c r="AS39" s="125"/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148675000</v>
      </c>
      <c r="EC39" s="126">
        <f t="shared" si="41"/>
        <v>148675000</v>
      </c>
      <c r="ED39" s="93">
        <f t="shared" si="42"/>
        <v>495.58333333333326</v>
      </c>
      <c r="EE39" s="94">
        <f t="shared" si="43"/>
        <v>1.1999999999999999E-3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0</v>
      </c>
      <c r="EL39" s="126">
        <f t="shared" si="48"/>
        <v>0</v>
      </c>
      <c r="EM39" s="126">
        <f t="shared" si="49"/>
        <v>0</v>
      </c>
      <c r="EN39" s="94">
        <f t="shared" si="50"/>
        <v>0</v>
      </c>
      <c r="EP39" s="93"/>
    </row>
    <row r="40" spans="1:146" x14ac:dyDescent="0.25">
      <c r="A40" s="39">
        <f t="shared" si="51"/>
        <v>44012</v>
      </c>
      <c r="B40" s="93">
        <v>64575000</v>
      </c>
      <c r="C40" s="94">
        <v>1E-3</v>
      </c>
      <c r="D40" s="93">
        <f t="shared" si="0"/>
        <v>179.375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(AC40*AD40)/'[21]Input Sheet'!$B$11</f>
        <v>0</v>
      </c>
      <c r="AH40" s="93">
        <f>(AF40*AG40)/'[21]Input Sheet'!$B$11</f>
        <v>0</v>
      </c>
      <c r="AI40" s="124">
        <f>35000000+35000000+8600000</f>
        <v>78600000</v>
      </c>
      <c r="AJ40" s="125">
        <v>2.5000000000000001E-3</v>
      </c>
      <c r="AK40" s="93">
        <f t="shared" si="9"/>
        <v>545.83333333333337</v>
      </c>
      <c r="AL40" s="124"/>
      <c r="AM40" s="125"/>
      <c r="AN40" s="93">
        <f t="shared" si="10"/>
        <v>0</v>
      </c>
      <c r="AO40" s="124"/>
      <c r="AP40" s="125"/>
      <c r="AQ40" s="93">
        <f t="shared" si="11"/>
        <v>0</v>
      </c>
      <c r="AR40" s="124"/>
      <c r="AS40" s="125"/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143175000</v>
      </c>
      <c r="EC40" s="126">
        <f t="shared" si="41"/>
        <v>64575000</v>
      </c>
      <c r="ED40" s="93">
        <f t="shared" si="42"/>
        <v>725.20833333333337</v>
      </c>
      <c r="EE40" s="94">
        <f t="shared" si="43"/>
        <v>1.8234677841801993E-3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78600000</v>
      </c>
      <c r="EL40" s="126">
        <f t="shared" si="48"/>
        <v>0</v>
      </c>
      <c r="EM40" s="126">
        <f t="shared" si="49"/>
        <v>545.83333333333337</v>
      </c>
      <c r="EN40" s="94">
        <f t="shared" si="50"/>
        <v>2.5000000000000001E-3</v>
      </c>
      <c r="EP40" s="93"/>
    </row>
    <row r="41" spans="1:146" x14ac:dyDescent="0.25">
      <c r="A41" s="127" t="s">
        <v>88</v>
      </c>
      <c r="D41" s="128">
        <f>SUM(D11:D40)</f>
        <v>17249.166666666668</v>
      </c>
      <c r="G41" s="128">
        <f>SUM(G11:G40)</f>
        <v>0</v>
      </c>
      <c r="J41" s="128">
        <f>SUM(J11:J40)</f>
        <v>0</v>
      </c>
      <c r="M41" s="128">
        <f>SUM(M11:M40)</f>
        <v>0</v>
      </c>
      <c r="P41" s="128">
        <f>SUM(P11:P40)</f>
        <v>0</v>
      </c>
      <c r="S41" s="128">
        <f>SUM(S11:S40)</f>
        <v>0</v>
      </c>
      <c r="V41" s="128">
        <f>SUM(V11:V40)</f>
        <v>0</v>
      </c>
      <c r="Y41" s="128">
        <f>SUM(Y11:Y40)</f>
        <v>0</v>
      </c>
      <c r="AB41" s="128">
        <f>SUM(AB11:AB40)</f>
        <v>0</v>
      </c>
      <c r="AE41" s="128">
        <f>SUM(AE11:AE40)</f>
        <v>0</v>
      </c>
      <c r="AH41" s="128">
        <f>SUM(AH11:AH40)</f>
        <v>0</v>
      </c>
      <c r="AK41" s="128">
        <f>SUM(AK11:AK40)</f>
        <v>545.83333333333337</v>
      </c>
      <c r="AN41" s="128">
        <f>SUM(AN11:AN40)</f>
        <v>0</v>
      </c>
      <c r="AQ41" s="128">
        <f>SUM(AQ11:AQ40)</f>
        <v>0</v>
      </c>
      <c r="AT41" s="128">
        <f>SUM(AT11:AT40)</f>
        <v>0</v>
      </c>
      <c r="AW41" s="128">
        <f>SUM(AW11:AW40)</f>
        <v>0</v>
      </c>
      <c r="AZ41" s="128">
        <f>SUM(AZ11:AZ40)</f>
        <v>0</v>
      </c>
      <c r="BC41" s="128">
        <f>SUM(BC11:BC40)</f>
        <v>0</v>
      </c>
      <c r="BF41" s="128">
        <f>SUM(BF11:BF40)</f>
        <v>0</v>
      </c>
      <c r="BI41" s="128">
        <f>SUM(BI11:BI40)</f>
        <v>0</v>
      </c>
      <c r="BL41" s="128">
        <f>SUM(BL11:BL40)</f>
        <v>0</v>
      </c>
      <c r="BO41" s="128">
        <f>SUM(BO11:BO40)</f>
        <v>0</v>
      </c>
      <c r="BR41" s="128">
        <f>SUM(BR11:BR40)</f>
        <v>0</v>
      </c>
      <c r="BU41" s="128">
        <f>SUM(BU11:BU40)</f>
        <v>0</v>
      </c>
      <c r="BX41" s="128">
        <f>SUM(BX11:BX40)</f>
        <v>0</v>
      </c>
      <c r="CA41" s="128">
        <f>SUM(CA11:CA40)</f>
        <v>0</v>
      </c>
      <c r="CD41" s="128">
        <f>SUM(CD11:CD40)</f>
        <v>0</v>
      </c>
      <c r="CG41" s="128">
        <f>SUM(CG11:CG40)</f>
        <v>0</v>
      </c>
      <c r="CJ41" s="128">
        <f>SUM(CJ11:CJ40)</f>
        <v>0</v>
      </c>
      <c r="CM41" s="128">
        <f>SUM(CM11:CM40)</f>
        <v>0</v>
      </c>
      <c r="CP41" s="128">
        <f>SUM(CP11:CP40)</f>
        <v>0</v>
      </c>
      <c r="CS41" s="128">
        <f>SUM(CS11:CS40)</f>
        <v>0</v>
      </c>
      <c r="CV41" s="128">
        <f>SUM(CV11:CV40)</f>
        <v>0</v>
      </c>
      <c r="CY41" s="128">
        <f>SUM(CY11:CY40)</f>
        <v>0</v>
      </c>
      <c r="DB41" s="128">
        <f>SUM(DB11:DB40)</f>
        <v>0</v>
      </c>
      <c r="DE41" s="128">
        <f>SUM(DE11:DE40)</f>
        <v>0</v>
      </c>
      <c r="DH41" s="128">
        <f>SUM(DH11:DH40)</f>
        <v>0</v>
      </c>
      <c r="DK41" s="128">
        <f>SUM(DK11:DK40)</f>
        <v>0</v>
      </c>
      <c r="DN41" s="128">
        <f>SUM(DN11:DN40)</f>
        <v>0</v>
      </c>
      <c r="DQ41" s="128">
        <f>SUM(DQ11:DQ40)</f>
        <v>0</v>
      </c>
      <c r="DT41" s="128">
        <f>SUM(DT11:DT40)</f>
        <v>0</v>
      </c>
      <c r="DW41" s="128">
        <f>SUM(DW11:DW40)</f>
        <v>0</v>
      </c>
      <c r="DZ41" s="91"/>
      <c r="EA41" s="91"/>
      <c r="EB41" s="93"/>
      <c r="EC41" s="93"/>
      <c r="ED41" s="128">
        <f>SUM(ED11:ED40)</f>
        <v>17795</v>
      </c>
      <c r="EE41" s="94"/>
      <c r="EG41" s="93"/>
      <c r="EH41" s="128">
        <f>SUM(EH11:EH40)</f>
        <v>0</v>
      </c>
      <c r="EI41" s="94"/>
      <c r="EJ41" s="94"/>
      <c r="EK41" s="93"/>
      <c r="EL41" s="93"/>
      <c r="EM41" s="128">
        <f>SUM(EM11:EM40)</f>
        <v>545.83333333333337</v>
      </c>
      <c r="EN41" s="94"/>
    </row>
    <row r="43" spans="1:146" x14ac:dyDescent="0.25">
      <c r="EM43" s="129"/>
    </row>
    <row r="45" spans="1:146" x14ac:dyDescent="0.25">
      <c r="EM45" s="93"/>
    </row>
    <row r="47" spans="1:146" x14ac:dyDescent="0.25">
      <c r="EM47" s="9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EQ4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2.75" x14ac:dyDescent="0.2"/>
  <cols>
    <col min="1" max="1" width="14.5703125" style="145" bestFit="1" customWidth="1"/>
    <col min="2" max="2" width="15.5703125" style="143" bestFit="1" customWidth="1"/>
    <col min="3" max="3" width="15.42578125" style="144" bestFit="1" customWidth="1"/>
    <col min="4" max="4" width="15.42578125" style="145" bestFit="1" customWidth="1"/>
    <col min="5" max="5" width="15.5703125" style="143" bestFit="1" customWidth="1"/>
    <col min="6" max="6" width="12.28515625" style="144" bestFit="1" customWidth="1"/>
    <col min="7" max="7" width="15.42578125" style="145" bestFit="1" customWidth="1"/>
    <col min="8" max="8" width="15.42578125" style="143" hidden="1" customWidth="1"/>
    <col min="9" max="9" width="10.28515625" style="144" hidden="1" customWidth="1"/>
    <col min="10" max="10" width="13.42578125" style="145" hidden="1" customWidth="1"/>
    <col min="11" max="11" width="14.42578125" style="143" hidden="1" customWidth="1"/>
    <col min="12" max="12" width="10.28515625" style="144" hidden="1" customWidth="1"/>
    <col min="13" max="13" width="11.7109375" style="145" hidden="1" customWidth="1"/>
    <col min="14" max="14" width="14.42578125" style="143" hidden="1" customWidth="1"/>
    <col min="15" max="15" width="10.28515625" style="144" hidden="1" customWidth="1"/>
    <col min="16" max="16" width="11.7109375" style="145" hidden="1" customWidth="1"/>
    <col min="17" max="17" width="15.42578125" style="143" hidden="1" customWidth="1"/>
    <col min="18" max="18" width="10.28515625" style="144" hidden="1" customWidth="1"/>
    <col min="19" max="19" width="11.7109375" style="145" hidden="1" customWidth="1"/>
    <col min="20" max="20" width="15.42578125" style="143" hidden="1" customWidth="1"/>
    <col min="21" max="21" width="10.28515625" style="144" hidden="1" customWidth="1"/>
    <col min="22" max="22" width="11.7109375" style="145" hidden="1" customWidth="1"/>
    <col min="23" max="23" width="15.42578125" style="143" hidden="1" customWidth="1"/>
    <col min="24" max="24" width="10.28515625" style="144" hidden="1" customWidth="1"/>
    <col min="25" max="25" width="11.7109375" style="145" hidden="1" customWidth="1"/>
    <col min="26" max="26" width="15.42578125" style="143" hidden="1" customWidth="1"/>
    <col min="27" max="27" width="10.28515625" style="144" hidden="1" customWidth="1"/>
    <col min="28" max="28" width="11.7109375" style="145" hidden="1" customWidth="1"/>
    <col min="29" max="29" width="15.42578125" style="143" hidden="1" customWidth="1"/>
    <col min="30" max="30" width="10.28515625" style="144" hidden="1" customWidth="1"/>
    <col min="31" max="31" width="11.7109375" style="145" hidden="1" customWidth="1"/>
    <col min="32" max="32" width="14.42578125" style="143" hidden="1" customWidth="1"/>
    <col min="33" max="33" width="10.28515625" style="144" hidden="1" customWidth="1"/>
    <col min="34" max="34" width="10.7109375" style="145" hidden="1" customWidth="1"/>
    <col min="35" max="35" width="14.42578125" style="143" customWidth="1"/>
    <col min="36" max="36" width="10.28515625" style="144" customWidth="1"/>
    <col min="37" max="37" width="11.7109375" style="145" bestFit="1" customWidth="1"/>
    <col min="38" max="38" width="14.42578125" style="143" customWidth="1"/>
    <col min="39" max="39" width="10.28515625" style="144" customWidth="1"/>
    <col min="40" max="40" width="10.7109375" style="145" customWidth="1"/>
    <col min="41" max="41" width="15.42578125" style="143" bestFit="1" customWidth="1"/>
    <col min="42" max="42" width="12.28515625" style="144" bestFit="1" customWidth="1"/>
    <col min="43" max="43" width="11.7109375" style="145" bestFit="1" customWidth="1"/>
    <col min="44" max="44" width="15.42578125" style="143" bestFit="1" customWidth="1"/>
    <col min="45" max="45" width="10.28515625" style="144" bestFit="1" customWidth="1"/>
    <col min="46" max="46" width="11.7109375" style="145" bestFit="1" customWidth="1"/>
    <col min="47" max="47" width="14.42578125" style="143" customWidth="1"/>
    <col min="48" max="48" width="10.28515625" style="144" customWidth="1"/>
    <col min="49" max="49" width="10.7109375" style="145" customWidth="1"/>
    <col min="50" max="50" width="14.42578125" style="143" customWidth="1"/>
    <col min="51" max="51" width="10.28515625" style="144" customWidth="1"/>
    <col min="52" max="52" width="10.7109375" style="145" customWidth="1"/>
    <col min="53" max="53" width="14.42578125" style="143" customWidth="1"/>
    <col min="54" max="54" width="10.28515625" style="144" customWidth="1"/>
    <col min="55" max="55" width="10.7109375" style="145" customWidth="1"/>
    <col min="56" max="56" width="14.42578125" style="143" customWidth="1"/>
    <col min="57" max="57" width="10.28515625" style="144" customWidth="1"/>
    <col min="58" max="58" width="10.7109375" style="145" customWidth="1"/>
    <col min="59" max="59" width="14.42578125" style="143" customWidth="1"/>
    <col min="60" max="60" width="10.28515625" style="144" customWidth="1"/>
    <col min="61" max="61" width="10.7109375" style="145" customWidth="1"/>
    <col min="62" max="62" width="14.42578125" style="143" customWidth="1"/>
    <col min="63" max="63" width="10.28515625" style="144" customWidth="1"/>
    <col min="64" max="64" width="10.7109375" style="145" customWidth="1"/>
    <col min="65" max="65" width="14.42578125" style="143" hidden="1" customWidth="1"/>
    <col min="66" max="66" width="10.28515625" style="144" hidden="1" customWidth="1"/>
    <col min="67" max="67" width="10.7109375" style="145" hidden="1" customWidth="1"/>
    <col min="68" max="68" width="14.42578125" style="143" hidden="1" customWidth="1"/>
    <col min="69" max="69" width="10.28515625" style="144" hidden="1" customWidth="1"/>
    <col min="70" max="70" width="10.7109375" style="145" hidden="1" customWidth="1"/>
    <col min="71" max="71" width="14.42578125" style="143" hidden="1" customWidth="1"/>
    <col min="72" max="72" width="10.28515625" style="144" hidden="1" customWidth="1"/>
    <col min="73" max="73" width="10.7109375" style="145" hidden="1" customWidth="1"/>
    <col min="74" max="74" width="14.42578125" style="143" hidden="1" customWidth="1"/>
    <col min="75" max="75" width="10.28515625" style="144" hidden="1" customWidth="1"/>
    <col min="76" max="76" width="10.7109375" style="145" hidden="1" customWidth="1"/>
    <col min="77" max="77" width="14.42578125" style="143" hidden="1" customWidth="1"/>
    <col min="78" max="78" width="10.28515625" style="144" hidden="1" customWidth="1"/>
    <col min="79" max="79" width="10.7109375" style="145" hidden="1" customWidth="1"/>
    <col min="80" max="80" width="14.42578125" style="143" hidden="1" customWidth="1"/>
    <col min="81" max="81" width="10.28515625" style="144" hidden="1" customWidth="1"/>
    <col min="82" max="82" width="10.7109375" style="145" hidden="1" customWidth="1"/>
    <col min="83" max="83" width="14.42578125" style="143" hidden="1" customWidth="1"/>
    <col min="84" max="84" width="10.28515625" style="144" hidden="1" customWidth="1"/>
    <col min="85" max="85" width="10.7109375" style="145" hidden="1" customWidth="1"/>
    <col min="86" max="86" width="14.42578125" style="143" hidden="1" customWidth="1"/>
    <col min="87" max="87" width="10.28515625" style="144" hidden="1" customWidth="1"/>
    <col min="88" max="88" width="10.7109375" style="145" hidden="1" customWidth="1"/>
    <col min="89" max="89" width="14.42578125" style="143" hidden="1" customWidth="1"/>
    <col min="90" max="90" width="10.28515625" style="144" hidden="1" customWidth="1"/>
    <col min="91" max="91" width="10.7109375" style="145" hidden="1" customWidth="1"/>
    <col min="92" max="92" width="14.42578125" style="143" hidden="1" customWidth="1"/>
    <col min="93" max="93" width="10.28515625" style="144" hidden="1" customWidth="1"/>
    <col min="94" max="94" width="10.7109375" style="145" hidden="1" customWidth="1"/>
    <col min="95" max="95" width="14.42578125" style="143" hidden="1" customWidth="1"/>
    <col min="96" max="96" width="10.28515625" style="144" hidden="1" customWidth="1"/>
    <col min="97" max="97" width="10.7109375" style="145" hidden="1" customWidth="1"/>
    <col min="98" max="98" width="14.42578125" style="143" hidden="1" customWidth="1"/>
    <col min="99" max="99" width="10.28515625" style="144" hidden="1" customWidth="1"/>
    <col min="100" max="100" width="10.7109375" style="145" hidden="1" customWidth="1"/>
    <col min="101" max="101" width="14.42578125" style="143" hidden="1" customWidth="1"/>
    <col min="102" max="102" width="10.28515625" style="144" hidden="1" customWidth="1"/>
    <col min="103" max="103" width="10.7109375" style="145" hidden="1" customWidth="1"/>
    <col min="104" max="104" width="14.42578125" style="143" hidden="1" customWidth="1"/>
    <col min="105" max="105" width="10.28515625" style="144" hidden="1" customWidth="1"/>
    <col min="106" max="106" width="10.7109375" style="145" hidden="1" customWidth="1"/>
    <col min="107" max="107" width="14.42578125" style="143" hidden="1" customWidth="1"/>
    <col min="108" max="108" width="10.28515625" style="144" hidden="1" customWidth="1"/>
    <col min="109" max="109" width="10.7109375" style="145" hidden="1" customWidth="1"/>
    <col min="110" max="110" width="14.42578125" style="143" hidden="1" customWidth="1"/>
    <col min="111" max="111" width="10.28515625" style="144" hidden="1" customWidth="1"/>
    <col min="112" max="112" width="10.7109375" style="145" hidden="1" customWidth="1"/>
    <col min="113" max="113" width="14.42578125" style="143" hidden="1" customWidth="1"/>
    <col min="114" max="114" width="10.28515625" style="144" hidden="1" customWidth="1"/>
    <col min="115" max="115" width="10.7109375" style="145" hidden="1" customWidth="1"/>
    <col min="116" max="116" width="14.42578125" style="143" hidden="1" customWidth="1"/>
    <col min="117" max="117" width="10.28515625" style="144" hidden="1" customWidth="1"/>
    <col min="118" max="118" width="10.7109375" style="145" hidden="1" customWidth="1"/>
    <col min="119" max="119" width="14.42578125" style="143" hidden="1" customWidth="1"/>
    <col min="120" max="120" width="10.28515625" style="144" hidden="1" customWidth="1"/>
    <col min="121" max="121" width="10.7109375" style="145" hidden="1" customWidth="1"/>
    <col min="122" max="122" width="14.42578125" style="143" hidden="1" customWidth="1"/>
    <col min="123" max="123" width="10.28515625" style="144" hidden="1" customWidth="1"/>
    <col min="124" max="124" width="10.7109375" style="145" hidden="1" customWidth="1"/>
    <col min="125" max="125" width="14.42578125" style="143" hidden="1" customWidth="1"/>
    <col min="126" max="126" width="10.28515625" style="144" hidden="1" customWidth="1"/>
    <col min="127" max="127" width="10.7109375" style="145" hidden="1" customWidth="1"/>
    <col min="128" max="128" width="14.42578125" style="143" hidden="1" customWidth="1"/>
    <col min="129" max="129" width="10.28515625" style="144" hidden="1" customWidth="1"/>
    <col min="130" max="130" width="10.7109375" style="145" hidden="1" customWidth="1"/>
    <col min="131" max="131" width="2.7109375" style="145" customWidth="1"/>
    <col min="132" max="132" width="15.42578125" style="145" bestFit="1" customWidth="1"/>
    <col min="133" max="133" width="15.42578125" style="145" hidden="1" customWidth="1"/>
    <col min="134" max="134" width="14.42578125" style="145" bestFit="1" customWidth="1"/>
    <col min="135" max="135" width="17.7109375" style="145" bestFit="1" customWidth="1"/>
    <col min="136" max="136" width="2.7109375" style="145" customWidth="1"/>
    <col min="137" max="137" width="15.42578125" style="145" hidden="1" customWidth="1"/>
    <col min="138" max="138" width="14.42578125" style="145" hidden="1" customWidth="1"/>
    <col min="139" max="139" width="12.42578125" style="145" hidden="1" customWidth="1"/>
    <col min="140" max="140" width="2.7109375" style="145" hidden="1" customWidth="1"/>
    <col min="141" max="141" width="15.42578125" style="145" bestFit="1" customWidth="1"/>
    <col min="142" max="142" width="15.42578125" style="145" hidden="1" customWidth="1"/>
    <col min="143" max="143" width="14.42578125" style="145" bestFit="1" customWidth="1"/>
    <col min="144" max="144" width="15.42578125" style="145" bestFit="1" customWidth="1"/>
    <col min="145" max="145" width="42.85546875" style="145" bestFit="1" customWidth="1"/>
    <col min="146" max="146" width="16.7109375" style="145" bestFit="1" customWidth="1"/>
    <col min="147" max="147" width="23.140625" style="145" bestFit="1" customWidth="1"/>
    <col min="148" max="16384" width="9" style="145"/>
  </cols>
  <sheetData>
    <row r="1" spans="1:147" s="135" customFormat="1" ht="15.75" x14ac:dyDescent="0.25">
      <c r="A1" s="132" t="s">
        <v>0</v>
      </c>
      <c r="B1" s="133"/>
      <c r="C1" s="134"/>
      <c r="E1" s="133"/>
      <c r="F1" s="134"/>
      <c r="H1" s="133"/>
      <c r="I1" s="134"/>
      <c r="K1" s="133"/>
      <c r="L1" s="134"/>
      <c r="N1" s="133"/>
      <c r="O1" s="134"/>
      <c r="Q1" s="133"/>
      <c r="R1" s="134"/>
      <c r="T1" s="133"/>
      <c r="U1" s="134"/>
      <c r="W1" s="133"/>
      <c r="X1" s="134"/>
      <c r="Z1" s="133"/>
      <c r="AA1" s="134"/>
      <c r="AC1" s="133"/>
      <c r="AD1" s="134"/>
      <c r="AF1" s="133"/>
      <c r="AG1" s="134"/>
      <c r="AI1" s="133"/>
      <c r="AJ1" s="134"/>
      <c r="AL1" s="133"/>
      <c r="AM1" s="134"/>
      <c r="AO1" s="133"/>
      <c r="AP1" s="134"/>
      <c r="AR1" s="133"/>
      <c r="AS1" s="134"/>
      <c r="AU1" s="133"/>
      <c r="AV1" s="134"/>
      <c r="AX1" s="133"/>
      <c r="AY1" s="134"/>
      <c r="BA1" s="133"/>
      <c r="BB1" s="134"/>
      <c r="BD1" s="133"/>
      <c r="BE1" s="134"/>
      <c r="BG1" s="133"/>
      <c r="BH1" s="134"/>
      <c r="BJ1" s="133"/>
      <c r="BK1" s="134"/>
      <c r="BM1" s="133"/>
      <c r="BN1" s="134"/>
      <c r="BP1" s="133"/>
      <c r="BQ1" s="134"/>
      <c r="BS1" s="133"/>
      <c r="BT1" s="134"/>
      <c r="BV1" s="133"/>
      <c r="BW1" s="134"/>
      <c r="BY1" s="133"/>
      <c r="BZ1" s="134"/>
      <c r="CB1" s="133"/>
      <c r="CC1" s="134"/>
      <c r="CE1" s="133"/>
      <c r="CF1" s="134"/>
      <c r="CH1" s="133"/>
      <c r="CI1" s="134"/>
      <c r="CK1" s="133"/>
      <c r="CL1" s="134"/>
      <c r="CN1" s="133"/>
      <c r="CO1" s="134"/>
      <c r="CQ1" s="133"/>
      <c r="CR1" s="134"/>
      <c r="CT1" s="133"/>
      <c r="CU1" s="134"/>
      <c r="CW1" s="133"/>
      <c r="CX1" s="134"/>
      <c r="CZ1" s="133"/>
      <c r="DA1" s="134"/>
      <c r="DC1" s="133"/>
      <c r="DD1" s="134"/>
      <c r="DF1" s="133"/>
      <c r="DG1" s="134"/>
      <c r="DI1" s="133"/>
      <c r="DJ1" s="134"/>
      <c r="DL1" s="133"/>
      <c r="DM1" s="134"/>
      <c r="DO1" s="133"/>
      <c r="DP1" s="134"/>
      <c r="DR1" s="133"/>
      <c r="DS1" s="134"/>
      <c r="DU1" s="133"/>
      <c r="DV1" s="134"/>
      <c r="DX1" s="133"/>
      <c r="DY1" s="134"/>
      <c r="DZ1" s="136"/>
      <c r="ED1" s="137"/>
      <c r="EE1" s="138" t="s">
        <v>107</v>
      </c>
      <c r="EI1" s="137" t="s">
        <v>108</v>
      </c>
      <c r="EM1" s="137"/>
      <c r="EN1" s="137" t="s">
        <v>109</v>
      </c>
      <c r="EO1" s="132" t="s">
        <v>110</v>
      </c>
      <c r="EP1" s="132" t="s">
        <v>111</v>
      </c>
      <c r="EQ1" s="132" t="s">
        <v>112</v>
      </c>
    </row>
    <row r="2" spans="1:147" s="135" customFormat="1" ht="16.5" thickBot="1" x14ac:dyDescent="0.3">
      <c r="A2" s="132" t="s">
        <v>113</v>
      </c>
      <c r="B2" s="133"/>
      <c r="C2" s="134"/>
      <c r="E2" s="139"/>
      <c r="F2" s="134"/>
      <c r="G2" s="137"/>
      <c r="H2" s="133"/>
      <c r="I2" s="134"/>
      <c r="K2" s="133"/>
      <c r="L2" s="134"/>
      <c r="N2" s="133"/>
      <c r="O2" s="134"/>
      <c r="Q2" s="133"/>
      <c r="R2" s="134"/>
      <c r="T2" s="133"/>
      <c r="U2" s="134"/>
      <c r="W2" s="133"/>
      <c r="X2" s="134"/>
      <c r="Z2" s="133"/>
      <c r="AA2" s="134"/>
      <c r="AC2" s="133"/>
      <c r="AD2" s="134"/>
      <c r="AF2" s="133"/>
      <c r="AG2" s="134"/>
      <c r="AI2" s="133"/>
      <c r="AJ2" s="134"/>
      <c r="AL2" s="133"/>
      <c r="AM2" s="134"/>
      <c r="AO2" s="133"/>
      <c r="AP2" s="134"/>
      <c r="AR2" s="133"/>
      <c r="AS2" s="134"/>
      <c r="AU2" s="133"/>
      <c r="AV2" s="134"/>
      <c r="AX2" s="133"/>
      <c r="AY2" s="134"/>
      <c r="BA2" s="133"/>
      <c r="BB2" s="134"/>
      <c r="BD2" s="133"/>
      <c r="BE2" s="134"/>
      <c r="BG2" s="133"/>
      <c r="BH2" s="134"/>
      <c r="BJ2" s="133"/>
      <c r="BK2" s="134"/>
      <c r="BM2" s="133"/>
      <c r="BN2" s="134"/>
      <c r="BP2" s="133"/>
      <c r="BQ2" s="134"/>
      <c r="BS2" s="133"/>
      <c r="BT2" s="134"/>
      <c r="BV2" s="133"/>
      <c r="BW2" s="134"/>
      <c r="BY2" s="133"/>
      <c r="BZ2" s="134"/>
      <c r="CB2" s="133"/>
      <c r="CC2" s="134"/>
      <c r="CE2" s="133"/>
      <c r="CF2" s="134"/>
      <c r="CH2" s="133"/>
      <c r="CI2" s="134"/>
      <c r="CK2" s="133"/>
      <c r="CL2" s="134"/>
      <c r="CN2" s="133"/>
      <c r="CO2" s="134"/>
      <c r="CQ2" s="133"/>
      <c r="CR2" s="134"/>
      <c r="CT2" s="133"/>
      <c r="CU2" s="134"/>
      <c r="CW2" s="133"/>
      <c r="CX2" s="134"/>
      <c r="CZ2" s="133"/>
      <c r="DA2" s="134"/>
      <c r="DC2" s="133"/>
      <c r="DD2" s="134"/>
      <c r="DF2" s="133"/>
      <c r="DG2" s="134"/>
      <c r="DI2" s="133"/>
      <c r="DJ2" s="134"/>
      <c r="DL2" s="133"/>
      <c r="DM2" s="134"/>
      <c r="DO2" s="133"/>
      <c r="DP2" s="134"/>
      <c r="DR2" s="133"/>
      <c r="DS2" s="134"/>
      <c r="DU2" s="133"/>
      <c r="DV2" s="134"/>
      <c r="DX2" s="133"/>
      <c r="DY2" s="134"/>
      <c r="EB2" s="140" t="s">
        <v>114</v>
      </c>
      <c r="EC2" s="140"/>
      <c r="ED2" s="141"/>
      <c r="EE2" s="141">
        <f>EB41</f>
        <v>87895000</v>
      </c>
      <c r="EI2" s="141">
        <f>EG40</f>
        <v>0</v>
      </c>
      <c r="EM2" s="141"/>
      <c r="EN2" s="141">
        <f>EK41</f>
        <v>40700000</v>
      </c>
      <c r="EO2" s="133">
        <v>0</v>
      </c>
      <c r="EP2" s="133">
        <f>EN2+EO2</f>
        <v>40700000</v>
      </c>
      <c r="EQ2" s="133">
        <f>EE2+EO2</f>
        <v>87895000</v>
      </c>
    </row>
    <row r="3" spans="1:147" ht="16.5" thickTop="1" x14ac:dyDescent="0.25">
      <c r="A3" s="142" t="s">
        <v>193</v>
      </c>
      <c r="E3" s="146" t="s">
        <v>115</v>
      </c>
      <c r="F3" s="147"/>
      <c r="G3" s="148"/>
      <c r="EB3" s="140" t="s">
        <v>116</v>
      </c>
      <c r="EC3" s="140"/>
      <c r="ED3" s="141"/>
      <c r="EE3" s="141">
        <f>AVERAGE(EB11:EB41)</f>
        <v>110334193.5483871</v>
      </c>
      <c r="EI3" s="141">
        <f>AVERAGE(EG11:EG40)</f>
        <v>0</v>
      </c>
      <c r="EM3" s="141"/>
      <c r="EN3" s="141">
        <f>AVERAGE(EK11:EK41)</f>
        <v>64974193.548387095</v>
      </c>
    </row>
    <row r="4" spans="1:147" x14ac:dyDescent="0.2">
      <c r="D4" s="140"/>
      <c r="E4" s="149" t="s">
        <v>114</v>
      </c>
      <c r="F4" s="141"/>
      <c r="G4" s="150">
        <f>EQ2</f>
        <v>87895000</v>
      </c>
      <c r="AI4" s="151" t="s">
        <v>117</v>
      </c>
      <c r="EB4" s="140" t="s">
        <v>118</v>
      </c>
      <c r="EC4" s="140"/>
      <c r="ED4" s="152"/>
      <c r="EE4" s="152">
        <f>IF(EE3=0,0,360*(AVERAGE(ED11:ED41)/EE3))</f>
        <v>1.9366331748704817E-3</v>
      </c>
      <c r="EI4" s="152">
        <f>IF(EI3=0,0,360*(AVERAGE(EH11:EH40)/EI3))</f>
        <v>0</v>
      </c>
      <c r="EM4" s="152"/>
      <c r="EN4" s="152">
        <f>IF(EN3=0,0,360*(AVERAGE(EM11:EM41)/EN3))</f>
        <v>2.5000000000000005E-3</v>
      </c>
      <c r="EO4" s="153" t="s">
        <v>119</v>
      </c>
      <c r="EQ4" s="154" t="s">
        <v>117</v>
      </c>
    </row>
    <row r="5" spans="1:147" ht="15.75" x14ac:dyDescent="0.25">
      <c r="D5" s="140"/>
      <c r="E5" s="149" t="s">
        <v>116</v>
      </c>
      <c r="F5" s="141"/>
      <c r="G5" s="150">
        <f>EE3</f>
        <v>110334193.5483871</v>
      </c>
      <c r="AI5" s="155" t="s">
        <v>109</v>
      </c>
      <c r="EB5" s="156" t="s">
        <v>120</v>
      </c>
      <c r="EC5" s="156"/>
      <c r="ED5" s="141"/>
      <c r="EE5" s="141">
        <f>MAX(EB11:EB41)</f>
        <v>147375000</v>
      </c>
      <c r="EI5" s="141">
        <f>MAX(EG11:EG40)</f>
        <v>0</v>
      </c>
      <c r="EM5" s="141"/>
      <c r="EN5" s="141">
        <f>MAX(EK11:EK41)</f>
        <v>98400000</v>
      </c>
    </row>
    <row r="6" spans="1:147" x14ac:dyDescent="0.2">
      <c r="D6" s="140"/>
      <c r="E6" s="149" t="s">
        <v>118</v>
      </c>
      <c r="F6" s="141"/>
      <c r="G6" s="157">
        <f>EE4</f>
        <v>1.9366331748704817E-3</v>
      </c>
    </row>
    <row r="7" spans="1:147" ht="16.5" thickBot="1" x14ac:dyDescent="0.3">
      <c r="D7" s="140"/>
      <c r="E7" s="158" t="s">
        <v>120</v>
      </c>
      <c r="F7" s="159"/>
      <c r="G7" s="160">
        <f>EE5</f>
        <v>147375000</v>
      </c>
      <c r="AI7" s="155" t="s">
        <v>109</v>
      </c>
      <c r="EB7" s="161" t="s">
        <v>121</v>
      </c>
      <c r="EC7" s="161"/>
      <c r="ED7" s="162"/>
      <c r="EE7" s="162"/>
      <c r="EG7" s="161" t="s">
        <v>122</v>
      </c>
      <c r="EH7" s="162"/>
      <c r="EI7" s="162"/>
      <c r="EJ7" s="163"/>
      <c r="EK7" s="161" t="s">
        <v>123</v>
      </c>
      <c r="EL7" s="161"/>
      <c r="EM7" s="162"/>
      <c r="EN7" s="162"/>
    </row>
    <row r="8" spans="1:147" ht="13.5" thickTop="1" x14ac:dyDescent="0.2">
      <c r="AI8" s="164" t="s">
        <v>124</v>
      </c>
      <c r="AL8" s="164" t="s">
        <v>124</v>
      </c>
      <c r="AO8" s="164" t="s">
        <v>124</v>
      </c>
      <c r="AR8" s="164" t="s">
        <v>124</v>
      </c>
      <c r="AU8" s="164" t="s">
        <v>124</v>
      </c>
      <c r="AX8" s="164" t="s">
        <v>124</v>
      </c>
      <c r="BA8" s="164" t="s">
        <v>124</v>
      </c>
      <c r="BD8" s="164" t="s">
        <v>124</v>
      </c>
      <c r="BG8" s="164" t="s">
        <v>124</v>
      </c>
      <c r="BJ8" s="164" t="s">
        <v>124</v>
      </c>
      <c r="BM8" s="164" t="s">
        <v>124</v>
      </c>
      <c r="BP8" s="164" t="s">
        <v>124</v>
      </c>
      <c r="BS8" s="164" t="s">
        <v>124</v>
      </c>
      <c r="BV8" s="164" t="s">
        <v>124</v>
      </c>
      <c r="BY8" s="164" t="s">
        <v>124</v>
      </c>
      <c r="CB8" s="164" t="s">
        <v>124</v>
      </c>
      <c r="CE8" s="164" t="s">
        <v>124</v>
      </c>
      <c r="CH8" s="164" t="s">
        <v>124</v>
      </c>
      <c r="CK8" s="164" t="s">
        <v>124</v>
      </c>
      <c r="CN8" s="164" t="s">
        <v>124</v>
      </c>
      <c r="CQ8" s="164" t="s">
        <v>124</v>
      </c>
      <c r="CT8" s="164" t="s">
        <v>124</v>
      </c>
      <c r="CW8" s="164" t="s">
        <v>124</v>
      </c>
      <c r="CZ8" s="164" t="s">
        <v>124</v>
      </c>
      <c r="DC8" s="164" t="s">
        <v>124</v>
      </c>
      <c r="DF8" s="164" t="s">
        <v>124</v>
      </c>
      <c r="DI8" s="164" t="s">
        <v>124</v>
      </c>
      <c r="DL8" s="164" t="s">
        <v>124</v>
      </c>
      <c r="DO8" s="164" t="s">
        <v>124</v>
      </c>
      <c r="DR8" s="164" t="s">
        <v>124</v>
      </c>
      <c r="EB8" s="165"/>
      <c r="EC8" s="165"/>
      <c r="ED8" s="165"/>
      <c r="EE8" s="165" t="s">
        <v>125</v>
      </c>
      <c r="EG8" s="165"/>
      <c r="EH8" s="166" t="s">
        <v>108</v>
      </c>
      <c r="EI8" s="165" t="s">
        <v>125</v>
      </c>
      <c r="EJ8" s="165"/>
      <c r="EK8" s="154" t="s">
        <v>126</v>
      </c>
      <c r="EL8" s="154" t="s">
        <v>127</v>
      </c>
      <c r="EM8" s="166" t="s">
        <v>128</v>
      </c>
      <c r="EN8" s="165" t="s">
        <v>125</v>
      </c>
    </row>
    <row r="9" spans="1:147" x14ac:dyDescent="0.2">
      <c r="B9" s="167" t="s">
        <v>129</v>
      </c>
      <c r="C9" s="168"/>
      <c r="D9" s="162"/>
      <c r="E9" s="167" t="s">
        <v>130</v>
      </c>
      <c r="F9" s="168"/>
      <c r="G9" s="162"/>
      <c r="H9" s="167" t="s">
        <v>131</v>
      </c>
      <c r="I9" s="168"/>
      <c r="J9" s="162"/>
      <c r="K9" s="167" t="s">
        <v>132</v>
      </c>
      <c r="L9" s="168"/>
      <c r="M9" s="162"/>
      <c r="N9" s="167" t="s">
        <v>133</v>
      </c>
      <c r="O9" s="168"/>
      <c r="P9" s="162"/>
      <c r="Q9" s="167" t="s">
        <v>134</v>
      </c>
      <c r="R9" s="168"/>
      <c r="S9" s="162"/>
      <c r="T9" s="167" t="s">
        <v>135</v>
      </c>
      <c r="U9" s="168"/>
      <c r="V9" s="162"/>
      <c r="W9" s="167" t="s">
        <v>136</v>
      </c>
      <c r="X9" s="168"/>
      <c r="Y9" s="162"/>
      <c r="Z9" s="167" t="s">
        <v>137</v>
      </c>
      <c r="AA9" s="168"/>
      <c r="AB9" s="162"/>
      <c r="AC9" s="169" t="s">
        <v>138</v>
      </c>
      <c r="AD9" s="168"/>
      <c r="AE9" s="162"/>
      <c r="AF9" s="169" t="s">
        <v>139</v>
      </c>
      <c r="AG9" s="168"/>
      <c r="AH9" s="162"/>
      <c r="AI9" s="167" t="s">
        <v>140</v>
      </c>
      <c r="AJ9" s="168"/>
      <c r="AK9" s="162"/>
      <c r="AL9" s="167" t="s">
        <v>141</v>
      </c>
      <c r="AM9" s="168"/>
      <c r="AN9" s="162"/>
      <c r="AO9" s="167" t="s">
        <v>142</v>
      </c>
      <c r="AP9" s="168"/>
      <c r="AQ9" s="162"/>
      <c r="AR9" s="167" t="s">
        <v>143</v>
      </c>
      <c r="AS9" s="168"/>
      <c r="AT9" s="162"/>
      <c r="AU9" s="167" t="s">
        <v>144</v>
      </c>
      <c r="AV9" s="168"/>
      <c r="AW9" s="162"/>
      <c r="AX9" s="167" t="s">
        <v>145</v>
      </c>
      <c r="AY9" s="168"/>
      <c r="AZ9" s="162"/>
      <c r="BA9" s="167" t="s">
        <v>146</v>
      </c>
      <c r="BB9" s="168"/>
      <c r="BC9" s="162"/>
      <c r="BD9" s="167" t="s">
        <v>147</v>
      </c>
      <c r="BE9" s="168"/>
      <c r="BF9" s="162"/>
      <c r="BG9" s="167" t="s">
        <v>148</v>
      </c>
      <c r="BH9" s="168"/>
      <c r="BI9" s="162"/>
      <c r="BJ9" s="167" t="s">
        <v>149</v>
      </c>
      <c r="BK9" s="168"/>
      <c r="BL9" s="162"/>
      <c r="BM9" s="167" t="s">
        <v>150</v>
      </c>
      <c r="BN9" s="168"/>
      <c r="BO9" s="162"/>
      <c r="BP9" s="167" t="s">
        <v>151</v>
      </c>
      <c r="BQ9" s="168"/>
      <c r="BR9" s="162"/>
      <c r="BS9" s="167" t="s">
        <v>152</v>
      </c>
      <c r="BT9" s="168"/>
      <c r="BU9" s="162"/>
      <c r="BV9" s="167" t="s">
        <v>153</v>
      </c>
      <c r="BW9" s="168"/>
      <c r="BX9" s="162"/>
      <c r="BY9" s="167" t="s">
        <v>154</v>
      </c>
      <c r="BZ9" s="168"/>
      <c r="CA9" s="162"/>
      <c r="CB9" s="167" t="s">
        <v>155</v>
      </c>
      <c r="CC9" s="168"/>
      <c r="CD9" s="162"/>
      <c r="CE9" s="167" t="s">
        <v>156</v>
      </c>
      <c r="CF9" s="168"/>
      <c r="CG9" s="162"/>
      <c r="CH9" s="167" t="s">
        <v>157</v>
      </c>
      <c r="CI9" s="168"/>
      <c r="CJ9" s="162"/>
      <c r="CK9" s="167" t="s">
        <v>158</v>
      </c>
      <c r="CL9" s="168"/>
      <c r="CM9" s="162"/>
      <c r="CN9" s="167" t="s">
        <v>159</v>
      </c>
      <c r="CO9" s="168"/>
      <c r="CP9" s="162"/>
      <c r="CQ9" s="167" t="s">
        <v>160</v>
      </c>
      <c r="CR9" s="168"/>
      <c r="CS9" s="162"/>
      <c r="CT9" s="167" t="s">
        <v>161</v>
      </c>
      <c r="CU9" s="168"/>
      <c r="CV9" s="162"/>
      <c r="CW9" s="167" t="s">
        <v>162</v>
      </c>
      <c r="CX9" s="168"/>
      <c r="CY9" s="162"/>
      <c r="CZ9" s="167" t="s">
        <v>163</v>
      </c>
      <c r="DA9" s="168"/>
      <c r="DB9" s="162"/>
      <c r="DC9" s="167" t="s">
        <v>164</v>
      </c>
      <c r="DD9" s="168"/>
      <c r="DE9" s="162"/>
      <c r="DF9" s="167" t="s">
        <v>165</v>
      </c>
      <c r="DG9" s="168"/>
      <c r="DH9" s="162"/>
      <c r="DI9" s="167" t="s">
        <v>166</v>
      </c>
      <c r="DJ9" s="168"/>
      <c r="DK9" s="162"/>
      <c r="DL9" s="167" t="s">
        <v>167</v>
      </c>
      <c r="DM9" s="168"/>
      <c r="DN9" s="162"/>
      <c r="DO9" s="167" t="s">
        <v>168</v>
      </c>
      <c r="DP9" s="168"/>
      <c r="DQ9" s="162"/>
      <c r="DR9" s="167" t="s">
        <v>169</v>
      </c>
      <c r="DS9" s="168"/>
      <c r="DT9" s="162"/>
      <c r="DU9" s="167" t="s">
        <v>170</v>
      </c>
      <c r="DV9" s="168"/>
      <c r="DW9" s="162"/>
      <c r="DX9" s="170" t="s">
        <v>171</v>
      </c>
      <c r="DY9" s="168"/>
      <c r="DZ9" s="162"/>
      <c r="EA9" s="163"/>
      <c r="EB9" s="154" t="s">
        <v>172</v>
      </c>
      <c r="EC9" s="154" t="s">
        <v>173</v>
      </c>
      <c r="ED9" s="165" t="s">
        <v>174</v>
      </c>
      <c r="EE9" s="165" t="s">
        <v>175</v>
      </c>
      <c r="EG9" s="166" t="s">
        <v>176</v>
      </c>
      <c r="EH9" s="165" t="s">
        <v>174</v>
      </c>
      <c r="EI9" s="165" t="s">
        <v>175</v>
      </c>
      <c r="EJ9" s="165"/>
      <c r="EK9" s="166" t="s">
        <v>128</v>
      </c>
      <c r="EL9" s="166" t="s">
        <v>128</v>
      </c>
      <c r="EM9" s="165" t="s">
        <v>174</v>
      </c>
      <c r="EN9" s="165" t="s">
        <v>175</v>
      </c>
    </row>
    <row r="10" spans="1:147" x14ac:dyDescent="0.2">
      <c r="A10" s="165" t="s">
        <v>177</v>
      </c>
      <c r="B10" s="171" t="s">
        <v>178</v>
      </c>
      <c r="C10" s="172" t="s">
        <v>179</v>
      </c>
      <c r="D10" s="173" t="s">
        <v>19</v>
      </c>
      <c r="E10" s="171" t="s">
        <v>178</v>
      </c>
      <c r="F10" s="172" t="s">
        <v>179</v>
      </c>
      <c r="G10" s="173" t="s">
        <v>19</v>
      </c>
      <c r="H10" s="171" t="s">
        <v>178</v>
      </c>
      <c r="I10" s="172" t="s">
        <v>179</v>
      </c>
      <c r="J10" s="173" t="s">
        <v>19</v>
      </c>
      <c r="K10" s="171" t="s">
        <v>178</v>
      </c>
      <c r="L10" s="172" t="s">
        <v>179</v>
      </c>
      <c r="M10" s="173" t="s">
        <v>19</v>
      </c>
      <c r="N10" s="171" t="s">
        <v>178</v>
      </c>
      <c r="O10" s="172" t="s">
        <v>179</v>
      </c>
      <c r="P10" s="173" t="s">
        <v>19</v>
      </c>
      <c r="Q10" s="171" t="s">
        <v>178</v>
      </c>
      <c r="R10" s="172" t="s">
        <v>179</v>
      </c>
      <c r="S10" s="173" t="s">
        <v>19</v>
      </c>
      <c r="T10" s="171" t="s">
        <v>178</v>
      </c>
      <c r="U10" s="172" t="s">
        <v>179</v>
      </c>
      <c r="V10" s="173" t="s">
        <v>19</v>
      </c>
      <c r="W10" s="171" t="s">
        <v>178</v>
      </c>
      <c r="X10" s="172" t="s">
        <v>179</v>
      </c>
      <c r="Y10" s="173" t="s">
        <v>19</v>
      </c>
      <c r="Z10" s="171" t="s">
        <v>178</v>
      </c>
      <c r="AA10" s="172" t="s">
        <v>179</v>
      </c>
      <c r="AB10" s="173" t="s">
        <v>19</v>
      </c>
      <c r="AC10" s="171" t="s">
        <v>178</v>
      </c>
      <c r="AD10" s="172" t="s">
        <v>179</v>
      </c>
      <c r="AE10" s="173" t="s">
        <v>19</v>
      </c>
      <c r="AF10" s="171" t="s">
        <v>178</v>
      </c>
      <c r="AG10" s="172" t="s">
        <v>179</v>
      </c>
      <c r="AH10" s="173" t="s">
        <v>19</v>
      </c>
      <c r="AI10" s="171" t="s">
        <v>178</v>
      </c>
      <c r="AJ10" s="172" t="s">
        <v>179</v>
      </c>
      <c r="AK10" s="173" t="s">
        <v>19</v>
      </c>
      <c r="AL10" s="171" t="s">
        <v>178</v>
      </c>
      <c r="AM10" s="172" t="s">
        <v>179</v>
      </c>
      <c r="AN10" s="173" t="s">
        <v>19</v>
      </c>
      <c r="AO10" s="171" t="s">
        <v>178</v>
      </c>
      <c r="AP10" s="172" t="s">
        <v>179</v>
      </c>
      <c r="AQ10" s="173" t="s">
        <v>19</v>
      </c>
      <c r="AR10" s="171" t="s">
        <v>178</v>
      </c>
      <c r="AS10" s="172" t="s">
        <v>179</v>
      </c>
      <c r="AT10" s="173" t="s">
        <v>19</v>
      </c>
      <c r="AU10" s="171" t="s">
        <v>178</v>
      </c>
      <c r="AV10" s="172" t="s">
        <v>179</v>
      </c>
      <c r="AW10" s="173" t="s">
        <v>19</v>
      </c>
      <c r="AX10" s="171" t="s">
        <v>178</v>
      </c>
      <c r="AY10" s="172" t="s">
        <v>179</v>
      </c>
      <c r="AZ10" s="173" t="s">
        <v>19</v>
      </c>
      <c r="BA10" s="171" t="s">
        <v>178</v>
      </c>
      <c r="BB10" s="172" t="s">
        <v>179</v>
      </c>
      <c r="BC10" s="173" t="s">
        <v>19</v>
      </c>
      <c r="BD10" s="171" t="s">
        <v>178</v>
      </c>
      <c r="BE10" s="172" t="s">
        <v>179</v>
      </c>
      <c r="BF10" s="173" t="s">
        <v>19</v>
      </c>
      <c r="BG10" s="171" t="s">
        <v>178</v>
      </c>
      <c r="BH10" s="172" t="s">
        <v>179</v>
      </c>
      <c r="BI10" s="173" t="s">
        <v>19</v>
      </c>
      <c r="BJ10" s="171" t="s">
        <v>178</v>
      </c>
      <c r="BK10" s="172" t="s">
        <v>179</v>
      </c>
      <c r="BL10" s="173" t="s">
        <v>19</v>
      </c>
      <c r="BM10" s="171" t="s">
        <v>178</v>
      </c>
      <c r="BN10" s="172" t="s">
        <v>179</v>
      </c>
      <c r="BO10" s="173" t="s">
        <v>19</v>
      </c>
      <c r="BP10" s="171" t="s">
        <v>178</v>
      </c>
      <c r="BQ10" s="172" t="s">
        <v>179</v>
      </c>
      <c r="BR10" s="173" t="s">
        <v>19</v>
      </c>
      <c r="BS10" s="171" t="s">
        <v>178</v>
      </c>
      <c r="BT10" s="172" t="s">
        <v>179</v>
      </c>
      <c r="BU10" s="173" t="s">
        <v>19</v>
      </c>
      <c r="BV10" s="171" t="s">
        <v>178</v>
      </c>
      <c r="BW10" s="172" t="s">
        <v>179</v>
      </c>
      <c r="BX10" s="173" t="s">
        <v>19</v>
      </c>
      <c r="BY10" s="171" t="s">
        <v>178</v>
      </c>
      <c r="BZ10" s="172" t="s">
        <v>179</v>
      </c>
      <c r="CA10" s="173" t="s">
        <v>19</v>
      </c>
      <c r="CB10" s="171" t="s">
        <v>178</v>
      </c>
      <c r="CC10" s="172" t="s">
        <v>179</v>
      </c>
      <c r="CD10" s="173" t="s">
        <v>19</v>
      </c>
      <c r="CE10" s="171" t="s">
        <v>178</v>
      </c>
      <c r="CF10" s="172" t="s">
        <v>179</v>
      </c>
      <c r="CG10" s="173" t="s">
        <v>19</v>
      </c>
      <c r="CH10" s="171" t="s">
        <v>178</v>
      </c>
      <c r="CI10" s="172" t="s">
        <v>179</v>
      </c>
      <c r="CJ10" s="173" t="s">
        <v>19</v>
      </c>
      <c r="CK10" s="171" t="s">
        <v>178</v>
      </c>
      <c r="CL10" s="172" t="s">
        <v>179</v>
      </c>
      <c r="CM10" s="173" t="s">
        <v>19</v>
      </c>
      <c r="CN10" s="171" t="s">
        <v>178</v>
      </c>
      <c r="CO10" s="172" t="s">
        <v>179</v>
      </c>
      <c r="CP10" s="173" t="s">
        <v>19</v>
      </c>
      <c r="CQ10" s="171" t="s">
        <v>178</v>
      </c>
      <c r="CR10" s="172" t="s">
        <v>179</v>
      </c>
      <c r="CS10" s="173" t="s">
        <v>19</v>
      </c>
      <c r="CT10" s="171" t="s">
        <v>178</v>
      </c>
      <c r="CU10" s="172" t="s">
        <v>179</v>
      </c>
      <c r="CV10" s="173" t="s">
        <v>19</v>
      </c>
      <c r="CW10" s="171" t="s">
        <v>178</v>
      </c>
      <c r="CX10" s="172" t="s">
        <v>179</v>
      </c>
      <c r="CY10" s="173" t="s">
        <v>19</v>
      </c>
      <c r="CZ10" s="171" t="s">
        <v>178</v>
      </c>
      <c r="DA10" s="172" t="s">
        <v>179</v>
      </c>
      <c r="DB10" s="173" t="s">
        <v>19</v>
      </c>
      <c r="DC10" s="171" t="s">
        <v>178</v>
      </c>
      <c r="DD10" s="172" t="s">
        <v>179</v>
      </c>
      <c r="DE10" s="173" t="s">
        <v>19</v>
      </c>
      <c r="DF10" s="171" t="s">
        <v>178</v>
      </c>
      <c r="DG10" s="172" t="s">
        <v>179</v>
      </c>
      <c r="DH10" s="173" t="s">
        <v>19</v>
      </c>
      <c r="DI10" s="171" t="s">
        <v>178</v>
      </c>
      <c r="DJ10" s="172" t="s">
        <v>179</v>
      </c>
      <c r="DK10" s="173" t="s">
        <v>19</v>
      </c>
      <c r="DL10" s="171" t="s">
        <v>178</v>
      </c>
      <c r="DM10" s="172" t="s">
        <v>179</v>
      </c>
      <c r="DN10" s="173" t="s">
        <v>19</v>
      </c>
      <c r="DO10" s="171" t="s">
        <v>178</v>
      </c>
      <c r="DP10" s="172" t="s">
        <v>179</v>
      </c>
      <c r="DQ10" s="173" t="s">
        <v>19</v>
      </c>
      <c r="DR10" s="171" t="s">
        <v>178</v>
      </c>
      <c r="DS10" s="172" t="s">
        <v>179</v>
      </c>
      <c r="DT10" s="173" t="s">
        <v>19</v>
      </c>
      <c r="DU10" s="171" t="s">
        <v>178</v>
      </c>
      <c r="DV10" s="172" t="s">
        <v>179</v>
      </c>
      <c r="DW10" s="173" t="s">
        <v>19</v>
      </c>
      <c r="DX10" s="171" t="s">
        <v>178</v>
      </c>
      <c r="DY10" s="172"/>
      <c r="DZ10" s="173"/>
      <c r="EA10" s="173"/>
      <c r="EB10" s="173" t="s">
        <v>180</v>
      </c>
      <c r="EC10" s="173" t="s">
        <v>180</v>
      </c>
      <c r="ED10" s="173" t="s">
        <v>19</v>
      </c>
      <c r="EE10" s="174" t="s">
        <v>179</v>
      </c>
      <c r="EG10" s="173" t="s">
        <v>180</v>
      </c>
      <c r="EH10" s="173" t="s">
        <v>19</v>
      </c>
      <c r="EI10" s="174" t="s">
        <v>179</v>
      </c>
      <c r="EJ10" s="174"/>
      <c r="EK10" s="173" t="s">
        <v>180</v>
      </c>
      <c r="EL10" s="173" t="s">
        <v>180</v>
      </c>
      <c r="EM10" s="173" t="s">
        <v>19</v>
      </c>
      <c r="EN10" s="174" t="s">
        <v>179</v>
      </c>
    </row>
    <row r="11" spans="1:147" x14ac:dyDescent="0.2">
      <c r="A11" s="175">
        <v>44013</v>
      </c>
      <c r="B11" s="143">
        <v>53675000</v>
      </c>
      <c r="C11" s="144">
        <v>1.1999999999999999E-3</v>
      </c>
      <c r="D11" s="143">
        <f>(B11*C11)/360</f>
        <v>178.91666666666666</v>
      </c>
      <c r="G11" s="143">
        <f>(E11*F11)/360</f>
        <v>0</v>
      </c>
      <c r="J11" s="143">
        <f>(H11*I11)/360</f>
        <v>0</v>
      </c>
      <c r="M11" s="143">
        <f>(K11*L11)/360</f>
        <v>0</v>
      </c>
      <c r="P11" s="143">
        <f>(N11*O11)/360</f>
        <v>0</v>
      </c>
      <c r="S11" s="143">
        <f>(Q11*R11)/360</f>
        <v>0</v>
      </c>
      <c r="V11" s="143">
        <f>(T11*U11)/360</f>
        <v>0</v>
      </c>
      <c r="Y11" s="143">
        <f>(W11*X11)/360</f>
        <v>0</v>
      </c>
      <c r="AB11" s="143">
        <f>(Z11*AA11)/360</f>
        <v>0</v>
      </c>
      <c r="AE11" s="143">
        <f>(AC11*AD11)/'[22]Input Sheet'!$B$11</f>
        <v>0</v>
      </c>
      <c r="AH11" s="143">
        <f>(AF11*AG11)/'[22]Input Sheet'!$B$11</f>
        <v>0</v>
      </c>
      <c r="AI11" s="176">
        <v>89850000</v>
      </c>
      <c r="AJ11" s="177">
        <v>2.5000000000000001E-3</v>
      </c>
      <c r="AK11" s="143">
        <f>(AI11*AJ11)/360</f>
        <v>623.95833333333337</v>
      </c>
      <c r="AL11" s="176"/>
      <c r="AM11" s="177"/>
      <c r="AN11" s="143">
        <f>(AL11*AM11)/360</f>
        <v>0</v>
      </c>
      <c r="AO11" s="176"/>
      <c r="AP11" s="177"/>
      <c r="AQ11" s="143">
        <f>(AO11*AP11)/360</f>
        <v>0</v>
      </c>
      <c r="AR11" s="176"/>
      <c r="AS11" s="177"/>
      <c r="AT11" s="143">
        <f>(AR11*AS11)/360</f>
        <v>0</v>
      </c>
      <c r="AW11" s="143">
        <f>(AU11*AV11)/360</f>
        <v>0</v>
      </c>
      <c r="AZ11" s="143">
        <f>(AX11*AY11)/360</f>
        <v>0</v>
      </c>
      <c r="BC11" s="143">
        <f>(BA11*BB11)/360</f>
        <v>0</v>
      </c>
      <c r="BF11" s="143">
        <f>(BD11*BE11)/360</f>
        <v>0</v>
      </c>
      <c r="BI11" s="143">
        <f>(BG11*BH11)/360</f>
        <v>0</v>
      </c>
      <c r="BL11" s="143">
        <f>(BJ11*BK11)/360</f>
        <v>0</v>
      </c>
      <c r="BO11" s="143">
        <f>(BM11*BN11)/360</f>
        <v>0</v>
      </c>
      <c r="BR11" s="143">
        <f>(BP11*BQ11)/360</f>
        <v>0</v>
      </c>
      <c r="BU11" s="143">
        <f>(BS11*BT11)/360</f>
        <v>0</v>
      </c>
      <c r="BX11" s="143">
        <f>(BV11*BW11)/360</f>
        <v>0</v>
      </c>
      <c r="CA11" s="143">
        <f>(BY11*BZ11)/360</f>
        <v>0</v>
      </c>
      <c r="CD11" s="143">
        <f>(CB11*CC11)/360</f>
        <v>0</v>
      </c>
      <c r="CG11" s="143">
        <f>(CE11*CF11)/360</f>
        <v>0</v>
      </c>
      <c r="CJ11" s="143">
        <f>(CH11*CI11)/360</f>
        <v>0</v>
      </c>
      <c r="CM11" s="143">
        <f>(CK11*CL11)/360</f>
        <v>0</v>
      </c>
      <c r="CP11" s="143">
        <f>(CN11*CO11)/360</f>
        <v>0</v>
      </c>
      <c r="CS11" s="143">
        <f>(CQ11*CR11)/360</f>
        <v>0</v>
      </c>
      <c r="CV11" s="143">
        <f>(CT11*CU11)/360</f>
        <v>0</v>
      </c>
      <c r="CY11" s="143">
        <f>(CW11*CX11)/360</f>
        <v>0</v>
      </c>
      <c r="DB11" s="143">
        <f>(CZ11*DA11)/360</f>
        <v>0</v>
      </c>
      <c r="DE11" s="143">
        <f>(DC11*DD11)/360</f>
        <v>0</v>
      </c>
      <c r="DH11" s="143">
        <f>(DF11*DG11)/360</f>
        <v>0</v>
      </c>
      <c r="DK11" s="143">
        <f>(DI11*DJ11)/360</f>
        <v>0</v>
      </c>
      <c r="DN11" s="143">
        <f>(DL11*DM11)/360</f>
        <v>0</v>
      </c>
      <c r="DQ11" s="143">
        <f>(DO11*DP11)/360</f>
        <v>0</v>
      </c>
      <c r="DT11" s="143">
        <f>(DR11*DS11)/360</f>
        <v>0</v>
      </c>
      <c r="DW11" s="143">
        <f>(DU11*DV11)/360</f>
        <v>0</v>
      </c>
      <c r="DZ11" s="143"/>
      <c r="EA11" s="143"/>
      <c r="EB11" s="178">
        <f>B11+E11+H11+K11+N11+Q11+T11+W11+Z11+AC11+AF11+AL11+AO11+AR11+AU11+AX11+BA11+BD11+BG11+DU11+AI11+DR11+DO11+DL11+DI11+DF11+DC11+CZ11+CW11+CT11+CQ11+CN11+CK11+CH11+CE11+CB11+BY11+BV11+BS11+BP11+BM11+BJ11</f>
        <v>143525000</v>
      </c>
      <c r="EC11" s="178">
        <f>EB11-EK11+EL11</f>
        <v>53675000</v>
      </c>
      <c r="ED11" s="143">
        <f>D11+G11+J11+M11+P11+S11+V11+Y11+AB11+AE11+AH11+AK11+AN11+AQ11+AT11+AW11+AZ11+BC11+BF11+BI11+DW11+DT11+DQ11+DN11+DK11+DH11+DE11+DB11+CY11+CV11+CS11+CP11+CM11+CJ11+CG11+CD11+CA11+BX11+BU11+BR11+BO11+BL11</f>
        <v>802.875</v>
      </c>
      <c r="EE11" s="144">
        <f>IF(EB11&lt;&gt;0,((ED11/EB11)*360),0)</f>
        <v>2.0138303431457933E-3</v>
      </c>
      <c r="EG11" s="178">
        <f>Q11+T11+W11+Z11+AC11+AF11</f>
        <v>0</v>
      </c>
      <c r="EH11" s="143">
        <f>S11+V11+Y11+AB11+AE11+AH11</f>
        <v>0</v>
      </c>
      <c r="EI11" s="144">
        <f>IF(EG11&lt;&gt;0,((EH11/EG11)*360),0)</f>
        <v>0</v>
      </c>
      <c r="EJ11" s="144"/>
      <c r="EK11" s="178">
        <f>DR11+DL11+DI11+DF11+DC11+CZ11+CW11+CT11+CQ11+CN11+CK11+CH11+CE11+CB11+BY11+BV11+BS11+BP11+BM11+BJ11+BG11+BD11+BA11+AX11+AU11+AR11+AO11+AL11+AI11+DO11</f>
        <v>89850000</v>
      </c>
      <c r="EL11" s="178">
        <f>DX11</f>
        <v>0</v>
      </c>
      <c r="EM11" s="178">
        <f>DT11+DQ11+DN11+DK11+DH11+DE11+DB11+CY11+CV11+CS11+CP11+CM11+CJ11+CG11+CD11+CA11+BX11+BU11+BR11+BO11+BL11+BI11+BF11+BC11+AZ11+AW11+AT11+AQ11+AN11+AK11</f>
        <v>623.95833333333337</v>
      </c>
      <c r="EN11" s="144">
        <f>IF(EK11&lt;&gt;0,((EM11/EK11)*360),0)</f>
        <v>2.5000000000000001E-3</v>
      </c>
      <c r="EP11" s="143"/>
    </row>
    <row r="12" spans="1:147" x14ac:dyDescent="0.2">
      <c r="A12" s="175">
        <f>1+A11</f>
        <v>44014</v>
      </c>
      <c r="B12" s="143">
        <v>42175000</v>
      </c>
      <c r="C12" s="144">
        <v>1.1000000000000001E-3</v>
      </c>
      <c r="D12" s="143">
        <f t="shared" ref="D12:D41" si="0">(B12*C12)/360</f>
        <v>128.86805555555554</v>
      </c>
      <c r="G12" s="143">
        <f t="shared" ref="G12:G41" si="1">(E12*F12)/360</f>
        <v>0</v>
      </c>
      <c r="J12" s="143">
        <f t="shared" ref="J12:J41" si="2">(H12*I12)/360</f>
        <v>0</v>
      </c>
      <c r="M12" s="143">
        <f t="shared" ref="M12:M41" si="3">(K12*L12)/360</f>
        <v>0</v>
      </c>
      <c r="P12" s="143">
        <f t="shared" ref="P12:P41" si="4">(N12*O12)/360</f>
        <v>0</v>
      </c>
      <c r="S12" s="143">
        <f t="shared" ref="S12:S41" si="5">(Q12*R12)/360</f>
        <v>0</v>
      </c>
      <c r="V12" s="143">
        <f t="shared" ref="V12:V41" si="6">(T12*U12)/360</f>
        <v>0</v>
      </c>
      <c r="Y12" s="143">
        <f t="shared" ref="Y12:Y41" si="7">(W12*X12)/360</f>
        <v>0</v>
      </c>
      <c r="AB12" s="143">
        <f t="shared" ref="AB12:AB41" si="8">(Z12*AA12)/360</f>
        <v>0</v>
      </c>
      <c r="AE12" s="143">
        <f>(AC12*AD12)/'[22]Input Sheet'!$B$11</f>
        <v>0</v>
      </c>
      <c r="AH12" s="143">
        <f>(AF12*AG12)/'[22]Input Sheet'!$B$11</f>
        <v>0</v>
      </c>
      <c r="AI12" s="176">
        <v>98400000</v>
      </c>
      <c r="AJ12" s="177">
        <v>2.5000000000000001E-3</v>
      </c>
      <c r="AK12" s="143">
        <f t="shared" ref="AK12:AK41" si="9">(AI12*AJ12)/360</f>
        <v>683.33333333333337</v>
      </c>
      <c r="AL12" s="176"/>
      <c r="AM12" s="177"/>
      <c r="AN12" s="143">
        <f t="shared" ref="AN12:AN41" si="10">(AL12*AM12)/360</f>
        <v>0</v>
      </c>
      <c r="AO12" s="176"/>
      <c r="AP12" s="177"/>
      <c r="AQ12" s="143">
        <f t="shared" ref="AQ12:AQ41" si="11">(AO12*AP12)/360</f>
        <v>0</v>
      </c>
      <c r="AR12" s="176"/>
      <c r="AS12" s="177"/>
      <c r="AT12" s="143">
        <f t="shared" ref="AT12:AT41" si="12">(AR12*AS12)/360</f>
        <v>0</v>
      </c>
      <c r="AW12" s="143">
        <f t="shared" ref="AW12:AW41" si="13">(AU12*AV12)/360</f>
        <v>0</v>
      </c>
      <c r="AZ12" s="143">
        <f t="shared" ref="AZ12:AZ41" si="14">(AX12*AY12)/360</f>
        <v>0</v>
      </c>
      <c r="BC12" s="143">
        <f t="shared" ref="BC12:BC41" si="15">(BA12*BB12)/360</f>
        <v>0</v>
      </c>
      <c r="BF12" s="143">
        <f t="shared" ref="BF12:BF41" si="16">(BD12*BE12)/360</f>
        <v>0</v>
      </c>
      <c r="BI12" s="143">
        <f t="shared" ref="BI12:BI41" si="17">(BG12*BH12)/360</f>
        <v>0</v>
      </c>
      <c r="BL12" s="143">
        <f t="shared" ref="BL12:BL41" si="18">(BJ12*BK12)/360</f>
        <v>0</v>
      </c>
      <c r="BO12" s="143">
        <f t="shared" ref="BO12:BO41" si="19">(BM12*BN12)/360</f>
        <v>0</v>
      </c>
      <c r="BR12" s="143">
        <f t="shared" ref="BR12:BR41" si="20">(BP12*BQ12)/360</f>
        <v>0</v>
      </c>
      <c r="BU12" s="143">
        <f t="shared" ref="BU12:BU41" si="21">(BS12*BT12)/360</f>
        <v>0</v>
      </c>
      <c r="BX12" s="143">
        <f t="shared" ref="BX12:BX41" si="22">(BV12*BW12)/360</f>
        <v>0</v>
      </c>
      <c r="CA12" s="143">
        <f t="shared" ref="CA12:CA41" si="23">(BY12*BZ12)/360</f>
        <v>0</v>
      </c>
      <c r="CD12" s="143">
        <f t="shared" ref="CD12:CD41" si="24">(CB12*CC12)/360</f>
        <v>0</v>
      </c>
      <c r="CG12" s="143">
        <f t="shared" ref="CG12:CG41" si="25">(CE12*CF12)/360</f>
        <v>0</v>
      </c>
      <c r="CJ12" s="143">
        <f t="shared" ref="CJ12:CJ41" si="26">(CH12*CI12)/360</f>
        <v>0</v>
      </c>
      <c r="CM12" s="143">
        <f t="shared" ref="CM12:CM41" si="27">(CK12*CL12)/360</f>
        <v>0</v>
      </c>
      <c r="CP12" s="143">
        <f t="shared" ref="CP12:CP41" si="28">(CN12*CO12)/360</f>
        <v>0</v>
      </c>
      <c r="CS12" s="143">
        <f t="shared" ref="CS12:CS41" si="29">(CQ12*CR12)/360</f>
        <v>0</v>
      </c>
      <c r="CV12" s="143">
        <f t="shared" ref="CV12:CV41" si="30">(CT12*CU12)/360</f>
        <v>0</v>
      </c>
      <c r="CY12" s="143">
        <f t="shared" ref="CY12:CY41" si="31">(CW12*CX12)/360</f>
        <v>0</v>
      </c>
      <c r="DB12" s="143">
        <f t="shared" ref="DB12:DB41" si="32">(CZ12*DA12)/360</f>
        <v>0</v>
      </c>
      <c r="DE12" s="143">
        <f t="shared" ref="DE12:DE41" si="33">(DC12*DD12)/360</f>
        <v>0</v>
      </c>
      <c r="DH12" s="143">
        <f t="shared" ref="DH12:DH41" si="34">(DF12*DG12)/360</f>
        <v>0</v>
      </c>
      <c r="DK12" s="143">
        <f t="shared" ref="DK12:DK41" si="35">(DI12*DJ12)/360</f>
        <v>0</v>
      </c>
      <c r="DN12" s="143">
        <f t="shared" ref="DN12:DN41" si="36">(DL12*DM12)/360</f>
        <v>0</v>
      </c>
      <c r="DQ12" s="143">
        <f t="shared" ref="DQ12:DQ41" si="37">(DO12*DP12)/360</f>
        <v>0</v>
      </c>
      <c r="DT12" s="143">
        <f t="shared" ref="DT12:DT41" si="38">(DR12*DS12)/360</f>
        <v>0</v>
      </c>
      <c r="DW12" s="143">
        <f t="shared" ref="DW12:DW41" si="39">(DU12*DV12)/360</f>
        <v>0</v>
      </c>
      <c r="DZ12" s="143"/>
      <c r="EA12" s="143"/>
      <c r="EB12" s="178">
        <f t="shared" ref="EB12:EB41" si="40">B12+E12+H12+K12+N12+Q12+T12+W12+Z12+AC12+AF12+AL12+AO12+AR12+AU12+AX12+BA12+BD12+BG12+DU12+AI12+DR12+DO12+DL12+DI12+DF12+DC12+CZ12+CW12+CT12+CQ12+CN12+CK12+CH12+CE12+CB12+BY12+BV12+BS12+BP12+BM12+BJ12</f>
        <v>140575000</v>
      </c>
      <c r="EC12" s="178">
        <f t="shared" ref="EC12:EC41" si="41">EB12-EK12+EL12</f>
        <v>42175000</v>
      </c>
      <c r="ED12" s="143">
        <f>D12+G12+J12+M12+P12+S12+V12+Y12+AB12+AE12+AH12+AK12+AN12+AQ12+AT12+AW12+AZ12+BC12+BF12+BI12+DW12+DT12+DQ12+DN12+DK12+DH12+DE12+DB12+CY12+CV12+CS12+CP12+CM12+CJ12+CG12+CD12+CA12+BX12+BU12+BR12+BO12+BL12</f>
        <v>812.20138888888891</v>
      </c>
      <c r="EE12" s="144">
        <f>IF(EB12&lt;&gt;0,((ED12/EB12)*360),0)</f>
        <v>2.0799751022585809E-3</v>
      </c>
      <c r="EG12" s="178">
        <f t="shared" ref="EG12:EG41" si="42">Q12+T12+W12+Z12+AC12+AF12</f>
        <v>0</v>
      </c>
      <c r="EH12" s="143">
        <f t="shared" ref="EH12:EH41" si="43">S12+V12+Y12+AB12+AE12+AH12</f>
        <v>0</v>
      </c>
      <c r="EI12" s="144">
        <f t="shared" ref="EI12:EI41" si="44">IF(EG12&lt;&gt;0,((EH12/EG12)*360),0)</f>
        <v>0</v>
      </c>
      <c r="EJ12" s="144"/>
      <c r="EK12" s="178">
        <f t="shared" ref="EK12:EK41" si="45">DR12+DL12+DI12+DF12+DC12+CZ12+CW12+CT12+CQ12+CN12+CK12+CH12+CE12+CB12+BY12+BV12+BS12+BP12+BM12+BJ12+BG12+BD12+BA12+AX12+AU12+AR12+AO12+AL12+AI12+DO12</f>
        <v>98400000</v>
      </c>
      <c r="EL12" s="178">
        <f t="shared" ref="EL12:EL41" si="46">DX12</f>
        <v>0</v>
      </c>
      <c r="EM12" s="178">
        <f>DT12+DQ12+DN12+DK12+DH12+DE12+DB12+CY12+CV12+CS12+CP12+CM12+CJ12+CG12+CD12+CA12+BX12+BU12+BR12+BO12+BL12+BI12+BF12+BC12+AZ12+AW12+AT12+AQ12+AN12+AK12</f>
        <v>683.33333333333337</v>
      </c>
      <c r="EN12" s="144">
        <f>IF(EK12&lt;&gt;0,((EM12/EK12)*360),0)</f>
        <v>2.5000000000000001E-3</v>
      </c>
      <c r="EP12" s="143"/>
    </row>
    <row r="13" spans="1:147" x14ac:dyDescent="0.2">
      <c r="A13" s="175">
        <f t="shared" ref="A13:A41" si="47">1+A12</f>
        <v>44015</v>
      </c>
      <c r="B13" s="143">
        <v>42425000</v>
      </c>
      <c r="C13" s="144">
        <v>1.1000000000000001E-3</v>
      </c>
      <c r="D13" s="143">
        <f t="shared" si="0"/>
        <v>129.63194444444446</v>
      </c>
      <c r="G13" s="143">
        <f t="shared" si="1"/>
        <v>0</v>
      </c>
      <c r="J13" s="143">
        <f t="shared" si="2"/>
        <v>0</v>
      </c>
      <c r="M13" s="143">
        <f t="shared" si="3"/>
        <v>0</v>
      </c>
      <c r="P13" s="143">
        <f t="shared" si="4"/>
        <v>0</v>
      </c>
      <c r="S13" s="143">
        <f t="shared" si="5"/>
        <v>0</v>
      </c>
      <c r="V13" s="143">
        <f t="shared" si="6"/>
        <v>0</v>
      </c>
      <c r="Y13" s="143">
        <f t="shared" si="7"/>
        <v>0</v>
      </c>
      <c r="AB13" s="143">
        <f t="shared" si="8"/>
        <v>0</v>
      </c>
      <c r="AE13" s="143">
        <f>(AC13*AD13)/'[22]Input Sheet'!$B$11</f>
        <v>0</v>
      </c>
      <c r="AH13" s="143">
        <f>(AF13*AG13)/'[22]Input Sheet'!$B$11</f>
        <v>0</v>
      </c>
      <c r="AI13" s="176">
        <v>98400000</v>
      </c>
      <c r="AJ13" s="177">
        <v>2.5000000000000001E-3</v>
      </c>
      <c r="AK13" s="143">
        <f t="shared" si="9"/>
        <v>683.33333333333337</v>
      </c>
      <c r="AL13" s="176"/>
      <c r="AM13" s="177"/>
      <c r="AN13" s="143">
        <f t="shared" si="10"/>
        <v>0</v>
      </c>
      <c r="AO13" s="176"/>
      <c r="AP13" s="177"/>
      <c r="AQ13" s="143">
        <f t="shared" si="11"/>
        <v>0</v>
      </c>
      <c r="AR13" s="176"/>
      <c r="AS13" s="177"/>
      <c r="AT13" s="143">
        <f t="shared" si="12"/>
        <v>0</v>
      </c>
      <c r="AW13" s="143">
        <f t="shared" si="13"/>
        <v>0</v>
      </c>
      <c r="AZ13" s="143">
        <f t="shared" si="14"/>
        <v>0</v>
      </c>
      <c r="BC13" s="143">
        <f t="shared" si="15"/>
        <v>0</v>
      </c>
      <c r="BF13" s="143">
        <f t="shared" si="16"/>
        <v>0</v>
      </c>
      <c r="BI13" s="143">
        <f t="shared" si="17"/>
        <v>0</v>
      </c>
      <c r="BL13" s="143">
        <f t="shared" si="18"/>
        <v>0</v>
      </c>
      <c r="BO13" s="143">
        <f t="shared" si="19"/>
        <v>0</v>
      </c>
      <c r="BR13" s="143">
        <f t="shared" si="20"/>
        <v>0</v>
      </c>
      <c r="BU13" s="143">
        <f t="shared" si="21"/>
        <v>0</v>
      </c>
      <c r="BX13" s="143">
        <f t="shared" si="22"/>
        <v>0</v>
      </c>
      <c r="CA13" s="143">
        <f t="shared" si="23"/>
        <v>0</v>
      </c>
      <c r="CD13" s="143">
        <f t="shared" si="24"/>
        <v>0</v>
      </c>
      <c r="CG13" s="143">
        <f t="shared" si="25"/>
        <v>0</v>
      </c>
      <c r="CJ13" s="143">
        <f t="shared" si="26"/>
        <v>0</v>
      </c>
      <c r="CM13" s="143">
        <f t="shared" si="27"/>
        <v>0</v>
      </c>
      <c r="CP13" s="143">
        <f t="shared" si="28"/>
        <v>0</v>
      </c>
      <c r="CS13" s="143">
        <f t="shared" si="29"/>
        <v>0</v>
      </c>
      <c r="CV13" s="143">
        <f t="shared" si="30"/>
        <v>0</v>
      </c>
      <c r="CY13" s="143">
        <f t="shared" si="31"/>
        <v>0</v>
      </c>
      <c r="DB13" s="143">
        <f t="shared" si="32"/>
        <v>0</v>
      </c>
      <c r="DE13" s="143">
        <f t="shared" si="33"/>
        <v>0</v>
      </c>
      <c r="DH13" s="143">
        <f t="shared" si="34"/>
        <v>0</v>
      </c>
      <c r="DK13" s="143">
        <f t="shared" si="35"/>
        <v>0</v>
      </c>
      <c r="DN13" s="143">
        <f t="shared" si="36"/>
        <v>0</v>
      </c>
      <c r="DQ13" s="143">
        <f t="shared" si="37"/>
        <v>0</v>
      </c>
      <c r="DT13" s="143">
        <f t="shared" si="38"/>
        <v>0</v>
      </c>
      <c r="DW13" s="143">
        <f t="shared" si="39"/>
        <v>0</v>
      </c>
      <c r="DZ13" s="143"/>
      <c r="EA13" s="143"/>
      <c r="EB13" s="178">
        <f t="shared" si="40"/>
        <v>140825000</v>
      </c>
      <c r="EC13" s="178">
        <f t="shared" si="41"/>
        <v>42425000</v>
      </c>
      <c r="ED13" s="143">
        <f t="shared" ref="ED13:ED41" si="48">D13+G13+J13+M13+P13+S13+V13+Y13+AB13+AE13+AH13+AK13+AN13+AQ13+AT13+AW13+AZ13+BC13+BF13+BI13+DW13+DT13+DQ13+DN13+DK13+DH13+DE13+DB13+CY13+CV13+CS13+CP13+CM13+CJ13+CG13+CD13+CA13+BX13+BU13+BR13+BO13+BL13</f>
        <v>812.96527777777783</v>
      </c>
      <c r="EE13" s="144">
        <f t="shared" ref="EE13:EE41" si="49">IF(EB13&lt;&gt;0,((ED13/EB13)*360),0)</f>
        <v>2.0782353985442925E-3</v>
      </c>
      <c r="EG13" s="178">
        <f t="shared" si="42"/>
        <v>0</v>
      </c>
      <c r="EH13" s="143">
        <f t="shared" si="43"/>
        <v>0</v>
      </c>
      <c r="EI13" s="144">
        <f t="shared" si="44"/>
        <v>0</v>
      </c>
      <c r="EJ13" s="144"/>
      <c r="EK13" s="178">
        <f t="shared" si="45"/>
        <v>98400000</v>
      </c>
      <c r="EL13" s="178">
        <f t="shared" si="46"/>
        <v>0</v>
      </c>
      <c r="EM13" s="178">
        <f t="shared" ref="EM13:EM41" si="50">DT13+DQ13+DN13+DK13+DH13+DE13+DB13+CY13+CV13+CS13+CP13+CM13+CJ13+CG13+CD13+CA13+BX13+BU13+BR13+BO13+BL13+BI13+BF13+BC13+AZ13+AW13+AT13+AQ13+AN13+AK13</f>
        <v>683.33333333333337</v>
      </c>
      <c r="EN13" s="144">
        <f t="shared" ref="EN13:EN41" si="51">IF(EK13&lt;&gt;0,((EM13/EK13)*360),0)</f>
        <v>2.5000000000000001E-3</v>
      </c>
      <c r="EP13" s="143"/>
    </row>
    <row r="14" spans="1:147" x14ac:dyDescent="0.2">
      <c r="A14" s="175">
        <f t="shared" si="47"/>
        <v>44016</v>
      </c>
      <c r="B14" s="143">
        <v>42425000</v>
      </c>
      <c r="C14" s="144">
        <v>1.1000000000000001E-3</v>
      </c>
      <c r="D14" s="143">
        <f t="shared" si="0"/>
        <v>129.63194444444446</v>
      </c>
      <c r="G14" s="143">
        <f t="shared" si="1"/>
        <v>0</v>
      </c>
      <c r="J14" s="143">
        <f t="shared" si="2"/>
        <v>0</v>
      </c>
      <c r="M14" s="143">
        <f t="shared" si="3"/>
        <v>0</v>
      </c>
      <c r="P14" s="143">
        <f t="shared" si="4"/>
        <v>0</v>
      </c>
      <c r="S14" s="143">
        <f t="shared" si="5"/>
        <v>0</v>
      </c>
      <c r="V14" s="143">
        <f t="shared" si="6"/>
        <v>0</v>
      </c>
      <c r="Y14" s="143">
        <f t="shared" si="7"/>
        <v>0</v>
      </c>
      <c r="AB14" s="143">
        <f t="shared" si="8"/>
        <v>0</v>
      </c>
      <c r="AE14" s="143">
        <f>(AC14*AD14)/'[22]Input Sheet'!$B$11</f>
        <v>0</v>
      </c>
      <c r="AH14" s="143">
        <f>(AF14*AG14)/'[22]Input Sheet'!$B$11</f>
        <v>0</v>
      </c>
      <c r="AI14" s="176">
        <v>98400000</v>
      </c>
      <c r="AJ14" s="177">
        <v>2.5000000000000001E-3</v>
      </c>
      <c r="AK14" s="143">
        <f t="shared" si="9"/>
        <v>683.33333333333337</v>
      </c>
      <c r="AL14" s="176"/>
      <c r="AM14" s="177"/>
      <c r="AN14" s="143">
        <f t="shared" si="10"/>
        <v>0</v>
      </c>
      <c r="AO14" s="176"/>
      <c r="AP14" s="177"/>
      <c r="AQ14" s="143">
        <f t="shared" si="11"/>
        <v>0</v>
      </c>
      <c r="AR14" s="176"/>
      <c r="AS14" s="177"/>
      <c r="AT14" s="143">
        <f t="shared" si="12"/>
        <v>0</v>
      </c>
      <c r="AW14" s="143">
        <f t="shared" si="13"/>
        <v>0</v>
      </c>
      <c r="AZ14" s="143">
        <f t="shared" si="14"/>
        <v>0</v>
      </c>
      <c r="BC14" s="143">
        <f t="shared" si="15"/>
        <v>0</v>
      </c>
      <c r="BF14" s="143">
        <f t="shared" si="16"/>
        <v>0</v>
      </c>
      <c r="BI14" s="143">
        <f t="shared" si="17"/>
        <v>0</v>
      </c>
      <c r="BL14" s="143">
        <f t="shared" si="18"/>
        <v>0</v>
      </c>
      <c r="BO14" s="143">
        <f t="shared" si="19"/>
        <v>0</v>
      </c>
      <c r="BR14" s="143">
        <f t="shared" si="20"/>
        <v>0</v>
      </c>
      <c r="BU14" s="143">
        <f t="shared" si="21"/>
        <v>0</v>
      </c>
      <c r="BX14" s="143">
        <f t="shared" si="22"/>
        <v>0</v>
      </c>
      <c r="CA14" s="143">
        <f t="shared" si="23"/>
        <v>0</v>
      </c>
      <c r="CD14" s="143">
        <f t="shared" si="24"/>
        <v>0</v>
      </c>
      <c r="CG14" s="143">
        <f t="shared" si="25"/>
        <v>0</v>
      </c>
      <c r="CJ14" s="143">
        <f t="shared" si="26"/>
        <v>0</v>
      </c>
      <c r="CM14" s="143">
        <f t="shared" si="27"/>
        <v>0</v>
      </c>
      <c r="CP14" s="143">
        <f t="shared" si="28"/>
        <v>0</v>
      </c>
      <c r="CS14" s="143">
        <f t="shared" si="29"/>
        <v>0</v>
      </c>
      <c r="CV14" s="143">
        <f t="shared" si="30"/>
        <v>0</v>
      </c>
      <c r="CY14" s="143">
        <f t="shared" si="31"/>
        <v>0</v>
      </c>
      <c r="DB14" s="143">
        <f t="shared" si="32"/>
        <v>0</v>
      </c>
      <c r="DE14" s="143">
        <f t="shared" si="33"/>
        <v>0</v>
      </c>
      <c r="DH14" s="143">
        <f t="shared" si="34"/>
        <v>0</v>
      </c>
      <c r="DK14" s="143">
        <f t="shared" si="35"/>
        <v>0</v>
      </c>
      <c r="DN14" s="143">
        <f t="shared" si="36"/>
        <v>0</v>
      </c>
      <c r="DQ14" s="143">
        <f t="shared" si="37"/>
        <v>0</v>
      </c>
      <c r="DT14" s="143">
        <f t="shared" si="38"/>
        <v>0</v>
      </c>
      <c r="DW14" s="143">
        <f t="shared" si="39"/>
        <v>0</v>
      </c>
      <c r="DZ14" s="143"/>
      <c r="EA14" s="143"/>
      <c r="EB14" s="178">
        <f t="shared" si="40"/>
        <v>140825000</v>
      </c>
      <c r="EC14" s="178">
        <f t="shared" si="41"/>
        <v>42425000</v>
      </c>
      <c r="ED14" s="143">
        <f t="shared" si="48"/>
        <v>812.96527777777783</v>
      </c>
      <c r="EE14" s="144">
        <f t="shared" si="49"/>
        <v>2.0782353985442925E-3</v>
      </c>
      <c r="EG14" s="178">
        <f t="shared" si="42"/>
        <v>0</v>
      </c>
      <c r="EH14" s="143">
        <f t="shared" si="43"/>
        <v>0</v>
      </c>
      <c r="EI14" s="144">
        <f t="shared" si="44"/>
        <v>0</v>
      </c>
      <c r="EJ14" s="144"/>
      <c r="EK14" s="178">
        <f t="shared" si="45"/>
        <v>98400000</v>
      </c>
      <c r="EL14" s="178">
        <f t="shared" si="46"/>
        <v>0</v>
      </c>
      <c r="EM14" s="178">
        <f t="shared" si="50"/>
        <v>683.33333333333337</v>
      </c>
      <c r="EN14" s="144">
        <f t="shared" si="51"/>
        <v>2.5000000000000001E-3</v>
      </c>
      <c r="EP14" s="143"/>
    </row>
    <row r="15" spans="1:147" x14ac:dyDescent="0.2">
      <c r="A15" s="175">
        <f t="shared" si="47"/>
        <v>44017</v>
      </c>
      <c r="B15" s="143">
        <v>42425000</v>
      </c>
      <c r="C15" s="144">
        <v>1.1000000000000001E-3</v>
      </c>
      <c r="D15" s="143">
        <f t="shared" si="0"/>
        <v>129.63194444444446</v>
      </c>
      <c r="G15" s="143">
        <f t="shared" si="1"/>
        <v>0</v>
      </c>
      <c r="J15" s="143">
        <f t="shared" si="2"/>
        <v>0</v>
      </c>
      <c r="M15" s="143">
        <f t="shared" si="3"/>
        <v>0</v>
      </c>
      <c r="P15" s="143">
        <f t="shared" si="4"/>
        <v>0</v>
      </c>
      <c r="S15" s="143">
        <f t="shared" si="5"/>
        <v>0</v>
      </c>
      <c r="V15" s="143">
        <f t="shared" si="6"/>
        <v>0</v>
      </c>
      <c r="Y15" s="143">
        <f t="shared" si="7"/>
        <v>0</v>
      </c>
      <c r="AB15" s="143">
        <f t="shared" si="8"/>
        <v>0</v>
      </c>
      <c r="AE15" s="143">
        <f>(AC15*AD15)/'[22]Input Sheet'!$B$11</f>
        <v>0</v>
      </c>
      <c r="AH15" s="143">
        <f>(AF15*AG15)/'[22]Input Sheet'!$B$11</f>
        <v>0</v>
      </c>
      <c r="AI15" s="176">
        <v>98400000</v>
      </c>
      <c r="AJ15" s="177">
        <v>2.5000000000000001E-3</v>
      </c>
      <c r="AK15" s="143">
        <f t="shared" si="9"/>
        <v>683.33333333333337</v>
      </c>
      <c r="AL15" s="176"/>
      <c r="AM15" s="177"/>
      <c r="AN15" s="143">
        <f t="shared" si="10"/>
        <v>0</v>
      </c>
      <c r="AO15" s="176"/>
      <c r="AP15" s="177"/>
      <c r="AQ15" s="143">
        <f t="shared" si="11"/>
        <v>0</v>
      </c>
      <c r="AR15" s="176"/>
      <c r="AS15" s="177"/>
      <c r="AT15" s="143">
        <f t="shared" si="12"/>
        <v>0</v>
      </c>
      <c r="AW15" s="143">
        <f t="shared" si="13"/>
        <v>0</v>
      </c>
      <c r="AZ15" s="143">
        <f t="shared" si="14"/>
        <v>0</v>
      </c>
      <c r="BC15" s="143">
        <f t="shared" si="15"/>
        <v>0</v>
      </c>
      <c r="BF15" s="143">
        <f t="shared" si="16"/>
        <v>0</v>
      </c>
      <c r="BI15" s="143">
        <f t="shared" si="17"/>
        <v>0</v>
      </c>
      <c r="BL15" s="143">
        <f t="shared" si="18"/>
        <v>0</v>
      </c>
      <c r="BO15" s="143">
        <f t="shared" si="19"/>
        <v>0</v>
      </c>
      <c r="BR15" s="143">
        <f t="shared" si="20"/>
        <v>0</v>
      </c>
      <c r="BU15" s="143">
        <f t="shared" si="21"/>
        <v>0</v>
      </c>
      <c r="BX15" s="143">
        <f t="shared" si="22"/>
        <v>0</v>
      </c>
      <c r="CA15" s="143">
        <f t="shared" si="23"/>
        <v>0</v>
      </c>
      <c r="CD15" s="143">
        <f t="shared" si="24"/>
        <v>0</v>
      </c>
      <c r="CG15" s="143">
        <f t="shared" si="25"/>
        <v>0</v>
      </c>
      <c r="CJ15" s="143">
        <f t="shared" si="26"/>
        <v>0</v>
      </c>
      <c r="CM15" s="143">
        <f t="shared" si="27"/>
        <v>0</v>
      </c>
      <c r="CP15" s="143">
        <f t="shared" si="28"/>
        <v>0</v>
      </c>
      <c r="CS15" s="143">
        <f t="shared" si="29"/>
        <v>0</v>
      </c>
      <c r="CV15" s="143">
        <f t="shared" si="30"/>
        <v>0</v>
      </c>
      <c r="CY15" s="143">
        <f t="shared" si="31"/>
        <v>0</v>
      </c>
      <c r="DB15" s="143">
        <f t="shared" si="32"/>
        <v>0</v>
      </c>
      <c r="DE15" s="143">
        <f t="shared" si="33"/>
        <v>0</v>
      </c>
      <c r="DH15" s="143">
        <f t="shared" si="34"/>
        <v>0</v>
      </c>
      <c r="DK15" s="143">
        <f t="shared" si="35"/>
        <v>0</v>
      </c>
      <c r="DN15" s="143">
        <f t="shared" si="36"/>
        <v>0</v>
      </c>
      <c r="DQ15" s="143">
        <f t="shared" si="37"/>
        <v>0</v>
      </c>
      <c r="DT15" s="143">
        <f t="shared" si="38"/>
        <v>0</v>
      </c>
      <c r="DW15" s="143">
        <f t="shared" si="39"/>
        <v>0</v>
      </c>
      <c r="DZ15" s="143"/>
      <c r="EA15" s="143"/>
      <c r="EB15" s="178">
        <f t="shared" si="40"/>
        <v>140825000</v>
      </c>
      <c r="EC15" s="178">
        <f t="shared" si="41"/>
        <v>42425000</v>
      </c>
      <c r="ED15" s="143">
        <f t="shared" si="48"/>
        <v>812.96527777777783</v>
      </c>
      <c r="EE15" s="144">
        <f t="shared" si="49"/>
        <v>2.0782353985442925E-3</v>
      </c>
      <c r="EG15" s="178">
        <f t="shared" si="42"/>
        <v>0</v>
      </c>
      <c r="EH15" s="143">
        <f t="shared" si="43"/>
        <v>0</v>
      </c>
      <c r="EI15" s="144">
        <f t="shared" si="44"/>
        <v>0</v>
      </c>
      <c r="EJ15" s="144"/>
      <c r="EK15" s="178">
        <f t="shared" si="45"/>
        <v>98400000</v>
      </c>
      <c r="EL15" s="178">
        <f t="shared" si="46"/>
        <v>0</v>
      </c>
      <c r="EM15" s="178">
        <f t="shared" si="50"/>
        <v>683.33333333333337</v>
      </c>
      <c r="EN15" s="144">
        <f t="shared" si="51"/>
        <v>2.5000000000000001E-3</v>
      </c>
      <c r="EP15" s="143"/>
    </row>
    <row r="16" spans="1:147" x14ac:dyDescent="0.2">
      <c r="A16" s="175">
        <f t="shared" si="47"/>
        <v>44018</v>
      </c>
      <c r="B16" s="143">
        <v>55800000</v>
      </c>
      <c r="C16" s="144">
        <v>1.1000000000000001E-3</v>
      </c>
      <c r="D16" s="143">
        <f t="shared" si="0"/>
        <v>170.50000000000003</v>
      </c>
      <c r="G16" s="143">
        <f t="shared" si="1"/>
        <v>0</v>
      </c>
      <c r="J16" s="143">
        <f t="shared" si="2"/>
        <v>0</v>
      </c>
      <c r="M16" s="143">
        <f t="shared" si="3"/>
        <v>0</v>
      </c>
      <c r="P16" s="143">
        <f t="shared" si="4"/>
        <v>0</v>
      </c>
      <c r="S16" s="143">
        <f t="shared" si="5"/>
        <v>0</v>
      </c>
      <c r="V16" s="143">
        <f t="shared" si="6"/>
        <v>0</v>
      </c>
      <c r="Y16" s="143">
        <f t="shared" si="7"/>
        <v>0</v>
      </c>
      <c r="AB16" s="143">
        <f t="shared" si="8"/>
        <v>0</v>
      </c>
      <c r="AE16" s="143">
        <f>(AC16*AD16)/'[22]Input Sheet'!$B$11</f>
        <v>0</v>
      </c>
      <c r="AH16" s="143">
        <f>(AF16*AG16)/'[22]Input Sheet'!$B$11</f>
        <v>0</v>
      </c>
      <c r="AI16" s="176">
        <v>91575000</v>
      </c>
      <c r="AJ16" s="177">
        <v>2.5000000000000001E-3</v>
      </c>
      <c r="AK16" s="143">
        <f t="shared" si="9"/>
        <v>635.9375</v>
      </c>
      <c r="AL16" s="176"/>
      <c r="AM16" s="177"/>
      <c r="AN16" s="143">
        <f t="shared" si="10"/>
        <v>0</v>
      </c>
      <c r="AO16" s="176"/>
      <c r="AP16" s="177"/>
      <c r="AQ16" s="143">
        <f t="shared" si="11"/>
        <v>0</v>
      </c>
      <c r="AR16" s="176"/>
      <c r="AS16" s="177"/>
      <c r="AT16" s="143">
        <f t="shared" si="12"/>
        <v>0</v>
      </c>
      <c r="AW16" s="143">
        <f t="shared" si="13"/>
        <v>0</v>
      </c>
      <c r="AZ16" s="143">
        <f t="shared" si="14"/>
        <v>0</v>
      </c>
      <c r="BC16" s="143">
        <f t="shared" si="15"/>
        <v>0</v>
      </c>
      <c r="BF16" s="143">
        <f t="shared" si="16"/>
        <v>0</v>
      </c>
      <c r="BI16" s="143">
        <f t="shared" si="17"/>
        <v>0</v>
      </c>
      <c r="BL16" s="143">
        <f t="shared" si="18"/>
        <v>0</v>
      </c>
      <c r="BO16" s="143">
        <f t="shared" si="19"/>
        <v>0</v>
      </c>
      <c r="BR16" s="143">
        <f t="shared" si="20"/>
        <v>0</v>
      </c>
      <c r="BU16" s="143">
        <f t="shared" si="21"/>
        <v>0</v>
      </c>
      <c r="BX16" s="143">
        <f t="shared" si="22"/>
        <v>0</v>
      </c>
      <c r="CA16" s="143">
        <f t="shared" si="23"/>
        <v>0</v>
      </c>
      <c r="CD16" s="143">
        <f t="shared" si="24"/>
        <v>0</v>
      </c>
      <c r="CG16" s="143">
        <f t="shared" si="25"/>
        <v>0</v>
      </c>
      <c r="CJ16" s="143">
        <f t="shared" si="26"/>
        <v>0</v>
      </c>
      <c r="CM16" s="143">
        <f t="shared" si="27"/>
        <v>0</v>
      </c>
      <c r="CP16" s="143">
        <f t="shared" si="28"/>
        <v>0</v>
      </c>
      <c r="CS16" s="143">
        <f t="shared" si="29"/>
        <v>0</v>
      </c>
      <c r="CV16" s="143">
        <f t="shared" si="30"/>
        <v>0</v>
      </c>
      <c r="CY16" s="143">
        <f t="shared" si="31"/>
        <v>0</v>
      </c>
      <c r="DB16" s="143">
        <f t="shared" si="32"/>
        <v>0</v>
      </c>
      <c r="DE16" s="143">
        <f t="shared" si="33"/>
        <v>0</v>
      </c>
      <c r="DH16" s="143">
        <f t="shared" si="34"/>
        <v>0</v>
      </c>
      <c r="DK16" s="143">
        <f t="shared" si="35"/>
        <v>0</v>
      </c>
      <c r="DN16" s="143">
        <f t="shared" si="36"/>
        <v>0</v>
      </c>
      <c r="DQ16" s="143">
        <f t="shared" si="37"/>
        <v>0</v>
      </c>
      <c r="DT16" s="143">
        <f t="shared" si="38"/>
        <v>0</v>
      </c>
      <c r="DW16" s="143">
        <f t="shared" si="39"/>
        <v>0</v>
      </c>
      <c r="DZ16" s="143"/>
      <c r="EA16" s="143"/>
      <c r="EB16" s="178">
        <f t="shared" si="40"/>
        <v>147375000</v>
      </c>
      <c r="EC16" s="178">
        <f t="shared" si="41"/>
        <v>55800000</v>
      </c>
      <c r="ED16" s="143">
        <f t="shared" si="48"/>
        <v>806.4375</v>
      </c>
      <c r="EE16" s="144">
        <f t="shared" si="49"/>
        <v>1.9699236641221377E-3</v>
      </c>
      <c r="EG16" s="178">
        <f t="shared" si="42"/>
        <v>0</v>
      </c>
      <c r="EH16" s="143">
        <f t="shared" si="43"/>
        <v>0</v>
      </c>
      <c r="EI16" s="144">
        <f t="shared" si="44"/>
        <v>0</v>
      </c>
      <c r="EJ16" s="144"/>
      <c r="EK16" s="178">
        <f t="shared" si="45"/>
        <v>91575000</v>
      </c>
      <c r="EL16" s="178">
        <f t="shared" si="46"/>
        <v>0</v>
      </c>
      <c r="EM16" s="178">
        <f t="shared" si="50"/>
        <v>635.9375</v>
      </c>
      <c r="EN16" s="144">
        <f t="shared" si="51"/>
        <v>2.5000000000000001E-3</v>
      </c>
      <c r="EP16" s="143"/>
    </row>
    <row r="17" spans="1:146" x14ac:dyDescent="0.2">
      <c r="A17" s="175">
        <f t="shared" si="47"/>
        <v>44019</v>
      </c>
      <c r="B17" s="143">
        <v>50325000</v>
      </c>
      <c r="C17" s="144">
        <v>1.2999999999999999E-3</v>
      </c>
      <c r="D17" s="143">
        <f t="shared" si="0"/>
        <v>181.72916666666666</v>
      </c>
      <c r="G17" s="143">
        <f t="shared" si="1"/>
        <v>0</v>
      </c>
      <c r="J17" s="143">
        <f t="shared" si="2"/>
        <v>0</v>
      </c>
      <c r="M17" s="143">
        <f t="shared" si="3"/>
        <v>0</v>
      </c>
      <c r="P17" s="143">
        <f t="shared" si="4"/>
        <v>0</v>
      </c>
      <c r="S17" s="143">
        <f t="shared" si="5"/>
        <v>0</v>
      </c>
      <c r="V17" s="143">
        <f t="shared" si="6"/>
        <v>0</v>
      </c>
      <c r="Y17" s="143">
        <f t="shared" si="7"/>
        <v>0</v>
      </c>
      <c r="AB17" s="143">
        <f t="shared" si="8"/>
        <v>0</v>
      </c>
      <c r="AE17" s="143">
        <f>(AC17*AD17)/'[22]Input Sheet'!$B$11</f>
        <v>0</v>
      </c>
      <c r="AH17" s="143">
        <f>(AF17*AG17)/'[22]Input Sheet'!$B$11</f>
        <v>0</v>
      </c>
      <c r="AI17" s="176">
        <v>80975000</v>
      </c>
      <c r="AJ17" s="177">
        <v>2.5000000000000001E-3</v>
      </c>
      <c r="AK17" s="143">
        <f t="shared" si="9"/>
        <v>562.32638888888891</v>
      </c>
      <c r="AL17" s="176"/>
      <c r="AM17" s="177"/>
      <c r="AN17" s="143">
        <f t="shared" si="10"/>
        <v>0</v>
      </c>
      <c r="AO17" s="176"/>
      <c r="AP17" s="177"/>
      <c r="AQ17" s="143">
        <f t="shared" si="11"/>
        <v>0</v>
      </c>
      <c r="AR17" s="176"/>
      <c r="AS17" s="177"/>
      <c r="AT17" s="143">
        <f t="shared" si="12"/>
        <v>0</v>
      </c>
      <c r="AW17" s="143">
        <f t="shared" si="13"/>
        <v>0</v>
      </c>
      <c r="AZ17" s="143">
        <f t="shared" si="14"/>
        <v>0</v>
      </c>
      <c r="BC17" s="143">
        <f t="shared" si="15"/>
        <v>0</v>
      </c>
      <c r="BF17" s="143">
        <f t="shared" si="16"/>
        <v>0</v>
      </c>
      <c r="BI17" s="143">
        <f t="shared" si="17"/>
        <v>0</v>
      </c>
      <c r="BL17" s="143">
        <f t="shared" si="18"/>
        <v>0</v>
      </c>
      <c r="BO17" s="143">
        <f t="shared" si="19"/>
        <v>0</v>
      </c>
      <c r="BR17" s="143">
        <f t="shared" si="20"/>
        <v>0</v>
      </c>
      <c r="BU17" s="143">
        <f t="shared" si="21"/>
        <v>0</v>
      </c>
      <c r="BX17" s="143">
        <f t="shared" si="22"/>
        <v>0</v>
      </c>
      <c r="CA17" s="143">
        <f t="shared" si="23"/>
        <v>0</v>
      </c>
      <c r="CD17" s="143">
        <f t="shared" si="24"/>
        <v>0</v>
      </c>
      <c r="CG17" s="143">
        <f t="shared" si="25"/>
        <v>0</v>
      </c>
      <c r="CJ17" s="143">
        <f t="shared" si="26"/>
        <v>0</v>
      </c>
      <c r="CM17" s="143">
        <f t="shared" si="27"/>
        <v>0</v>
      </c>
      <c r="CP17" s="143">
        <f t="shared" si="28"/>
        <v>0</v>
      </c>
      <c r="CS17" s="143">
        <f t="shared" si="29"/>
        <v>0</v>
      </c>
      <c r="CV17" s="143">
        <f t="shared" si="30"/>
        <v>0</v>
      </c>
      <c r="CY17" s="143">
        <f t="shared" si="31"/>
        <v>0</v>
      </c>
      <c r="DB17" s="143">
        <f t="shared" si="32"/>
        <v>0</v>
      </c>
      <c r="DE17" s="143">
        <f t="shared" si="33"/>
        <v>0</v>
      </c>
      <c r="DH17" s="143">
        <f t="shared" si="34"/>
        <v>0</v>
      </c>
      <c r="DK17" s="143">
        <f t="shared" si="35"/>
        <v>0</v>
      </c>
      <c r="DN17" s="143">
        <f t="shared" si="36"/>
        <v>0</v>
      </c>
      <c r="DQ17" s="143">
        <f t="shared" si="37"/>
        <v>0</v>
      </c>
      <c r="DT17" s="143">
        <f t="shared" si="38"/>
        <v>0</v>
      </c>
      <c r="DW17" s="143">
        <f t="shared" si="39"/>
        <v>0</v>
      </c>
      <c r="DZ17" s="143"/>
      <c r="EA17" s="143"/>
      <c r="EB17" s="178">
        <f t="shared" si="40"/>
        <v>131300000</v>
      </c>
      <c r="EC17" s="178">
        <f t="shared" si="41"/>
        <v>50325000</v>
      </c>
      <c r="ED17" s="143">
        <f t="shared" si="48"/>
        <v>744.05555555555554</v>
      </c>
      <c r="EE17" s="144">
        <f t="shared" si="49"/>
        <v>2.0400609291698403E-3</v>
      </c>
      <c r="EG17" s="178">
        <f t="shared" si="42"/>
        <v>0</v>
      </c>
      <c r="EH17" s="143">
        <f t="shared" si="43"/>
        <v>0</v>
      </c>
      <c r="EI17" s="144">
        <f t="shared" si="44"/>
        <v>0</v>
      </c>
      <c r="EJ17" s="144"/>
      <c r="EK17" s="178">
        <f t="shared" si="45"/>
        <v>80975000</v>
      </c>
      <c r="EL17" s="178">
        <f t="shared" si="46"/>
        <v>0</v>
      </c>
      <c r="EM17" s="178">
        <f t="shared" si="50"/>
        <v>562.32638888888891</v>
      </c>
      <c r="EN17" s="144">
        <f t="shared" si="51"/>
        <v>2.5000000000000001E-3</v>
      </c>
      <c r="EP17" s="143"/>
    </row>
    <row r="18" spans="1:146" x14ac:dyDescent="0.2">
      <c r="A18" s="175">
        <f t="shared" si="47"/>
        <v>44020</v>
      </c>
      <c r="B18" s="143">
        <v>38950000</v>
      </c>
      <c r="C18" s="144">
        <v>1.1999999999999999E-3</v>
      </c>
      <c r="D18" s="143">
        <f t="shared" si="0"/>
        <v>129.83333333333331</v>
      </c>
      <c r="G18" s="143">
        <f t="shared" si="1"/>
        <v>0</v>
      </c>
      <c r="J18" s="143">
        <f t="shared" si="2"/>
        <v>0</v>
      </c>
      <c r="M18" s="143">
        <f t="shared" si="3"/>
        <v>0</v>
      </c>
      <c r="P18" s="143">
        <f t="shared" si="4"/>
        <v>0</v>
      </c>
      <c r="S18" s="143">
        <f t="shared" si="5"/>
        <v>0</v>
      </c>
      <c r="V18" s="143">
        <f t="shared" si="6"/>
        <v>0</v>
      </c>
      <c r="Y18" s="143">
        <f t="shared" si="7"/>
        <v>0</v>
      </c>
      <c r="AB18" s="143">
        <f t="shared" si="8"/>
        <v>0</v>
      </c>
      <c r="AE18" s="143">
        <f>(AC18*AD18)/'[22]Input Sheet'!$B$11</f>
        <v>0</v>
      </c>
      <c r="AH18" s="143">
        <f>(AF18*AG18)/'[22]Input Sheet'!$B$11</f>
        <v>0</v>
      </c>
      <c r="AI18" s="176">
        <v>83300000</v>
      </c>
      <c r="AJ18" s="177">
        <v>2.5000000000000001E-3</v>
      </c>
      <c r="AK18" s="143">
        <f t="shared" si="9"/>
        <v>578.47222222222217</v>
      </c>
      <c r="AL18" s="176"/>
      <c r="AM18" s="177"/>
      <c r="AN18" s="143">
        <f t="shared" si="10"/>
        <v>0</v>
      </c>
      <c r="AO18" s="176"/>
      <c r="AP18" s="177"/>
      <c r="AQ18" s="143">
        <f t="shared" si="11"/>
        <v>0</v>
      </c>
      <c r="AR18" s="176"/>
      <c r="AS18" s="177"/>
      <c r="AT18" s="143">
        <f t="shared" si="12"/>
        <v>0</v>
      </c>
      <c r="AW18" s="143">
        <f t="shared" si="13"/>
        <v>0</v>
      </c>
      <c r="AZ18" s="143">
        <f t="shared" si="14"/>
        <v>0</v>
      </c>
      <c r="BC18" s="143">
        <f t="shared" si="15"/>
        <v>0</v>
      </c>
      <c r="BF18" s="143">
        <f t="shared" si="16"/>
        <v>0</v>
      </c>
      <c r="BI18" s="143">
        <f t="shared" si="17"/>
        <v>0</v>
      </c>
      <c r="BL18" s="143">
        <f t="shared" si="18"/>
        <v>0</v>
      </c>
      <c r="BO18" s="143">
        <f t="shared" si="19"/>
        <v>0</v>
      </c>
      <c r="BR18" s="143">
        <f t="shared" si="20"/>
        <v>0</v>
      </c>
      <c r="BU18" s="143">
        <f t="shared" si="21"/>
        <v>0</v>
      </c>
      <c r="BX18" s="143">
        <f t="shared" si="22"/>
        <v>0</v>
      </c>
      <c r="CA18" s="143">
        <f t="shared" si="23"/>
        <v>0</v>
      </c>
      <c r="CD18" s="143">
        <f t="shared" si="24"/>
        <v>0</v>
      </c>
      <c r="CG18" s="143">
        <f t="shared" si="25"/>
        <v>0</v>
      </c>
      <c r="CJ18" s="143">
        <f t="shared" si="26"/>
        <v>0</v>
      </c>
      <c r="CM18" s="143">
        <f t="shared" si="27"/>
        <v>0</v>
      </c>
      <c r="CP18" s="143">
        <f t="shared" si="28"/>
        <v>0</v>
      </c>
      <c r="CS18" s="143">
        <f t="shared" si="29"/>
        <v>0</v>
      </c>
      <c r="CV18" s="143">
        <f t="shared" si="30"/>
        <v>0</v>
      </c>
      <c r="CY18" s="143">
        <f t="shared" si="31"/>
        <v>0</v>
      </c>
      <c r="DB18" s="143">
        <f t="shared" si="32"/>
        <v>0</v>
      </c>
      <c r="DE18" s="143">
        <f t="shared" si="33"/>
        <v>0</v>
      </c>
      <c r="DH18" s="143">
        <f t="shared" si="34"/>
        <v>0</v>
      </c>
      <c r="DK18" s="143">
        <f t="shared" si="35"/>
        <v>0</v>
      </c>
      <c r="DN18" s="143">
        <f t="shared" si="36"/>
        <v>0</v>
      </c>
      <c r="DQ18" s="143">
        <f t="shared" si="37"/>
        <v>0</v>
      </c>
      <c r="DT18" s="143">
        <f t="shared" si="38"/>
        <v>0</v>
      </c>
      <c r="DW18" s="143">
        <f t="shared" si="39"/>
        <v>0</v>
      </c>
      <c r="DZ18" s="143"/>
      <c r="EA18" s="143"/>
      <c r="EB18" s="178">
        <f t="shared" si="40"/>
        <v>122250000</v>
      </c>
      <c r="EC18" s="178">
        <f t="shared" si="41"/>
        <v>38950000</v>
      </c>
      <c r="ED18" s="143">
        <f t="shared" si="48"/>
        <v>708.30555555555543</v>
      </c>
      <c r="EE18" s="144">
        <f t="shared" si="49"/>
        <v>2.085807770961145E-3</v>
      </c>
      <c r="EG18" s="178">
        <f t="shared" si="42"/>
        <v>0</v>
      </c>
      <c r="EH18" s="143">
        <f t="shared" si="43"/>
        <v>0</v>
      </c>
      <c r="EI18" s="144">
        <f t="shared" si="44"/>
        <v>0</v>
      </c>
      <c r="EJ18" s="144"/>
      <c r="EK18" s="178">
        <f t="shared" si="45"/>
        <v>83300000</v>
      </c>
      <c r="EL18" s="178">
        <f t="shared" si="46"/>
        <v>0</v>
      </c>
      <c r="EM18" s="178">
        <f t="shared" si="50"/>
        <v>578.47222222222217</v>
      </c>
      <c r="EN18" s="144">
        <f t="shared" si="51"/>
        <v>2.4999999999999996E-3</v>
      </c>
      <c r="EP18" s="143"/>
    </row>
    <row r="19" spans="1:146" x14ac:dyDescent="0.2">
      <c r="A19" s="175">
        <f t="shared" si="47"/>
        <v>44021</v>
      </c>
      <c r="B19" s="143">
        <v>37225000</v>
      </c>
      <c r="C19" s="144">
        <v>1.1000000000000001E-3</v>
      </c>
      <c r="D19" s="143">
        <f t="shared" si="0"/>
        <v>113.74305555555556</v>
      </c>
      <c r="G19" s="143">
        <f t="shared" si="1"/>
        <v>0</v>
      </c>
      <c r="J19" s="143">
        <f t="shared" si="2"/>
        <v>0</v>
      </c>
      <c r="M19" s="143">
        <f t="shared" si="3"/>
        <v>0</v>
      </c>
      <c r="P19" s="143">
        <f t="shared" si="4"/>
        <v>0</v>
      </c>
      <c r="S19" s="143">
        <f t="shared" si="5"/>
        <v>0</v>
      </c>
      <c r="V19" s="143">
        <f t="shared" si="6"/>
        <v>0</v>
      </c>
      <c r="Y19" s="143">
        <f t="shared" si="7"/>
        <v>0</v>
      </c>
      <c r="AB19" s="143">
        <f t="shared" si="8"/>
        <v>0</v>
      </c>
      <c r="AE19" s="143">
        <f>(AC19*AD19)/'[22]Input Sheet'!$B$11</f>
        <v>0</v>
      </c>
      <c r="AH19" s="143">
        <f>(AF19*AG19)/'[22]Input Sheet'!$B$11</f>
        <v>0</v>
      </c>
      <c r="AI19" s="176">
        <v>77525000</v>
      </c>
      <c r="AJ19" s="177">
        <v>2.5000000000000001E-3</v>
      </c>
      <c r="AK19" s="143">
        <f t="shared" si="9"/>
        <v>538.36805555555554</v>
      </c>
      <c r="AL19" s="176"/>
      <c r="AM19" s="177"/>
      <c r="AN19" s="143">
        <f t="shared" si="10"/>
        <v>0</v>
      </c>
      <c r="AO19" s="176"/>
      <c r="AP19" s="177"/>
      <c r="AQ19" s="143">
        <f t="shared" si="11"/>
        <v>0</v>
      </c>
      <c r="AR19" s="176"/>
      <c r="AS19" s="177"/>
      <c r="AT19" s="143">
        <f t="shared" si="12"/>
        <v>0</v>
      </c>
      <c r="AW19" s="143">
        <f t="shared" si="13"/>
        <v>0</v>
      </c>
      <c r="AZ19" s="143">
        <f t="shared" si="14"/>
        <v>0</v>
      </c>
      <c r="BC19" s="143">
        <f t="shared" si="15"/>
        <v>0</v>
      </c>
      <c r="BF19" s="143">
        <f t="shared" si="16"/>
        <v>0</v>
      </c>
      <c r="BI19" s="143">
        <f t="shared" si="17"/>
        <v>0</v>
      </c>
      <c r="BL19" s="143">
        <f t="shared" si="18"/>
        <v>0</v>
      </c>
      <c r="BO19" s="143">
        <f t="shared" si="19"/>
        <v>0</v>
      </c>
      <c r="BR19" s="143">
        <f t="shared" si="20"/>
        <v>0</v>
      </c>
      <c r="BU19" s="143">
        <f t="shared" si="21"/>
        <v>0</v>
      </c>
      <c r="BX19" s="143">
        <f t="shared" si="22"/>
        <v>0</v>
      </c>
      <c r="CA19" s="143">
        <f t="shared" si="23"/>
        <v>0</v>
      </c>
      <c r="CD19" s="143">
        <f t="shared" si="24"/>
        <v>0</v>
      </c>
      <c r="CG19" s="143">
        <f t="shared" si="25"/>
        <v>0</v>
      </c>
      <c r="CJ19" s="143">
        <f t="shared" si="26"/>
        <v>0</v>
      </c>
      <c r="CM19" s="143">
        <f t="shared" si="27"/>
        <v>0</v>
      </c>
      <c r="CP19" s="143">
        <f t="shared" si="28"/>
        <v>0</v>
      </c>
      <c r="CS19" s="143">
        <f t="shared" si="29"/>
        <v>0</v>
      </c>
      <c r="CV19" s="143">
        <f t="shared" si="30"/>
        <v>0</v>
      </c>
      <c r="CY19" s="143">
        <f t="shared" si="31"/>
        <v>0</v>
      </c>
      <c r="DB19" s="143">
        <f t="shared" si="32"/>
        <v>0</v>
      </c>
      <c r="DE19" s="143">
        <f t="shared" si="33"/>
        <v>0</v>
      </c>
      <c r="DH19" s="143">
        <f t="shared" si="34"/>
        <v>0</v>
      </c>
      <c r="DK19" s="143">
        <f t="shared" si="35"/>
        <v>0</v>
      </c>
      <c r="DN19" s="143">
        <f t="shared" si="36"/>
        <v>0</v>
      </c>
      <c r="DQ19" s="143">
        <f t="shared" si="37"/>
        <v>0</v>
      </c>
      <c r="DT19" s="143">
        <f t="shared" si="38"/>
        <v>0</v>
      </c>
      <c r="DW19" s="143">
        <f t="shared" si="39"/>
        <v>0</v>
      </c>
      <c r="DZ19" s="143"/>
      <c r="EA19" s="143"/>
      <c r="EB19" s="178">
        <f t="shared" si="40"/>
        <v>114750000</v>
      </c>
      <c r="EC19" s="178">
        <f t="shared" si="41"/>
        <v>37225000</v>
      </c>
      <c r="ED19" s="143">
        <f t="shared" si="48"/>
        <v>652.11111111111109</v>
      </c>
      <c r="EE19" s="144">
        <f t="shared" si="49"/>
        <v>2.045838779956427E-3</v>
      </c>
      <c r="EG19" s="178">
        <f t="shared" si="42"/>
        <v>0</v>
      </c>
      <c r="EH19" s="143">
        <f t="shared" si="43"/>
        <v>0</v>
      </c>
      <c r="EI19" s="144">
        <f t="shared" si="44"/>
        <v>0</v>
      </c>
      <c r="EJ19" s="144"/>
      <c r="EK19" s="178">
        <f t="shared" si="45"/>
        <v>77525000</v>
      </c>
      <c r="EL19" s="178">
        <f t="shared" si="46"/>
        <v>0</v>
      </c>
      <c r="EM19" s="178">
        <f t="shared" si="50"/>
        <v>538.36805555555554</v>
      </c>
      <c r="EN19" s="144">
        <f t="shared" si="51"/>
        <v>2.4999999999999996E-3</v>
      </c>
      <c r="EP19" s="143"/>
    </row>
    <row r="20" spans="1:146" x14ac:dyDescent="0.2">
      <c r="A20" s="175">
        <f t="shared" si="47"/>
        <v>44022</v>
      </c>
      <c r="B20" s="143">
        <v>37400000</v>
      </c>
      <c r="C20" s="144">
        <v>1E-3</v>
      </c>
      <c r="D20" s="143">
        <f t="shared" si="0"/>
        <v>103.88888888888889</v>
      </c>
      <c r="G20" s="143">
        <f t="shared" si="1"/>
        <v>0</v>
      </c>
      <c r="J20" s="143">
        <f t="shared" si="2"/>
        <v>0</v>
      </c>
      <c r="M20" s="143">
        <f t="shared" si="3"/>
        <v>0</v>
      </c>
      <c r="P20" s="143">
        <f t="shared" si="4"/>
        <v>0</v>
      </c>
      <c r="S20" s="143">
        <f t="shared" si="5"/>
        <v>0</v>
      </c>
      <c r="V20" s="143">
        <f t="shared" si="6"/>
        <v>0</v>
      </c>
      <c r="Y20" s="143">
        <f t="shared" si="7"/>
        <v>0</v>
      </c>
      <c r="AB20" s="143">
        <f t="shared" si="8"/>
        <v>0</v>
      </c>
      <c r="AE20" s="143">
        <f>(AC20*AD20)/'[22]Input Sheet'!$B$11</f>
        <v>0</v>
      </c>
      <c r="AH20" s="143">
        <f>(AF20*AG20)/'[22]Input Sheet'!$B$11</f>
        <v>0</v>
      </c>
      <c r="AI20" s="176">
        <v>84175000</v>
      </c>
      <c r="AJ20" s="177">
        <v>2.5000000000000001E-3</v>
      </c>
      <c r="AK20" s="143">
        <f t="shared" si="9"/>
        <v>584.54861111111109</v>
      </c>
      <c r="AL20" s="176"/>
      <c r="AM20" s="177"/>
      <c r="AN20" s="143">
        <f t="shared" si="10"/>
        <v>0</v>
      </c>
      <c r="AO20" s="176"/>
      <c r="AP20" s="177"/>
      <c r="AQ20" s="143">
        <f t="shared" si="11"/>
        <v>0</v>
      </c>
      <c r="AR20" s="176"/>
      <c r="AS20" s="177"/>
      <c r="AT20" s="143">
        <f t="shared" si="12"/>
        <v>0</v>
      </c>
      <c r="AW20" s="143">
        <f t="shared" si="13"/>
        <v>0</v>
      </c>
      <c r="AZ20" s="143">
        <f t="shared" si="14"/>
        <v>0</v>
      </c>
      <c r="BC20" s="143">
        <f t="shared" si="15"/>
        <v>0</v>
      </c>
      <c r="BF20" s="143">
        <f t="shared" si="16"/>
        <v>0</v>
      </c>
      <c r="BI20" s="143">
        <f t="shared" si="17"/>
        <v>0</v>
      </c>
      <c r="BL20" s="143">
        <f t="shared" si="18"/>
        <v>0</v>
      </c>
      <c r="BO20" s="143">
        <f t="shared" si="19"/>
        <v>0</v>
      </c>
      <c r="BR20" s="143">
        <f t="shared" si="20"/>
        <v>0</v>
      </c>
      <c r="BU20" s="143">
        <f t="shared" si="21"/>
        <v>0</v>
      </c>
      <c r="BX20" s="143">
        <f t="shared" si="22"/>
        <v>0</v>
      </c>
      <c r="CA20" s="143">
        <f t="shared" si="23"/>
        <v>0</v>
      </c>
      <c r="CD20" s="143">
        <f t="shared" si="24"/>
        <v>0</v>
      </c>
      <c r="CG20" s="143">
        <f t="shared" si="25"/>
        <v>0</v>
      </c>
      <c r="CJ20" s="143">
        <f t="shared" si="26"/>
        <v>0</v>
      </c>
      <c r="CM20" s="143">
        <f t="shared" si="27"/>
        <v>0</v>
      </c>
      <c r="CP20" s="143">
        <f t="shared" si="28"/>
        <v>0</v>
      </c>
      <c r="CS20" s="143">
        <f t="shared" si="29"/>
        <v>0</v>
      </c>
      <c r="CV20" s="143">
        <f t="shared" si="30"/>
        <v>0</v>
      </c>
      <c r="CY20" s="143">
        <f t="shared" si="31"/>
        <v>0</v>
      </c>
      <c r="DB20" s="143">
        <f t="shared" si="32"/>
        <v>0</v>
      </c>
      <c r="DE20" s="143">
        <f t="shared" si="33"/>
        <v>0</v>
      </c>
      <c r="DH20" s="143">
        <f t="shared" si="34"/>
        <v>0</v>
      </c>
      <c r="DK20" s="143">
        <f t="shared" si="35"/>
        <v>0</v>
      </c>
      <c r="DN20" s="143">
        <f t="shared" si="36"/>
        <v>0</v>
      </c>
      <c r="DQ20" s="143">
        <f t="shared" si="37"/>
        <v>0</v>
      </c>
      <c r="DT20" s="143">
        <f t="shared" si="38"/>
        <v>0</v>
      </c>
      <c r="DW20" s="143">
        <f t="shared" si="39"/>
        <v>0</v>
      </c>
      <c r="DZ20" s="143"/>
      <c r="EA20" s="143"/>
      <c r="EB20" s="178">
        <f t="shared" si="40"/>
        <v>121575000</v>
      </c>
      <c r="EC20" s="178">
        <f t="shared" si="41"/>
        <v>37400000</v>
      </c>
      <c r="ED20" s="143">
        <f t="shared" si="48"/>
        <v>688.4375</v>
      </c>
      <c r="EE20" s="144">
        <f t="shared" si="49"/>
        <v>2.0385564466378781E-3</v>
      </c>
      <c r="EG20" s="178">
        <f t="shared" si="42"/>
        <v>0</v>
      </c>
      <c r="EH20" s="143">
        <f t="shared" si="43"/>
        <v>0</v>
      </c>
      <c r="EI20" s="144">
        <f t="shared" si="44"/>
        <v>0</v>
      </c>
      <c r="EJ20" s="144"/>
      <c r="EK20" s="178">
        <f t="shared" si="45"/>
        <v>84175000</v>
      </c>
      <c r="EL20" s="178">
        <f t="shared" si="46"/>
        <v>0</v>
      </c>
      <c r="EM20" s="178">
        <f t="shared" si="50"/>
        <v>584.54861111111109</v>
      </c>
      <c r="EN20" s="144">
        <f t="shared" si="51"/>
        <v>2.4999999999999996E-3</v>
      </c>
      <c r="EP20" s="143"/>
    </row>
    <row r="21" spans="1:146" x14ac:dyDescent="0.2">
      <c r="A21" s="175">
        <f t="shared" si="47"/>
        <v>44023</v>
      </c>
      <c r="B21" s="143">
        <v>37400000</v>
      </c>
      <c r="C21" s="144">
        <v>1E-3</v>
      </c>
      <c r="D21" s="143">
        <f t="shared" si="0"/>
        <v>103.88888888888889</v>
      </c>
      <c r="G21" s="143">
        <f t="shared" si="1"/>
        <v>0</v>
      </c>
      <c r="J21" s="143">
        <f t="shared" si="2"/>
        <v>0</v>
      </c>
      <c r="M21" s="143">
        <f t="shared" si="3"/>
        <v>0</v>
      </c>
      <c r="P21" s="143">
        <f t="shared" si="4"/>
        <v>0</v>
      </c>
      <c r="S21" s="143">
        <f t="shared" si="5"/>
        <v>0</v>
      </c>
      <c r="V21" s="143">
        <f t="shared" si="6"/>
        <v>0</v>
      </c>
      <c r="Y21" s="143">
        <f t="shared" si="7"/>
        <v>0</v>
      </c>
      <c r="AB21" s="143">
        <f t="shared" si="8"/>
        <v>0</v>
      </c>
      <c r="AE21" s="143">
        <f>(AC21*AD21)/'[22]Input Sheet'!$B$11</f>
        <v>0</v>
      </c>
      <c r="AH21" s="143">
        <f>(AF21*AG21)/'[22]Input Sheet'!$B$11</f>
        <v>0</v>
      </c>
      <c r="AI21" s="176">
        <v>84175000</v>
      </c>
      <c r="AJ21" s="177">
        <v>2.5000000000000001E-3</v>
      </c>
      <c r="AK21" s="143">
        <f t="shared" si="9"/>
        <v>584.54861111111109</v>
      </c>
      <c r="AL21" s="176"/>
      <c r="AM21" s="177"/>
      <c r="AN21" s="143">
        <f t="shared" si="10"/>
        <v>0</v>
      </c>
      <c r="AO21" s="176"/>
      <c r="AP21" s="177"/>
      <c r="AQ21" s="143">
        <f t="shared" si="11"/>
        <v>0</v>
      </c>
      <c r="AR21" s="176"/>
      <c r="AS21" s="177"/>
      <c r="AT21" s="143">
        <f t="shared" si="12"/>
        <v>0</v>
      </c>
      <c r="AW21" s="143">
        <f t="shared" si="13"/>
        <v>0</v>
      </c>
      <c r="AZ21" s="143">
        <f t="shared" si="14"/>
        <v>0</v>
      </c>
      <c r="BC21" s="143">
        <f t="shared" si="15"/>
        <v>0</v>
      </c>
      <c r="BF21" s="143">
        <f t="shared" si="16"/>
        <v>0</v>
      </c>
      <c r="BI21" s="143">
        <f t="shared" si="17"/>
        <v>0</v>
      </c>
      <c r="BL21" s="143">
        <f t="shared" si="18"/>
        <v>0</v>
      </c>
      <c r="BO21" s="143">
        <f t="shared" si="19"/>
        <v>0</v>
      </c>
      <c r="BR21" s="143">
        <f t="shared" si="20"/>
        <v>0</v>
      </c>
      <c r="BU21" s="143">
        <f t="shared" si="21"/>
        <v>0</v>
      </c>
      <c r="BX21" s="143">
        <f t="shared" si="22"/>
        <v>0</v>
      </c>
      <c r="CA21" s="143">
        <f t="shared" si="23"/>
        <v>0</v>
      </c>
      <c r="CD21" s="143">
        <f t="shared" si="24"/>
        <v>0</v>
      </c>
      <c r="CG21" s="143">
        <f t="shared" si="25"/>
        <v>0</v>
      </c>
      <c r="CJ21" s="143">
        <f t="shared" si="26"/>
        <v>0</v>
      </c>
      <c r="CM21" s="143">
        <f t="shared" si="27"/>
        <v>0</v>
      </c>
      <c r="CP21" s="143">
        <f t="shared" si="28"/>
        <v>0</v>
      </c>
      <c r="CS21" s="143">
        <f t="shared" si="29"/>
        <v>0</v>
      </c>
      <c r="CV21" s="143">
        <f t="shared" si="30"/>
        <v>0</v>
      </c>
      <c r="CY21" s="143">
        <f t="shared" si="31"/>
        <v>0</v>
      </c>
      <c r="DB21" s="143">
        <f t="shared" si="32"/>
        <v>0</v>
      </c>
      <c r="DE21" s="143">
        <f t="shared" si="33"/>
        <v>0</v>
      </c>
      <c r="DH21" s="143">
        <f t="shared" si="34"/>
        <v>0</v>
      </c>
      <c r="DK21" s="143">
        <f t="shared" si="35"/>
        <v>0</v>
      </c>
      <c r="DN21" s="143">
        <f t="shared" si="36"/>
        <v>0</v>
      </c>
      <c r="DQ21" s="143">
        <f t="shared" si="37"/>
        <v>0</v>
      </c>
      <c r="DT21" s="143">
        <f t="shared" si="38"/>
        <v>0</v>
      </c>
      <c r="DW21" s="143">
        <f t="shared" si="39"/>
        <v>0</v>
      </c>
      <c r="DZ21" s="143"/>
      <c r="EA21" s="143"/>
      <c r="EB21" s="178">
        <f t="shared" si="40"/>
        <v>121575000</v>
      </c>
      <c r="EC21" s="178">
        <f t="shared" si="41"/>
        <v>37400000</v>
      </c>
      <c r="ED21" s="143">
        <f t="shared" si="48"/>
        <v>688.4375</v>
      </c>
      <c r="EE21" s="144">
        <f t="shared" si="49"/>
        <v>2.0385564466378781E-3</v>
      </c>
      <c r="EG21" s="178">
        <f t="shared" si="42"/>
        <v>0</v>
      </c>
      <c r="EH21" s="143">
        <f t="shared" si="43"/>
        <v>0</v>
      </c>
      <c r="EI21" s="144">
        <f t="shared" si="44"/>
        <v>0</v>
      </c>
      <c r="EJ21" s="144"/>
      <c r="EK21" s="178">
        <f t="shared" si="45"/>
        <v>84175000</v>
      </c>
      <c r="EL21" s="178">
        <f t="shared" si="46"/>
        <v>0</v>
      </c>
      <c r="EM21" s="178">
        <f t="shared" si="50"/>
        <v>584.54861111111109</v>
      </c>
      <c r="EN21" s="144">
        <f t="shared" si="51"/>
        <v>2.4999999999999996E-3</v>
      </c>
      <c r="EP21" s="143"/>
    </row>
    <row r="22" spans="1:146" x14ac:dyDescent="0.2">
      <c r="A22" s="175">
        <f t="shared" si="47"/>
        <v>44024</v>
      </c>
      <c r="B22" s="143">
        <v>37400000</v>
      </c>
      <c r="C22" s="144">
        <v>1E-3</v>
      </c>
      <c r="D22" s="143">
        <f t="shared" si="0"/>
        <v>103.88888888888889</v>
      </c>
      <c r="G22" s="143">
        <f t="shared" si="1"/>
        <v>0</v>
      </c>
      <c r="J22" s="143">
        <f t="shared" si="2"/>
        <v>0</v>
      </c>
      <c r="M22" s="143">
        <f t="shared" si="3"/>
        <v>0</v>
      </c>
      <c r="P22" s="143">
        <f t="shared" si="4"/>
        <v>0</v>
      </c>
      <c r="S22" s="143">
        <f t="shared" si="5"/>
        <v>0</v>
      </c>
      <c r="V22" s="143">
        <f t="shared" si="6"/>
        <v>0</v>
      </c>
      <c r="Y22" s="143">
        <f t="shared" si="7"/>
        <v>0</v>
      </c>
      <c r="AB22" s="143">
        <f t="shared" si="8"/>
        <v>0</v>
      </c>
      <c r="AE22" s="143">
        <f>(AC22*AD22)/'[22]Input Sheet'!$B$11</f>
        <v>0</v>
      </c>
      <c r="AH22" s="143">
        <f>(AF22*AG22)/'[22]Input Sheet'!$B$11</f>
        <v>0</v>
      </c>
      <c r="AI22" s="176">
        <v>84175000</v>
      </c>
      <c r="AJ22" s="177">
        <v>2.5000000000000001E-3</v>
      </c>
      <c r="AK22" s="143">
        <f t="shared" si="9"/>
        <v>584.54861111111109</v>
      </c>
      <c r="AL22" s="176"/>
      <c r="AM22" s="177"/>
      <c r="AN22" s="143">
        <f t="shared" si="10"/>
        <v>0</v>
      </c>
      <c r="AO22" s="176"/>
      <c r="AP22" s="177"/>
      <c r="AQ22" s="143">
        <f t="shared" si="11"/>
        <v>0</v>
      </c>
      <c r="AR22" s="176"/>
      <c r="AS22" s="177"/>
      <c r="AT22" s="143">
        <f t="shared" si="12"/>
        <v>0</v>
      </c>
      <c r="AW22" s="143">
        <f t="shared" si="13"/>
        <v>0</v>
      </c>
      <c r="AZ22" s="143">
        <f t="shared" si="14"/>
        <v>0</v>
      </c>
      <c r="BC22" s="143">
        <f t="shared" si="15"/>
        <v>0</v>
      </c>
      <c r="BF22" s="143">
        <f t="shared" si="16"/>
        <v>0</v>
      </c>
      <c r="BI22" s="143">
        <f t="shared" si="17"/>
        <v>0</v>
      </c>
      <c r="BL22" s="143">
        <f t="shared" si="18"/>
        <v>0</v>
      </c>
      <c r="BO22" s="143">
        <f t="shared" si="19"/>
        <v>0</v>
      </c>
      <c r="BR22" s="143">
        <f t="shared" si="20"/>
        <v>0</v>
      </c>
      <c r="BU22" s="143">
        <f t="shared" si="21"/>
        <v>0</v>
      </c>
      <c r="BX22" s="143">
        <f t="shared" si="22"/>
        <v>0</v>
      </c>
      <c r="CA22" s="143">
        <f t="shared" si="23"/>
        <v>0</v>
      </c>
      <c r="CD22" s="143">
        <f t="shared" si="24"/>
        <v>0</v>
      </c>
      <c r="CG22" s="143">
        <f t="shared" si="25"/>
        <v>0</v>
      </c>
      <c r="CJ22" s="143">
        <f t="shared" si="26"/>
        <v>0</v>
      </c>
      <c r="CM22" s="143">
        <f t="shared" si="27"/>
        <v>0</v>
      </c>
      <c r="CP22" s="143">
        <f t="shared" si="28"/>
        <v>0</v>
      </c>
      <c r="CS22" s="143">
        <f t="shared" si="29"/>
        <v>0</v>
      </c>
      <c r="CV22" s="143">
        <f t="shared" si="30"/>
        <v>0</v>
      </c>
      <c r="CY22" s="143">
        <f t="shared" si="31"/>
        <v>0</v>
      </c>
      <c r="DB22" s="143">
        <f t="shared" si="32"/>
        <v>0</v>
      </c>
      <c r="DE22" s="143">
        <f t="shared" si="33"/>
        <v>0</v>
      </c>
      <c r="DH22" s="143">
        <f t="shared" si="34"/>
        <v>0</v>
      </c>
      <c r="DK22" s="143">
        <f t="shared" si="35"/>
        <v>0</v>
      </c>
      <c r="DN22" s="143">
        <f t="shared" si="36"/>
        <v>0</v>
      </c>
      <c r="DQ22" s="143">
        <f t="shared" si="37"/>
        <v>0</v>
      </c>
      <c r="DT22" s="143">
        <f t="shared" si="38"/>
        <v>0</v>
      </c>
      <c r="DW22" s="143">
        <f t="shared" si="39"/>
        <v>0</v>
      </c>
      <c r="DZ22" s="143"/>
      <c r="EA22" s="143"/>
      <c r="EB22" s="178">
        <f t="shared" si="40"/>
        <v>121575000</v>
      </c>
      <c r="EC22" s="178">
        <f t="shared" si="41"/>
        <v>37400000</v>
      </c>
      <c r="ED22" s="143">
        <f t="shared" si="48"/>
        <v>688.4375</v>
      </c>
      <c r="EE22" s="144">
        <f t="shared" si="49"/>
        <v>2.0385564466378781E-3</v>
      </c>
      <c r="EG22" s="178">
        <f t="shared" si="42"/>
        <v>0</v>
      </c>
      <c r="EH22" s="143">
        <f t="shared" si="43"/>
        <v>0</v>
      </c>
      <c r="EI22" s="144">
        <f t="shared" si="44"/>
        <v>0</v>
      </c>
      <c r="EJ22" s="144"/>
      <c r="EK22" s="178">
        <f t="shared" si="45"/>
        <v>84175000</v>
      </c>
      <c r="EL22" s="178">
        <f t="shared" si="46"/>
        <v>0</v>
      </c>
      <c r="EM22" s="178">
        <f t="shared" si="50"/>
        <v>584.54861111111109</v>
      </c>
      <c r="EN22" s="144">
        <f t="shared" si="51"/>
        <v>2.4999999999999996E-3</v>
      </c>
      <c r="EP22" s="143"/>
    </row>
    <row r="23" spans="1:146" x14ac:dyDescent="0.2">
      <c r="A23" s="175">
        <f t="shared" si="47"/>
        <v>44025</v>
      </c>
      <c r="B23" s="143">
        <v>35500000</v>
      </c>
      <c r="C23" s="144">
        <v>1.1000000000000001E-3</v>
      </c>
      <c r="D23" s="143">
        <f t="shared" si="0"/>
        <v>108.47222222222223</v>
      </c>
      <c r="G23" s="143">
        <f t="shared" si="1"/>
        <v>0</v>
      </c>
      <c r="J23" s="143">
        <f t="shared" si="2"/>
        <v>0</v>
      </c>
      <c r="M23" s="143">
        <f t="shared" si="3"/>
        <v>0</v>
      </c>
      <c r="P23" s="143">
        <f t="shared" si="4"/>
        <v>0</v>
      </c>
      <c r="S23" s="143">
        <f t="shared" si="5"/>
        <v>0</v>
      </c>
      <c r="V23" s="143">
        <f t="shared" si="6"/>
        <v>0</v>
      </c>
      <c r="Y23" s="143">
        <f t="shared" si="7"/>
        <v>0</v>
      </c>
      <c r="AB23" s="143">
        <f t="shared" si="8"/>
        <v>0</v>
      </c>
      <c r="AE23" s="143">
        <f>(AC23*AD23)/'[22]Input Sheet'!$B$11</f>
        <v>0</v>
      </c>
      <c r="AH23" s="143">
        <f>(AF23*AG23)/'[22]Input Sheet'!$B$11</f>
        <v>0</v>
      </c>
      <c r="AI23" s="176">
        <v>93975000</v>
      </c>
      <c r="AJ23" s="177">
        <v>2.5000000000000001E-3</v>
      </c>
      <c r="AK23" s="143">
        <f t="shared" si="9"/>
        <v>652.60416666666663</v>
      </c>
      <c r="AL23" s="176"/>
      <c r="AM23" s="177"/>
      <c r="AN23" s="143">
        <f t="shared" si="10"/>
        <v>0</v>
      </c>
      <c r="AO23" s="176"/>
      <c r="AP23" s="177"/>
      <c r="AQ23" s="143">
        <f t="shared" si="11"/>
        <v>0</v>
      </c>
      <c r="AR23" s="176"/>
      <c r="AS23" s="177"/>
      <c r="AT23" s="143">
        <f t="shared" si="12"/>
        <v>0</v>
      </c>
      <c r="AW23" s="143">
        <f t="shared" si="13"/>
        <v>0</v>
      </c>
      <c r="AZ23" s="143">
        <f t="shared" si="14"/>
        <v>0</v>
      </c>
      <c r="BC23" s="143">
        <f t="shared" si="15"/>
        <v>0</v>
      </c>
      <c r="BF23" s="143">
        <f t="shared" si="16"/>
        <v>0</v>
      </c>
      <c r="BI23" s="143">
        <f t="shared" si="17"/>
        <v>0</v>
      </c>
      <c r="BL23" s="143">
        <f t="shared" si="18"/>
        <v>0</v>
      </c>
      <c r="BO23" s="143">
        <f t="shared" si="19"/>
        <v>0</v>
      </c>
      <c r="BR23" s="143">
        <f t="shared" si="20"/>
        <v>0</v>
      </c>
      <c r="BU23" s="143">
        <f t="shared" si="21"/>
        <v>0</v>
      </c>
      <c r="BX23" s="143">
        <f t="shared" si="22"/>
        <v>0</v>
      </c>
      <c r="CA23" s="143">
        <f t="shared" si="23"/>
        <v>0</v>
      </c>
      <c r="CD23" s="143">
        <f t="shared" si="24"/>
        <v>0</v>
      </c>
      <c r="CG23" s="143">
        <f t="shared" si="25"/>
        <v>0</v>
      </c>
      <c r="CJ23" s="143">
        <f t="shared" si="26"/>
        <v>0</v>
      </c>
      <c r="CM23" s="143">
        <f t="shared" si="27"/>
        <v>0</v>
      </c>
      <c r="CP23" s="143">
        <f t="shared" si="28"/>
        <v>0</v>
      </c>
      <c r="CS23" s="143">
        <f t="shared" si="29"/>
        <v>0</v>
      </c>
      <c r="CV23" s="143">
        <f t="shared" si="30"/>
        <v>0</v>
      </c>
      <c r="CY23" s="143">
        <f t="shared" si="31"/>
        <v>0</v>
      </c>
      <c r="DB23" s="143">
        <f t="shared" si="32"/>
        <v>0</v>
      </c>
      <c r="DE23" s="143">
        <f t="shared" si="33"/>
        <v>0</v>
      </c>
      <c r="DH23" s="143">
        <f t="shared" si="34"/>
        <v>0</v>
      </c>
      <c r="DK23" s="143">
        <f t="shared" si="35"/>
        <v>0</v>
      </c>
      <c r="DN23" s="143">
        <f t="shared" si="36"/>
        <v>0</v>
      </c>
      <c r="DQ23" s="143">
        <f t="shared" si="37"/>
        <v>0</v>
      </c>
      <c r="DT23" s="143">
        <f t="shared" si="38"/>
        <v>0</v>
      </c>
      <c r="DW23" s="143">
        <f t="shared" si="39"/>
        <v>0</v>
      </c>
      <c r="DZ23" s="143"/>
      <c r="EA23" s="143"/>
      <c r="EB23" s="178">
        <f t="shared" si="40"/>
        <v>129475000</v>
      </c>
      <c r="EC23" s="178">
        <f t="shared" si="41"/>
        <v>35500000</v>
      </c>
      <c r="ED23" s="143">
        <f t="shared" si="48"/>
        <v>761.07638888888891</v>
      </c>
      <c r="EE23" s="144">
        <f t="shared" si="49"/>
        <v>2.1161421123769069E-3</v>
      </c>
      <c r="EG23" s="178">
        <f t="shared" si="42"/>
        <v>0</v>
      </c>
      <c r="EH23" s="143">
        <f t="shared" si="43"/>
        <v>0</v>
      </c>
      <c r="EI23" s="144">
        <f t="shared" si="44"/>
        <v>0</v>
      </c>
      <c r="EJ23" s="144"/>
      <c r="EK23" s="178">
        <f t="shared" si="45"/>
        <v>93975000</v>
      </c>
      <c r="EL23" s="178">
        <f t="shared" si="46"/>
        <v>0</v>
      </c>
      <c r="EM23" s="178">
        <f t="shared" si="50"/>
        <v>652.60416666666663</v>
      </c>
      <c r="EN23" s="144">
        <f t="shared" si="51"/>
        <v>2.4999999999999996E-3</v>
      </c>
      <c r="EP23" s="143"/>
    </row>
    <row r="24" spans="1:146" x14ac:dyDescent="0.2">
      <c r="A24" s="175">
        <f t="shared" si="47"/>
        <v>44026</v>
      </c>
      <c r="B24" s="143">
        <v>37170000</v>
      </c>
      <c r="C24" s="144">
        <v>1.1000000000000001E-3</v>
      </c>
      <c r="D24" s="143">
        <f t="shared" si="0"/>
        <v>113.575</v>
      </c>
      <c r="G24" s="143">
        <f t="shared" si="1"/>
        <v>0</v>
      </c>
      <c r="J24" s="143">
        <f t="shared" si="2"/>
        <v>0</v>
      </c>
      <c r="M24" s="143">
        <f t="shared" si="3"/>
        <v>0</v>
      </c>
      <c r="P24" s="143">
        <f t="shared" si="4"/>
        <v>0</v>
      </c>
      <c r="S24" s="143">
        <f t="shared" si="5"/>
        <v>0</v>
      </c>
      <c r="V24" s="143">
        <f t="shared" si="6"/>
        <v>0</v>
      </c>
      <c r="Y24" s="143">
        <f t="shared" si="7"/>
        <v>0</v>
      </c>
      <c r="AB24" s="143">
        <f t="shared" si="8"/>
        <v>0</v>
      </c>
      <c r="AE24" s="143">
        <f>(AC24*AD24)/'[22]Input Sheet'!$B$11</f>
        <v>0</v>
      </c>
      <c r="AH24" s="143">
        <f>(AF24*AG24)/'[22]Input Sheet'!$B$11</f>
        <v>0</v>
      </c>
      <c r="AI24" s="176">
        <v>77650000</v>
      </c>
      <c r="AJ24" s="177">
        <v>2.5000000000000001E-3</v>
      </c>
      <c r="AK24" s="143">
        <f t="shared" si="9"/>
        <v>539.23611111111109</v>
      </c>
      <c r="AL24" s="176"/>
      <c r="AM24" s="177"/>
      <c r="AN24" s="143">
        <f t="shared" si="10"/>
        <v>0</v>
      </c>
      <c r="AO24" s="176"/>
      <c r="AP24" s="177"/>
      <c r="AQ24" s="143">
        <f t="shared" si="11"/>
        <v>0</v>
      </c>
      <c r="AR24" s="176"/>
      <c r="AS24" s="177"/>
      <c r="AT24" s="143">
        <f t="shared" si="12"/>
        <v>0</v>
      </c>
      <c r="AW24" s="143">
        <f t="shared" si="13"/>
        <v>0</v>
      </c>
      <c r="AZ24" s="143">
        <f t="shared" si="14"/>
        <v>0</v>
      </c>
      <c r="BC24" s="143">
        <f t="shared" si="15"/>
        <v>0</v>
      </c>
      <c r="BF24" s="143">
        <f t="shared" si="16"/>
        <v>0</v>
      </c>
      <c r="BI24" s="143">
        <f t="shared" si="17"/>
        <v>0</v>
      </c>
      <c r="BL24" s="143">
        <f t="shared" si="18"/>
        <v>0</v>
      </c>
      <c r="BO24" s="143">
        <f t="shared" si="19"/>
        <v>0</v>
      </c>
      <c r="BR24" s="143">
        <f t="shared" si="20"/>
        <v>0</v>
      </c>
      <c r="BU24" s="143">
        <f t="shared" si="21"/>
        <v>0</v>
      </c>
      <c r="BX24" s="143">
        <f t="shared" si="22"/>
        <v>0</v>
      </c>
      <c r="CA24" s="143">
        <f t="shared" si="23"/>
        <v>0</v>
      </c>
      <c r="CD24" s="143">
        <f t="shared" si="24"/>
        <v>0</v>
      </c>
      <c r="CG24" s="143">
        <f t="shared" si="25"/>
        <v>0</v>
      </c>
      <c r="CJ24" s="143">
        <f t="shared" si="26"/>
        <v>0</v>
      </c>
      <c r="CM24" s="143">
        <f t="shared" si="27"/>
        <v>0</v>
      </c>
      <c r="CP24" s="143">
        <f t="shared" si="28"/>
        <v>0</v>
      </c>
      <c r="CS24" s="143">
        <f t="shared" si="29"/>
        <v>0</v>
      </c>
      <c r="CV24" s="143">
        <f t="shared" si="30"/>
        <v>0</v>
      </c>
      <c r="CY24" s="143">
        <f t="shared" si="31"/>
        <v>0</v>
      </c>
      <c r="DB24" s="143">
        <f t="shared" si="32"/>
        <v>0</v>
      </c>
      <c r="DE24" s="143">
        <f t="shared" si="33"/>
        <v>0</v>
      </c>
      <c r="DH24" s="143">
        <f t="shared" si="34"/>
        <v>0</v>
      </c>
      <c r="DK24" s="143">
        <f t="shared" si="35"/>
        <v>0</v>
      </c>
      <c r="DN24" s="143">
        <f t="shared" si="36"/>
        <v>0</v>
      </c>
      <c r="DQ24" s="143">
        <f t="shared" si="37"/>
        <v>0</v>
      </c>
      <c r="DT24" s="143">
        <f t="shared" si="38"/>
        <v>0</v>
      </c>
      <c r="DW24" s="143">
        <f t="shared" si="39"/>
        <v>0</v>
      </c>
      <c r="DZ24" s="143"/>
      <c r="EA24" s="143"/>
      <c r="EB24" s="178">
        <f t="shared" si="40"/>
        <v>114820000</v>
      </c>
      <c r="EC24" s="178">
        <f t="shared" si="41"/>
        <v>37170000</v>
      </c>
      <c r="ED24" s="143">
        <f t="shared" si="48"/>
        <v>652.81111111111113</v>
      </c>
      <c r="EE24" s="144">
        <f t="shared" si="49"/>
        <v>2.0467862741682637E-3</v>
      </c>
      <c r="EG24" s="178">
        <f t="shared" si="42"/>
        <v>0</v>
      </c>
      <c r="EH24" s="143">
        <f t="shared" si="43"/>
        <v>0</v>
      </c>
      <c r="EI24" s="144">
        <f t="shared" si="44"/>
        <v>0</v>
      </c>
      <c r="EJ24" s="144"/>
      <c r="EK24" s="178">
        <f t="shared" si="45"/>
        <v>77650000</v>
      </c>
      <c r="EL24" s="178">
        <f t="shared" si="46"/>
        <v>0</v>
      </c>
      <c r="EM24" s="178">
        <f t="shared" si="50"/>
        <v>539.23611111111109</v>
      </c>
      <c r="EN24" s="144">
        <f t="shared" si="51"/>
        <v>2.4999999999999996E-3</v>
      </c>
      <c r="EP24" s="143"/>
    </row>
    <row r="25" spans="1:146" x14ac:dyDescent="0.2">
      <c r="A25" s="175">
        <f t="shared" si="47"/>
        <v>44027</v>
      </c>
      <c r="B25" s="143">
        <v>10245000</v>
      </c>
      <c r="C25" s="144">
        <v>1.1000000000000001E-3</v>
      </c>
      <c r="D25" s="143">
        <f t="shared" si="0"/>
        <v>31.304166666666667</v>
      </c>
      <c r="G25" s="143">
        <f t="shared" si="1"/>
        <v>0</v>
      </c>
      <c r="J25" s="143">
        <f t="shared" si="2"/>
        <v>0</v>
      </c>
      <c r="M25" s="143">
        <f t="shared" si="3"/>
        <v>0</v>
      </c>
      <c r="P25" s="143">
        <f t="shared" si="4"/>
        <v>0</v>
      </c>
      <c r="S25" s="143">
        <f t="shared" si="5"/>
        <v>0</v>
      </c>
      <c r="V25" s="143">
        <f t="shared" si="6"/>
        <v>0</v>
      </c>
      <c r="Y25" s="143">
        <f t="shared" si="7"/>
        <v>0</v>
      </c>
      <c r="AB25" s="143">
        <f t="shared" si="8"/>
        <v>0</v>
      </c>
      <c r="AE25" s="143">
        <f>(AC25*AD25)/'[22]Input Sheet'!$B$11</f>
        <v>0</v>
      </c>
      <c r="AH25" s="143">
        <f>(AF25*AG25)/'[22]Input Sheet'!$B$11</f>
        <v>0</v>
      </c>
      <c r="AI25" s="176">
        <v>95425000</v>
      </c>
      <c r="AJ25" s="177">
        <v>2.5000000000000001E-3</v>
      </c>
      <c r="AK25" s="143">
        <f t="shared" si="9"/>
        <v>662.67361111111109</v>
      </c>
      <c r="AL25" s="176"/>
      <c r="AM25" s="177"/>
      <c r="AN25" s="143">
        <f t="shared" si="10"/>
        <v>0</v>
      </c>
      <c r="AO25" s="176"/>
      <c r="AP25" s="177"/>
      <c r="AQ25" s="143">
        <f t="shared" si="11"/>
        <v>0</v>
      </c>
      <c r="AR25" s="176"/>
      <c r="AS25" s="177"/>
      <c r="AT25" s="143">
        <f t="shared" si="12"/>
        <v>0</v>
      </c>
      <c r="AW25" s="143">
        <f t="shared" si="13"/>
        <v>0</v>
      </c>
      <c r="AZ25" s="143">
        <f t="shared" si="14"/>
        <v>0</v>
      </c>
      <c r="BC25" s="143">
        <f t="shared" si="15"/>
        <v>0</v>
      </c>
      <c r="BF25" s="143">
        <f t="shared" si="16"/>
        <v>0</v>
      </c>
      <c r="BI25" s="143">
        <f t="shared" si="17"/>
        <v>0</v>
      </c>
      <c r="BL25" s="143">
        <f t="shared" si="18"/>
        <v>0</v>
      </c>
      <c r="BO25" s="143">
        <f t="shared" si="19"/>
        <v>0</v>
      </c>
      <c r="BR25" s="143">
        <f t="shared" si="20"/>
        <v>0</v>
      </c>
      <c r="BU25" s="143">
        <f t="shared" si="21"/>
        <v>0</v>
      </c>
      <c r="BX25" s="143">
        <f t="shared" si="22"/>
        <v>0</v>
      </c>
      <c r="CA25" s="143">
        <f t="shared" si="23"/>
        <v>0</v>
      </c>
      <c r="CD25" s="143">
        <f t="shared" si="24"/>
        <v>0</v>
      </c>
      <c r="CG25" s="143">
        <f t="shared" si="25"/>
        <v>0</v>
      </c>
      <c r="CJ25" s="143">
        <f t="shared" si="26"/>
        <v>0</v>
      </c>
      <c r="CM25" s="143">
        <f t="shared" si="27"/>
        <v>0</v>
      </c>
      <c r="CP25" s="143">
        <f t="shared" si="28"/>
        <v>0</v>
      </c>
      <c r="CS25" s="143">
        <f t="shared" si="29"/>
        <v>0</v>
      </c>
      <c r="CV25" s="143">
        <f t="shared" si="30"/>
        <v>0</v>
      </c>
      <c r="CY25" s="143">
        <f t="shared" si="31"/>
        <v>0</v>
      </c>
      <c r="DB25" s="143">
        <f t="shared" si="32"/>
        <v>0</v>
      </c>
      <c r="DE25" s="143">
        <f t="shared" si="33"/>
        <v>0</v>
      </c>
      <c r="DH25" s="143">
        <f t="shared" si="34"/>
        <v>0</v>
      </c>
      <c r="DK25" s="143">
        <f t="shared" si="35"/>
        <v>0</v>
      </c>
      <c r="DN25" s="143">
        <f t="shared" si="36"/>
        <v>0</v>
      </c>
      <c r="DQ25" s="143">
        <f t="shared" si="37"/>
        <v>0</v>
      </c>
      <c r="DT25" s="143">
        <f t="shared" si="38"/>
        <v>0</v>
      </c>
      <c r="DW25" s="143">
        <f t="shared" si="39"/>
        <v>0</v>
      </c>
      <c r="DZ25" s="143"/>
      <c r="EA25" s="143"/>
      <c r="EB25" s="178">
        <f t="shared" si="40"/>
        <v>105670000</v>
      </c>
      <c r="EC25" s="178">
        <f t="shared" si="41"/>
        <v>10245000</v>
      </c>
      <c r="ED25" s="143">
        <f t="shared" si="48"/>
        <v>693.97777777777776</v>
      </c>
      <c r="EE25" s="144">
        <f t="shared" si="49"/>
        <v>2.3642661114791331E-3</v>
      </c>
      <c r="EG25" s="178">
        <f t="shared" si="42"/>
        <v>0</v>
      </c>
      <c r="EH25" s="143">
        <f t="shared" si="43"/>
        <v>0</v>
      </c>
      <c r="EI25" s="144">
        <f t="shared" si="44"/>
        <v>0</v>
      </c>
      <c r="EJ25" s="144"/>
      <c r="EK25" s="178">
        <f t="shared" si="45"/>
        <v>95425000</v>
      </c>
      <c r="EL25" s="178">
        <f t="shared" si="46"/>
        <v>0</v>
      </c>
      <c r="EM25" s="178">
        <f t="shared" si="50"/>
        <v>662.67361111111109</v>
      </c>
      <c r="EN25" s="144">
        <f t="shared" si="51"/>
        <v>2.4999999999999996E-3</v>
      </c>
      <c r="EP25" s="143"/>
    </row>
    <row r="26" spans="1:146" x14ac:dyDescent="0.2">
      <c r="A26" s="175">
        <f t="shared" si="47"/>
        <v>44028</v>
      </c>
      <c r="B26" s="143">
        <v>10445000</v>
      </c>
      <c r="C26" s="144">
        <v>1.4000000000000002E-3</v>
      </c>
      <c r="D26" s="143">
        <f t="shared" si="0"/>
        <v>40.619444444444447</v>
      </c>
      <c r="G26" s="143">
        <f t="shared" si="1"/>
        <v>0</v>
      </c>
      <c r="J26" s="143">
        <f t="shared" si="2"/>
        <v>0</v>
      </c>
      <c r="M26" s="143">
        <f t="shared" si="3"/>
        <v>0</v>
      </c>
      <c r="P26" s="143">
        <f t="shared" si="4"/>
        <v>0</v>
      </c>
      <c r="S26" s="143">
        <f t="shared" si="5"/>
        <v>0</v>
      </c>
      <c r="V26" s="143">
        <f t="shared" si="6"/>
        <v>0</v>
      </c>
      <c r="Y26" s="143">
        <f t="shared" si="7"/>
        <v>0</v>
      </c>
      <c r="AB26" s="143">
        <f t="shared" si="8"/>
        <v>0</v>
      </c>
      <c r="AE26" s="143">
        <f>(AC26*AD26)/'[22]Input Sheet'!$B$11</f>
        <v>0</v>
      </c>
      <c r="AH26" s="143">
        <f>(AF26*AG26)/'[22]Input Sheet'!$B$11</f>
        <v>0</v>
      </c>
      <c r="AI26" s="176">
        <v>82250000</v>
      </c>
      <c r="AJ26" s="177">
        <v>2.5000000000000001E-3</v>
      </c>
      <c r="AK26" s="143">
        <f t="shared" si="9"/>
        <v>571.18055555555554</v>
      </c>
      <c r="AL26" s="176"/>
      <c r="AM26" s="177"/>
      <c r="AN26" s="143">
        <f t="shared" si="10"/>
        <v>0</v>
      </c>
      <c r="AO26" s="176"/>
      <c r="AP26" s="177"/>
      <c r="AQ26" s="143">
        <f t="shared" si="11"/>
        <v>0</v>
      </c>
      <c r="AR26" s="176"/>
      <c r="AS26" s="177"/>
      <c r="AT26" s="143">
        <f t="shared" si="12"/>
        <v>0</v>
      </c>
      <c r="AW26" s="143">
        <f t="shared" si="13"/>
        <v>0</v>
      </c>
      <c r="AZ26" s="143">
        <f t="shared" si="14"/>
        <v>0</v>
      </c>
      <c r="BC26" s="143">
        <f t="shared" si="15"/>
        <v>0</v>
      </c>
      <c r="BF26" s="143">
        <f t="shared" si="16"/>
        <v>0</v>
      </c>
      <c r="BI26" s="143">
        <f t="shared" si="17"/>
        <v>0</v>
      </c>
      <c r="BL26" s="143">
        <f t="shared" si="18"/>
        <v>0</v>
      </c>
      <c r="BO26" s="143">
        <f t="shared" si="19"/>
        <v>0</v>
      </c>
      <c r="BR26" s="143">
        <f t="shared" si="20"/>
        <v>0</v>
      </c>
      <c r="BU26" s="143">
        <f t="shared" si="21"/>
        <v>0</v>
      </c>
      <c r="BX26" s="143">
        <f t="shared" si="22"/>
        <v>0</v>
      </c>
      <c r="CA26" s="143">
        <f t="shared" si="23"/>
        <v>0</v>
      </c>
      <c r="CD26" s="143">
        <f t="shared" si="24"/>
        <v>0</v>
      </c>
      <c r="CG26" s="143">
        <f t="shared" si="25"/>
        <v>0</v>
      </c>
      <c r="CJ26" s="143">
        <f t="shared" si="26"/>
        <v>0</v>
      </c>
      <c r="CM26" s="143">
        <f t="shared" si="27"/>
        <v>0</v>
      </c>
      <c r="CP26" s="143">
        <f t="shared" si="28"/>
        <v>0</v>
      </c>
      <c r="CS26" s="143">
        <f t="shared" si="29"/>
        <v>0</v>
      </c>
      <c r="CV26" s="143">
        <f t="shared" si="30"/>
        <v>0</v>
      </c>
      <c r="CY26" s="143">
        <f t="shared" si="31"/>
        <v>0</v>
      </c>
      <c r="DB26" s="143">
        <f t="shared" si="32"/>
        <v>0</v>
      </c>
      <c r="DE26" s="143">
        <f t="shared" si="33"/>
        <v>0</v>
      </c>
      <c r="DH26" s="143">
        <f t="shared" si="34"/>
        <v>0</v>
      </c>
      <c r="DK26" s="143">
        <f t="shared" si="35"/>
        <v>0</v>
      </c>
      <c r="DN26" s="143">
        <f t="shared" si="36"/>
        <v>0</v>
      </c>
      <c r="DQ26" s="143">
        <f t="shared" si="37"/>
        <v>0</v>
      </c>
      <c r="DT26" s="143">
        <f t="shared" si="38"/>
        <v>0</v>
      </c>
      <c r="DW26" s="143">
        <f t="shared" si="39"/>
        <v>0</v>
      </c>
      <c r="DZ26" s="143"/>
      <c r="EA26" s="143"/>
      <c r="EB26" s="178">
        <f t="shared" si="40"/>
        <v>92695000</v>
      </c>
      <c r="EC26" s="178">
        <f t="shared" si="41"/>
        <v>10445000</v>
      </c>
      <c r="ED26" s="143">
        <f t="shared" si="48"/>
        <v>611.79999999999995</v>
      </c>
      <c r="EE26" s="144">
        <f t="shared" si="49"/>
        <v>2.3760504881600946E-3</v>
      </c>
      <c r="EG26" s="178">
        <f t="shared" si="42"/>
        <v>0</v>
      </c>
      <c r="EH26" s="143">
        <f t="shared" si="43"/>
        <v>0</v>
      </c>
      <c r="EI26" s="144">
        <f t="shared" si="44"/>
        <v>0</v>
      </c>
      <c r="EJ26" s="144"/>
      <c r="EK26" s="178">
        <f t="shared" si="45"/>
        <v>82250000</v>
      </c>
      <c r="EL26" s="178">
        <f t="shared" si="46"/>
        <v>0</v>
      </c>
      <c r="EM26" s="178">
        <f t="shared" si="50"/>
        <v>571.18055555555554</v>
      </c>
      <c r="EN26" s="144">
        <f t="shared" si="51"/>
        <v>2.4999999999999996E-3</v>
      </c>
      <c r="EP26" s="143"/>
    </row>
    <row r="27" spans="1:146" x14ac:dyDescent="0.2">
      <c r="A27" s="175">
        <f t="shared" si="47"/>
        <v>44029</v>
      </c>
      <c r="B27" s="143">
        <v>22245000</v>
      </c>
      <c r="C27" s="144">
        <v>1.4000000000000002E-3</v>
      </c>
      <c r="D27" s="143">
        <f t="shared" si="0"/>
        <v>86.50833333333334</v>
      </c>
      <c r="G27" s="143">
        <f t="shared" si="1"/>
        <v>0</v>
      </c>
      <c r="J27" s="143">
        <f t="shared" si="2"/>
        <v>0</v>
      </c>
      <c r="M27" s="143">
        <f t="shared" si="3"/>
        <v>0</v>
      </c>
      <c r="P27" s="143">
        <f t="shared" si="4"/>
        <v>0</v>
      </c>
      <c r="S27" s="143">
        <f t="shared" si="5"/>
        <v>0</v>
      </c>
      <c r="V27" s="143">
        <f t="shared" si="6"/>
        <v>0</v>
      </c>
      <c r="Y27" s="143">
        <f t="shared" si="7"/>
        <v>0</v>
      </c>
      <c r="AB27" s="143">
        <f t="shared" si="8"/>
        <v>0</v>
      </c>
      <c r="AE27" s="143">
        <f>(AC27*AD27)/'[22]Input Sheet'!$B$11</f>
        <v>0</v>
      </c>
      <c r="AH27" s="143">
        <f>(AF27*AG27)/'[22]Input Sheet'!$B$11</f>
        <v>0</v>
      </c>
      <c r="AI27" s="176">
        <v>63250000</v>
      </c>
      <c r="AJ27" s="177">
        <v>2.5000000000000001E-3</v>
      </c>
      <c r="AK27" s="143">
        <f t="shared" si="9"/>
        <v>439.23611111111109</v>
      </c>
      <c r="AL27" s="176"/>
      <c r="AM27" s="177"/>
      <c r="AN27" s="143">
        <f t="shared" si="10"/>
        <v>0</v>
      </c>
      <c r="AO27" s="176"/>
      <c r="AP27" s="177"/>
      <c r="AQ27" s="143">
        <f t="shared" si="11"/>
        <v>0</v>
      </c>
      <c r="AR27" s="176"/>
      <c r="AS27" s="177"/>
      <c r="AT27" s="143">
        <f t="shared" si="12"/>
        <v>0</v>
      </c>
      <c r="AW27" s="143">
        <f t="shared" si="13"/>
        <v>0</v>
      </c>
      <c r="AZ27" s="143">
        <f t="shared" si="14"/>
        <v>0</v>
      </c>
      <c r="BC27" s="143">
        <f t="shared" si="15"/>
        <v>0</v>
      </c>
      <c r="BF27" s="143">
        <f t="shared" si="16"/>
        <v>0</v>
      </c>
      <c r="BI27" s="143">
        <f t="shared" si="17"/>
        <v>0</v>
      </c>
      <c r="BL27" s="143">
        <f t="shared" si="18"/>
        <v>0</v>
      </c>
      <c r="BO27" s="143">
        <f t="shared" si="19"/>
        <v>0</v>
      </c>
      <c r="BR27" s="143">
        <f t="shared" si="20"/>
        <v>0</v>
      </c>
      <c r="BU27" s="143">
        <f t="shared" si="21"/>
        <v>0</v>
      </c>
      <c r="BX27" s="143">
        <f t="shared" si="22"/>
        <v>0</v>
      </c>
      <c r="CA27" s="143">
        <f t="shared" si="23"/>
        <v>0</v>
      </c>
      <c r="CD27" s="143">
        <f t="shared" si="24"/>
        <v>0</v>
      </c>
      <c r="CG27" s="143">
        <f t="shared" si="25"/>
        <v>0</v>
      </c>
      <c r="CJ27" s="143">
        <f t="shared" si="26"/>
        <v>0</v>
      </c>
      <c r="CM27" s="143">
        <f t="shared" si="27"/>
        <v>0</v>
      </c>
      <c r="CP27" s="143">
        <f t="shared" si="28"/>
        <v>0</v>
      </c>
      <c r="CS27" s="143">
        <f t="shared" si="29"/>
        <v>0</v>
      </c>
      <c r="CV27" s="143">
        <f t="shared" si="30"/>
        <v>0</v>
      </c>
      <c r="CY27" s="143">
        <f t="shared" si="31"/>
        <v>0</v>
      </c>
      <c r="DB27" s="143">
        <f t="shared" si="32"/>
        <v>0</v>
      </c>
      <c r="DE27" s="143">
        <f t="shared" si="33"/>
        <v>0</v>
      </c>
      <c r="DH27" s="143">
        <f t="shared" si="34"/>
        <v>0</v>
      </c>
      <c r="DK27" s="143">
        <f t="shared" si="35"/>
        <v>0</v>
      </c>
      <c r="DN27" s="143">
        <f t="shared" si="36"/>
        <v>0</v>
      </c>
      <c r="DQ27" s="143">
        <f t="shared" si="37"/>
        <v>0</v>
      </c>
      <c r="DT27" s="143">
        <f t="shared" si="38"/>
        <v>0</v>
      </c>
      <c r="DW27" s="143">
        <f t="shared" si="39"/>
        <v>0</v>
      </c>
      <c r="DZ27" s="143"/>
      <c r="EA27" s="143"/>
      <c r="EB27" s="178">
        <f t="shared" si="40"/>
        <v>85495000</v>
      </c>
      <c r="EC27" s="178">
        <f t="shared" si="41"/>
        <v>22245000</v>
      </c>
      <c r="ED27" s="143">
        <f t="shared" si="48"/>
        <v>525.74444444444441</v>
      </c>
      <c r="EE27" s="144">
        <f t="shared" si="49"/>
        <v>2.2137902801333412E-3</v>
      </c>
      <c r="EG27" s="178">
        <f t="shared" si="42"/>
        <v>0</v>
      </c>
      <c r="EH27" s="143">
        <f t="shared" si="43"/>
        <v>0</v>
      </c>
      <c r="EI27" s="144">
        <f t="shared" si="44"/>
        <v>0</v>
      </c>
      <c r="EJ27" s="144"/>
      <c r="EK27" s="178">
        <f t="shared" si="45"/>
        <v>63250000</v>
      </c>
      <c r="EL27" s="178">
        <f t="shared" si="46"/>
        <v>0</v>
      </c>
      <c r="EM27" s="178">
        <f t="shared" si="50"/>
        <v>439.23611111111109</v>
      </c>
      <c r="EN27" s="144">
        <f t="shared" si="51"/>
        <v>2.4999999999999996E-3</v>
      </c>
      <c r="EP27" s="143"/>
    </row>
    <row r="28" spans="1:146" x14ac:dyDescent="0.2">
      <c r="A28" s="175">
        <f t="shared" si="47"/>
        <v>44030</v>
      </c>
      <c r="B28" s="143">
        <v>22245000</v>
      </c>
      <c r="C28" s="144">
        <v>1.4000000000000002E-3</v>
      </c>
      <c r="D28" s="143">
        <f t="shared" si="0"/>
        <v>86.50833333333334</v>
      </c>
      <c r="G28" s="143">
        <f t="shared" si="1"/>
        <v>0</v>
      </c>
      <c r="J28" s="143">
        <f t="shared" si="2"/>
        <v>0</v>
      </c>
      <c r="M28" s="143">
        <f t="shared" si="3"/>
        <v>0</v>
      </c>
      <c r="P28" s="143">
        <f t="shared" si="4"/>
        <v>0</v>
      </c>
      <c r="S28" s="143">
        <f t="shared" si="5"/>
        <v>0</v>
      </c>
      <c r="V28" s="143">
        <f t="shared" si="6"/>
        <v>0</v>
      </c>
      <c r="Y28" s="143">
        <f t="shared" si="7"/>
        <v>0</v>
      </c>
      <c r="AB28" s="143">
        <f t="shared" si="8"/>
        <v>0</v>
      </c>
      <c r="AE28" s="143">
        <f>(AC28*AD28)/'[22]Input Sheet'!$B$11</f>
        <v>0</v>
      </c>
      <c r="AH28" s="143">
        <f>(AF28*AG28)/'[22]Input Sheet'!$B$11</f>
        <v>0</v>
      </c>
      <c r="AI28" s="176">
        <v>63250000</v>
      </c>
      <c r="AJ28" s="177">
        <v>2.5000000000000001E-3</v>
      </c>
      <c r="AK28" s="143">
        <f t="shared" si="9"/>
        <v>439.23611111111109</v>
      </c>
      <c r="AL28" s="176"/>
      <c r="AM28" s="177"/>
      <c r="AN28" s="143">
        <f t="shared" si="10"/>
        <v>0</v>
      </c>
      <c r="AO28" s="176"/>
      <c r="AP28" s="177"/>
      <c r="AQ28" s="143">
        <f t="shared" si="11"/>
        <v>0</v>
      </c>
      <c r="AR28" s="176"/>
      <c r="AS28" s="177"/>
      <c r="AT28" s="143">
        <f t="shared" si="12"/>
        <v>0</v>
      </c>
      <c r="AW28" s="143">
        <f t="shared" si="13"/>
        <v>0</v>
      </c>
      <c r="AZ28" s="143">
        <f t="shared" si="14"/>
        <v>0</v>
      </c>
      <c r="BC28" s="143">
        <f t="shared" si="15"/>
        <v>0</v>
      </c>
      <c r="BF28" s="143">
        <f t="shared" si="16"/>
        <v>0</v>
      </c>
      <c r="BI28" s="143">
        <f t="shared" si="17"/>
        <v>0</v>
      </c>
      <c r="BL28" s="143">
        <f t="shared" si="18"/>
        <v>0</v>
      </c>
      <c r="BO28" s="143">
        <f t="shared" si="19"/>
        <v>0</v>
      </c>
      <c r="BR28" s="143">
        <f t="shared" si="20"/>
        <v>0</v>
      </c>
      <c r="BU28" s="143">
        <f t="shared" si="21"/>
        <v>0</v>
      </c>
      <c r="BX28" s="143">
        <f t="shared" si="22"/>
        <v>0</v>
      </c>
      <c r="CA28" s="143">
        <f t="shared" si="23"/>
        <v>0</v>
      </c>
      <c r="CD28" s="143">
        <f t="shared" si="24"/>
        <v>0</v>
      </c>
      <c r="CG28" s="143">
        <f t="shared" si="25"/>
        <v>0</v>
      </c>
      <c r="CJ28" s="143">
        <f t="shared" si="26"/>
        <v>0</v>
      </c>
      <c r="CM28" s="143">
        <f t="shared" si="27"/>
        <v>0</v>
      </c>
      <c r="CP28" s="143">
        <f t="shared" si="28"/>
        <v>0</v>
      </c>
      <c r="CS28" s="143">
        <f t="shared" si="29"/>
        <v>0</v>
      </c>
      <c r="CV28" s="143">
        <f t="shared" si="30"/>
        <v>0</v>
      </c>
      <c r="CY28" s="143">
        <f t="shared" si="31"/>
        <v>0</v>
      </c>
      <c r="DB28" s="143">
        <f t="shared" si="32"/>
        <v>0</v>
      </c>
      <c r="DE28" s="143">
        <f t="shared" si="33"/>
        <v>0</v>
      </c>
      <c r="DH28" s="143">
        <f t="shared" si="34"/>
        <v>0</v>
      </c>
      <c r="DK28" s="143">
        <f t="shared" si="35"/>
        <v>0</v>
      </c>
      <c r="DN28" s="143">
        <f t="shared" si="36"/>
        <v>0</v>
      </c>
      <c r="DQ28" s="143">
        <f t="shared" si="37"/>
        <v>0</v>
      </c>
      <c r="DT28" s="143">
        <f t="shared" si="38"/>
        <v>0</v>
      </c>
      <c r="DW28" s="143">
        <f t="shared" si="39"/>
        <v>0</v>
      </c>
      <c r="DZ28" s="143"/>
      <c r="EA28" s="143"/>
      <c r="EB28" s="178">
        <f t="shared" si="40"/>
        <v>85495000</v>
      </c>
      <c r="EC28" s="178">
        <f t="shared" si="41"/>
        <v>22245000</v>
      </c>
      <c r="ED28" s="143">
        <f t="shared" si="48"/>
        <v>525.74444444444441</v>
      </c>
      <c r="EE28" s="144">
        <f t="shared" si="49"/>
        <v>2.2137902801333412E-3</v>
      </c>
      <c r="EG28" s="178">
        <f t="shared" si="42"/>
        <v>0</v>
      </c>
      <c r="EH28" s="143">
        <f t="shared" si="43"/>
        <v>0</v>
      </c>
      <c r="EI28" s="144">
        <f t="shared" si="44"/>
        <v>0</v>
      </c>
      <c r="EJ28" s="144"/>
      <c r="EK28" s="178">
        <f t="shared" si="45"/>
        <v>63250000</v>
      </c>
      <c r="EL28" s="178">
        <f t="shared" si="46"/>
        <v>0</v>
      </c>
      <c r="EM28" s="178">
        <f t="shared" si="50"/>
        <v>439.23611111111109</v>
      </c>
      <c r="EN28" s="144">
        <f t="shared" si="51"/>
        <v>2.4999999999999996E-3</v>
      </c>
      <c r="EP28" s="143"/>
    </row>
    <row r="29" spans="1:146" x14ac:dyDescent="0.2">
      <c r="A29" s="175">
        <f t="shared" si="47"/>
        <v>44031</v>
      </c>
      <c r="B29" s="143">
        <v>22245000</v>
      </c>
      <c r="C29" s="144">
        <v>1.4000000000000002E-3</v>
      </c>
      <c r="D29" s="143">
        <f t="shared" si="0"/>
        <v>86.50833333333334</v>
      </c>
      <c r="G29" s="143">
        <f t="shared" si="1"/>
        <v>0</v>
      </c>
      <c r="J29" s="143">
        <f t="shared" si="2"/>
        <v>0</v>
      </c>
      <c r="M29" s="143">
        <f t="shared" si="3"/>
        <v>0</v>
      </c>
      <c r="P29" s="143">
        <f t="shared" si="4"/>
        <v>0</v>
      </c>
      <c r="S29" s="143">
        <f t="shared" si="5"/>
        <v>0</v>
      </c>
      <c r="V29" s="143">
        <f t="shared" si="6"/>
        <v>0</v>
      </c>
      <c r="Y29" s="143">
        <f t="shared" si="7"/>
        <v>0</v>
      </c>
      <c r="AB29" s="143">
        <f t="shared" si="8"/>
        <v>0</v>
      </c>
      <c r="AE29" s="143">
        <f>(AC29*AD29)/'[22]Input Sheet'!$B$11</f>
        <v>0</v>
      </c>
      <c r="AH29" s="143">
        <f>(AF29*AG29)/'[22]Input Sheet'!$B$11</f>
        <v>0</v>
      </c>
      <c r="AI29" s="176">
        <v>63250000</v>
      </c>
      <c r="AJ29" s="177">
        <v>2.5000000000000001E-3</v>
      </c>
      <c r="AK29" s="143">
        <f t="shared" si="9"/>
        <v>439.23611111111109</v>
      </c>
      <c r="AL29" s="176"/>
      <c r="AM29" s="177"/>
      <c r="AN29" s="143">
        <f t="shared" si="10"/>
        <v>0</v>
      </c>
      <c r="AO29" s="176"/>
      <c r="AP29" s="177"/>
      <c r="AQ29" s="143">
        <f t="shared" si="11"/>
        <v>0</v>
      </c>
      <c r="AR29" s="176"/>
      <c r="AS29" s="177"/>
      <c r="AT29" s="143">
        <f t="shared" si="12"/>
        <v>0</v>
      </c>
      <c r="AW29" s="143">
        <f t="shared" si="13"/>
        <v>0</v>
      </c>
      <c r="AZ29" s="143">
        <f t="shared" si="14"/>
        <v>0</v>
      </c>
      <c r="BC29" s="143">
        <f t="shared" si="15"/>
        <v>0</v>
      </c>
      <c r="BF29" s="143">
        <f t="shared" si="16"/>
        <v>0</v>
      </c>
      <c r="BI29" s="143">
        <f t="shared" si="17"/>
        <v>0</v>
      </c>
      <c r="BL29" s="143">
        <f t="shared" si="18"/>
        <v>0</v>
      </c>
      <c r="BO29" s="143">
        <f t="shared" si="19"/>
        <v>0</v>
      </c>
      <c r="BR29" s="143">
        <f t="shared" si="20"/>
        <v>0</v>
      </c>
      <c r="BU29" s="143">
        <f t="shared" si="21"/>
        <v>0</v>
      </c>
      <c r="BX29" s="143">
        <f t="shared" si="22"/>
        <v>0</v>
      </c>
      <c r="CA29" s="143">
        <f t="shared" si="23"/>
        <v>0</v>
      </c>
      <c r="CD29" s="143">
        <f t="shared" si="24"/>
        <v>0</v>
      </c>
      <c r="CG29" s="143">
        <f t="shared" si="25"/>
        <v>0</v>
      </c>
      <c r="CJ29" s="143">
        <f t="shared" si="26"/>
        <v>0</v>
      </c>
      <c r="CM29" s="143">
        <f t="shared" si="27"/>
        <v>0</v>
      </c>
      <c r="CP29" s="143">
        <f t="shared" si="28"/>
        <v>0</v>
      </c>
      <c r="CS29" s="143">
        <f t="shared" si="29"/>
        <v>0</v>
      </c>
      <c r="CV29" s="143">
        <f t="shared" si="30"/>
        <v>0</v>
      </c>
      <c r="CY29" s="143">
        <f t="shared" si="31"/>
        <v>0</v>
      </c>
      <c r="DB29" s="143">
        <f t="shared" si="32"/>
        <v>0</v>
      </c>
      <c r="DE29" s="143">
        <f t="shared" si="33"/>
        <v>0</v>
      </c>
      <c r="DH29" s="143">
        <f t="shared" si="34"/>
        <v>0</v>
      </c>
      <c r="DK29" s="143">
        <f t="shared" si="35"/>
        <v>0</v>
      </c>
      <c r="DN29" s="143">
        <f t="shared" si="36"/>
        <v>0</v>
      </c>
      <c r="DQ29" s="143">
        <f t="shared" si="37"/>
        <v>0</v>
      </c>
      <c r="DT29" s="143">
        <f t="shared" si="38"/>
        <v>0</v>
      </c>
      <c r="DW29" s="143">
        <f t="shared" si="39"/>
        <v>0</v>
      </c>
      <c r="DZ29" s="143"/>
      <c r="EA29" s="143"/>
      <c r="EB29" s="178">
        <f t="shared" si="40"/>
        <v>85495000</v>
      </c>
      <c r="EC29" s="178">
        <f t="shared" si="41"/>
        <v>22245000</v>
      </c>
      <c r="ED29" s="143">
        <f t="shared" si="48"/>
        <v>525.74444444444441</v>
      </c>
      <c r="EE29" s="144">
        <f t="shared" si="49"/>
        <v>2.2137902801333412E-3</v>
      </c>
      <c r="EG29" s="178">
        <f t="shared" si="42"/>
        <v>0</v>
      </c>
      <c r="EH29" s="143">
        <f t="shared" si="43"/>
        <v>0</v>
      </c>
      <c r="EI29" s="144">
        <f t="shared" si="44"/>
        <v>0</v>
      </c>
      <c r="EJ29" s="144"/>
      <c r="EK29" s="178">
        <f t="shared" si="45"/>
        <v>63250000</v>
      </c>
      <c r="EL29" s="178">
        <f t="shared" si="46"/>
        <v>0</v>
      </c>
      <c r="EM29" s="178">
        <f t="shared" si="50"/>
        <v>439.23611111111109</v>
      </c>
      <c r="EN29" s="144">
        <f t="shared" si="51"/>
        <v>2.4999999999999996E-3</v>
      </c>
      <c r="EP29" s="143"/>
    </row>
    <row r="30" spans="1:146" x14ac:dyDescent="0.2">
      <c r="A30" s="175">
        <f t="shared" si="47"/>
        <v>44032</v>
      </c>
      <c r="B30" s="143">
        <v>20620000</v>
      </c>
      <c r="C30" s="144">
        <v>1.4000000000000002E-3</v>
      </c>
      <c r="D30" s="143">
        <f t="shared" si="0"/>
        <v>80.188888888888897</v>
      </c>
      <c r="G30" s="143">
        <f t="shared" si="1"/>
        <v>0</v>
      </c>
      <c r="J30" s="143">
        <f t="shared" si="2"/>
        <v>0</v>
      </c>
      <c r="M30" s="143">
        <f t="shared" si="3"/>
        <v>0</v>
      </c>
      <c r="P30" s="143">
        <f t="shared" si="4"/>
        <v>0</v>
      </c>
      <c r="S30" s="143">
        <f t="shared" si="5"/>
        <v>0</v>
      </c>
      <c r="V30" s="143">
        <f t="shared" si="6"/>
        <v>0</v>
      </c>
      <c r="Y30" s="143">
        <f t="shared" si="7"/>
        <v>0</v>
      </c>
      <c r="AB30" s="143">
        <f t="shared" si="8"/>
        <v>0</v>
      </c>
      <c r="AE30" s="143">
        <f>(AC30*AD30)/'[22]Input Sheet'!$B$11</f>
        <v>0</v>
      </c>
      <c r="AH30" s="143">
        <f>(AF30*AG30)/'[22]Input Sheet'!$B$11</f>
        <v>0</v>
      </c>
      <c r="AI30" s="176">
        <v>79225000</v>
      </c>
      <c r="AJ30" s="177">
        <v>2.5000000000000001E-3</v>
      </c>
      <c r="AK30" s="143">
        <f t="shared" si="9"/>
        <v>550.17361111111109</v>
      </c>
      <c r="AL30" s="176"/>
      <c r="AM30" s="177"/>
      <c r="AN30" s="143">
        <f t="shared" si="10"/>
        <v>0</v>
      </c>
      <c r="AO30" s="176"/>
      <c r="AP30" s="177"/>
      <c r="AQ30" s="143">
        <f t="shared" si="11"/>
        <v>0</v>
      </c>
      <c r="AR30" s="176"/>
      <c r="AS30" s="177"/>
      <c r="AT30" s="143">
        <f t="shared" si="12"/>
        <v>0</v>
      </c>
      <c r="AW30" s="143">
        <f t="shared" si="13"/>
        <v>0</v>
      </c>
      <c r="AZ30" s="143">
        <f t="shared" si="14"/>
        <v>0</v>
      </c>
      <c r="BC30" s="143">
        <f t="shared" si="15"/>
        <v>0</v>
      </c>
      <c r="BF30" s="143">
        <f t="shared" si="16"/>
        <v>0</v>
      </c>
      <c r="BI30" s="143">
        <f t="shared" si="17"/>
        <v>0</v>
      </c>
      <c r="BL30" s="143">
        <f t="shared" si="18"/>
        <v>0</v>
      </c>
      <c r="BO30" s="143">
        <f t="shared" si="19"/>
        <v>0</v>
      </c>
      <c r="BR30" s="143">
        <f t="shared" si="20"/>
        <v>0</v>
      </c>
      <c r="BU30" s="143">
        <f t="shared" si="21"/>
        <v>0</v>
      </c>
      <c r="BX30" s="143">
        <f t="shared" si="22"/>
        <v>0</v>
      </c>
      <c r="CA30" s="143">
        <f t="shared" si="23"/>
        <v>0</v>
      </c>
      <c r="CD30" s="143">
        <f t="shared" si="24"/>
        <v>0</v>
      </c>
      <c r="CG30" s="143">
        <f t="shared" si="25"/>
        <v>0</v>
      </c>
      <c r="CJ30" s="143">
        <f t="shared" si="26"/>
        <v>0</v>
      </c>
      <c r="CM30" s="143">
        <f t="shared" si="27"/>
        <v>0</v>
      </c>
      <c r="CP30" s="143">
        <f t="shared" si="28"/>
        <v>0</v>
      </c>
      <c r="CS30" s="143">
        <f t="shared" si="29"/>
        <v>0</v>
      </c>
      <c r="CV30" s="143">
        <f t="shared" si="30"/>
        <v>0</v>
      </c>
      <c r="CY30" s="143">
        <f t="shared" si="31"/>
        <v>0</v>
      </c>
      <c r="DB30" s="143">
        <f t="shared" si="32"/>
        <v>0</v>
      </c>
      <c r="DE30" s="143">
        <f t="shared" si="33"/>
        <v>0</v>
      </c>
      <c r="DH30" s="143">
        <f t="shared" si="34"/>
        <v>0</v>
      </c>
      <c r="DK30" s="143">
        <f t="shared" si="35"/>
        <v>0</v>
      </c>
      <c r="DN30" s="143">
        <f t="shared" si="36"/>
        <v>0</v>
      </c>
      <c r="DQ30" s="143">
        <f t="shared" si="37"/>
        <v>0</v>
      </c>
      <c r="DT30" s="143">
        <f t="shared" si="38"/>
        <v>0</v>
      </c>
      <c r="DW30" s="143">
        <f t="shared" si="39"/>
        <v>0</v>
      </c>
      <c r="DZ30" s="143"/>
      <c r="EA30" s="143"/>
      <c r="EB30" s="178">
        <f t="shared" si="40"/>
        <v>99845000</v>
      </c>
      <c r="EC30" s="178">
        <f t="shared" si="41"/>
        <v>20620000</v>
      </c>
      <c r="ED30" s="143">
        <f t="shared" si="48"/>
        <v>630.36249999999995</v>
      </c>
      <c r="EE30" s="144">
        <f t="shared" si="49"/>
        <v>2.2728278832189891E-3</v>
      </c>
      <c r="EG30" s="178">
        <f t="shared" si="42"/>
        <v>0</v>
      </c>
      <c r="EH30" s="143">
        <f t="shared" si="43"/>
        <v>0</v>
      </c>
      <c r="EI30" s="144">
        <f t="shared" si="44"/>
        <v>0</v>
      </c>
      <c r="EJ30" s="144"/>
      <c r="EK30" s="178">
        <f t="shared" si="45"/>
        <v>79225000</v>
      </c>
      <c r="EL30" s="178">
        <f t="shared" si="46"/>
        <v>0</v>
      </c>
      <c r="EM30" s="178">
        <f t="shared" si="50"/>
        <v>550.17361111111109</v>
      </c>
      <c r="EN30" s="144">
        <f t="shared" si="51"/>
        <v>2.4999999999999996E-3</v>
      </c>
      <c r="EP30" s="143"/>
    </row>
    <row r="31" spans="1:146" x14ac:dyDescent="0.2">
      <c r="A31" s="175">
        <f t="shared" si="47"/>
        <v>44033</v>
      </c>
      <c r="B31" s="143">
        <v>74545000</v>
      </c>
      <c r="C31" s="144">
        <v>1.4000000000000002E-3</v>
      </c>
      <c r="D31" s="143">
        <f t="shared" si="0"/>
        <v>289.89722222222224</v>
      </c>
      <c r="G31" s="143">
        <f t="shared" si="1"/>
        <v>0</v>
      </c>
      <c r="J31" s="143">
        <f t="shared" si="2"/>
        <v>0</v>
      </c>
      <c r="M31" s="143">
        <f t="shared" si="3"/>
        <v>0</v>
      </c>
      <c r="P31" s="143">
        <f t="shared" si="4"/>
        <v>0</v>
      </c>
      <c r="S31" s="143">
        <f t="shared" si="5"/>
        <v>0</v>
      </c>
      <c r="V31" s="143">
        <f t="shared" si="6"/>
        <v>0</v>
      </c>
      <c r="Y31" s="143">
        <f t="shared" si="7"/>
        <v>0</v>
      </c>
      <c r="AB31" s="143">
        <f t="shared" si="8"/>
        <v>0</v>
      </c>
      <c r="AE31" s="143">
        <f>(AC31*AD31)/'[22]Input Sheet'!$B$11</f>
        <v>0</v>
      </c>
      <c r="AH31" s="143">
        <f>(AF31*AG31)/'[22]Input Sheet'!$B$11</f>
        <v>0</v>
      </c>
      <c r="AI31" s="176">
        <v>31550000</v>
      </c>
      <c r="AJ31" s="177">
        <v>2.5000000000000001E-3</v>
      </c>
      <c r="AK31" s="143">
        <f t="shared" si="9"/>
        <v>219.09722222222223</v>
      </c>
      <c r="AL31" s="176"/>
      <c r="AM31" s="177"/>
      <c r="AN31" s="143">
        <f t="shared" si="10"/>
        <v>0</v>
      </c>
      <c r="AO31" s="176"/>
      <c r="AP31" s="177"/>
      <c r="AQ31" s="143">
        <f t="shared" si="11"/>
        <v>0</v>
      </c>
      <c r="AR31" s="176"/>
      <c r="AS31" s="177"/>
      <c r="AT31" s="143">
        <f t="shared" si="12"/>
        <v>0</v>
      </c>
      <c r="AW31" s="143">
        <f t="shared" si="13"/>
        <v>0</v>
      </c>
      <c r="AZ31" s="143">
        <f t="shared" si="14"/>
        <v>0</v>
      </c>
      <c r="BC31" s="143">
        <f t="shared" si="15"/>
        <v>0</v>
      </c>
      <c r="BF31" s="143">
        <f t="shared" si="16"/>
        <v>0</v>
      </c>
      <c r="BI31" s="143">
        <f t="shared" si="17"/>
        <v>0</v>
      </c>
      <c r="BL31" s="143">
        <f t="shared" si="18"/>
        <v>0</v>
      </c>
      <c r="BO31" s="143">
        <f t="shared" si="19"/>
        <v>0</v>
      </c>
      <c r="BR31" s="143">
        <f t="shared" si="20"/>
        <v>0</v>
      </c>
      <c r="BU31" s="143">
        <f t="shared" si="21"/>
        <v>0</v>
      </c>
      <c r="BX31" s="143">
        <f t="shared" si="22"/>
        <v>0</v>
      </c>
      <c r="CA31" s="143">
        <f t="shared" si="23"/>
        <v>0</v>
      </c>
      <c r="CD31" s="143">
        <f t="shared" si="24"/>
        <v>0</v>
      </c>
      <c r="CG31" s="143">
        <f t="shared" si="25"/>
        <v>0</v>
      </c>
      <c r="CJ31" s="143">
        <f t="shared" si="26"/>
        <v>0</v>
      </c>
      <c r="CM31" s="143">
        <f t="shared" si="27"/>
        <v>0</v>
      </c>
      <c r="CP31" s="143">
        <f t="shared" si="28"/>
        <v>0</v>
      </c>
      <c r="CS31" s="143">
        <f t="shared" si="29"/>
        <v>0</v>
      </c>
      <c r="CV31" s="143">
        <f t="shared" si="30"/>
        <v>0</v>
      </c>
      <c r="CY31" s="143">
        <f t="shared" si="31"/>
        <v>0</v>
      </c>
      <c r="DB31" s="143">
        <f t="shared" si="32"/>
        <v>0</v>
      </c>
      <c r="DE31" s="143">
        <f t="shared" si="33"/>
        <v>0</v>
      </c>
      <c r="DH31" s="143">
        <f t="shared" si="34"/>
        <v>0</v>
      </c>
      <c r="DK31" s="143">
        <f t="shared" si="35"/>
        <v>0</v>
      </c>
      <c r="DN31" s="143">
        <f t="shared" si="36"/>
        <v>0</v>
      </c>
      <c r="DQ31" s="143">
        <f t="shared" si="37"/>
        <v>0</v>
      </c>
      <c r="DT31" s="143">
        <f t="shared" si="38"/>
        <v>0</v>
      </c>
      <c r="DW31" s="143">
        <f t="shared" si="39"/>
        <v>0</v>
      </c>
      <c r="DZ31" s="143"/>
      <c r="EA31" s="143"/>
      <c r="EB31" s="178">
        <f t="shared" si="40"/>
        <v>106095000</v>
      </c>
      <c r="EC31" s="178">
        <f t="shared" si="41"/>
        <v>74545000</v>
      </c>
      <c r="ED31" s="143">
        <f t="shared" si="48"/>
        <v>508.99444444444447</v>
      </c>
      <c r="EE31" s="144">
        <f t="shared" si="49"/>
        <v>1.7271124935199587E-3</v>
      </c>
      <c r="EG31" s="178">
        <f t="shared" si="42"/>
        <v>0</v>
      </c>
      <c r="EH31" s="143">
        <f t="shared" si="43"/>
        <v>0</v>
      </c>
      <c r="EI31" s="144">
        <f t="shared" si="44"/>
        <v>0</v>
      </c>
      <c r="EJ31" s="144"/>
      <c r="EK31" s="178">
        <f t="shared" si="45"/>
        <v>31550000</v>
      </c>
      <c r="EL31" s="178">
        <f t="shared" si="46"/>
        <v>0</v>
      </c>
      <c r="EM31" s="178">
        <f t="shared" si="50"/>
        <v>219.09722222222223</v>
      </c>
      <c r="EN31" s="144">
        <f t="shared" si="51"/>
        <v>2.5000000000000001E-3</v>
      </c>
      <c r="EP31" s="143"/>
    </row>
    <row r="32" spans="1:146" x14ac:dyDescent="0.2">
      <c r="A32" s="175">
        <f t="shared" si="47"/>
        <v>44034</v>
      </c>
      <c r="B32" s="143">
        <v>67845000</v>
      </c>
      <c r="C32" s="144">
        <v>1.4000000000000002E-3</v>
      </c>
      <c r="D32" s="143">
        <f t="shared" si="0"/>
        <v>263.8416666666667</v>
      </c>
      <c r="G32" s="143">
        <f t="shared" si="1"/>
        <v>0</v>
      </c>
      <c r="J32" s="143">
        <f t="shared" si="2"/>
        <v>0</v>
      </c>
      <c r="M32" s="143">
        <f t="shared" si="3"/>
        <v>0</v>
      </c>
      <c r="P32" s="143">
        <f t="shared" si="4"/>
        <v>0</v>
      </c>
      <c r="S32" s="143">
        <f t="shared" si="5"/>
        <v>0</v>
      </c>
      <c r="V32" s="143">
        <f t="shared" si="6"/>
        <v>0</v>
      </c>
      <c r="Y32" s="143">
        <f t="shared" si="7"/>
        <v>0</v>
      </c>
      <c r="AB32" s="143">
        <f t="shared" si="8"/>
        <v>0</v>
      </c>
      <c r="AE32" s="143">
        <f>(AC32*AD32)/'[22]Input Sheet'!$B$11</f>
        <v>0</v>
      </c>
      <c r="AH32" s="143">
        <f>(AF32*AG32)/'[22]Input Sheet'!$B$11</f>
        <v>0</v>
      </c>
      <c r="AI32" s="176">
        <v>31300000</v>
      </c>
      <c r="AJ32" s="177">
        <v>2.5000000000000001E-3</v>
      </c>
      <c r="AK32" s="143">
        <f t="shared" si="9"/>
        <v>217.36111111111111</v>
      </c>
      <c r="AL32" s="176"/>
      <c r="AM32" s="177"/>
      <c r="AN32" s="143">
        <f t="shared" si="10"/>
        <v>0</v>
      </c>
      <c r="AO32" s="176"/>
      <c r="AP32" s="177"/>
      <c r="AQ32" s="143">
        <f t="shared" si="11"/>
        <v>0</v>
      </c>
      <c r="AR32" s="176"/>
      <c r="AS32" s="177"/>
      <c r="AT32" s="143">
        <f t="shared" si="12"/>
        <v>0</v>
      </c>
      <c r="AW32" s="143">
        <f t="shared" si="13"/>
        <v>0</v>
      </c>
      <c r="AZ32" s="143">
        <f t="shared" si="14"/>
        <v>0</v>
      </c>
      <c r="BC32" s="143">
        <f t="shared" si="15"/>
        <v>0</v>
      </c>
      <c r="BF32" s="143">
        <f t="shared" si="16"/>
        <v>0</v>
      </c>
      <c r="BI32" s="143">
        <f t="shared" si="17"/>
        <v>0</v>
      </c>
      <c r="BL32" s="143">
        <f t="shared" si="18"/>
        <v>0</v>
      </c>
      <c r="BO32" s="143">
        <f t="shared" si="19"/>
        <v>0</v>
      </c>
      <c r="BR32" s="143">
        <f t="shared" si="20"/>
        <v>0</v>
      </c>
      <c r="BU32" s="143">
        <f t="shared" si="21"/>
        <v>0</v>
      </c>
      <c r="BX32" s="143">
        <f t="shared" si="22"/>
        <v>0</v>
      </c>
      <c r="CA32" s="143">
        <f t="shared" si="23"/>
        <v>0</v>
      </c>
      <c r="CD32" s="143">
        <f t="shared" si="24"/>
        <v>0</v>
      </c>
      <c r="CG32" s="143">
        <f t="shared" si="25"/>
        <v>0</v>
      </c>
      <c r="CJ32" s="143">
        <f t="shared" si="26"/>
        <v>0</v>
      </c>
      <c r="CM32" s="143">
        <f t="shared" si="27"/>
        <v>0</v>
      </c>
      <c r="CP32" s="143">
        <f t="shared" si="28"/>
        <v>0</v>
      </c>
      <c r="CS32" s="143">
        <f t="shared" si="29"/>
        <v>0</v>
      </c>
      <c r="CV32" s="143">
        <f t="shared" si="30"/>
        <v>0</v>
      </c>
      <c r="CY32" s="143">
        <f t="shared" si="31"/>
        <v>0</v>
      </c>
      <c r="DB32" s="143">
        <f t="shared" si="32"/>
        <v>0</v>
      </c>
      <c r="DE32" s="143">
        <f t="shared" si="33"/>
        <v>0</v>
      </c>
      <c r="DH32" s="143">
        <f t="shared" si="34"/>
        <v>0</v>
      </c>
      <c r="DK32" s="143">
        <f t="shared" si="35"/>
        <v>0</v>
      </c>
      <c r="DN32" s="143">
        <f t="shared" si="36"/>
        <v>0</v>
      </c>
      <c r="DQ32" s="143">
        <f t="shared" si="37"/>
        <v>0</v>
      </c>
      <c r="DT32" s="143">
        <f t="shared" si="38"/>
        <v>0</v>
      </c>
      <c r="DW32" s="143">
        <f t="shared" si="39"/>
        <v>0</v>
      </c>
      <c r="DZ32" s="143"/>
      <c r="EA32" s="143"/>
      <c r="EB32" s="178">
        <f t="shared" si="40"/>
        <v>99145000</v>
      </c>
      <c r="EC32" s="178">
        <f t="shared" si="41"/>
        <v>67845000</v>
      </c>
      <c r="ED32" s="143">
        <f t="shared" si="48"/>
        <v>481.20277777777778</v>
      </c>
      <c r="EE32" s="144">
        <f t="shared" si="49"/>
        <v>1.7472691512431288E-3</v>
      </c>
      <c r="EG32" s="178">
        <f t="shared" si="42"/>
        <v>0</v>
      </c>
      <c r="EH32" s="143">
        <f t="shared" si="43"/>
        <v>0</v>
      </c>
      <c r="EI32" s="144">
        <f t="shared" si="44"/>
        <v>0</v>
      </c>
      <c r="EJ32" s="144"/>
      <c r="EK32" s="178">
        <f t="shared" si="45"/>
        <v>31300000</v>
      </c>
      <c r="EL32" s="178">
        <f t="shared" si="46"/>
        <v>0</v>
      </c>
      <c r="EM32" s="178">
        <f t="shared" si="50"/>
        <v>217.36111111111111</v>
      </c>
      <c r="EN32" s="144">
        <f t="shared" si="51"/>
        <v>2.5000000000000001E-3</v>
      </c>
      <c r="EP32" s="143"/>
    </row>
    <row r="33" spans="1:146" x14ac:dyDescent="0.2">
      <c r="A33" s="175">
        <f t="shared" si="47"/>
        <v>44035</v>
      </c>
      <c r="B33" s="143">
        <v>68320000</v>
      </c>
      <c r="C33" s="144">
        <v>1.4000000000000002E-3</v>
      </c>
      <c r="D33" s="143">
        <f t="shared" si="0"/>
        <v>265.68888888888893</v>
      </c>
      <c r="G33" s="143">
        <f t="shared" si="1"/>
        <v>0</v>
      </c>
      <c r="J33" s="143">
        <f t="shared" si="2"/>
        <v>0</v>
      </c>
      <c r="M33" s="143">
        <f t="shared" si="3"/>
        <v>0</v>
      </c>
      <c r="P33" s="143">
        <f t="shared" si="4"/>
        <v>0</v>
      </c>
      <c r="S33" s="143">
        <f t="shared" si="5"/>
        <v>0</v>
      </c>
      <c r="V33" s="143">
        <f t="shared" si="6"/>
        <v>0</v>
      </c>
      <c r="Y33" s="143">
        <f t="shared" si="7"/>
        <v>0</v>
      </c>
      <c r="AB33" s="143">
        <f t="shared" si="8"/>
        <v>0</v>
      </c>
      <c r="AE33" s="143">
        <f>(AC33*AD33)/'[22]Input Sheet'!$B$11</f>
        <v>0</v>
      </c>
      <c r="AH33" s="143">
        <f>(AF33*AG33)/'[22]Input Sheet'!$B$11</f>
        <v>0</v>
      </c>
      <c r="AI33" s="176">
        <v>26100000</v>
      </c>
      <c r="AJ33" s="177">
        <v>2.5000000000000001E-3</v>
      </c>
      <c r="AK33" s="143">
        <f t="shared" si="9"/>
        <v>181.25</v>
      </c>
      <c r="AL33" s="176"/>
      <c r="AM33" s="177"/>
      <c r="AN33" s="143">
        <f t="shared" si="10"/>
        <v>0</v>
      </c>
      <c r="AO33" s="176"/>
      <c r="AP33" s="177"/>
      <c r="AQ33" s="143">
        <f t="shared" si="11"/>
        <v>0</v>
      </c>
      <c r="AR33" s="176"/>
      <c r="AS33" s="177"/>
      <c r="AT33" s="143">
        <f t="shared" si="12"/>
        <v>0</v>
      </c>
      <c r="AW33" s="143">
        <f t="shared" si="13"/>
        <v>0</v>
      </c>
      <c r="AZ33" s="143">
        <f t="shared" si="14"/>
        <v>0</v>
      </c>
      <c r="BC33" s="143">
        <f t="shared" si="15"/>
        <v>0</v>
      </c>
      <c r="BF33" s="143">
        <f t="shared" si="16"/>
        <v>0</v>
      </c>
      <c r="BI33" s="143">
        <f t="shared" si="17"/>
        <v>0</v>
      </c>
      <c r="BL33" s="143">
        <f t="shared" si="18"/>
        <v>0</v>
      </c>
      <c r="BO33" s="143">
        <f t="shared" si="19"/>
        <v>0</v>
      </c>
      <c r="BR33" s="143">
        <f t="shared" si="20"/>
        <v>0</v>
      </c>
      <c r="BU33" s="143">
        <f t="shared" si="21"/>
        <v>0</v>
      </c>
      <c r="BX33" s="143">
        <f t="shared" si="22"/>
        <v>0</v>
      </c>
      <c r="CA33" s="143">
        <f t="shared" si="23"/>
        <v>0</v>
      </c>
      <c r="CD33" s="143">
        <f t="shared" si="24"/>
        <v>0</v>
      </c>
      <c r="CG33" s="143">
        <f t="shared" si="25"/>
        <v>0</v>
      </c>
      <c r="CJ33" s="143">
        <f t="shared" si="26"/>
        <v>0</v>
      </c>
      <c r="CM33" s="143">
        <f t="shared" si="27"/>
        <v>0</v>
      </c>
      <c r="CP33" s="143">
        <f t="shared" si="28"/>
        <v>0</v>
      </c>
      <c r="CS33" s="143">
        <f t="shared" si="29"/>
        <v>0</v>
      </c>
      <c r="CV33" s="143">
        <f t="shared" si="30"/>
        <v>0</v>
      </c>
      <c r="CY33" s="143">
        <f t="shared" si="31"/>
        <v>0</v>
      </c>
      <c r="DB33" s="143">
        <f t="shared" si="32"/>
        <v>0</v>
      </c>
      <c r="DE33" s="143">
        <f t="shared" si="33"/>
        <v>0</v>
      </c>
      <c r="DH33" s="143">
        <f t="shared" si="34"/>
        <v>0</v>
      </c>
      <c r="DK33" s="143">
        <f t="shared" si="35"/>
        <v>0</v>
      </c>
      <c r="DN33" s="143">
        <f t="shared" si="36"/>
        <v>0</v>
      </c>
      <c r="DQ33" s="143">
        <f t="shared" si="37"/>
        <v>0</v>
      </c>
      <c r="DT33" s="143">
        <f t="shared" si="38"/>
        <v>0</v>
      </c>
      <c r="DW33" s="143">
        <f t="shared" si="39"/>
        <v>0</v>
      </c>
      <c r="DZ33" s="143"/>
      <c r="EA33" s="143"/>
      <c r="EB33" s="178">
        <f t="shared" si="40"/>
        <v>94420000</v>
      </c>
      <c r="EC33" s="178">
        <f t="shared" si="41"/>
        <v>68320000</v>
      </c>
      <c r="ED33" s="143">
        <f t="shared" si="48"/>
        <v>446.93888888888893</v>
      </c>
      <c r="EE33" s="144">
        <f t="shared" si="49"/>
        <v>1.7040669349714043E-3</v>
      </c>
      <c r="EG33" s="178">
        <f t="shared" si="42"/>
        <v>0</v>
      </c>
      <c r="EH33" s="143">
        <f t="shared" si="43"/>
        <v>0</v>
      </c>
      <c r="EI33" s="144">
        <f t="shared" si="44"/>
        <v>0</v>
      </c>
      <c r="EJ33" s="144"/>
      <c r="EK33" s="178">
        <f t="shared" si="45"/>
        <v>26100000</v>
      </c>
      <c r="EL33" s="178">
        <f t="shared" si="46"/>
        <v>0</v>
      </c>
      <c r="EM33" s="178">
        <f t="shared" si="50"/>
        <v>181.25</v>
      </c>
      <c r="EN33" s="144">
        <f t="shared" si="51"/>
        <v>2.5000000000000001E-3</v>
      </c>
      <c r="EP33" s="143"/>
    </row>
    <row r="34" spans="1:146" x14ac:dyDescent="0.2">
      <c r="A34" s="175">
        <f t="shared" si="47"/>
        <v>44036</v>
      </c>
      <c r="B34" s="143">
        <v>68795000</v>
      </c>
      <c r="C34" s="144">
        <v>8.9999999999999998E-4</v>
      </c>
      <c r="D34" s="143">
        <f t="shared" si="0"/>
        <v>171.98750000000001</v>
      </c>
      <c r="G34" s="143">
        <f t="shared" si="1"/>
        <v>0</v>
      </c>
      <c r="J34" s="143">
        <f t="shared" si="2"/>
        <v>0</v>
      </c>
      <c r="M34" s="143">
        <f t="shared" si="3"/>
        <v>0</v>
      </c>
      <c r="P34" s="143">
        <f t="shared" si="4"/>
        <v>0</v>
      </c>
      <c r="S34" s="143">
        <f t="shared" si="5"/>
        <v>0</v>
      </c>
      <c r="V34" s="143">
        <f t="shared" si="6"/>
        <v>0</v>
      </c>
      <c r="Y34" s="143">
        <f t="shared" si="7"/>
        <v>0</v>
      </c>
      <c r="AB34" s="143">
        <f t="shared" si="8"/>
        <v>0</v>
      </c>
      <c r="AE34" s="143">
        <f>(AC34*AD34)/'[22]Input Sheet'!$B$11</f>
        <v>0</v>
      </c>
      <c r="AH34" s="143">
        <f>(AF34*AG34)/'[22]Input Sheet'!$B$11</f>
        <v>0</v>
      </c>
      <c r="AI34" s="176">
        <v>27525000</v>
      </c>
      <c r="AJ34" s="177">
        <v>2.5000000000000001E-3</v>
      </c>
      <c r="AK34" s="143">
        <f t="shared" si="9"/>
        <v>191.14583333333334</v>
      </c>
      <c r="AL34" s="176"/>
      <c r="AM34" s="177"/>
      <c r="AN34" s="143">
        <f t="shared" si="10"/>
        <v>0</v>
      </c>
      <c r="AO34" s="176"/>
      <c r="AP34" s="177"/>
      <c r="AQ34" s="143">
        <f t="shared" si="11"/>
        <v>0</v>
      </c>
      <c r="AR34" s="176"/>
      <c r="AS34" s="177"/>
      <c r="AT34" s="143">
        <f t="shared" si="12"/>
        <v>0</v>
      </c>
      <c r="AW34" s="143">
        <f t="shared" si="13"/>
        <v>0</v>
      </c>
      <c r="AZ34" s="143">
        <f t="shared" si="14"/>
        <v>0</v>
      </c>
      <c r="BC34" s="143">
        <f t="shared" si="15"/>
        <v>0</v>
      </c>
      <c r="BF34" s="143">
        <f t="shared" si="16"/>
        <v>0</v>
      </c>
      <c r="BI34" s="143">
        <f t="shared" si="17"/>
        <v>0</v>
      </c>
      <c r="BL34" s="143">
        <f t="shared" si="18"/>
        <v>0</v>
      </c>
      <c r="BO34" s="143">
        <f t="shared" si="19"/>
        <v>0</v>
      </c>
      <c r="BR34" s="143">
        <f t="shared" si="20"/>
        <v>0</v>
      </c>
      <c r="BU34" s="143">
        <f t="shared" si="21"/>
        <v>0</v>
      </c>
      <c r="BX34" s="143">
        <f t="shared" si="22"/>
        <v>0</v>
      </c>
      <c r="CA34" s="143">
        <f t="shared" si="23"/>
        <v>0</v>
      </c>
      <c r="CD34" s="143">
        <f t="shared" si="24"/>
        <v>0</v>
      </c>
      <c r="CG34" s="143">
        <f t="shared" si="25"/>
        <v>0</v>
      </c>
      <c r="CJ34" s="143">
        <f t="shared" si="26"/>
        <v>0</v>
      </c>
      <c r="CM34" s="143">
        <f t="shared" si="27"/>
        <v>0</v>
      </c>
      <c r="CP34" s="143">
        <f t="shared" si="28"/>
        <v>0</v>
      </c>
      <c r="CS34" s="143">
        <f t="shared" si="29"/>
        <v>0</v>
      </c>
      <c r="CV34" s="143">
        <f t="shared" si="30"/>
        <v>0</v>
      </c>
      <c r="CY34" s="143">
        <f t="shared" si="31"/>
        <v>0</v>
      </c>
      <c r="DB34" s="143">
        <f t="shared" si="32"/>
        <v>0</v>
      </c>
      <c r="DE34" s="143">
        <f t="shared" si="33"/>
        <v>0</v>
      </c>
      <c r="DH34" s="143">
        <f t="shared" si="34"/>
        <v>0</v>
      </c>
      <c r="DK34" s="143">
        <f t="shared" si="35"/>
        <v>0</v>
      </c>
      <c r="DN34" s="143">
        <f t="shared" si="36"/>
        <v>0</v>
      </c>
      <c r="DQ34" s="143">
        <f t="shared" si="37"/>
        <v>0</v>
      </c>
      <c r="DT34" s="143">
        <f t="shared" si="38"/>
        <v>0</v>
      </c>
      <c r="DW34" s="143">
        <f t="shared" si="39"/>
        <v>0</v>
      </c>
      <c r="DZ34" s="143"/>
      <c r="EA34" s="143"/>
      <c r="EB34" s="178">
        <f t="shared" si="40"/>
        <v>96320000</v>
      </c>
      <c r="EC34" s="178">
        <f t="shared" si="41"/>
        <v>68795000</v>
      </c>
      <c r="ED34" s="143">
        <f t="shared" si="48"/>
        <v>363.13333333333333</v>
      </c>
      <c r="EE34" s="144">
        <f t="shared" si="49"/>
        <v>1.3572259136212625E-3</v>
      </c>
      <c r="EG34" s="178">
        <f t="shared" si="42"/>
        <v>0</v>
      </c>
      <c r="EH34" s="143">
        <f t="shared" si="43"/>
        <v>0</v>
      </c>
      <c r="EI34" s="144">
        <f t="shared" si="44"/>
        <v>0</v>
      </c>
      <c r="EJ34" s="144"/>
      <c r="EK34" s="178">
        <f t="shared" si="45"/>
        <v>27525000</v>
      </c>
      <c r="EL34" s="178">
        <f t="shared" si="46"/>
        <v>0</v>
      </c>
      <c r="EM34" s="178">
        <f t="shared" si="50"/>
        <v>191.14583333333334</v>
      </c>
      <c r="EN34" s="144">
        <f t="shared" si="51"/>
        <v>2.5000000000000001E-3</v>
      </c>
      <c r="EP34" s="143"/>
    </row>
    <row r="35" spans="1:146" x14ac:dyDescent="0.2">
      <c r="A35" s="175">
        <f t="shared" si="47"/>
        <v>44037</v>
      </c>
      <c r="B35" s="143">
        <v>68795000</v>
      </c>
      <c r="C35" s="144">
        <v>8.9999999999999998E-4</v>
      </c>
      <c r="D35" s="143">
        <f t="shared" si="0"/>
        <v>171.98750000000001</v>
      </c>
      <c r="G35" s="143">
        <f t="shared" si="1"/>
        <v>0</v>
      </c>
      <c r="J35" s="143">
        <f t="shared" si="2"/>
        <v>0</v>
      </c>
      <c r="M35" s="143">
        <f t="shared" si="3"/>
        <v>0</v>
      </c>
      <c r="P35" s="143">
        <f t="shared" si="4"/>
        <v>0</v>
      </c>
      <c r="S35" s="143">
        <f t="shared" si="5"/>
        <v>0</v>
      </c>
      <c r="V35" s="143">
        <f t="shared" si="6"/>
        <v>0</v>
      </c>
      <c r="Y35" s="143">
        <f t="shared" si="7"/>
        <v>0</v>
      </c>
      <c r="AB35" s="143">
        <f t="shared" si="8"/>
        <v>0</v>
      </c>
      <c r="AE35" s="143">
        <f>(AC35*AD35)/'[22]Input Sheet'!$B$11</f>
        <v>0</v>
      </c>
      <c r="AH35" s="143">
        <f>(AF35*AG35)/'[22]Input Sheet'!$B$11</f>
        <v>0</v>
      </c>
      <c r="AI35" s="176">
        <v>27525000</v>
      </c>
      <c r="AJ35" s="177">
        <v>2.5000000000000001E-3</v>
      </c>
      <c r="AK35" s="143">
        <f t="shared" si="9"/>
        <v>191.14583333333334</v>
      </c>
      <c r="AL35" s="176"/>
      <c r="AM35" s="177"/>
      <c r="AN35" s="143">
        <f t="shared" si="10"/>
        <v>0</v>
      </c>
      <c r="AO35" s="176"/>
      <c r="AP35" s="177"/>
      <c r="AQ35" s="143">
        <f t="shared" si="11"/>
        <v>0</v>
      </c>
      <c r="AR35" s="176"/>
      <c r="AS35" s="177"/>
      <c r="AT35" s="143">
        <f t="shared" si="12"/>
        <v>0</v>
      </c>
      <c r="AW35" s="143">
        <f t="shared" si="13"/>
        <v>0</v>
      </c>
      <c r="AZ35" s="143">
        <f t="shared" si="14"/>
        <v>0</v>
      </c>
      <c r="BC35" s="143">
        <f t="shared" si="15"/>
        <v>0</v>
      </c>
      <c r="BF35" s="143">
        <f t="shared" si="16"/>
        <v>0</v>
      </c>
      <c r="BI35" s="143">
        <f t="shared" si="17"/>
        <v>0</v>
      </c>
      <c r="BL35" s="143">
        <f t="shared" si="18"/>
        <v>0</v>
      </c>
      <c r="BO35" s="143">
        <f t="shared" si="19"/>
        <v>0</v>
      </c>
      <c r="BR35" s="143">
        <f t="shared" si="20"/>
        <v>0</v>
      </c>
      <c r="BU35" s="143">
        <f t="shared" si="21"/>
        <v>0</v>
      </c>
      <c r="BX35" s="143">
        <f t="shared" si="22"/>
        <v>0</v>
      </c>
      <c r="CA35" s="143">
        <f t="shared" si="23"/>
        <v>0</v>
      </c>
      <c r="CD35" s="143">
        <f t="shared" si="24"/>
        <v>0</v>
      </c>
      <c r="CG35" s="143">
        <f t="shared" si="25"/>
        <v>0</v>
      </c>
      <c r="CJ35" s="143">
        <f t="shared" si="26"/>
        <v>0</v>
      </c>
      <c r="CM35" s="143">
        <f t="shared" si="27"/>
        <v>0</v>
      </c>
      <c r="CP35" s="143">
        <f t="shared" si="28"/>
        <v>0</v>
      </c>
      <c r="CS35" s="143">
        <f t="shared" si="29"/>
        <v>0</v>
      </c>
      <c r="CV35" s="143">
        <f t="shared" si="30"/>
        <v>0</v>
      </c>
      <c r="CY35" s="143">
        <f t="shared" si="31"/>
        <v>0</v>
      </c>
      <c r="DB35" s="143">
        <f t="shared" si="32"/>
        <v>0</v>
      </c>
      <c r="DE35" s="143">
        <f t="shared" si="33"/>
        <v>0</v>
      </c>
      <c r="DH35" s="143">
        <f t="shared" si="34"/>
        <v>0</v>
      </c>
      <c r="DK35" s="143">
        <f t="shared" si="35"/>
        <v>0</v>
      </c>
      <c r="DN35" s="143">
        <f t="shared" si="36"/>
        <v>0</v>
      </c>
      <c r="DQ35" s="143">
        <f t="shared" si="37"/>
        <v>0</v>
      </c>
      <c r="DT35" s="143">
        <f t="shared" si="38"/>
        <v>0</v>
      </c>
      <c r="DW35" s="143">
        <f t="shared" si="39"/>
        <v>0</v>
      </c>
      <c r="DZ35" s="143"/>
      <c r="EA35" s="143"/>
      <c r="EB35" s="178">
        <f t="shared" si="40"/>
        <v>96320000</v>
      </c>
      <c r="EC35" s="178">
        <f t="shared" si="41"/>
        <v>68795000</v>
      </c>
      <c r="ED35" s="143">
        <f t="shared" si="48"/>
        <v>363.13333333333333</v>
      </c>
      <c r="EE35" s="144">
        <f t="shared" si="49"/>
        <v>1.3572259136212625E-3</v>
      </c>
      <c r="EG35" s="178">
        <f t="shared" si="42"/>
        <v>0</v>
      </c>
      <c r="EH35" s="143">
        <f t="shared" si="43"/>
        <v>0</v>
      </c>
      <c r="EI35" s="144">
        <f t="shared" si="44"/>
        <v>0</v>
      </c>
      <c r="EJ35" s="144"/>
      <c r="EK35" s="178">
        <f t="shared" si="45"/>
        <v>27525000</v>
      </c>
      <c r="EL35" s="178">
        <f t="shared" si="46"/>
        <v>0</v>
      </c>
      <c r="EM35" s="178">
        <f t="shared" si="50"/>
        <v>191.14583333333334</v>
      </c>
      <c r="EN35" s="144">
        <f t="shared" si="51"/>
        <v>2.5000000000000001E-3</v>
      </c>
      <c r="EP35" s="143"/>
    </row>
    <row r="36" spans="1:146" x14ac:dyDescent="0.2">
      <c r="A36" s="175">
        <f t="shared" si="47"/>
        <v>44038</v>
      </c>
      <c r="B36" s="143">
        <v>68795000</v>
      </c>
      <c r="C36" s="144">
        <v>8.9999999999999998E-4</v>
      </c>
      <c r="D36" s="143">
        <f t="shared" si="0"/>
        <v>171.98750000000001</v>
      </c>
      <c r="G36" s="143">
        <f t="shared" si="1"/>
        <v>0</v>
      </c>
      <c r="J36" s="143">
        <f t="shared" si="2"/>
        <v>0</v>
      </c>
      <c r="M36" s="143">
        <f t="shared" si="3"/>
        <v>0</v>
      </c>
      <c r="P36" s="143">
        <f t="shared" si="4"/>
        <v>0</v>
      </c>
      <c r="S36" s="143">
        <f t="shared" si="5"/>
        <v>0</v>
      </c>
      <c r="V36" s="143">
        <f t="shared" si="6"/>
        <v>0</v>
      </c>
      <c r="Y36" s="143">
        <f t="shared" si="7"/>
        <v>0</v>
      </c>
      <c r="AB36" s="143">
        <f t="shared" si="8"/>
        <v>0</v>
      </c>
      <c r="AE36" s="143">
        <f>(AC36*AD36)/'[22]Input Sheet'!$B$11</f>
        <v>0</v>
      </c>
      <c r="AH36" s="143">
        <f>(AF36*AG36)/'[22]Input Sheet'!$B$11</f>
        <v>0</v>
      </c>
      <c r="AI36" s="176">
        <v>27525000</v>
      </c>
      <c r="AJ36" s="177">
        <v>2.5000000000000001E-3</v>
      </c>
      <c r="AK36" s="143">
        <f t="shared" si="9"/>
        <v>191.14583333333334</v>
      </c>
      <c r="AL36" s="176"/>
      <c r="AM36" s="177"/>
      <c r="AN36" s="143">
        <f t="shared" si="10"/>
        <v>0</v>
      </c>
      <c r="AO36" s="176"/>
      <c r="AP36" s="177"/>
      <c r="AQ36" s="143">
        <f t="shared" si="11"/>
        <v>0</v>
      </c>
      <c r="AR36" s="176"/>
      <c r="AS36" s="177"/>
      <c r="AT36" s="143">
        <f t="shared" si="12"/>
        <v>0</v>
      </c>
      <c r="AW36" s="143">
        <f t="shared" si="13"/>
        <v>0</v>
      </c>
      <c r="AZ36" s="143">
        <f t="shared" si="14"/>
        <v>0</v>
      </c>
      <c r="BC36" s="143">
        <f t="shared" si="15"/>
        <v>0</v>
      </c>
      <c r="BF36" s="143">
        <f t="shared" si="16"/>
        <v>0</v>
      </c>
      <c r="BI36" s="143">
        <f t="shared" si="17"/>
        <v>0</v>
      </c>
      <c r="BL36" s="143">
        <f t="shared" si="18"/>
        <v>0</v>
      </c>
      <c r="BO36" s="143">
        <f t="shared" si="19"/>
        <v>0</v>
      </c>
      <c r="BR36" s="143">
        <f t="shared" si="20"/>
        <v>0</v>
      </c>
      <c r="BU36" s="143">
        <f t="shared" si="21"/>
        <v>0</v>
      </c>
      <c r="BX36" s="143">
        <f t="shared" si="22"/>
        <v>0</v>
      </c>
      <c r="CA36" s="143">
        <f t="shared" si="23"/>
        <v>0</v>
      </c>
      <c r="CD36" s="143">
        <f t="shared" si="24"/>
        <v>0</v>
      </c>
      <c r="CG36" s="143">
        <f t="shared" si="25"/>
        <v>0</v>
      </c>
      <c r="CJ36" s="143">
        <f t="shared" si="26"/>
        <v>0</v>
      </c>
      <c r="CM36" s="143">
        <f t="shared" si="27"/>
        <v>0</v>
      </c>
      <c r="CP36" s="143">
        <f t="shared" si="28"/>
        <v>0</v>
      </c>
      <c r="CS36" s="143">
        <f t="shared" si="29"/>
        <v>0</v>
      </c>
      <c r="CV36" s="143">
        <f t="shared" si="30"/>
        <v>0</v>
      </c>
      <c r="CY36" s="143">
        <f t="shared" si="31"/>
        <v>0</v>
      </c>
      <c r="DB36" s="143">
        <f t="shared" si="32"/>
        <v>0</v>
      </c>
      <c r="DE36" s="143">
        <f t="shared" si="33"/>
        <v>0</v>
      </c>
      <c r="DH36" s="143">
        <f t="shared" si="34"/>
        <v>0</v>
      </c>
      <c r="DK36" s="143">
        <f t="shared" si="35"/>
        <v>0</v>
      </c>
      <c r="DN36" s="143">
        <f t="shared" si="36"/>
        <v>0</v>
      </c>
      <c r="DQ36" s="143">
        <f t="shared" si="37"/>
        <v>0</v>
      </c>
      <c r="DT36" s="143">
        <f t="shared" si="38"/>
        <v>0</v>
      </c>
      <c r="DW36" s="143">
        <f t="shared" si="39"/>
        <v>0</v>
      </c>
      <c r="DZ36" s="143"/>
      <c r="EA36" s="143"/>
      <c r="EB36" s="178">
        <f t="shared" si="40"/>
        <v>96320000</v>
      </c>
      <c r="EC36" s="178">
        <f t="shared" si="41"/>
        <v>68795000</v>
      </c>
      <c r="ED36" s="143">
        <f t="shared" si="48"/>
        <v>363.13333333333333</v>
      </c>
      <c r="EE36" s="144">
        <f t="shared" si="49"/>
        <v>1.3572259136212625E-3</v>
      </c>
      <c r="EG36" s="178">
        <f t="shared" si="42"/>
        <v>0</v>
      </c>
      <c r="EH36" s="143">
        <f t="shared" si="43"/>
        <v>0</v>
      </c>
      <c r="EI36" s="144">
        <f t="shared" si="44"/>
        <v>0</v>
      </c>
      <c r="EJ36" s="144"/>
      <c r="EK36" s="178">
        <f t="shared" si="45"/>
        <v>27525000</v>
      </c>
      <c r="EL36" s="178">
        <f t="shared" si="46"/>
        <v>0</v>
      </c>
      <c r="EM36" s="178">
        <f t="shared" si="50"/>
        <v>191.14583333333334</v>
      </c>
      <c r="EN36" s="144">
        <f t="shared" si="51"/>
        <v>2.5000000000000001E-3</v>
      </c>
      <c r="EP36" s="143"/>
    </row>
    <row r="37" spans="1:146" x14ac:dyDescent="0.2">
      <c r="A37" s="175">
        <f t="shared" si="47"/>
        <v>44039</v>
      </c>
      <c r="B37" s="143">
        <v>67045000</v>
      </c>
      <c r="C37" s="144">
        <v>1E-3</v>
      </c>
      <c r="D37" s="143">
        <f t="shared" si="0"/>
        <v>186.23611111111111</v>
      </c>
      <c r="G37" s="143">
        <f t="shared" si="1"/>
        <v>0</v>
      </c>
      <c r="J37" s="143">
        <f t="shared" si="2"/>
        <v>0</v>
      </c>
      <c r="M37" s="143">
        <f t="shared" si="3"/>
        <v>0</v>
      </c>
      <c r="P37" s="143">
        <f t="shared" si="4"/>
        <v>0</v>
      </c>
      <c r="S37" s="143">
        <f t="shared" si="5"/>
        <v>0</v>
      </c>
      <c r="V37" s="143">
        <f t="shared" si="6"/>
        <v>0</v>
      </c>
      <c r="Y37" s="143">
        <f t="shared" si="7"/>
        <v>0</v>
      </c>
      <c r="AB37" s="143">
        <f t="shared" si="8"/>
        <v>0</v>
      </c>
      <c r="AE37" s="143">
        <f>(AC37*AD37)/'[22]Input Sheet'!$B$11</f>
        <v>0</v>
      </c>
      <c r="AH37" s="143">
        <f>(AF37*AG37)/'[22]Input Sheet'!$B$11</f>
        <v>0</v>
      </c>
      <c r="AI37" s="176">
        <v>33175000</v>
      </c>
      <c r="AJ37" s="177">
        <v>2.5000000000000001E-3</v>
      </c>
      <c r="AK37" s="143">
        <f t="shared" si="9"/>
        <v>230.38194444444446</v>
      </c>
      <c r="AL37" s="176"/>
      <c r="AM37" s="177"/>
      <c r="AN37" s="143">
        <f t="shared" si="10"/>
        <v>0</v>
      </c>
      <c r="AO37" s="176"/>
      <c r="AP37" s="177"/>
      <c r="AQ37" s="143">
        <f t="shared" si="11"/>
        <v>0</v>
      </c>
      <c r="AR37" s="176"/>
      <c r="AS37" s="177"/>
      <c r="AT37" s="143">
        <f t="shared" si="12"/>
        <v>0</v>
      </c>
      <c r="AW37" s="143">
        <f t="shared" si="13"/>
        <v>0</v>
      </c>
      <c r="AZ37" s="143">
        <f t="shared" si="14"/>
        <v>0</v>
      </c>
      <c r="BC37" s="143">
        <f t="shared" si="15"/>
        <v>0</v>
      </c>
      <c r="BF37" s="143">
        <f t="shared" si="16"/>
        <v>0</v>
      </c>
      <c r="BI37" s="143">
        <f t="shared" si="17"/>
        <v>0</v>
      </c>
      <c r="BL37" s="143">
        <f t="shared" si="18"/>
        <v>0</v>
      </c>
      <c r="BO37" s="143">
        <f t="shared" si="19"/>
        <v>0</v>
      </c>
      <c r="BR37" s="143">
        <f t="shared" si="20"/>
        <v>0</v>
      </c>
      <c r="BU37" s="143">
        <f t="shared" si="21"/>
        <v>0</v>
      </c>
      <c r="BX37" s="143">
        <f t="shared" si="22"/>
        <v>0</v>
      </c>
      <c r="CA37" s="143">
        <f t="shared" si="23"/>
        <v>0</v>
      </c>
      <c r="CD37" s="143">
        <f t="shared" si="24"/>
        <v>0</v>
      </c>
      <c r="CG37" s="143">
        <f t="shared" si="25"/>
        <v>0</v>
      </c>
      <c r="CJ37" s="143">
        <f t="shared" si="26"/>
        <v>0</v>
      </c>
      <c r="CM37" s="143">
        <f t="shared" si="27"/>
        <v>0</v>
      </c>
      <c r="CP37" s="143">
        <f t="shared" si="28"/>
        <v>0</v>
      </c>
      <c r="CS37" s="143">
        <f t="shared" si="29"/>
        <v>0</v>
      </c>
      <c r="CV37" s="143">
        <f t="shared" si="30"/>
        <v>0</v>
      </c>
      <c r="CY37" s="143">
        <f t="shared" si="31"/>
        <v>0</v>
      </c>
      <c r="DB37" s="143">
        <f t="shared" si="32"/>
        <v>0</v>
      </c>
      <c r="DE37" s="143">
        <f t="shared" si="33"/>
        <v>0</v>
      </c>
      <c r="DH37" s="143">
        <f t="shared" si="34"/>
        <v>0</v>
      </c>
      <c r="DK37" s="143">
        <f t="shared" si="35"/>
        <v>0</v>
      </c>
      <c r="DN37" s="143">
        <f t="shared" si="36"/>
        <v>0</v>
      </c>
      <c r="DQ37" s="143">
        <f t="shared" si="37"/>
        <v>0</v>
      </c>
      <c r="DT37" s="143">
        <f t="shared" si="38"/>
        <v>0</v>
      </c>
      <c r="DW37" s="143">
        <f t="shared" si="39"/>
        <v>0</v>
      </c>
      <c r="DZ37" s="143"/>
      <c r="EA37" s="143"/>
      <c r="EB37" s="178">
        <f t="shared" si="40"/>
        <v>100220000</v>
      </c>
      <c r="EC37" s="178">
        <f t="shared" si="41"/>
        <v>67045000</v>
      </c>
      <c r="ED37" s="143">
        <f t="shared" si="48"/>
        <v>416.61805555555554</v>
      </c>
      <c r="EE37" s="144">
        <f t="shared" si="49"/>
        <v>1.4965326282179207E-3</v>
      </c>
      <c r="EG37" s="178">
        <f t="shared" si="42"/>
        <v>0</v>
      </c>
      <c r="EH37" s="143">
        <f t="shared" si="43"/>
        <v>0</v>
      </c>
      <c r="EI37" s="144">
        <f t="shared" si="44"/>
        <v>0</v>
      </c>
      <c r="EJ37" s="144"/>
      <c r="EK37" s="178">
        <f t="shared" si="45"/>
        <v>33175000</v>
      </c>
      <c r="EL37" s="178">
        <f t="shared" si="46"/>
        <v>0</v>
      </c>
      <c r="EM37" s="178">
        <f t="shared" si="50"/>
        <v>230.38194444444446</v>
      </c>
      <c r="EN37" s="144">
        <f t="shared" si="51"/>
        <v>2.5000000000000001E-3</v>
      </c>
      <c r="EP37" s="143"/>
    </row>
    <row r="38" spans="1:146" x14ac:dyDescent="0.2">
      <c r="A38" s="175">
        <f t="shared" si="47"/>
        <v>44040</v>
      </c>
      <c r="B38" s="143">
        <v>63270000</v>
      </c>
      <c r="C38" s="144">
        <v>1E-3</v>
      </c>
      <c r="D38" s="143">
        <f t="shared" si="0"/>
        <v>175.75</v>
      </c>
      <c r="G38" s="143">
        <f t="shared" si="1"/>
        <v>0</v>
      </c>
      <c r="J38" s="143">
        <f t="shared" si="2"/>
        <v>0</v>
      </c>
      <c r="M38" s="143">
        <f t="shared" si="3"/>
        <v>0</v>
      </c>
      <c r="P38" s="143">
        <f t="shared" si="4"/>
        <v>0</v>
      </c>
      <c r="S38" s="143">
        <f t="shared" si="5"/>
        <v>0</v>
      </c>
      <c r="V38" s="143">
        <f t="shared" si="6"/>
        <v>0</v>
      </c>
      <c r="Y38" s="143">
        <f t="shared" si="7"/>
        <v>0</v>
      </c>
      <c r="AB38" s="143">
        <f t="shared" si="8"/>
        <v>0</v>
      </c>
      <c r="AE38" s="143">
        <f>(AC38*AD38)/'[22]Input Sheet'!$B$11</f>
        <v>0</v>
      </c>
      <c r="AH38" s="143">
        <f>(AF38*AG38)/'[22]Input Sheet'!$B$11</f>
        <v>0</v>
      </c>
      <c r="AI38" s="176">
        <v>32275000</v>
      </c>
      <c r="AJ38" s="177">
        <v>2.5000000000000001E-3</v>
      </c>
      <c r="AK38" s="143">
        <f t="shared" si="9"/>
        <v>224.13194444444446</v>
      </c>
      <c r="AL38" s="176"/>
      <c r="AM38" s="177"/>
      <c r="AN38" s="143">
        <f t="shared" si="10"/>
        <v>0</v>
      </c>
      <c r="AO38" s="176"/>
      <c r="AP38" s="177"/>
      <c r="AQ38" s="143">
        <f t="shared" si="11"/>
        <v>0</v>
      </c>
      <c r="AR38" s="176"/>
      <c r="AS38" s="177"/>
      <c r="AT38" s="143">
        <f t="shared" si="12"/>
        <v>0</v>
      </c>
      <c r="AW38" s="143">
        <f t="shared" si="13"/>
        <v>0</v>
      </c>
      <c r="AZ38" s="143">
        <f t="shared" si="14"/>
        <v>0</v>
      </c>
      <c r="BC38" s="143">
        <f t="shared" si="15"/>
        <v>0</v>
      </c>
      <c r="BF38" s="143">
        <f t="shared" si="16"/>
        <v>0</v>
      </c>
      <c r="BI38" s="143">
        <f t="shared" si="17"/>
        <v>0</v>
      </c>
      <c r="BL38" s="143">
        <f t="shared" si="18"/>
        <v>0</v>
      </c>
      <c r="BO38" s="143">
        <f t="shared" si="19"/>
        <v>0</v>
      </c>
      <c r="BR38" s="143">
        <f t="shared" si="20"/>
        <v>0</v>
      </c>
      <c r="BU38" s="143">
        <f t="shared" si="21"/>
        <v>0</v>
      </c>
      <c r="BX38" s="143">
        <f t="shared" si="22"/>
        <v>0</v>
      </c>
      <c r="CA38" s="143">
        <f t="shared" si="23"/>
        <v>0</v>
      </c>
      <c r="CD38" s="143">
        <f t="shared" si="24"/>
        <v>0</v>
      </c>
      <c r="CG38" s="143">
        <f t="shared" si="25"/>
        <v>0</v>
      </c>
      <c r="CJ38" s="143">
        <f t="shared" si="26"/>
        <v>0</v>
      </c>
      <c r="CM38" s="143">
        <f t="shared" si="27"/>
        <v>0</v>
      </c>
      <c r="CP38" s="143">
        <f t="shared" si="28"/>
        <v>0</v>
      </c>
      <c r="CS38" s="143">
        <f t="shared" si="29"/>
        <v>0</v>
      </c>
      <c r="CV38" s="143">
        <f t="shared" si="30"/>
        <v>0</v>
      </c>
      <c r="CY38" s="143">
        <f t="shared" si="31"/>
        <v>0</v>
      </c>
      <c r="DB38" s="143">
        <f t="shared" si="32"/>
        <v>0</v>
      </c>
      <c r="DE38" s="143">
        <f t="shared" si="33"/>
        <v>0</v>
      </c>
      <c r="DH38" s="143">
        <f t="shared" si="34"/>
        <v>0</v>
      </c>
      <c r="DK38" s="143">
        <f t="shared" si="35"/>
        <v>0</v>
      </c>
      <c r="DN38" s="143">
        <f t="shared" si="36"/>
        <v>0</v>
      </c>
      <c r="DQ38" s="143">
        <f t="shared" si="37"/>
        <v>0</v>
      </c>
      <c r="DT38" s="143">
        <f t="shared" si="38"/>
        <v>0</v>
      </c>
      <c r="DW38" s="143">
        <f t="shared" si="39"/>
        <v>0</v>
      </c>
      <c r="DZ38" s="143"/>
      <c r="EA38" s="143"/>
      <c r="EB38" s="178">
        <f t="shared" si="40"/>
        <v>95545000</v>
      </c>
      <c r="EC38" s="178">
        <f t="shared" si="41"/>
        <v>63270000</v>
      </c>
      <c r="ED38" s="143">
        <f t="shared" si="48"/>
        <v>399.88194444444446</v>
      </c>
      <c r="EE38" s="144">
        <f t="shared" si="49"/>
        <v>1.5066984143597257E-3</v>
      </c>
      <c r="EG38" s="178">
        <f t="shared" si="42"/>
        <v>0</v>
      </c>
      <c r="EH38" s="143">
        <f t="shared" si="43"/>
        <v>0</v>
      </c>
      <c r="EI38" s="144">
        <f t="shared" si="44"/>
        <v>0</v>
      </c>
      <c r="EJ38" s="144"/>
      <c r="EK38" s="178">
        <f t="shared" si="45"/>
        <v>32275000</v>
      </c>
      <c r="EL38" s="178">
        <f t="shared" si="46"/>
        <v>0</v>
      </c>
      <c r="EM38" s="178">
        <f t="shared" si="50"/>
        <v>224.13194444444446</v>
      </c>
      <c r="EN38" s="144">
        <f t="shared" si="51"/>
        <v>2.5000000000000001E-3</v>
      </c>
      <c r="EP38" s="143"/>
    </row>
    <row r="39" spans="1:146" x14ac:dyDescent="0.2">
      <c r="A39" s="175">
        <f t="shared" si="47"/>
        <v>44041</v>
      </c>
      <c r="B39" s="143">
        <v>56745000</v>
      </c>
      <c r="C39" s="144">
        <v>1E-3</v>
      </c>
      <c r="D39" s="143">
        <f t="shared" si="0"/>
        <v>157.625</v>
      </c>
      <c r="G39" s="143">
        <f t="shared" si="1"/>
        <v>0</v>
      </c>
      <c r="J39" s="143">
        <f t="shared" si="2"/>
        <v>0</v>
      </c>
      <c r="M39" s="143">
        <f t="shared" si="3"/>
        <v>0</v>
      </c>
      <c r="P39" s="143">
        <f t="shared" si="4"/>
        <v>0</v>
      </c>
      <c r="S39" s="143">
        <f t="shared" si="5"/>
        <v>0</v>
      </c>
      <c r="V39" s="143">
        <f t="shared" si="6"/>
        <v>0</v>
      </c>
      <c r="Y39" s="143">
        <f t="shared" si="7"/>
        <v>0</v>
      </c>
      <c r="AB39" s="143">
        <f t="shared" si="8"/>
        <v>0</v>
      </c>
      <c r="AE39" s="143">
        <f>(AC39*AD39)/'[22]Input Sheet'!$B$11</f>
        <v>0</v>
      </c>
      <c r="AH39" s="143">
        <f>(AF39*AG39)/'[22]Input Sheet'!$B$11</f>
        <v>0</v>
      </c>
      <c r="AI39" s="176">
        <v>26475000</v>
      </c>
      <c r="AJ39" s="177">
        <v>2.5000000000000001E-3</v>
      </c>
      <c r="AK39" s="143">
        <f t="shared" si="9"/>
        <v>183.85416666666666</v>
      </c>
      <c r="AL39" s="176"/>
      <c r="AM39" s="177"/>
      <c r="AN39" s="143">
        <f t="shared" si="10"/>
        <v>0</v>
      </c>
      <c r="AO39" s="176"/>
      <c r="AP39" s="177"/>
      <c r="AQ39" s="143">
        <f t="shared" si="11"/>
        <v>0</v>
      </c>
      <c r="AR39" s="176"/>
      <c r="AS39" s="177"/>
      <c r="AT39" s="143">
        <f t="shared" si="12"/>
        <v>0</v>
      </c>
      <c r="AW39" s="143">
        <f t="shared" si="13"/>
        <v>0</v>
      </c>
      <c r="AZ39" s="143">
        <f t="shared" si="14"/>
        <v>0</v>
      </c>
      <c r="BC39" s="143">
        <f t="shared" si="15"/>
        <v>0</v>
      </c>
      <c r="BF39" s="143">
        <f t="shared" si="16"/>
        <v>0</v>
      </c>
      <c r="BI39" s="143">
        <f t="shared" si="17"/>
        <v>0</v>
      </c>
      <c r="BL39" s="143">
        <f t="shared" si="18"/>
        <v>0</v>
      </c>
      <c r="BO39" s="143">
        <f t="shared" si="19"/>
        <v>0</v>
      </c>
      <c r="BR39" s="143">
        <f t="shared" si="20"/>
        <v>0</v>
      </c>
      <c r="BU39" s="143">
        <f t="shared" si="21"/>
        <v>0</v>
      </c>
      <c r="BX39" s="143">
        <f t="shared" si="22"/>
        <v>0</v>
      </c>
      <c r="CA39" s="143">
        <f t="shared" si="23"/>
        <v>0</v>
      </c>
      <c r="CD39" s="143">
        <f t="shared" si="24"/>
        <v>0</v>
      </c>
      <c r="CG39" s="143">
        <f t="shared" si="25"/>
        <v>0</v>
      </c>
      <c r="CJ39" s="143">
        <f t="shared" si="26"/>
        <v>0</v>
      </c>
      <c r="CM39" s="143">
        <f t="shared" si="27"/>
        <v>0</v>
      </c>
      <c r="CP39" s="143">
        <f t="shared" si="28"/>
        <v>0</v>
      </c>
      <c r="CS39" s="143">
        <f t="shared" si="29"/>
        <v>0</v>
      </c>
      <c r="CV39" s="143">
        <f t="shared" si="30"/>
        <v>0</v>
      </c>
      <c r="CY39" s="143">
        <f t="shared" si="31"/>
        <v>0</v>
      </c>
      <c r="DB39" s="143">
        <f t="shared" si="32"/>
        <v>0</v>
      </c>
      <c r="DE39" s="143">
        <f t="shared" si="33"/>
        <v>0</v>
      </c>
      <c r="DH39" s="143">
        <f t="shared" si="34"/>
        <v>0</v>
      </c>
      <c r="DK39" s="143">
        <f t="shared" si="35"/>
        <v>0</v>
      </c>
      <c r="DN39" s="143">
        <f t="shared" si="36"/>
        <v>0</v>
      </c>
      <c r="DQ39" s="143">
        <f t="shared" si="37"/>
        <v>0</v>
      </c>
      <c r="DT39" s="143">
        <f t="shared" si="38"/>
        <v>0</v>
      </c>
      <c r="DW39" s="143">
        <f t="shared" si="39"/>
        <v>0</v>
      </c>
      <c r="DZ39" s="143"/>
      <c r="EA39" s="143"/>
      <c r="EB39" s="178">
        <f t="shared" si="40"/>
        <v>83220000</v>
      </c>
      <c r="EC39" s="178">
        <f t="shared" si="41"/>
        <v>56745000</v>
      </c>
      <c r="ED39" s="143">
        <f t="shared" si="48"/>
        <v>341.47916666666663</v>
      </c>
      <c r="EE39" s="144">
        <f t="shared" si="49"/>
        <v>1.4771989906272529E-3</v>
      </c>
      <c r="EG39" s="178">
        <f t="shared" si="42"/>
        <v>0</v>
      </c>
      <c r="EH39" s="143">
        <f t="shared" si="43"/>
        <v>0</v>
      </c>
      <c r="EI39" s="144">
        <f t="shared" si="44"/>
        <v>0</v>
      </c>
      <c r="EJ39" s="144"/>
      <c r="EK39" s="178">
        <f t="shared" si="45"/>
        <v>26475000</v>
      </c>
      <c r="EL39" s="178">
        <f t="shared" si="46"/>
        <v>0</v>
      </c>
      <c r="EM39" s="178">
        <f t="shared" si="50"/>
        <v>183.85416666666666</v>
      </c>
      <c r="EN39" s="144">
        <f t="shared" si="51"/>
        <v>2.4999999999999996E-3</v>
      </c>
      <c r="EP39" s="143"/>
    </row>
    <row r="40" spans="1:146" x14ac:dyDescent="0.2">
      <c r="A40" s="175">
        <f t="shared" si="47"/>
        <v>44042</v>
      </c>
      <c r="B40" s="143">
        <v>56470000</v>
      </c>
      <c r="C40" s="144">
        <v>1.2018E-3</v>
      </c>
      <c r="D40" s="143">
        <f t="shared" si="0"/>
        <v>188.51568333333336</v>
      </c>
      <c r="G40" s="143">
        <f t="shared" si="1"/>
        <v>0</v>
      </c>
      <c r="J40" s="143">
        <f t="shared" si="2"/>
        <v>0</v>
      </c>
      <c r="M40" s="143">
        <f t="shared" si="3"/>
        <v>0</v>
      </c>
      <c r="P40" s="143">
        <f t="shared" si="4"/>
        <v>0</v>
      </c>
      <c r="S40" s="143">
        <f t="shared" si="5"/>
        <v>0</v>
      </c>
      <c r="V40" s="143">
        <f t="shared" si="6"/>
        <v>0</v>
      </c>
      <c r="Y40" s="143">
        <f t="shared" si="7"/>
        <v>0</v>
      </c>
      <c r="AB40" s="143">
        <f t="shared" si="8"/>
        <v>0</v>
      </c>
      <c r="AE40" s="143">
        <f>(AC40*AD40)/'[22]Input Sheet'!$B$11</f>
        <v>0</v>
      </c>
      <c r="AH40" s="143">
        <f>(AF40*AG40)/'[22]Input Sheet'!$B$11</f>
        <v>0</v>
      </c>
      <c r="AI40" s="176">
        <v>22425000</v>
      </c>
      <c r="AJ40" s="177">
        <v>2.5000000000000001E-3</v>
      </c>
      <c r="AK40" s="143">
        <f t="shared" si="9"/>
        <v>155.72916666666666</v>
      </c>
      <c r="AL40" s="176"/>
      <c r="AM40" s="177"/>
      <c r="AN40" s="143">
        <f t="shared" si="10"/>
        <v>0</v>
      </c>
      <c r="AO40" s="176"/>
      <c r="AP40" s="177"/>
      <c r="AQ40" s="143">
        <f t="shared" si="11"/>
        <v>0</v>
      </c>
      <c r="AR40" s="176"/>
      <c r="AS40" s="177"/>
      <c r="AT40" s="143">
        <f t="shared" si="12"/>
        <v>0</v>
      </c>
      <c r="AW40" s="143">
        <f t="shared" si="13"/>
        <v>0</v>
      </c>
      <c r="AZ40" s="143">
        <f t="shared" si="14"/>
        <v>0</v>
      </c>
      <c r="BC40" s="143">
        <f t="shared" si="15"/>
        <v>0</v>
      </c>
      <c r="BF40" s="143">
        <f t="shared" si="16"/>
        <v>0</v>
      </c>
      <c r="BI40" s="143">
        <f t="shared" si="17"/>
        <v>0</v>
      </c>
      <c r="BL40" s="143">
        <f t="shared" si="18"/>
        <v>0</v>
      </c>
      <c r="BO40" s="143">
        <f t="shared" si="19"/>
        <v>0</v>
      </c>
      <c r="BR40" s="143">
        <f t="shared" si="20"/>
        <v>0</v>
      </c>
      <c r="BU40" s="143">
        <f t="shared" si="21"/>
        <v>0</v>
      </c>
      <c r="BX40" s="143">
        <f t="shared" si="22"/>
        <v>0</v>
      </c>
      <c r="CA40" s="143">
        <f t="shared" si="23"/>
        <v>0</v>
      </c>
      <c r="CD40" s="143">
        <f t="shared" si="24"/>
        <v>0</v>
      </c>
      <c r="CG40" s="143">
        <f t="shared" si="25"/>
        <v>0</v>
      </c>
      <c r="CJ40" s="143">
        <f t="shared" si="26"/>
        <v>0</v>
      </c>
      <c r="CM40" s="143">
        <f t="shared" si="27"/>
        <v>0</v>
      </c>
      <c r="CP40" s="143">
        <f t="shared" si="28"/>
        <v>0</v>
      </c>
      <c r="CS40" s="143">
        <f t="shared" si="29"/>
        <v>0</v>
      </c>
      <c r="CV40" s="143">
        <f t="shared" si="30"/>
        <v>0</v>
      </c>
      <c r="CY40" s="143">
        <f t="shared" si="31"/>
        <v>0</v>
      </c>
      <c r="DB40" s="143">
        <f t="shared" si="32"/>
        <v>0</v>
      </c>
      <c r="DE40" s="143">
        <f t="shared" si="33"/>
        <v>0</v>
      </c>
      <c r="DH40" s="143">
        <f t="shared" si="34"/>
        <v>0</v>
      </c>
      <c r="DK40" s="143">
        <f t="shared" si="35"/>
        <v>0</v>
      </c>
      <c r="DN40" s="143">
        <f t="shared" si="36"/>
        <v>0</v>
      </c>
      <c r="DQ40" s="143">
        <f t="shared" si="37"/>
        <v>0</v>
      </c>
      <c r="DT40" s="143">
        <f t="shared" si="38"/>
        <v>0</v>
      </c>
      <c r="DW40" s="143">
        <f t="shared" si="39"/>
        <v>0</v>
      </c>
      <c r="DZ40" s="141"/>
      <c r="EA40" s="143"/>
      <c r="EB40" s="178">
        <f t="shared" si="40"/>
        <v>78895000</v>
      </c>
      <c r="EC40" s="178">
        <f t="shared" si="41"/>
        <v>56470000</v>
      </c>
      <c r="ED40" s="143">
        <f t="shared" si="48"/>
        <v>344.24485000000004</v>
      </c>
      <c r="EE40" s="144">
        <f t="shared" si="49"/>
        <v>1.5707984789910642E-3</v>
      </c>
      <c r="EG40" s="178">
        <f t="shared" si="42"/>
        <v>0</v>
      </c>
      <c r="EH40" s="143">
        <f t="shared" si="43"/>
        <v>0</v>
      </c>
      <c r="EI40" s="144">
        <f t="shared" si="44"/>
        <v>0</v>
      </c>
      <c r="EJ40" s="144"/>
      <c r="EK40" s="178">
        <f t="shared" si="45"/>
        <v>22425000</v>
      </c>
      <c r="EL40" s="178">
        <f t="shared" si="46"/>
        <v>0</v>
      </c>
      <c r="EM40" s="178">
        <f t="shared" si="50"/>
        <v>155.72916666666666</v>
      </c>
      <c r="EN40" s="144">
        <f t="shared" si="51"/>
        <v>2.4999999999999996E-3</v>
      </c>
      <c r="EP40" s="143"/>
    </row>
    <row r="41" spans="1:146" x14ac:dyDescent="0.2">
      <c r="A41" s="175">
        <f t="shared" si="47"/>
        <v>44043</v>
      </c>
      <c r="B41" s="143">
        <v>47195000</v>
      </c>
      <c r="C41" s="144">
        <v>1E-3</v>
      </c>
      <c r="D41" s="143">
        <f t="shared" si="0"/>
        <v>131.09722222222223</v>
      </c>
      <c r="G41" s="143">
        <f t="shared" si="1"/>
        <v>0</v>
      </c>
      <c r="J41" s="143">
        <f t="shared" si="2"/>
        <v>0</v>
      </c>
      <c r="M41" s="143">
        <f t="shared" si="3"/>
        <v>0</v>
      </c>
      <c r="P41" s="143">
        <f t="shared" si="4"/>
        <v>0</v>
      </c>
      <c r="S41" s="143">
        <f t="shared" si="5"/>
        <v>0</v>
      </c>
      <c r="V41" s="143">
        <f t="shared" si="6"/>
        <v>0</v>
      </c>
      <c r="Y41" s="143">
        <f t="shared" si="7"/>
        <v>0</v>
      </c>
      <c r="AB41" s="143">
        <f t="shared" si="8"/>
        <v>0</v>
      </c>
      <c r="AE41" s="143">
        <f>(AC41*AD41)/'[22]Input Sheet'!$B$11</f>
        <v>0</v>
      </c>
      <c r="AH41" s="143">
        <f>(AF41*AG41)/'[22]Input Sheet'!$B$11</f>
        <v>0</v>
      </c>
      <c r="AI41" s="176">
        <v>40700000</v>
      </c>
      <c r="AJ41" s="177">
        <v>2.5000000000000001E-3</v>
      </c>
      <c r="AK41" s="143">
        <f t="shared" si="9"/>
        <v>282.63888888888891</v>
      </c>
      <c r="AL41" s="176"/>
      <c r="AM41" s="177"/>
      <c r="AN41" s="143">
        <f t="shared" si="10"/>
        <v>0</v>
      </c>
      <c r="AO41" s="176"/>
      <c r="AP41" s="177"/>
      <c r="AQ41" s="143">
        <f t="shared" si="11"/>
        <v>0</v>
      </c>
      <c r="AR41" s="176"/>
      <c r="AS41" s="177"/>
      <c r="AT41" s="143">
        <f t="shared" si="12"/>
        <v>0</v>
      </c>
      <c r="AW41" s="143">
        <f t="shared" si="13"/>
        <v>0</v>
      </c>
      <c r="AZ41" s="143">
        <f t="shared" si="14"/>
        <v>0</v>
      </c>
      <c r="BC41" s="143">
        <f t="shared" si="15"/>
        <v>0</v>
      </c>
      <c r="BF41" s="143">
        <f t="shared" si="16"/>
        <v>0</v>
      </c>
      <c r="BI41" s="143">
        <f t="shared" si="17"/>
        <v>0</v>
      </c>
      <c r="BL41" s="143">
        <f t="shared" si="18"/>
        <v>0</v>
      </c>
      <c r="BO41" s="143">
        <f t="shared" si="19"/>
        <v>0</v>
      </c>
      <c r="BR41" s="143">
        <f t="shared" si="20"/>
        <v>0</v>
      </c>
      <c r="BU41" s="143">
        <f t="shared" si="21"/>
        <v>0</v>
      </c>
      <c r="BX41" s="143">
        <f t="shared" si="22"/>
        <v>0</v>
      </c>
      <c r="CA41" s="143">
        <f t="shared" si="23"/>
        <v>0</v>
      </c>
      <c r="CD41" s="143">
        <f t="shared" si="24"/>
        <v>0</v>
      </c>
      <c r="CG41" s="143">
        <f t="shared" si="25"/>
        <v>0</v>
      </c>
      <c r="CJ41" s="143">
        <f t="shared" si="26"/>
        <v>0</v>
      </c>
      <c r="CM41" s="143">
        <f t="shared" si="27"/>
        <v>0</v>
      </c>
      <c r="CP41" s="143">
        <f t="shared" si="28"/>
        <v>0</v>
      </c>
      <c r="CS41" s="143">
        <f t="shared" si="29"/>
        <v>0</v>
      </c>
      <c r="CV41" s="143">
        <f t="shared" si="30"/>
        <v>0</v>
      </c>
      <c r="CY41" s="143">
        <f t="shared" si="31"/>
        <v>0</v>
      </c>
      <c r="DB41" s="143">
        <f t="shared" si="32"/>
        <v>0</v>
      </c>
      <c r="DE41" s="143">
        <f t="shared" si="33"/>
        <v>0</v>
      </c>
      <c r="DH41" s="143">
        <f t="shared" si="34"/>
        <v>0</v>
      </c>
      <c r="DK41" s="143">
        <f t="shared" si="35"/>
        <v>0</v>
      </c>
      <c r="DN41" s="143">
        <f t="shared" si="36"/>
        <v>0</v>
      </c>
      <c r="DQ41" s="143">
        <f t="shared" si="37"/>
        <v>0</v>
      </c>
      <c r="DT41" s="143">
        <f t="shared" si="38"/>
        <v>0</v>
      </c>
      <c r="DW41" s="143">
        <f t="shared" si="39"/>
        <v>0</v>
      </c>
      <c r="DZ41" s="141"/>
      <c r="EA41" s="143"/>
      <c r="EB41" s="178">
        <f t="shared" si="40"/>
        <v>87895000</v>
      </c>
      <c r="EC41" s="178">
        <f t="shared" si="41"/>
        <v>47195000</v>
      </c>
      <c r="ED41" s="143">
        <f t="shared" si="48"/>
        <v>413.73611111111114</v>
      </c>
      <c r="EE41" s="144">
        <f t="shared" si="49"/>
        <v>1.6945787587462314E-3</v>
      </c>
      <c r="EG41" s="178">
        <f t="shared" si="42"/>
        <v>0</v>
      </c>
      <c r="EH41" s="143">
        <f t="shared" si="43"/>
        <v>0</v>
      </c>
      <c r="EI41" s="144">
        <f t="shared" si="44"/>
        <v>0</v>
      </c>
      <c r="EJ41" s="144"/>
      <c r="EK41" s="178">
        <f t="shared" si="45"/>
        <v>40700000</v>
      </c>
      <c r="EL41" s="178">
        <f t="shared" si="46"/>
        <v>0</v>
      </c>
      <c r="EM41" s="178">
        <f t="shared" si="50"/>
        <v>282.63888888888891</v>
      </c>
      <c r="EN41" s="144">
        <f t="shared" si="51"/>
        <v>2.5000000000000001E-3</v>
      </c>
      <c r="EP41" s="143"/>
    </row>
    <row r="42" spans="1:146" x14ac:dyDescent="0.2">
      <c r="A42" s="180" t="s">
        <v>88</v>
      </c>
      <c r="D42" s="181">
        <f>SUM(D11:D41)</f>
        <v>4412.451794444446</v>
      </c>
      <c r="G42" s="181">
        <f>SUM(G11:G41)</f>
        <v>0</v>
      </c>
      <c r="J42" s="181">
        <f>SUM(J11:J41)</f>
        <v>0</v>
      </c>
      <c r="M42" s="181">
        <f>SUM(M11:M41)</f>
        <v>0</v>
      </c>
      <c r="P42" s="181">
        <f>SUM(P11:P41)</f>
        <v>0</v>
      </c>
      <c r="S42" s="181">
        <f>SUM(S11:S41)</f>
        <v>0</v>
      </c>
      <c r="V42" s="181">
        <f>SUM(V11:V41)</f>
        <v>0</v>
      </c>
      <c r="Y42" s="181">
        <f>SUM(Y11:Y41)</f>
        <v>0</v>
      </c>
      <c r="AB42" s="181">
        <f>SUM(AB11:AB41)</f>
        <v>0</v>
      </c>
      <c r="AE42" s="181">
        <f>SUM(AE11:AE41)</f>
        <v>0</v>
      </c>
      <c r="AH42" s="181">
        <f>SUM(AH11:AH41)</f>
        <v>0</v>
      </c>
      <c r="AK42" s="181">
        <f>SUM(AK11:AK41)</f>
        <v>13987.500000000004</v>
      </c>
      <c r="AN42" s="181">
        <f>SUM(AN11:AN41)</f>
        <v>0</v>
      </c>
      <c r="AQ42" s="181">
        <f>SUM(AQ11:AQ41)</f>
        <v>0</v>
      </c>
      <c r="AT42" s="181">
        <f>SUM(AT11:AT41)</f>
        <v>0</v>
      </c>
      <c r="AW42" s="181">
        <f>SUM(AW11:AW41)</f>
        <v>0</v>
      </c>
      <c r="AZ42" s="181">
        <f>SUM(AZ11:AZ41)</f>
        <v>0</v>
      </c>
      <c r="BC42" s="181">
        <f>SUM(BC11:BC41)</f>
        <v>0</v>
      </c>
      <c r="BF42" s="181">
        <f>SUM(BF11:BF41)</f>
        <v>0</v>
      </c>
      <c r="BI42" s="181">
        <f>SUM(BI11:BI41)</f>
        <v>0</v>
      </c>
      <c r="BL42" s="181">
        <f>SUM(BL11:BL41)</f>
        <v>0</v>
      </c>
      <c r="BO42" s="181">
        <f>SUM(BO11:BO41)</f>
        <v>0</v>
      </c>
      <c r="BR42" s="181">
        <f>SUM(BR11:BR41)</f>
        <v>0</v>
      </c>
      <c r="BU42" s="181">
        <f>SUM(BU11:BU41)</f>
        <v>0</v>
      </c>
      <c r="BX42" s="181">
        <f>SUM(BX11:BX41)</f>
        <v>0</v>
      </c>
      <c r="CA42" s="181">
        <f>SUM(CA11:CA41)</f>
        <v>0</v>
      </c>
      <c r="CD42" s="181">
        <f>SUM(CD11:CD41)</f>
        <v>0</v>
      </c>
      <c r="CG42" s="181">
        <f>SUM(CG11:CG41)</f>
        <v>0</v>
      </c>
      <c r="CJ42" s="181">
        <f>SUM(CJ11:CJ41)</f>
        <v>0</v>
      </c>
      <c r="CM42" s="181">
        <f>SUM(CM11:CM41)</f>
        <v>0</v>
      </c>
      <c r="CP42" s="181">
        <f>SUM(CP11:CP41)</f>
        <v>0</v>
      </c>
      <c r="CS42" s="181">
        <f>SUM(CS11:CS41)</f>
        <v>0</v>
      </c>
      <c r="CV42" s="181">
        <f>SUM(CV11:CV41)</f>
        <v>0</v>
      </c>
      <c r="CY42" s="181">
        <f>SUM(CY11:CY41)</f>
        <v>0</v>
      </c>
      <c r="DB42" s="181">
        <f>SUM(DB11:DB41)</f>
        <v>0</v>
      </c>
      <c r="DE42" s="181">
        <f>SUM(DE11:DE41)</f>
        <v>0</v>
      </c>
      <c r="DH42" s="181">
        <f>SUM(DH11:DH41)</f>
        <v>0</v>
      </c>
      <c r="DK42" s="181">
        <f>SUM(DK11:DK41)</f>
        <v>0</v>
      </c>
      <c r="DN42" s="181">
        <f>SUM(DN11:DN41)</f>
        <v>0</v>
      </c>
      <c r="DQ42" s="181">
        <f>SUM(DQ11:DQ41)</f>
        <v>0</v>
      </c>
      <c r="DT42" s="181">
        <f>SUM(DT11:DT41)</f>
        <v>0</v>
      </c>
      <c r="DW42" s="181">
        <f>SUM(DW11:DW41)</f>
        <v>0</v>
      </c>
      <c r="DZ42" s="141"/>
      <c r="EA42" s="141"/>
      <c r="EB42" s="143"/>
      <c r="EC42" s="143"/>
      <c r="ED42" s="181">
        <f>SUM(ED11:ED41)</f>
        <v>18399.951794444445</v>
      </c>
      <c r="EE42" s="144"/>
      <c r="EG42" s="143"/>
      <c r="EH42" s="181">
        <f>SUM(EH11:EH41)</f>
        <v>0</v>
      </c>
      <c r="EI42" s="144"/>
      <c r="EJ42" s="144"/>
      <c r="EK42" s="143"/>
      <c r="EL42" s="143"/>
      <c r="EM42" s="181">
        <f>SUM(EM11:EM41)</f>
        <v>13987.500000000004</v>
      </c>
      <c r="EN42" s="144"/>
    </row>
    <row r="44" spans="1:146" x14ac:dyDescent="0.2">
      <c r="EM44" s="179"/>
    </row>
    <row r="46" spans="1:146" x14ac:dyDescent="0.2">
      <c r="EM46" s="143"/>
    </row>
    <row r="47" spans="1:146" x14ac:dyDescent="0.2">
      <c r="EM47" s="143"/>
    </row>
    <row r="48" spans="1:146" x14ac:dyDescent="0.2">
      <c r="EM48" s="1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1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5.28515625" customWidth="1"/>
    <col min="2" max="2" width="19.28515625" bestFit="1" customWidth="1"/>
    <col min="3" max="4" width="21.140625" bestFit="1" customWidth="1"/>
    <col min="5" max="13" width="21.140625" customWidth="1"/>
  </cols>
  <sheetData>
    <row r="1" spans="1:13" x14ac:dyDescent="0.25">
      <c r="A1" t="s">
        <v>0</v>
      </c>
    </row>
    <row r="2" spans="1:13" ht="15.75" thickBot="1" x14ac:dyDescent="0.3">
      <c r="A2" t="s">
        <v>1</v>
      </c>
    </row>
    <row r="3" spans="1:13" ht="15.75" thickBot="1" x14ac:dyDescent="0.3">
      <c r="A3" t="s">
        <v>181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3" x14ac:dyDescent="0.25">
      <c r="A4" s="1"/>
      <c r="B4" s="20">
        <v>43678</v>
      </c>
      <c r="C4" s="21">
        <v>43709</v>
      </c>
      <c r="D4" s="21">
        <v>43739</v>
      </c>
      <c r="E4" s="21">
        <v>43770</v>
      </c>
      <c r="F4" s="21">
        <v>43800</v>
      </c>
      <c r="G4" s="21">
        <v>43831</v>
      </c>
      <c r="H4" s="21">
        <v>43862</v>
      </c>
      <c r="I4" s="21">
        <v>43891</v>
      </c>
      <c r="J4" s="21">
        <v>43922</v>
      </c>
      <c r="K4" s="21">
        <v>43952</v>
      </c>
      <c r="L4" s="21">
        <v>43983</v>
      </c>
      <c r="M4" s="196">
        <v>44013</v>
      </c>
    </row>
    <row r="5" spans="1:13" x14ac:dyDescent="0.25">
      <c r="A5" s="2" t="s">
        <v>27</v>
      </c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197"/>
    </row>
    <row r="6" spans="1:13" x14ac:dyDescent="0.25">
      <c r="A6" s="3" t="s">
        <v>207</v>
      </c>
      <c r="B6" s="216"/>
      <c r="C6" s="206">
        <v>2811.0699999999997</v>
      </c>
      <c r="D6" s="206">
        <v>0</v>
      </c>
      <c r="E6" s="206">
        <v>0</v>
      </c>
      <c r="F6" s="206">
        <v>71700.63</v>
      </c>
      <c r="G6" s="206">
        <v>57848.86</v>
      </c>
      <c r="H6" s="206">
        <v>53303.72</v>
      </c>
      <c r="I6" s="206">
        <v>-4240.5400000000081</v>
      </c>
      <c r="J6" s="217">
        <v>28393.550000000003</v>
      </c>
      <c r="K6" s="217">
        <v>30511.320000000007</v>
      </c>
      <c r="L6" s="217">
        <v>-106105.15</v>
      </c>
      <c r="M6" s="218">
        <v>12619.269999999997</v>
      </c>
    </row>
    <row r="7" spans="1:13" x14ac:dyDescent="0.25">
      <c r="A7" s="3" t="s">
        <v>208</v>
      </c>
      <c r="B7" s="216"/>
      <c r="C7" s="206">
        <v>883.41</v>
      </c>
      <c r="D7" s="206">
        <v>0</v>
      </c>
      <c r="E7" s="206">
        <v>0</v>
      </c>
      <c r="F7" s="206">
        <v>20569.39</v>
      </c>
      <c r="G7" s="206">
        <v>0</v>
      </c>
      <c r="H7" s="206">
        <v>500</v>
      </c>
      <c r="I7" s="206">
        <v>1632.79</v>
      </c>
      <c r="J7" s="217">
        <v>517.60000000000014</v>
      </c>
      <c r="K7" s="217">
        <v>407.46000000000004</v>
      </c>
      <c r="L7" s="217">
        <v>505.22999999999956</v>
      </c>
      <c r="M7" s="218">
        <v>573.49000000000024</v>
      </c>
    </row>
    <row r="8" spans="1:13" x14ac:dyDescent="0.25">
      <c r="A8" s="3" t="s">
        <v>209</v>
      </c>
      <c r="B8" s="216">
        <v>104387.23</v>
      </c>
      <c r="C8" s="206">
        <v>86406.36</v>
      </c>
      <c r="D8" s="206">
        <v>74409.710000000006</v>
      </c>
      <c r="E8" s="206">
        <v>81089.94</v>
      </c>
      <c r="F8" s="206">
        <v>379555.31</v>
      </c>
      <c r="G8" s="206">
        <v>57917.48</v>
      </c>
      <c r="H8" s="206">
        <v>100078.85</v>
      </c>
      <c r="I8" s="206">
        <v>14281.569999999921</v>
      </c>
      <c r="J8" s="217">
        <v>36490.239999999896</v>
      </c>
      <c r="K8" s="217">
        <v>31788.49000000002</v>
      </c>
      <c r="L8" s="217">
        <v>20050.559999999998</v>
      </c>
      <c r="M8" s="218">
        <v>40747.440000000002</v>
      </c>
    </row>
    <row r="9" spans="1:13" x14ac:dyDescent="0.25">
      <c r="A9" s="3" t="s">
        <v>2</v>
      </c>
      <c r="B9" s="216"/>
      <c r="C9" s="206"/>
      <c r="D9" s="206"/>
      <c r="E9" s="206"/>
      <c r="F9" s="206"/>
      <c r="G9" s="206"/>
      <c r="H9" s="206"/>
      <c r="I9" s="206"/>
      <c r="J9" s="217"/>
      <c r="K9" s="217"/>
      <c r="L9" s="217"/>
      <c r="M9" s="218"/>
    </row>
    <row r="10" spans="1:13" x14ac:dyDescent="0.25">
      <c r="A10" s="3" t="s">
        <v>210</v>
      </c>
      <c r="B10" s="216"/>
      <c r="C10" s="206"/>
      <c r="D10" s="206"/>
      <c r="E10" s="206"/>
      <c r="F10" s="206"/>
      <c r="G10" s="206">
        <v>57848.86</v>
      </c>
      <c r="H10" s="206">
        <v>53303.72</v>
      </c>
      <c r="I10" s="206">
        <v>47958.73</v>
      </c>
      <c r="J10" s="217">
        <v>42256.56</v>
      </c>
      <c r="K10" s="217">
        <v>45408.32</v>
      </c>
      <c r="L10" s="217">
        <v>-246776.19</v>
      </c>
      <c r="M10" s="218">
        <v>0</v>
      </c>
    </row>
    <row r="11" spans="1:13" x14ac:dyDescent="0.25">
      <c r="A11" s="3" t="s">
        <v>211</v>
      </c>
      <c r="B11" s="216"/>
      <c r="C11" s="206"/>
      <c r="D11" s="206"/>
      <c r="E11" s="206"/>
      <c r="F11" s="206"/>
      <c r="G11" s="206"/>
      <c r="H11" s="206"/>
      <c r="I11" s="206"/>
      <c r="J11" s="217"/>
      <c r="K11" s="217"/>
      <c r="L11" s="217"/>
      <c r="M11" s="218"/>
    </row>
    <row r="12" spans="1:13" x14ac:dyDescent="0.25">
      <c r="A12" s="3" t="s">
        <v>212</v>
      </c>
      <c r="B12" s="216"/>
      <c r="C12" s="206"/>
      <c r="D12" s="206"/>
      <c r="E12" s="206"/>
      <c r="F12" s="206"/>
      <c r="G12" s="206"/>
      <c r="H12" s="206"/>
      <c r="I12" s="206"/>
      <c r="J12" s="217"/>
      <c r="K12" s="217"/>
      <c r="L12" s="217"/>
      <c r="M12" s="218"/>
    </row>
    <row r="13" spans="1:13" x14ac:dyDescent="0.25">
      <c r="A13" s="3" t="s">
        <v>3</v>
      </c>
      <c r="B13" s="216">
        <v>837742.5</v>
      </c>
      <c r="C13" s="217">
        <v>221410</v>
      </c>
      <c r="D13" s="217">
        <v>117565.25</v>
      </c>
      <c r="E13" s="217">
        <v>172758.75</v>
      </c>
      <c r="F13" s="217">
        <v>230202.5</v>
      </c>
      <c r="G13" s="217">
        <v>167611.5</v>
      </c>
      <c r="H13" s="217">
        <v>244072.5</v>
      </c>
      <c r="I13" s="217">
        <v>167360</v>
      </c>
      <c r="J13" s="217">
        <v>235953.75</v>
      </c>
      <c r="K13" s="217">
        <v>169162.5</v>
      </c>
      <c r="L13" s="217">
        <v>171327.5</v>
      </c>
      <c r="M13" s="218">
        <v>141605.25</v>
      </c>
    </row>
    <row r="14" spans="1:13" x14ac:dyDescent="0.25">
      <c r="A14" s="3" t="s">
        <v>4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99"/>
    </row>
    <row r="15" spans="1:13" x14ac:dyDescent="0.25">
      <c r="A15" s="3" t="s">
        <v>5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99"/>
    </row>
    <row r="16" spans="1:13" x14ac:dyDescent="0.25">
      <c r="A16" s="3" t="s">
        <v>6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99"/>
    </row>
    <row r="17" spans="1:13" x14ac:dyDescent="0.25">
      <c r="A17" s="3" t="s">
        <v>7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99"/>
    </row>
    <row r="18" spans="1:13" x14ac:dyDescent="0.25">
      <c r="A18" s="3" t="s">
        <v>8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99"/>
    </row>
    <row r="19" spans="1:13" x14ac:dyDescent="0.25">
      <c r="A19" s="3" t="s">
        <v>9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99"/>
    </row>
    <row r="20" spans="1:13" ht="15.75" thickBot="1" x14ac:dyDescent="0.3">
      <c r="A20" s="2" t="s">
        <v>10</v>
      </c>
      <c r="B20" s="219">
        <f t="shared" ref="B20:H20" si="0">SUM(B6:B15)</f>
        <v>942129.73</v>
      </c>
      <c r="C20" s="220">
        <f t="shared" si="0"/>
        <v>311510.83999999997</v>
      </c>
      <c r="D20" s="220">
        <f t="shared" si="0"/>
        <v>191974.96000000002</v>
      </c>
      <c r="E20" s="220">
        <f t="shared" si="0"/>
        <v>253848.69</v>
      </c>
      <c r="F20" s="220">
        <f t="shared" si="0"/>
        <v>702027.83000000007</v>
      </c>
      <c r="G20" s="220">
        <f t="shared" si="0"/>
        <v>341226.7</v>
      </c>
      <c r="H20" s="220">
        <f t="shared" si="0"/>
        <v>451258.79000000004</v>
      </c>
      <c r="I20" s="220">
        <f t="shared" ref="I20:M20" si="1">SUM(I6:I15)</f>
        <v>226992.54999999993</v>
      </c>
      <c r="J20" s="220">
        <f t="shared" si="1"/>
        <v>343611.6999999999</v>
      </c>
      <c r="K20" s="220">
        <f t="shared" si="1"/>
        <v>277278.09000000003</v>
      </c>
      <c r="L20" s="220">
        <f t="shared" si="1"/>
        <v>-160998.04999999999</v>
      </c>
      <c r="M20" s="221">
        <f t="shared" si="1"/>
        <v>195545.45</v>
      </c>
    </row>
    <row r="21" spans="1:13" x14ac:dyDescent="0.25">
      <c r="B21" s="222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4"/>
    </row>
    <row r="22" spans="1:13" x14ac:dyDescent="0.25">
      <c r="A22" s="6" t="s">
        <v>204</v>
      </c>
      <c r="B22" s="225">
        <v>0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26">
        <v>0</v>
      </c>
    </row>
    <row r="23" spans="1:13" x14ac:dyDescent="0.25">
      <c r="A23" s="6" t="s">
        <v>28</v>
      </c>
      <c r="B23" s="225">
        <v>0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602903.54416666657</v>
      </c>
      <c r="I23" s="205">
        <v>602903.54416666657</v>
      </c>
      <c r="J23" s="205">
        <v>602903.54416666657</v>
      </c>
      <c r="K23" s="205">
        <v>602903.54416666657</v>
      </c>
      <c r="L23" s="205">
        <v>602903.54416666657</v>
      </c>
      <c r="M23" s="226">
        <v>602903.54416666657</v>
      </c>
    </row>
    <row r="24" spans="1:13" x14ac:dyDescent="0.25">
      <c r="A24" s="3" t="s">
        <v>29</v>
      </c>
      <c r="B24" s="225">
        <v>0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26">
        <v>0</v>
      </c>
    </row>
    <row r="25" spans="1:13" x14ac:dyDescent="0.25">
      <c r="A25" s="2" t="s">
        <v>30</v>
      </c>
      <c r="B25" s="216">
        <f>+B23+B24</f>
        <v>0</v>
      </c>
      <c r="C25" s="206">
        <f t="shared" ref="C25:G25" si="2">+C23+C24</f>
        <v>0</v>
      </c>
      <c r="D25" s="206">
        <f t="shared" si="2"/>
        <v>0</v>
      </c>
      <c r="E25" s="206">
        <f t="shared" si="2"/>
        <v>0</v>
      </c>
      <c r="F25" s="206">
        <f t="shared" si="2"/>
        <v>0</v>
      </c>
      <c r="G25" s="206">
        <f t="shared" si="2"/>
        <v>0</v>
      </c>
      <c r="H25" s="206">
        <v>602903.54416666657</v>
      </c>
      <c r="I25" s="206">
        <v>602903.54416666657</v>
      </c>
      <c r="J25" s="206">
        <v>602903.54416666657</v>
      </c>
      <c r="K25" s="206">
        <v>602903.54416666657</v>
      </c>
      <c r="L25" s="206">
        <v>602903.54416666657</v>
      </c>
      <c r="M25" s="207">
        <v>602903.54416666657</v>
      </c>
    </row>
    <row r="26" spans="1:13" ht="15.75" thickBot="1" x14ac:dyDescent="0.3">
      <c r="A26" s="7" t="s">
        <v>11</v>
      </c>
      <c r="B26" s="227">
        <f>-B25+B20</f>
        <v>942129.73</v>
      </c>
      <c r="C26" s="208">
        <f t="shared" ref="C26:H26" si="3">-C25+C20</f>
        <v>311510.83999999997</v>
      </c>
      <c r="D26" s="208">
        <f t="shared" si="3"/>
        <v>191974.96000000002</v>
      </c>
      <c r="E26" s="208">
        <f t="shared" si="3"/>
        <v>253848.69</v>
      </c>
      <c r="F26" s="208">
        <f t="shared" si="3"/>
        <v>702027.83000000007</v>
      </c>
      <c r="G26" s="208">
        <f t="shared" si="3"/>
        <v>341226.7</v>
      </c>
      <c r="H26" s="208">
        <f t="shared" si="3"/>
        <v>-151644.75416666653</v>
      </c>
      <c r="I26" s="208">
        <f t="shared" ref="I26:M26" si="4">-I25+I20</f>
        <v>-375910.99416666664</v>
      </c>
      <c r="J26" s="208">
        <f t="shared" si="4"/>
        <v>-259291.84416666668</v>
      </c>
      <c r="K26" s="208">
        <f t="shared" si="4"/>
        <v>-325625.45416666655</v>
      </c>
      <c r="L26" s="208">
        <f t="shared" si="4"/>
        <v>-763901.5941666665</v>
      </c>
      <c r="M26" s="209">
        <f t="shared" si="4"/>
        <v>-407358.09416666656</v>
      </c>
    </row>
    <row r="27" spans="1:13" x14ac:dyDescent="0.25">
      <c r="A27" s="2"/>
      <c r="B27" s="3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97"/>
    </row>
    <row r="28" spans="1:13" x14ac:dyDescent="0.25">
      <c r="A28" s="236" t="s">
        <v>12</v>
      </c>
      <c r="B28" s="35">
        <f>+'Aug 19 Int'!G6/12</f>
        <v>1.9593251707324638E-3</v>
      </c>
      <c r="C28" s="8">
        <f>+'Sept 19 Int'!G6/12</f>
        <v>1.8473916023701885E-3</v>
      </c>
      <c r="D28" s="8">
        <f>+'Oct 19 Int'!G6/12</f>
        <v>1.7616099979522076E-3</v>
      </c>
      <c r="E28" s="8">
        <f>'Nov 19 Int'!G6/12</f>
        <v>1.5133243353366611E-3</v>
      </c>
      <c r="F28" s="8">
        <f>'Dec 19 Int'!G6/12</f>
        <v>1.5959991714775518E-3</v>
      </c>
      <c r="G28" s="8">
        <f>'Jan 20 Int'!G6/12</f>
        <v>1.5742320612614168E-3</v>
      </c>
      <c r="H28" s="8">
        <f>'Feb 20 Int'!G6/12</f>
        <v>1.5029854929897769E-3</v>
      </c>
      <c r="I28" s="8">
        <f>'Mar 20 Int'!G6/12</f>
        <v>1.5738267353332034E-3</v>
      </c>
      <c r="J28" s="8">
        <f>'Apr 20 Int'!G6/12</f>
        <v>7.8204980834013652E-4</v>
      </c>
      <c r="K28" s="8">
        <f>'May 20 Int'!G6/12</f>
        <v>1.0755596308196926E-4</v>
      </c>
      <c r="L28" s="8">
        <f>'June 20 Int'!G6/12</f>
        <v>1.0469237972436987E-4</v>
      </c>
      <c r="M28" s="202">
        <f>'July 20 Int'!G6/12</f>
        <v>1.6138609790587347E-4</v>
      </c>
    </row>
    <row r="29" spans="1:13" x14ac:dyDescent="0.25">
      <c r="A29" s="9" t="s">
        <v>13</v>
      </c>
      <c r="B29" s="211">
        <f>(B26)*B28</f>
        <v>1845.93849408438</v>
      </c>
      <c r="C29" s="210">
        <f t="shared" ref="C29:H29" si="5">(C26+B31)*C28</f>
        <v>2319.3752326810395</v>
      </c>
      <c r="D29" s="210">
        <f t="shared" si="5"/>
        <v>2553.9484291486569</v>
      </c>
      <c r="E29" s="210">
        <f t="shared" si="5"/>
        <v>2582.0089840959886</v>
      </c>
      <c r="F29" s="210">
        <f t="shared" si="5"/>
        <v>3847.6241431430713</v>
      </c>
      <c r="G29" s="210">
        <f t="shared" si="5"/>
        <v>4338.3752037977456</v>
      </c>
      <c r="H29" s="210">
        <f t="shared" si="5"/>
        <v>3920.6297408544297</v>
      </c>
      <c r="I29" s="210">
        <f t="shared" ref="I29" si="6">(I26+H31)*I28</f>
        <v>3519.9750808698154</v>
      </c>
      <c r="J29" s="210">
        <f t="shared" ref="J29" si="7">(J26+I31)*J28</f>
        <v>1549.083503968352</v>
      </c>
      <c r="K29" s="210">
        <f t="shared" ref="K29" si="8">(K26+J31)*K28</f>
        <v>178.1904014868345</v>
      </c>
      <c r="L29" s="210">
        <f t="shared" ref="L29" si="9">(L26+K31)*L28</f>
        <v>93.490217451983085</v>
      </c>
      <c r="M29" s="212">
        <f t="shared" ref="M29" si="10">(M26+L31)*M28</f>
        <v>78.390820496370978</v>
      </c>
    </row>
    <row r="30" spans="1:13" x14ac:dyDescent="0.25">
      <c r="A30" s="2"/>
      <c r="B30" s="214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5"/>
    </row>
    <row r="31" spans="1:13" ht="15.75" thickBot="1" x14ac:dyDescent="0.3">
      <c r="A31" s="7" t="s">
        <v>14</v>
      </c>
      <c r="B31" s="227">
        <f>B26+B29</f>
        <v>943975.66849408438</v>
      </c>
      <c r="C31" s="208">
        <f>C26+C29+B31</f>
        <v>1257805.8837267654</v>
      </c>
      <c r="D31" s="208">
        <f t="shared" ref="D31:H31" si="11">D26+D29+C31</f>
        <v>1452334.792155914</v>
      </c>
      <c r="E31" s="208">
        <f t="shared" si="11"/>
        <v>1708765.4911400101</v>
      </c>
      <c r="F31" s="208">
        <f t="shared" si="11"/>
        <v>2414640.9452831531</v>
      </c>
      <c r="G31" s="208">
        <f t="shared" si="11"/>
        <v>2760206.0204869509</v>
      </c>
      <c r="H31" s="208">
        <f t="shared" si="11"/>
        <v>2612481.8960611387</v>
      </c>
      <c r="I31" s="208">
        <f t="shared" ref="I31" si="12">I26+I29+H31</f>
        <v>2240090.8769753417</v>
      </c>
      <c r="J31" s="208">
        <f t="shared" ref="J31" si="13">J26+J29+I31</f>
        <v>1982348.1163126433</v>
      </c>
      <c r="K31" s="208">
        <f t="shared" ref="K31" si="14">K26+K29+J31</f>
        <v>1656900.8525474635</v>
      </c>
      <c r="L31" s="208">
        <f t="shared" ref="L31" si="15">L26+L29+K31</f>
        <v>893092.74859824893</v>
      </c>
      <c r="M31" s="209">
        <f t="shared" ref="M31" si="16">M26+M29+L31</f>
        <v>485813.04525207874</v>
      </c>
    </row>
    <row r="38" spans="2:8" x14ac:dyDescent="0.25">
      <c r="B38" s="130"/>
      <c r="C38" s="130"/>
      <c r="D38" s="130"/>
      <c r="E38" s="130"/>
      <c r="F38" s="130"/>
      <c r="G38" s="130"/>
      <c r="H38" s="130"/>
    </row>
    <row r="39" spans="2:8" x14ac:dyDescent="0.25">
      <c r="B39" s="131"/>
      <c r="C39" s="131"/>
      <c r="D39" s="131"/>
      <c r="E39" s="131"/>
      <c r="F39" s="131"/>
      <c r="G39" s="131"/>
      <c r="H39" s="131"/>
    </row>
    <row r="40" spans="2:8" x14ac:dyDescent="0.25">
      <c r="B40" s="131"/>
      <c r="C40" s="131"/>
      <c r="D40" s="131"/>
      <c r="E40" s="131"/>
      <c r="F40" s="131"/>
      <c r="G40" s="131"/>
      <c r="H40" s="131"/>
    </row>
    <row r="41" spans="2:8" x14ac:dyDescent="0.25">
      <c r="B41" s="131"/>
      <c r="C41" s="131"/>
      <c r="D41" s="131"/>
      <c r="E41" s="131"/>
      <c r="F41" s="131"/>
      <c r="G41" s="131"/>
      <c r="H41" s="131"/>
    </row>
  </sheetData>
  <mergeCells count="1">
    <mergeCell ref="B3:M3"/>
  </mergeCells>
  <pageMargins left="0.7" right="0.7" top="0.75" bottom="0.75" header="0.3" footer="0.3"/>
  <pageSetup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5"/>
  <sheetViews>
    <sheetView workbookViewId="0">
      <selection activeCell="D11" sqref="D11"/>
    </sheetView>
  </sheetViews>
  <sheetFormatPr defaultRowHeight="15" x14ac:dyDescent="0.25"/>
  <cols>
    <col min="1" max="1" width="20.28515625" customWidth="1"/>
    <col min="2" max="2" width="17.7109375" customWidth="1"/>
    <col min="3" max="4" width="16" customWidth="1"/>
    <col min="5" max="5" width="12" customWidth="1"/>
    <col min="6" max="6" width="17.42578125" customWidth="1"/>
    <col min="7" max="7" width="19.42578125" customWidth="1"/>
    <col min="13" max="13" width="11.5703125" bestFit="1" customWidth="1"/>
  </cols>
  <sheetData>
    <row r="1" spans="1:7" x14ac:dyDescent="0.25">
      <c r="A1" t="s">
        <v>0</v>
      </c>
    </row>
    <row r="2" spans="1:7" x14ac:dyDescent="0.25">
      <c r="A2" t="s">
        <v>15</v>
      </c>
    </row>
    <row r="3" spans="1:7" x14ac:dyDescent="0.25">
      <c r="A3" t="s">
        <v>181</v>
      </c>
    </row>
    <row r="4" spans="1:7" x14ac:dyDescent="0.25">
      <c r="A4" t="s">
        <v>205</v>
      </c>
    </row>
    <row r="5" spans="1:7" x14ac:dyDescent="0.25">
      <c r="A5" s="182"/>
    </row>
    <row r="6" spans="1:7" ht="15.75" thickBot="1" x14ac:dyDescent="0.3"/>
    <row r="7" spans="1:7" ht="48.75" customHeight="1" x14ac:dyDescent="0.25">
      <c r="A7" s="183" t="s">
        <v>36</v>
      </c>
      <c r="B7" s="183" t="s">
        <v>202</v>
      </c>
      <c r="C7" s="183" t="s">
        <v>201</v>
      </c>
      <c r="D7" s="183" t="s">
        <v>198</v>
      </c>
      <c r="E7" s="183" t="s">
        <v>203</v>
      </c>
      <c r="F7" s="183" t="s">
        <v>199</v>
      </c>
      <c r="G7" s="183" t="s">
        <v>213</v>
      </c>
    </row>
    <row r="8" spans="1:7" x14ac:dyDescent="0.25">
      <c r="A8" s="194">
        <v>43862</v>
      </c>
      <c r="B8" s="184">
        <f>-'Monthly Cost Tracker 1'!I22</f>
        <v>241928.96389358316</v>
      </c>
      <c r="C8" s="184"/>
      <c r="D8" s="185">
        <v>2738042076.666667</v>
      </c>
      <c r="E8" s="186">
        <f t="shared" ref="E8:E19" si="0">6899776.5/31846280575</f>
        <v>2.1665878637697081E-4</v>
      </c>
      <c r="F8" s="184">
        <f>D8*E8</f>
        <v>593220.87337968091</v>
      </c>
      <c r="G8" s="184">
        <f>F8-B8</f>
        <v>351291.90948609775</v>
      </c>
    </row>
    <row r="9" spans="1:7" x14ac:dyDescent="0.25">
      <c r="A9" s="194">
        <v>43891</v>
      </c>
      <c r="B9" s="184">
        <f>-'Monthly Cost Tracker 1'!J22</f>
        <v>542503.06000000006</v>
      </c>
      <c r="C9" s="184"/>
      <c r="D9" s="185">
        <v>2539802846.6666665</v>
      </c>
      <c r="E9" s="186">
        <f t="shared" si="0"/>
        <v>2.1665878637697081E-4</v>
      </c>
      <c r="F9" s="184">
        <f t="shared" ref="F9:F12" si="1">D9*E9</f>
        <v>550270.60239557561</v>
      </c>
      <c r="G9" s="184">
        <f t="shared" ref="G9:G12" si="2">F9-B9</f>
        <v>7767.5423955755541</v>
      </c>
    </row>
    <row r="10" spans="1:7" x14ac:dyDescent="0.25">
      <c r="A10" s="194">
        <v>43922</v>
      </c>
      <c r="B10" s="184">
        <f>-'Monthly Cost Tracker 1'!K22</f>
        <v>467608.55</v>
      </c>
      <c r="C10" s="184"/>
      <c r="D10" s="185">
        <v>2256961866.6666665</v>
      </c>
      <c r="E10" s="186">
        <f t="shared" si="0"/>
        <v>2.1665878637697081E-4</v>
      </c>
      <c r="F10" s="184">
        <f t="shared" si="1"/>
        <v>488990.61893110257</v>
      </c>
      <c r="G10" s="184">
        <f t="shared" si="2"/>
        <v>21382.068931102578</v>
      </c>
    </row>
    <row r="11" spans="1:7" x14ac:dyDescent="0.25">
      <c r="A11" s="194">
        <v>43952</v>
      </c>
      <c r="B11" s="184">
        <f>-'Monthly Cost Tracker 1'!L22</f>
        <v>430625.24000000005</v>
      </c>
      <c r="C11" s="184"/>
      <c r="D11" s="185">
        <v>2365006446.666667</v>
      </c>
      <c r="E11" s="186">
        <f t="shared" si="0"/>
        <v>2.1665878637697081E-4</v>
      </c>
      <c r="F11" s="184">
        <f t="shared" si="1"/>
        <v>512399.42650851223</v>
      </c>
      <c r="G11" s="184">
        <f t="shared" si="2"/>
        <v>81774.186508512183</v>
      </c>
    </row>
    <row r="12" spans="1:7" x14ac:dyDescent="0.25">
      <c r="A12" s="194">
        <v>43983</v>
      </c>
      <c r="B12" s="184">
        <f>-'Monthly Cost Tracker 1'!M22</f>
        <v>528066.30000000005</v>
      </c>
      <c r="C12" s="184"/>
      <c r="D12" s="185">
        <v>2719322996.6666665</v>
      </c>
      <c r="E12" s="186">
        <f t="shared" si="0"/>
        <v>2.1665878637697081E-4</v>
      </c>
      <c r="F12" s="184">
        <f t="shared" si="1"/>
        <v>589165.22022478736</v>
      </c>
      <c r="G12" s="184">
        <f t="shared" si="2"/>
        <v>61098.920224787318</v>
      </c>
    </row>
    <row r="13" spans="1:7" x14ac:dyDescent="0.25">
      <c r="A13" s="194">
        <v>44013</v>
      </c>
      <c r="B13" s="184">
        <f>-'Monthly Cost Tracker 1'!N22</f>
        <v>645356.6</v>
      </c>
      <c r="C13" s="184"/>
      <c r="D13" s="185">
        <v>3066535936.666667</v>
      </c>
      <c r="E13" s="186">
        <f t="shared" si="0"/>
        <v>2.1665878637697081E-4</v>
      </c>
      <c r="F13" s="184">
        <f t="shared" ref="F13:F19" si="3">D13*E13</f>
        <v>664391.95441956748</v>
      </c>
      <c r="G13" s="184">
        <f t="shared" ref="G13" si="4">F13-B13</f>
        <v>19035.354419567506</v>
      </c>
    </row>
    <row r="14" spans="1:7" x14ac:dyDescent="0.25">
      <c r="A14" s="194">
        <v>44044</v>
      </c>
      <c r="B14" s="234"/>
      <c r="C14" s="184">
        <f>D14*E14</f>
        <v>646330.55434683675</v>
      </c>
      <c r="D14" s="185">
        <v>2983172596.666667</v>
      </c>
      <c r="E14" s="186">
        <f t="shared" si="0"/>
        <v>2.1665878637697081E-4</v>
      </c>
      <c r="F14" s="184">
        <f>D14*E14</f>
        <v>646330.55434683675</v>
      </c>
      <c r="G14" s="235">
        <f t="shared" ref="G14:G19" si="5">F14-C14</f>
        <v>0</v>
      </c>
    </row>
    <row r="15" spans="1:7" x14ac:dyDescent="0.25">
      <c r="A15" s="194">
        <v>44075</v>
      </c>
      <c r="B15" s="234"/>
      <c r="C15" s="184">
        <f t="shared" ref="C15:C19" si="6">D15*E15</f>
        <v>534972.19982740167</v>
      </c>
      <c r="D15" s="185">
        <v>2469192266.6666665</v>
      </c>
      <c r="E15" s="186">
        <f t="shared" si="0"/>
        <v>2.1665878637697081E-4</v>
      </c>
      <c r="F15" s="184">
        <f t="shared" si="3"/>
        <v>534972.19982740167</v>
      </c>
      <c r="G15" s="235">
        <f t="shared" si="5"/>
        <v>0</v>
      </c>
    </row>
    <row r="16" spans="1:7" x14ac:dyDescent="0.25">
      <c r="A16" s="194">
        <v>44105</v>
      </c>
      <c r="B16" s="234"/>
      <c r="C16" s="184">
        <f t="shared" si="6"/>
        <v>494513.30339396041</v>
      </c>
      <c r="D16" s="185">
        <v>2282452106.666667</v>
      </c>
      <c r="E16" s="186">
        <f t="shared" si="0"/>
        <v>2.1665878637697081E-4</v>
      </c>
      <c r="F16" s="184">
        <f t="shared" si="3"/>
        <v>494513.30339396041</v>
      </c>
      <c r="G16" s="235">
        <f t="shared" si="5"/>
        <v>0</v>
      </c>
    </row>
    <row r="17" spans="1:7" x14ac:dyDescent="0.25">
      <c r="A17" s="194">
        <v>44136</v>
      </c>
      <c r="B17" s="234"/>
      <c r="C17" s="184">
        <f t="shared" si="6"/>
        <v>531733.12497201166</v>
      </c>
      <c r="D17" s="185">
        <v>2454242146.666667</v>
      </c>
      <c r="E17" s="186">
        <f t="shared" si="0"/>
        <v>2.1665878637697081E-4</v>
      </c>
      <c r="F17" s="184">
        <f t="shared" si="3"/>
        <v>531733.12497201166</v>
      </c>
      <c r="G17" s="235">
        <f t="shared" si="5"/>
        <v>0</v>
      </c>
    </row>
    <row r="18" spans="1:7" x14ac:dyDescent="0.25">
      <c r="A18" s="194">
        <v>44166</v>
      </c>
      <c r="B18" s="234"/>
      <c r="C18" s="184">
        <f t="shared" si="6"/>
        <v>634673.94331981894</v>
      </c>
      <c r="D18" s="185">
        <v>2929370896.6666675</v>
      </c>
      <c r="E18" s="186">
        <f t="shared" si="0"/>
        <v>2.1665878637697081E-4</v>
      </c>
      <c r="F18" s="184">
        <f t="shared" si="3"/>
        <v>634673.94331981894</v>
      </c>
      <c r="G18" s="235">
        <f t="shared" si="5"/>
        <v>0</v>
      </c>
    </row>
    <row r="19" spans="1:7" x14ac:dyDescent="0.25">
      <c r="A19" s="194">
        <v>44197</v>
      </c>
      <c r="B19" s="234"/>
      <c r="C19" s="184">
        <f t="shared" si="6"/>
        <v>659114.67828074482</v>
      </c>
      <c r="D19" s="185">
        <v>3042178391.666666</v>
      </c>
      <c r="E19" s="186">
        <f t="shared" si="0"/>
        <v>2.1665878637697081E-4</v>
      </c>
      <c r="F19" s="184">
        <f t="shared" si="3"/>
        <v>659114.67828074482</v>
      </c>
      <c r="G19" s="235">
        <f t="shared" si="5"/>
        <v>0</v>
      </c>
    </row>
    <row r="20" spans="1:7" x14ac:dyDescent="0.25">
      <c r="B20" s="187"/>
      <c r="C20" s="187"/>
      <c r="D20" s="185"/>
      <c r="E20" s="188"/>
      <c r="F20" s="184"/>
      <c r="G20" s="184"/>
    </row>
    <row r="21" spans="1:7" ht="15.75" thickBot="1" x14ac:dyDescent="0.3">
      <c r="A21" s="189" t="s">
        <v>88</v>
      </c>
      <c r="B21" s="190">
        <f>SUM(B8:B20)</f>
        <v>2856088.7138935835</v>
      </c>
      <c r="C21" s="190">
        <f>SUM(C8:C20)</f>
        <v>3501337.8041407745</v>
      </c>
      <c r="D21" s="191">
        <f>SUM(D8:D20)</f>
        <v>31846280575.000008</v>
      </c>
      <c r="E21" s="192"/>
      <c r="F21" s="190">
        <f>SUM(F8:F20)</f>
        <v>6899776.5</v>
      </c>
      <c r="G21" s="190">
        <f>SUM(G8:G20)</f>
        <v>542349.98196564289</v>
      </c>
    </row>
    <row r="22" spans="1:7" ht="15.75" thickTop="1" x14ac:dyDescent="0.25">
      <c r="D22" s="231"/>
      <c r="F22" s="231"/>
      <c r="G22" s="193"/>
    </row>
    <row r="23" spans="1:7" x14ac:dyDescent="0.25">
      <c r="B23" s="234"/>
      <c r="D23" s="193"/>
    </row>
    <row r="24" spans="1:7" x14ac:dyDescent="0.25">
      <c r="A24" s="234"/>
      <c r="B24" s="234"/>
    </row>
    <row r="25" spans="1:7" ht="18.75" x14ac:dyDescent="0.35">
      <c r="A25" t="s">
        <v>214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5"/>
  <sheetViews>
    <sheetView tabSelected="1" zoomScaleNormal="100" workbookViewId="0">
      <selection activeCell="C18" sqref="C18"/>
    </sheetView>
  </sheetViews>
  <sheetFormatPr defaultRowHeight="15" x14ac:dyDescent="0.25"/>
  <cols>
    <col min="1" max="1" width="4.7109375" customWidth="1"/>
    <col min="2" max="2" width="66" customWidth="1"/>
    <col min="3" max="3" width="36.85546875" customWidth="1"/>
    <col min="4" max="4" width="14" bestFit="1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181</v>
      </c>
    </row>
    <row r="4" spans="1:5" x14ac:dyDescent="0.25">
      <c r="A4" t="s">
        <v>194</v>
      </c>
    </row>
    <row r="6" spans="1:5" x14ac:dyDescent="0.25">
      <c r="C6" s="11" t="s">
        <v>195</v>
      </c>
    </row>
    <row r="7" spans="1:5" x14ac:dyDescent="0.25">
      <c r="C7" s="12"/>
    </row>
    <row r="9" spans="1:5" x14ac:dyDescent="0.25">
      <c r="A9">
        <v>1</v>
      </c>
      <c r="B9" t="s">
        <v>16</v>
      </c>
      <c r="C9" s="228">
        <f>SUM('Monthly Cost Tracker 2'!B20:M20)</f>
        <v>4076407.28</v>
      </c>
    </row>
    <row r="10" spans="1:5" x14ac:dyDescent="0.25">
      <c r="A10">
        <v>2</v>
      </c>
      <c r="B10" t="s">
        <v>17</v>
      </c>
      <c r="C10" s="229">
        <f>SUM('Monthly Cost Tracker 2'!B25:M25)</f>
        <v>3617421.2649999992</v>
      </c>
    </row>
    <row r="11" spans="1:5" x14ac:dyDescent="0.25">
      <c r="A11">
        <v>3</v>
      </c>
      <c r="B11" t="s">
        <v>18</v>
      </c>
      <c r="C11" s="230">
        <f>C9-C10</f>
        <v>458986.0150000006</v>
      </c>
    </row>
    <row r="12" spans="1:5" x14ac:dyDescent="0.25">
      <c r="A12">
        <v>3.1</v>
      </c>
      <c r="B12" s="10" t="s">
        <v>19</v>
      </c>
      <c r="C12" s="229">
        <f>SUM('Monthly Cost Tracker 2'!B29:M29)+SUM('Monthly Cost Tracker 1'!C29:N29)</f>
        <v>122663.86405678763</v>
      </c>
      <c r="D12" s="231"/>
    </row>
    <row r="13" spans="1:5" x14ac:dyDescent="0.25">
      <c r="A13">
        <v>3.2</v>
      </c>
      <c r="B13" s="10" t="s">
        <v>20</v>
      </c>
      <c r="C13" s="230">
        <f>C11+C12</f>
        <v>581649.87905678828</v>
      </c>
      <c r="D13" s="4"/>
      <c r="E13" s="13"/>
    </row>
    <row r="14" spans="1:5" x14ac:dyDescent="0.25">
      <c r="A14">
        <v>4</v>
      </c>
      <c r="B14" t="s">
        <v>21</v>
      </c>
      <c r="C14" s="229">
        <f>+RRR!C10</f>
        <v>4076407.2800000003</v>
      </c>
    </row>
    <row r="15" spans="1:5" x14ac:dyDescent="0.25">
      <c r="A15">
        <v>5</v>
      </c>
      <c r="B15" t="s">
        <v>22</v>
      </c>
      <c r="C15" s="232">
        <f>'True-Up'!G21</f>
        <v>542349.98196564289</v>
      </c>
    </row>
    <row r="16" spans="1:5" x14ac:dyDescent="0.25">
      <c r="A16">
        <v>6</v>
      </c>
      <c r="B16" t="s">
        <v>23</v>
      </c>
      <c r="C16" s="229">
        <v>0</v>
      </c>
    </row>
    <row r="17" spans="1:4" x14ac:dyDescent="0.25">
      <c r="A17">
        <v>7</v>
      </c>
      <c r="B17" t="s">
        <v>102</v>
      </c>
      <c r="C17" s="230">
        <f>SUM(C13:C16)</f>
        <v>5200407.1410224307</v>
      </c>
    </row>
    <row r="18" spans="1:4" ht="18" x14ac:dyDescent="0.35">
      <c r="A18">
        <v>8</v>
      </c>
      <c r="B18" t="s">
        <v>105</v>
      </c>
      <c r="C18" s="232">
        <f>SUM(SRP!O2:O13)*1000</f>
        <v>30730452570</v>
      </c>
    </row>
    <row r="19" spans="1:4" x14ac:dyDescent="0.25">
      <c r="A19">
        <v>9</v>
      </c>
      <c r="B19" t="s">
        <v>103</v>
      </c>
      <c r="C19" s="44">
        <f>+C25</f>
        <v>1.6922650680710203E-4</v>
      </c>
      <c r="D19" s="4"/>
    </row>
    <row r="20" spans="1:4" x14ac:dyDescent="0.25">
      <c r="A20">
        <v>10</v>
      </c>
      <c r="B20" t="s">
        <v>25</v>
      </c>
      <c r="C20" s="44">
        <f>+C19</f>
        <v>1.6922650680710203E-4</v>
      </c>
      <c r="D20" s="4"/>
    </row>
    <row r="21" spans="1:4" x14ac:dyDescent="0.25">
      <c r="A21">
        <v>11</v>
      </c>
      <c r="B21" t="s">
        <v>24</v>
      </c>
      <c r="C21" s="4">
        <v>0</v>
      </c>
    </row>
    <row r="22" spans="1:4" x14ac:dyDescent="0.25">
      <c r="A22">
        <v>12</v>
      </c>
      <c r="B22" t="s">
        <v>26</v>
      </c>
      <c r="C22" s="44">
        <f>+C20+C21</f>
        <v>1.6922650680710203E-4</v>
      </c>
    </row>
    <row r="24" spans="1:4" x14ac:dyDescent="0.25">
      <c r="B24" t="s">
        <v>101</v>
      </c>
      <c r="C24" s="44">
        <f>+RAC!J16</f>
        <v>1.3690314684425638E-2</v>
      </c>
    </row>
    <row r="25" spans="1:4" ht="18" x14ac:dyDescent="0.35">
      <c r="A25" s="82" t="s">
        <v>104</v>
      </c>
      <c r="B25" t="s">
        <v>106</v>
      </c>
      <c r="C25" s="44">
        <f>+MIN(C17/C18,C24)</f>
        <v>1.6922650680710203E-4</v>
      </c>
    </row>
  </sheetData>
  <pageMargins left="0.7" right="0.7" top="0.75" bottom="0.75" header="0.3" footer="0.3"/>
  <pageSetup scale="84" orientation="portrait" r:id="rId1"/>
  <headerFooter>
    <oddFooter>&amp;R&amp;"-,Bold"&amp;14Schedule JNG-1</oddFooter>
  </headerFooter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zoomScaleNormal="100" workbookViewId="0">
      <selection activeCell="A5" sqref="A5"/>
    </sheetView>
  </sheetViews>
  <sheetFormatPr defaultRowHeight="15" x14ac:dyDescent="0.25"/>
  <cols>
    <col min="1" max="1" width="12.5703125" bestFit="1" customWidth="1"/>
    <col min="2" max="3" width="14.28515625" bestFit="1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181</v>
      </c>
    </row>
    <row r="4" spans="1:5" x14ac:dyDescent="0.25">
      <c r="A4" t="s">
        <v>196</v>
      </c>
    </row>
    <row r="7" spans="1:5" x14ac:dyDescent="0.25">
      <c r="C7" s="16" t="s">
        <v>206</v>
      </c>
    </row>
    <row r="8" spans="1:5" x14ac:dyDescent="0.25">
      <c r="A8" t="s">
        <v>31</v>
      </c>
      <c r="B8" s="15"/>
      <c r="C8" s="15">
        <f>SUM('Monthly Cost Tracker 2'!B6:M12)</f>
        <v>1199635.28</v>
      </c>
    </row>
    <row r="9" spans="1:5" x14ac:dyDescent="0.25">
      <c r="A9" t="s">
        <v>32</v>
      </c>
      <c r="B9" s="15"/>
      <c r="C9" s="15">
        <f>SUM('Monthly Cost Tracker 2'!B13:M13)</f>
        <v>2876772</v>
      </c>
      <c r="D9" s="17"/>
    </row>
    <row r="10" spans="1:5" ht="15.75" thickBot="1" x14ac:dyDescent="0.3">
      <c r="A10" t="s">
        <v>200</v>
      </c>
      <c r="C10" s="19">
        <f>+C9+C8</f>
        <v>4076407.2800000003</v>
      </c>
    </row>
    <row r="11" spans="1:5" ht="15.75" thickTop="1" x14ac:dyDescent="0.25"/>
    <row r="13" spans="1:5" x14ac:dyDescent="0.25">
      <c r="A13" s="18"/>
      <c r="B13" s="18"/>
      <c r="C13" s="18"/>
      <c r="D13" s="18"/>
      <c r="E13" s="18"/>
    </row>
    <row r="14" spans="1:5" x14ac:dyDescent="0.25">
      <c r="B14" s="18"/>
      <c r="C14" s="18"/>
      <c r="D14" s="18"/>
      <c r="E14" s="18"/>
    </row>
    <row r="15" spans="1:5" x14ac:dyDescent="0.25">
      <c r="B15" s="18"/>
      <c r="C15" s="18"/>
      <c r="D15" s="18"/>
      <c r="E15" s="18"/>
    </row>
    <row r="16" spans="1:5" x14ac:dyDescent="0.25">
      <c r="B16" s="18"/>
      <c r="C16" s="18"/>
      <c r="D16" s="18"/>
      <c r="E16" s="18"/>
    </row>
    <row r="17" spans="2:5" ht="27.4" customHeight="1" x14ac:dyDescent="0.25">
      <c r="B17" s="18"/>
      <c r="C17" s="18"/>
      <c r="D17" s="18"/>
      <c r="E17" s="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3"/>
  <sheetViews>
    <sheetView workbookViewId="0">
      <selection activeCell="C11" sqref="C11"/>
    </sheetView>
  </sheetViews>
  <sheetFormatPr defaultRowHeight="15" x14ac:dyDescent="0.25"/>
  <sheetData>
    <row r="1" spans="1:17" x14ac:dyDescent="0.25">
      <c r="A1" s="39" t="s">
        <v>33</v>
      </c>
      <c r="B1" s="39" t="s">
        <v>34</v>
      </c>
      <c r="C1" s="39" t="s">
        <v>35</v>
      </c>
      <c r="D1" s="39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</row>
    <row r="2" spans="1:17" x14ac:dyDescent="0.25">
      <c r="A2" t="s">
        <v>48</v>
      </c>
      <c r="B2" s="40">
        <v>44228</v>
      </c>
      <c r="C2">
        <v>2021</v>
      </c>
      <c r="D2">
        <v>2</v>
      </c>
      <c r="E2" s="41">
        <v>1193469</v>
      </c>
      <c r="F2" s="42">
        <v>234449.32</v>
      </c>
      <c r="G2" s="42">
        <v>489440.06</v>
      </c>
      <c r="H2" s="42">
        <v>189571.5</v>
      </c>
      <c r="I2" s="42">
        <v>105684.73</v>
      </c>
      <c r="J2" s="42">
        <v>9596.5</v>
      </c>
      <c r="K2" s="42">
        <v>63178.41</v>
      </c>
      <c r="L2" s="42">
        <v>102877.74</v>
      </c>
      <c r="M2" s="42">
        <v>165224.82</v>
      </c>
      <c r="N2" s="41">
        <v>13531.64</v>
      </c>
      <c r="O2" s="43">
        <v>2567023.7200000002</v>
      </c>
      <c r="P2" s="41"/>
      <c r="Q2" s="43"/>
    </row>
    <row r="3" spans="1:17" x14ac:dyDescent="0.25">
      <c r="A3" t="s">
        <v>49</v>
      </c>
      <c r="B3" s="40">
        <v>44256</v>
      </c>
      <c r="C3">
        <v>2021</v>
      </c>
      <c r="D3">
        <v>3</v>
      </c>
      <c r="E3" s="41">
        <v>1038753</v>
      </c>
      <c r="F3" s="42">
        <v>223429.1</v>
      </c>
      <c r="G3" s="42">
        <v>508207.62</v>
      </c>
      <c r="H3" s="42">
        <v>195155.52</v>
      </c>
      <c r="I3" s="42">
        <v>119920.96000000001</v>
      </c>
      <c r="J3" s="42">
        <v>5691.51</v>
      </c>
      <c r="K3" s="42">
        <v>63099.18</v>
      </c>
      <c r="L3" s="42">
        <v>87622.33</v>
      </c>
      <c r="M3" s="42">
        <v>165016.38</v>
      </c>
      <c r="N3" s="41">
        <v>13562.04</v>
      </c>
      <c r="O3" s="43">
        <v>2420457.64</v>
      </c>
      <c r="P3" s="41"/>
      <c r="Q3" s="43"/>
    </row>
    <row r="4" spans="1:17" x14ac:dyDescent="0.25">
      <c r="A4" t="s">
        <v>50</v>
      </c>
      <c r="B4" s="40">
        <v>44287</v>
      </c>
      <c r="C4">
        <v>2021</v>
      </c>
      <c r="D4">
        <v>4</v>
      </c>
      <c r="E4" s="41">
        <v>779523</v>
      </c>
      <c r="F4" s="42">
        <v>199146.92</v>
      </c>
      <c r="G4" s="42">
        <v>476027.23</v>
      </c>
      <c r="H4" s="42">
        <v>191358.75</v>
      </c>
      <c r="I4" s="42">
        <v>122754.12</v>
      </c>
      <c r="J4" s="42">
        <v>6435.02</v>
      </c>
      <c r="K4" s="42">
        <v>62831</v>
      </c>
      <c r="L4" s="42">
        <v>96355.15</v>
      </c>
      <c r="M4" s="42">
        <v>173317.24</v>
      </c>
      <c r="N4" s="41">
        <v>11430.37</v>
      </c>
      <c r="O4" s="43">
        <v>2119178.7999999998</v>
      </c>
      <c r="P4" s="41"/>
      <c r="Q4" s="43"/>
    </row>
    <row r="5" spans="1:17" x14ac:dyDescent="0.25">
      <c r="A5" t="s">
        <v>51</v>
      </c>
      <c r="B5" s="40">
        <v>44317</v>
      </c>
      <c r="C5">
        <v>2021</v>
      </c>
      <c r="D5">
        <v>5</v>
      </c>
      <c r="E5" s="41">
        <v>757613</v>
      </c>
      <c r="F5" s="42">
        <v>223663.07</v>
      </c>
      <c r="G5" s="42">
        <v>525461.51</v>
      </c>
      <c r="H5" s="42">
        <v>209967.76</v>
      </c>
      <c r="I5" s="42">
        <v>137345.81</v>
      </c>
      <c r="J5" s="42">
        <v>4887.84</v>
      </c>
      <c r="K5" s="42">
        <v>62620.4</v>
      </c>
      <c r="L5" s="42">
        <v>93113.48</v>
      </c>
      <c r="M5" s="42">
        <v>183041.18</v>
      </c>
      <c r="N5" s="41">
        <v>10769.76</v>
      </c>
      <c r="O5" s="43">
        <v>2208483.81</v>
      </c>
      <c r="P5" s="41"/>
      <c r="Q5" s="43"/>
    </row>
    <row r="6" spans="1:17" x14ac:dyDescent="0.25">
      <c r="A6" t="s">
        <v>52</v>
      </c>
      <c r="B6" s="40">
        <v>44348</v>
      </c>
      <c r="C6">
        <v>2021</v>
      </c>
      <c r="D6">
        <v>6</v>
      </c>
      <c r="E6" s="41">
        <v>1145935</v>
      </c>
      <c r="F6" s="42">
        <v>254197.69</v>
      </c>
      <c r="G6" s="42">
        <v>564600.99</v>
      </c>
      <c r="H6" s="42">
        <v>220665.7</v>
      </c>
      <c r="I6" s="42">
        <v>142957</v>
      </c>
      <c r="J6" s="42">
        <v>7764.62</v>
      </c>
      <c r="K6" s="42">
        <v>66505.09</v>
      </c>
      <c r="L6" s="42">
        <v>104341.34</v>
      </c>
      <c r="M6" s="42">
        <v>185932.34</v>
      </c>
      <c r="N6" s="41">
        <v>10124.84</v>
      </c>
      <c r="O6" s="43">
        <v>2703024.6099999994</v>
      </c>
      <c r="P6" s="41"/>
      <c r="Q6" s="43"/>
    </row>
    <row r="7" spans="1:17" x14ac:dyDescent="0.25">
      <c r="A7" t="s">
        <v>53</v>
      </c>
      <c r="B7" s="40">
        <v>44378</v>
      </c>
      <c r="C7">
        <v>2021</v>
      </c>
      <c r="D7">
        <v>7</v>
      </c>
      <c r="E7" s="41">
        <v>1368331</v>
      </c>
      <c r="F7" s="42">
        <v>279000.90999999997</v>
      </c>
      <c r="G7" s="42">
        <v>618281.67000000004</v>
      </c>
      <c r="H7" s="42">
        <v>232672.85</v>
      </c>
      <c r="I7" s="42">
        <v>151939.29999999999</v>
      </c>
      <c r="J7" s="42">
        <v>7550.79</v>
      </c>
      <c r="K7" s="42">
        <v>71449.69</v>
      </c>
      <c r="L7" s="42">
        <v>103723.22</v>
      </c>
      <c r="M7" s="42">
        <v>192249.28</v>
      </c>
      <c r="N7" s="41">
        <v>10819.94</v>
      </c>
      <c r="O7" s="43">
        <v>3036018.65</v>
      </c>
      <c r="P7" s="41"/>
      <c r="Q7" s="43"/>
    </row>
    <row r="8" spans="1:17" x14ac:dyDescent="0.25">
      <c r="A8" t="s">
        <v>54</v>
      </c>
      <c r="B8" s="40">
        <v>44409</v>
      </c>
      <c r="C8">
        <v>2021</v>
      </c>
      <c r="D8">
        <v>8</v>
      </c>
      <c r="E8" s="41">
        <v>1281285</v>
      </c>
      <c r="F8" s="42">
        <v>273472.36</v>
      </c>
      <c r="G8" s="42">
        <v>604976.80000000005</v>
      </c>
      <c r="H8" s="42">
        <v>230246.52</v>
      </c>
      <c r="I8" s="42">
        <v>150273.66</v>
      </c>
      <c r="J8" s="42">
        <v>6445.02</v>
      </c>
      <c r="K8" s="42">
        <v>70738.649999999994</v>
      </c>
      <c r="L8" s="42">
        <v>101130.29</v>
      </c>
      <c r="M8" s="42">
        <v>205353.05</v>
      </c>
      <c r="N8" s="41">
        <v>11488.02</v>
      </c>
      <c r="O8" s="43">
        <v>2935409.37</v>
      </c>
      <c r="P8" s="41"/>
      <c r="Q8" s="43"/>
    </row>
    <row r="9" spans="1:17" x14ac:dyDescent="0.25">
      <c r="A9" t="s">
        <v>55</v>
      </c>
      <c r="B9" s="40">
        <v>44440</v>
      </c>
      <c r="C9">
        <v>2021</v>
      </c>
      <c r="D9">
        <v>9</v>
      </c>
      <c r="E9" s="41">
        <v>861110</v>
      </c>
      <c r="F9" s="42">
        <v>230773.88</v>
      </c>
      <c r="G9" s="42">
        <v>535701.69999999995</v>
      </c>
      <c r="H9" s="42">
        <v>211067.37</v>
      </c>
      <c r="I9" s="42">
        <v>137234.42000000001</v>
      </c>
      <c r="J9" s="42">
        <v>6864.74</v>
      </c>
      <c r="K9" s="42">
        <v>65912.490000000005</v>
      </c>
      <c r="L9" s="42">
        <v>109799.83</v>
      </c>
      <c r="M9" s="42">
        <v>197832.17</v>
      </c>
      <c r="N9" s="41">
        <v>11955.15</v>
      </c>
      <c r="O9" s="43">
        <v>2368251.7499999995</v>
      </c>
      <c r="P9" s="41"/>
      <c r="Q9" s="43"/>
    </row>
    <row r="10" spans="1:17" x14ac:dyDescent="0.25">
      <c r="A10" t="s">
        <v>56</v>
      </c>
      <c r="B10" s="40">
        <v>44470</v>
      </c>
      <c r="C10">
        <v>2021</v>
      </c>
      <c r="D10">
        <v>10</v>
      </c>
      <c r="E10" s="41">
        <v>774082</v>
      </c>
      <c r="F10" s="42">
        <v>203955.84</v>
      </c>
      <c r="G10" s="42">
        <v>472596.71</v>
      </c>
      <c r="H10" s="42">
        <v>196599.81</v>
      </c>
      <c r="I10" s="42">
        <v>128393.89</v>
      </c>
      <c r="J10" s="42">
        <v>5319.97</v>
      </c>
      <c r="K10" s="42">
        <v>63193.82</v>
      </c>
      <c r="L10" s="42">
        <v>96675.24</v>
      </c>
      <c r="M10" s="42">
        <v>195723.71</v>
      </c>
      <c r="N10" s="41">
        <v>14977.38</v>
      </c>
      <c r="O10" s="43">
        <v>2151518.37</v>
      </c>
      <c r="P10" s="41"/>
      <c r="Q10" s="43"/>
    </row>
    <row r="11" spans="1:17" x14ac:dyDescent="0.25">
      <c r="A11" t="s">
        <v>57</v>
      </c>
      <c r="B11" s="40">
        <v>44501</v>
      </c>
      <c r="C11">
        <v>2021</v>
      </c>
      <c r="D11">
        <v>11</v>
      </c>
      <c r="E11" s="41">
        <v>972380</v>
      </c>
      <c r="F11" s="42">
        <v>213053.36</v>
      </c>
      <c r="G11" s="42">
        <v>476176.32</v>
      </c>
      <c r="H11" s="42">
        <v>188435.65</v>
      </c>
      <c r="I11" s="42">
        <v>125597.68</v>
      </c>
      <c r="J11" s="42">
        <v>8607.01</v>
      </c>
      <c r="K11" s="42">
        <v>61820.38</v>
      </c>
      <c r="L11" s="42">
        <v>96405.2</v>
      </c>
      <c r="M11" s="42">
        <v>183820.36</v>
      </c>
      <c r="N11" s="41">
        <v>15130.85</v>
      </c>
      <c r="O11" s="43">
        <v>2341426.8099999996</v>
      </c>
      <c r="P11" s="41"/>
      <c r="Q11" s="43"/>
    </row>
    <row r="12" spans="1:17" x14ac:dyDescent="0.25">
      <c r="A12" t="s">
        <v>58</v>
      </c>
      <c r="B12" s="40">
        <v>44531</v>
      </c>
      <c r="C12">
        <v>2021</v>
      </c>
      <c r="D12">
        <v>12</v>
      </c>
      <c r="E12" s="41">
        <v>1453102</v>
      </c>
      <c r="F12" s="42">
        <v>258992.28</v>
      </c>
      <c r="G12" s="42">
        <v>528111.18999999994</v>
      </c>
      <c r="H12" s="42">
        <v>203204.12</v>
      </c>
      <c r="I12" s="42">
        <v>116655.93</v>
      </c>
      <c r="J12" s="42">
        <v>9620.0300000000007</v>
      </c>
      <c r="K12" s="42">
        <v>62119.22</v>
      </c>
      <c r="L12" s="42">
        <v>98741.88</v>
      </c>
      <c r="M12" s="42">
        <v>175043.45</v>
      </c>
      <c r="N12" s="41">
        <v>15326.56</v>
      </c>
      <c r="O12" s="43">
        <v>2920916.66</v>
      </c>
      <c r="P12" s="41"/>
      <c r="Q12" s="43"/>
    </row>
    <row r="13" spans="1:17" x14ac:dyDescent="0.25">
      <c r="A13" t="s">
        <v>59</v>
      </c>
      <c r="B13" s="40">
        <v>44562</v>
      </c>
      <c r="C13">
        <v>2022</v>
      </c>
      <c r="D13">
        <v>1</v>
      </c>
      <c r="E13" s="41">
        <v>1429394</v>
      </c>
      <c r="F13" s="42">
        <v>273641.81</v>
      </c>
      <c r="G13" s="42">
        <v>574204.51</v>
      </c>
      <c r="H13" s="42">
        <v>208986.67</v>
      </c>
      <c r="I13" s="42">
        <v>116255.61</v>
      </c>
      <c r="J13" s="42">
        <v>10701.63</v>
      </c>
      <c r="K13" s="42">
        <v>61799.69</v>
      </c>
      <c r="L13" s="42">
        <v>103922.99</v>
      </c>
      <c r="M13" s="42">
        <v>164777.85999999999</v>
      </c>
      <c r="N13" s="41">
        <v>15057.61</v>
      </c>
      <c r="O13" s="43">
        <v>2958742.38</v>
      </c>
      <c r="P13" s="41"/>
      <c r="Q13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N30"/>
  <sheetViews>
    <sheetView zoomScale="81" zoomScaleNormal="81" zoomScaleSheetLayoutView="85" workbookViewId="0">
      <selection activeCell="H31" sqref="H31"/>
    </sheetView>
  </sheetViews>
  <sheetFormatPr defaultRowHeight="15" x14ac:dyDescent="0.25"/>
  <cols>
    <col min="1" max="1" width="2.7109375" customWidth="1"/>
    <col min="2" max="2" width="23.28515625" bestFit="1" customWidth="1"/>
    <col min="3" max="3" width="17.28515625" bestFit="1" customWidth="1"/>
    <col min="4" max="4" width="14.85546875" bestFit="1" customWidth="1"/>
    <col min="5" max="5" width="19" bestFit="1" customWidth="1"/>
    <col min="6" max="6" width="20.28515625" bestFit="1" customWidth="1"/>
    <col min="7" max="7" width="5.42578125" customWidth="1"/>
    <col min="8" max="8" width="27.28515625" customWidth="1"/>
    <col min="9" max="9" width="42.42578125" customWidth="1"/>
    <col min="10" max="10" width="15.5703125" bestFit="1" customWidth="1"/>
    <col min="11" max="11" width="15" bestFit="1" customWidth="1"/>
    <col min="12" max="12" width="21.85546875" bestFit="1" customWidth="1"/>
    <col min="13" max="13" width="17" bestFit="1" customWidth="1"/>
    <col min="14" max="14" width="17.5703125" bestFit="1" customWidth="1"/>
  </cols>
  <sheetData>
    <row r="1" spans="2:14" ht="15.75" thickBot="1" x14ac:dyDescent="0.3"/>
    <row r="2" spans="2:14" ht="19.5" thickBot="1" x14ac:dyDescent="0.35">
      <c r="B2" s="247" t="s">
        <v>60</v>
      </c>
      <c r="C2" s="248"/>
      <c r="D2" s="249"/>
      <c r="E2" s="249"/>
      <c r="F2" s="250"/>
      <c r="H2" s="247" t="s">
        <v>61</v>
      </c>
      <c r="I2" s="248"/>
      <c r="J2" s="248"/>
      <c r="K2" s="248"/>
      <c r="L2" s="248"/>
      <c r="M2" s="248"/>
      <c r="N2" s="251"/>
    </row>
    <row r="3" spans="2:14" x14ac:dyDescent="0.25">
      <c r="B3" s="36"/>
      <c r="C3" s="37"/>
      <c r="D3" s="252" t="s">
        <v>62</v>
      </c>
      <c r="E3" s="253"/>
      <c r="F3" s="45">
        <f>AVERAGE(F17,F30)</f>
        <v>8.5150301181978E-2</v>
      </c>
      <c r="H3" s="36"/>
      <c r="I3" s="46" t="s">
        <v>63</v>
      </c>
      <c r="J3" s="47">
        <f>N30</f>
        <v>7.8699168635387451E-2</v>
      </c>
      <c r="K3" s="37"/>
      <c r="L3" s="37"/>
      <c r="M3" s="37"/>
      <c r="N3" s="38"/>
    </row>
    <row r="4" spans="2:14" ht="15.75" thickBot="1" x14ac:dyDescent="0.3">
      <c r="B4" s="36"/>
      <c r="C4" s="37"/>
      <c r="D4" s="254" t="s">
        <v>64</v>
      </c>
      <c r="E4" s="255"/>
      <c r="F4" s="48">
        <v>42826</v>
      </c>
      <c r="H4" s="36"/>
      <c r="I4" s="49" t="s">
        <v>65</v>
      </c>
      <c r="J4" s="50">
        <f>I30</f>
        <v>8.0405887518136945E-2</v>
      </c>
      <c r="K4" s="37"/>
      <c r="L4" s="37"/>
      <c r="M4" s="37"/>
      <c r="N4" s="38"/>
    </row>
    <row r="5" spans="2:14" ht="15.75" thickBot="1" x14ac:dyDescent="0.3">
      <c r="B5" s="36"/>
      <c r="C5" s="37"/>
      <c r="D5" s="37"/>
      <c r="E5" s="37"/>
      <c r="F5" s="38"/>
      <c r="H5" s="36"/>
      <c r="I5" s="51" t="s">
        <v>66</v>
      </c>
      <c r="J5" s="50">
        <f>(L29+M29)/H29</f>
        <v>-1.7067188827494854E-3</v>
      </c>
      <c r="K5" s="37"/>
      <c r="L5" s="37"/>
      <c r="M5" s="37"/>
      <c r="N5" s="38"/>
    </row>
    <row r="6" spans="2:14" ht="15.75" x14ac:dyDescent="0.25">
      <c r="B6" s="241" t="s">
        <v>67</v>
      </c>
      <c r="C6" s="242"/>
      <c r="D6" s="242"/>
      <c r="E6" s="242"/>
      <c r="F6" s="243"/>
      <c r="H6" s="36"/>
      <c r="I6" s="49" t="s">
        <v>68</v>
      </c>
      <c r="J6" s="52">
        <f>(J3/F3)^(1/((J7-F4)/365))-1</f>
        <v>-2.7375691215255737E-2</v>
      </c>
      <c r="K6" s="37"/>
      <c r="L6" s="37"/>
      <c r="M6" s="37"/>
      <c r="N6" s="38"/>
    </row>
    <row r="7" spans="2:14" x14ac:dyDescent="0.25">
      <c r="B7" s="49"/>
      <c r="C7" s="53" t="s">
        <v>69</v>
      </c>
      <c r="D7" s="53" t="s">
        <v>70</v>
      </c>
      <c r="E7" s="53" t="s">
        <v>71</v>
      </c>
      <c r="F7" s="54" t="s">
        <v>72</v>
      </c>
      <c r="H7" s="36"/>
      <c r="I7" s="49" t="s">
        <v>64</v>
      </c>
      <c r="J7" s="55">
        <v>43862</v>
      </c>
      <c r="K7" s="37"/>
      <c r="L7" s="37"/>
      <c r="M7" s="37"/>
      <c r="N7" s="38"/>
    </row>
    <row r="8" spans="2:14" x14ac:dyDescent="0.25">
      <c r="B8" s="49" t="s">
        <v>73</v>
      </c>
      <c r="C8" s="56">
        <v>1308982935.1561263</v>
      </c>
      <c r="D8" s="57">
        <v>12812045844.15897</v>
      </c>
      <c r="E8" s="58">
        <f>D8*0.00124</f>
        <v>15886936.846757123</v>
      </c>
      <c r="F8" s="59">
        <f>C8+E8</f>
        <v>1324869872.0028834</v>
      </c>
      <c r="H8" s="36"/>
      <c r="I8" s="49" t="s">
        <v>74</v>
      </c>
      <c r="J8" s="60">
        <f>(J7-F4)/365</f>
        <v>2.8383561643835615</v>
      </c>
      <c r="K8" s="37"/>
      <c r="L8" s="37"/>
      <c r="M8" s="37"/>
      <c r="N8" s="38"/>
    </row>
    <row r="9" spans="2:14" x14ac:dyDescent="0.25">
      <c r="B9" s="49" t="s">
        <v>75</v>
      </c>
      <c r="C9" s="56">
        <v>316514060.7287904</v>
      </c>
      <c r="D9" s="57">
        <v>3314685710.2862983</v>
      </c>
      <c r="E9" s="58">
        <f t="shared" ref="E9:E14" si="0">D9*0.00124</f>
        <v>4110210.28075501</v>
      </c>
      <c r="F9" s="59">
        <f t="shared" ref="F9:F15" si="1">C9+E9</f>
        <v>320624271.00954539</v>
      </c>
      <c r="H9" s="36"/>
      <c r="I9" s="49" t="s">
        <v>76</v>
      </c>
      <c r="J9" s="50">
        <f>(F3*(1.0285^(J8)))</f>
        <v>9.2220256813005996E-2</v>
      </c>
      <c r="K9" s="37"/>
      <c r="N9" s="38"/>
    </row>
    <row r="10" spans="2:14" x14ac:dyDescent="0.25">
      <c r="B10" s="49" t="s">
        <v>77</v>
      </c>
      <c r="C10" s="56">
        <v>609538433.00189579</v>
      </c>
      <c r="D10" s="57">
        <v>8031106053.8757181</v>
      </c>
      <c r="E10" s="58">
        <f t="shared" si="0"/>
        <v>9958571.5068058912</v>
      </c>
      <c r="F10" s="59">
        <f t="shared" si="1"/>
        <v>619497004.50870168</v>
      </c>
      <c r="H10" s="36"/>
      <c r="I10" s="49" t="s">
        <v>78</v>
      </c>
      <c r="J10" s="50">
        <f>I30-F3</f>
        <v>-4.7444136638410545E-3</v>
      </c>
      <c r="K10" s="37"/>
      <c r="L10" s="37"/>
      <c r="M10" s="37"/>
      <c r="N10" s="38"/>
    </row>
    <row r="11" spans="2:14" x14ac:dyDescent="0.25">
      <c r="B11" s="49" t="s">
        <v>79</v>
      </c>
      <c r="C11" s="56">
        <v>245102970.57551768</v>
      </c>
      <c r="D11" s="57">
        <v>3683300923.8602734</v>
      </c>
      <c r="E11" s="58">
        <f>D11*0.0012</f>
        <v>4419961.108632328</v>
      </c>
      <c r="F11" s="59">
        <f t="shared" si="1"/>
        <v>249522931.68415001</v>
      </c>
      <c r="H11" s="36"/>
      <c r="I11" s="49" t="s">
        <v>80</v>
      </c>
      <c r="J11" s="50">
        <f>J9-F3</f>
        <v>7.0699556310279965E-3</v>
      </c>
      <c r="K11" s="37"/>
      <c r="L11" s="37"/>
      <c r="M11" s="37"/>
      <c r="N11" s="38"/>
    </row>
    <row r="12" spans="2:14" x14ac:dyDescent="0.25">
      <c r="B12" s="49" t="s">
        <v>81</v>
      </c>
      <c r="C12" s="56">
        <v>215769113.9882344</v>
      </c>
      <c r="D12" s="57">
        <v>3778918417.2382569</v>
      </c>
      <c r="E12" s="58">
        <f>D12*0.0012</f>
        <v>4534702.1006859075</v>
      </c>
      <c r="F12" s="59">
        <f t="shared" si="1"/>
        <v>220303816.0889203</v>
      </c>
      <c r="H12" s="36"/>
      <c r="I12" s="49" t="s">
        <v>82</v>
      </c>
      <c r="J12" s="50">
        <f>L30</f>
        <v>-1.8759453895565875E-3</v>
      </c>
      <c r="K12" s="37"/>
      <c r="L12" s="37"/>
      <c r="M12" s="37"/>
      <c r="N12" s="38"/>
    </row>
    <row r="13" spans="2:14" ht="15.75" thickBot="1" x14ac:dyDescent="0.3">
      <c r="B13" s="49" t="s">
        <v>83</v>
      </c>
      <c r="C13" s="56">
        <v>38160833.115842789</v>
      </c>
      <c r="D13" s="57">
        <v>140442436</v>
      </c>
      <c r="E13" s="58">
        <f>D13*0.00124</f>
        <v>174148.62064000001</v>
      </c>
      <c r="F13" s="59">
        <f t="shared" si="1"/>
        <v>38334981.736482792</v>
      </c>
      <c r="H13" s="36"/>
      <c r="I13" s="61" t="s">
        <v>84</v>
      </c>
      <c r="J13" s="62">
        <f>M30</f>
        <v>1.6922650680710206E-4</v>
      </c>
      <c r="K13" s="37"/>
      <c r="L13" s="37"/>
      <c r="M13" s="37"/>
      <c r="N13" s="38"/>
    </row>
    <row r="14" spans="2:14" ht="15.75" thickBot="1" x14ac:dyDescent="0.3">
      <c r="B14" s="49" t="s">
        <v>85</v>
      </c>
      <c r="C14" s="56">
        <v>3935407.4222543421</v>
      </c>
      <c r="D14" s="57">
        <v>76147883</v>
      </c>
      <c r="E14" s="58">
        <f t="shared" si="0"/>
        <v>94423.374920000002</v>
      </c>
      <c r="F14" s="59">
        <f t="shared" si="1"/>
        <v>4029830.797174342</v>
      </c>
      <c r="H14" s="36"/>
      <c r="I14" s="37"/>
      <c r="J14" s="37"/>
      <c r="K14" s="37"/>
      <c r="L14" s="37"/>
      <c r="M14" s="37"/>
      <c r="N14" s="38"/>
    </row>
    <row r="15" spans="2:14" x14ac:dyDescent="0.25">
      <c r="B15" s="49" t="s">
        <v>86</v>
      </c>
      <c r="C15" s="56">
        <v>79827.129125472435</v>
      </c>
      <c r="D15" s="57">
        <v>680679</v>
      </c>
      <c r="E15" s="58">
        <v>0</v>
      </c>
      <c r="F15" s="59">
        <f t="shared" si="1"/>
        <v>79827.129125472435</v>
      </c>
      <c r="H15" s="36"/>
      <c r="I15" s="256" t="s">
        <v>87</v>
      </c>
      <c r="J15" s="257"/>
      <c r="K15" s="37"/>
      <c r="L15" s="37"/>
      <c r="M15" s="37"/>
      <c r="N15" s="38"/>
    </row>
    <row r="16" spans="2:14" x14ac:dyDescent="0.25">
      <c r="B16" s="49" t="s">
        <v>88</v>
      </c>
      <c r="C16" s="56">
        <f>SUM(C8:C15)</f>
        <v>2738083581.1177878</v>
      </c>
      <c r="D16" s="57">
        <f>SUM(D8:D15)</f>
        <v>31837327947.419518</v>
      </c>
      <c r="E16" s="58">
        <f>SUM(E8:E15)</f>
        <v>39178953.839196265</v>
      </c>
      <c r="F16" s="59">
        <f>SUM(F8:F15)</f>
        <v>2777262534.9569836</v>
      </c>
      <c r="H16" s="36"/>
      <c r="I16" s="49" t="s">
        <v>89</v>
      </c>
      <c r="J16" s="63">
        <f>J11-J10-J12</f>
        <v>1.3690314684425638E-2</v>
      </c>
      <c r="K16" s="37"/>
      <c r="L16" s="37"/>
      <c r="M16" s="37"/>
      <c r="N16" s="38"/>
    </row>
    <row r="17" spans="2:14" ht="15.75" thickBot="1" x14ac:dyDescent="0.3">
      <c r="B17" s="64"/>
      <c r="C17" s="65" t="s">
        <v>65</v>
      </c>
      <c r="D17" s="66">
        <f>C16/D16</f>
        <v>8.6002304767530444E-2</v>
      </c>
      <c r="E17" s="67" t="s">
        <v>63</v>
      </c>
      <c r="F17" s="68">
        <f>F16/D16</f>
        <v>8.7232902822238459E-2</v>
      </c>
      <c r="H17" s="36"/>
      <c r="I17" s="61" t="s">
        <v>90</v>
      </c>
      <c r="J17" s="69">
        <f>J11-J10-J13</f>
        <v>1.164514278806195E-2</v>
      </c>
      <c r="K17" s="37"/>
      <c r="L17" s="37"/>
      <c r="M17" s="37"/>
      <c r="N17" s="38"/>
    </row>
    <row r="18" spans="2:14" ht="15.75" thickBot="1" x14ac:dyDescent="0.3">
      <c r="B18" s="36"/>
      <c r="C18" s="37"/>
      <c r="D18" s="37"/>
      <c r="E18" s="37"/>
      <c r="F18" s="38"/>
      <c r="H18" s="36"/>
      <c r="I18" s="37"/>
      <c r="J18" s="37"/>
      <c r="K18" s="37"/>
      <c r="L18" s="37"/>
      <c r="M18" s="37"/>
      <c r="N18" s="38"/>
    </row>
    <row r="19" spans="2:14" ht="15.75" x14ac:dyDescent="0.25">
      <c r="B19" s="241" t="s">
        <v>91</v>
      </c>
      <c r="C19" s="242"/>
      <c r="D19" s="242"/>
      <c r="E19" s="242"/>
      <c r="F19" s="243"/>
      <c r="H19" s="244" t="s">
        <v>92</v>
      </c>
      <c r="I19" s="245"/>
      <c r="J19" s="245"/>
      <c r="K19" s="245"/>
      <c r="L19" s="245"/>
      <c r="M19" s="245"/>
      <c r="N19" s="246"/>
    </row>
    <row r="20" spans="2:14" ht="45" x14ac:dyDescent="0.25">
      <c r="B20" s="49"/>
      <c r="C20" s="53" t="s">
        <v>93</v>
      </c>
      <c r="D20" s="53" t="s">
        <v>69</v>
      </c>
      <c r="E20" s="53" t="s">
        <v>71</v>
      </c>
      <c r="F20" s="54" t="s">
        <v>72</v>
      </c>
      <c r="H20" s="70" t="s">
        <v>94</v>
      </c>
      <c r="I20" s="71" t="s">
        <v>95</v>
      </c>
      <c r="J20" s="53" t="s">
        <v>96</v>
      </c>
      <c r="K20" s="53" t="s">
        <v>84</v>
      </c>
      <c r="L20" s="53" t="s">
        <v>97</v>
      </c>
      <c r="M20" s="53" t="s">
        <v>98</v>
      </c>
      <c r="N20" s="54" t="s">
        <v>99</v>
      </c>
    </row>
    <row r="21" spans="2:14" x14ac:dyDescent="0.25">
      <c r="B21" s="49" t="s">
        <v>73</v>
      </c>
      <c r="C21" s="56">
        <v>-79595105</v>
      </c>
      <c r="D21" s="56">
        <f t="shared" ref="D21:D28" si="2">C8+C21</f>
        <v>1229387830.1561263</v>
      </c>
      <c r="E21" s="56">
        <f>D8*0.00231</f>
        <v>29595825.900007222</v>
      </c>
      <c r="F21" s="72">
        <f t="shared" ref="F21:F28" si="3">C8+C21+E21</f>
        <v>1258983656.0561335</v>
      </c>
      <c r="H21" s="73">
        <v>13101518505</v>
      </c>
      <c r="I21" s="74">
        <v>1249883470</v>
      </c>
      <c r="J21" s="237">
        <v>-1.89E-3</v>
      </c>
      <c r="K21" s="195">
        <f>+'Rate Schedule'!C19</f>
        <v>1.6922650680710203E-4</v>
      </c>
      <c r="L21" s="56">
        <f>J21*H21</f>
        <v>-24761869.97445</v>
      </c>
      <c r="M21" s="56">
        <f>K21*H21</f>
        <v>2217124.2104697558</v>
      </c>
      <c r="N21" s="72">
        <f>L21+I21+M21</f>
        <v>1227338724.2360196</v>
      </c>
    </row>
    <row r="22" spans="2:14" x14ac:dyDescent="0.25">
      <c r="B22" s="49" t="s">
        <v>75</v>
      </c>
      <c r="C22" s="56">
        <v>-19272860</v>
      </c>
      <c r="D22" s="56">
        <f t="shared" si="2"/>
        <v>297241200.7287904</v>
      </c>
      <c r="E22" s="56">
        <f>D9*0.00231</f>
        <v>7656923.990761349</v>
      </c>
      <c r="F22" s="72">
        <f t="shared" si="3"/>
        <v>304898124.71955174</v>
      </c>
      <c r="H22" s="73">
        <v>3259430118</v>
      </c>
      <c r="I22" s="74">
        <v>291144983</v>
      </c>
      <c r="J22" s="237">
        <f>J21</f>
        <v>-1.89E-3</v>
      </c>
      <c r="K22" s="195">
        <f t="shared" ref="K22:K28" si="4">K21</f>
        <v>1.6922650680710203E-4</v>
      </c>
      <c r="L22" s="56">
        <f t="shared" ref="L22:L28" si="5">J22*H22</f>
        <v>-6160322.9230199996</v>
      </c>
      <c r="M22" s="56">
        <f t="shared" ref="M22:M28" si="6">K22*H22</f>
        <v>551581.97305100039</v>
      </c>
      <c r="N22" s="72">
        <f t="shared" ref="N22:N28" si="7">L22+I22+M22</f>
        <v>285536242.05003101</v>
      </c>
    </row>
    <row r="23" spans="2:14" x14ac:dyDescent="0.25">
      <c r="B23" s="49" t="s">
        <v>77</v>
      </c>
      <c r="C23" s="56">
        <v>-37046737</v>
      </c>
      <c r="D23" s="56">
        <f t="shared" si="2"/>
        <v>572491696.00189579</v>
      </c>
      <c r="E23" s="56">
        <f>D10*0.00231</f>
        <v>18551854.984452907</v>
      </c>
      <c r="F23" s="72">
        <f t="shared" si="3"/>
        <v>591043550.98634875</v>
      </c>
      <c r="H23" s="73">
        <v>7746123044</v>
      </c>
      <c r="I23" s="74">
        <v>546415805</v>
      </c>
      <c r="J23" s="237">
        <f>J22</f>
        <v>-1.89E-3</v>
      </c>
      <c r="K23" s="195">
        <f t="shared" si="4"/>
        <v>1.6922650680710203E-4</v>
      </c>
      <c r="L23" s="56">
        <f t="shared" si="5"/>
        <v>-14640172.553160001</v>
      </c>
      <c r="M23" s="56">
        <f t="shared" si="6"/>
        <v>1310849.344034116</v>
      </c>
      <c r="N23" s="72">
        <f t="shared" si="7"/>
        <v>533086481.79087412</v>
      </c>
    </row>
    <row r="24" spans="2:14" x14ac:dyDescent="0.25">
      <c r="B24" s="49" t="s">
        <v>79</v>
      </c>
      <c r="C24" s="56">
        <v>-14895970</v>
      </c>
      <c r="D24" s="56">
        <f t="shared" si="2"/>
        <v>230207000.57551768</v>
      </c>
      <c r="E24" s="56">
        <f>D11*0.00225</f>
        <v>8287427.0786856143</v>
      </c>
      <c r="F24" s="72">
        <f t="shared" si="3"/>
        <v>238494427.6542033</v>
      </c>
      <c r="H24" s="73">
        <v>3693904815</v>
      </c>
      <c r="I24" s="74">
        <v>225537212</v>
      </c>
      <c r="J24" s="237">
        <v>-1.83E-3</v>
      </c>
      <c r="K24" s="195">
        <f t="shared" si="4"/>
        <v>1.6922650680710203E-4</v>
      </c>
      <c r="L24" s="56">
        <f t="shared" si="5"/>
        <v>-6759845.8114499999</v>
      </c>
      <c r="M24" s="56">
        <f t="shared" si="6"/>
        <v>625106.60832038452</v>
      </c>
      <c r="N24" s="72">
        <f t="shared" si="7"/>
        <v>219402472.79687038</v>
      </c>
    </row>
    <row r="25" spans="2:14" x14ac:dyDescent="0.25">
      <c r="B25" s="49" t="s">
        <v>81</v>
      </c>
      <c r="C25" s="56">
        <v>-13141909</v>
      </c>
      <c r="D25" s="56">
        <f t="shared" si="2"/>
        <v>202627204.9882344</v>
      </c>
      <c r="E25" s="56">
        <f>D12*0.00225</f>
        <v>8502566.4387860782</v>
      </c>
      <c r="F25" s="72">
        <f t="shared" si="3"/>
        <v>211129771.42702049</v>
      </c>
      <c r="H25" s="73">
        <v>3733950179</v>
      </c>
      <c r="I25" s="74">
        <v>197548178</v>
      </c>
      <c r="J25" s="237">
        <f>J24</f>
        <v>-1.83E-3</v>
      </c>
      <c r="K25" s="195">
        <f t="shared" si="4"/>
        <v>1.6922650680710203E-4</v>
      </c>
      <c r="L25" s="56">
        <f t="shared" si="5"/>
        <v>-6833128.8275699997</v>
      </c>
      <c r="M25" s="56">
        <f t="shared" si="6"/>
        <v>631883.34538392338</v>
      </c>
      <c r="N25" s="72">
        <f t="shared" si="7"/>
        <v>191346932.51781392</v>
      </c>
    </row>
    <row r="26" spans="2:14" x14ac:dyDescent="0.25">
      <c r="B26" s="49" t="s">
        <v>83</v>
      </c>
      <c r="C26" s="56">
        <v>-2327399</v>
      </c>
      <c r="D26" s="56">
        <f t="shared" si="2"/>
        <v>35833434.115842789</v>
      </c>
      <c r="E26" s="56">
        <f>D13*0.00231</f>
        <v>324422.02716</v>
      </c>
      <c r="F26" s="72">
        <f t="shared" si="3"/>
        <v>36157856.143002786</v>
      </c>
      <c r="H26" s="73">
        <v>112118692</v>
      </c>
      <c r="I26" s="74">
        <v>35839735</v>
      </c>
      <c r="J26" s="237">
        <f>J21</f>
        <v>-1.89E-3</v>
      </c>
      <c r="K26" s="195">
        <f t="shared" si="4"/>
        <v>1.6922650680710203E-4</v>
      </c>
      <c r="L26" s="56">
        <f t="shared" si="5"/>
        <v>-211904.32788</v>
      </c>
      <c r="M26" s="56">
        <f t="shared" si="6"/>
        <v>18973.454594941377</v>
      </c>
      <c r="N26" s="72">
        <f t="shared" si="7"/>
        <v>35646804.126714937</v>
      </c>
    </row>
    <row r="27" spans="2:14" x14ac:dyDescent="0.25">
      <c r="B27" s="49" t="s">
        <v>85</v>
      </c>
      <c r="C27" s="56">
        <v>-240063</v>
      </c>
      <c r="D27" s="56">
        <f t="shared" si="2"/>
        <v>3695344.4222543421</v>
      </c>
      <c r="E27" s="56">
        <f>D14*0.00231</f>
        <v>175901.60973</v>
      </c>
      <c r="F27" s="72">
        <f t="shared" si="3"/>
        <v>3871246.0319843423</v>
      </c>
      <c r="H27" s="73">
        <v>62149906.5</v>
      </c>
      <c r="I27" s="74">
        <v>3224070</v>
      </c>
      <c r="J27" s="237">
        <f>J26</f>
        <v>-1.89E-3</v>
      </c>
      <c r="K27" s="195">
        <f t="shared" si="4"/>
        <v>1.6922650680710203E-4</v>
      </c>
      <c r="L27" s="56">
        <f t="shared" si="5"/>
        <v>-117463.32328499999</v>
      </c>
      <c r="M27" s="56">
        <f t="shared" si="6"/>
        <v>10517.411575383005</v>
      </c>
      <c r="N27" s="72">
        <f t="shared" si="7"/>
        <v>3117124.0882903831</v>
      </c>
    </row>
    <row r="28" spans="2:14" x14ac:dyDescent="0.25">
      <c r="B28" s="49" t="s">
        <v>86</v>
      </c>
      <c r="C28" s="56">
        <v>-4868</v>
      </c>
      <c r="D28" s="56">
        <f t="shared" si="2"/>
        <v>74959.129125472435</v>
      </c>
      <c r="E28" s="56">
        <v>0</v>
      </c>
      <c r="F28" s="72">
        <f t="shared" si="3"/>
        <v>74959.129125472435</v>
      </c>
      <c r="H28" s="73">
        <v>776456.5</v>
      </c>
      <c r="I28" s="74">
        <v>74966</v>
      </c>
      <c r="J28" s="237">
        <f>J27</f>
        <v>-1.89E-3</v>
      </c>
      <c r="K28" s="195">
        <f t="shared" si="4"/>
        <v>1.6922650680710203E-4</v>
      </c>
      <c r="L28" s="56">
        <f t="shared" si="5"/>
        <v>-1467.5027849999999</v>
      </c>
      <c r="M28" s="56">
        <f t="shared" si="6"/>
        <v>131.39702118266862</v>
      </c>
      <c r="N28" s="72">
        <f t="shared" si="7"/>
        <v>73629.894236182663</v>
      </c>
    </row>
    <row r="29" spans="2:14" x14ac:dyDescent="0.25">
      <c r="B29" s="49" t="s">
        <v>88</v>
      </c>
      <c r="C29" s="56">
        <f>SUM(C21:C28)</f>
        <v>-166524911</v>
      </c>
      <c r="D29" s="56">
        <f>SUM(D21:D28)</f>
        <v>2571558670.1177878</v>
      </c>
      <c r="E29" s="56">
        <f>SUM(E21:E28)</f>
        <v>73094922.029583171</v>
      </c>
      <c r="F29" s="72">
        <f>SUM(F21:F28)</f>
        <v>2644653592.1473708</v>
      </c>
      <c r="H29" s="75">
        <f>SUM(H21:H28)</f>
        <v>31709971716</v>
      </c>
      <c r="I29" s="57">
        <f>SUM(I21:I28)</f>
        <v>2549668419</v>
      </c>
      <c r="J29" s="53"/>
      <c r="K29" s="53"/>
      <c r="L29" s="56">
        <f>SUM(L21:L28)</f>
        <v>-59486175.243599989</v>
      </c>
      <c r="M29" s="56">
        <f>SUM(M21:M28)</f>
        <v>5366167.7444506874</v>
      </c>
      <c r="N29" s="72">
        <f>SUM(N21:N28)</f>
        <v>2495548411.5008502</v>
      </c>
    </row>
    <row r="30" spans="2:14" ht="15.75" thickBot="1" x14ac:dyDescent="0.3">
      <c r="B30" s="64"/>
      <c r="C30" s="65" t="s">
        <v>65</v>
      </c>
      <c r="D30" s="66">
        <f>D29/D16</f>
        <v>8.0771812080612057E-2</v>
      </c>
      <c r="E30" s="67" t="s">
        <v>63</v>
      </c>
      <c r="F30" s="76">
        <f>F29/D16</f>
        <v>8.3067699541717527E-2</v>
      </c>
      <c r="H30" s="77" t="s">
        <v>100</v>
      </c>
      <c r="I30" s="66">
        <f>I29/$H$29</f>
        <v>8.0405887518136945E-2</v>
      </c>
      <c r="J30" s="78"/>
      <c r="K30" s="79" t="s">
        <v>100</v>
      </c>
      <c r="L30" s="80">
        <f>L29/$H$29</f>
        <v>-1.8759453895565875E-3</v>
      </c>
      <c r="M30" s="66">
        <f>M29/$H$29</f>
        <v>1.6922650680710206E-4</v>
      </c>
      <c r="N30" s="81">
        <f>N29/$H$29</f>
        <v>7.8699168635387451E-2</v>
      </c>
    </row>
  </sheetData>
  <mergeCells count="8">
    <mergeCell ref="B19:F19"/>
    <mergeCell ref="H19:N19"/>
    <mergeCell ref="B2:F2"/>
    <mergeCell ref="H2:N2"/>
    <mergeCell ref="D3:E3"/>
    <mergeCell ref="D4:E4"/>
    <mergeCell ref="B6:F6"/>
    <mergeCell ref="I15:J15"/>
  </mergeCells>
  <pageMargins left="0.7" right="0.7" top="0.75" bottom="0.75" header="0.3" footer="0.3"/>
  <pageSetup scale="75" fitToHeight="2" orientation="landscape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Q48"/>
  <sheetViews>
    <sheetView workbookViewId="0">
      <selection activeCell="G6" sqref="G6"/>
    </sheetView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1.7109375" bestFit="1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EB41</f>
        <v>0</v>
      </c>
      <c r="EI2" s="91">
        <f>EG40</f>
        <v>0</v>
      </c>
      <c r="EM2" s="91"/>
      <c r="EN2" s="91">
        <f>EK41</f>
        <v>0</v>
      </c>
      <c r="EO2" s="84">
        <v>0</v>
      </c>
      <c r="EP2" s="84">
        <f>EN2+EO2</f>
        <v>0</v>
      </c>
      <c r="EQ2" s="84">
        <f>EE2+EO2</f>
        <v>0</v>
      </c>
    </row>
    <row r="3" spans="1:147" ht="16.5" thickTop="1" x14ac:dyDescent="0.25">
      <c r="A3" s="92" t="s">
        <v>182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AVERAGE(EB11:EB41)</f>
        <v>34678225.806451611</v>
      </c>
      <c r="EI3" s="91">
        <f>AVERAGE(EG11:EG40)</f>
        <v>0</v>
      </c>
      <c r="EM3" s="91"/>
      <c r="EN3" s="91">
        <f>AVERAGE(EK11:EK41)</f>
        <v>34678225.806451611</v>
      </c>
    </row>
    <row r="4" spans="1:147" x14ac:dyDescent="0.25">
      <c r="D4" s="37"/>
      <c r="E4" s="99" t="s">
        <v>114</v>
      </c>
      <c r="F4" s="91"/>
      <c r="G4" s="100">
        <f>EQ2</f>
        <v>0</v>
      </c>
      <c r="AI4" s="101" t="s">
        <v>117</v>
      </c>
      <c r="EB4" s="37" t="s">
        <v>118</v>
      </c>
      <c r="EC4" s="37"/>
      <c r="ED4" s="98"/>
      <c r="EE4" s="98">
        <f>IF(EE3=0,0,360*(AVERAGE(ED11:ED41)/EE3))</f>
        <v>2.3511902048789564E-2</v>
      </c>
      <c r="EI4" s="98">
        <f>IF(EI3=0,0,360*(AVERAGE(EH11:EH40)/EI3))</f>
        <v>0</v>
      </c>
      <c r="EM4" s="98"/>
      <c r="EN4" s="98">
        <f>IF(EN3=0,0,360*(AVERAGE(EM11:EM41)/EN3))</f>
        <v>2.3511902048789564E-2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34678225.806451611</v>
      </c>
      <c r="AI5" s="104" t="s">
        <v>109</v>
      </c>
      <c r="EB5" s="105" t="s">
        <v>120</v>
      </c>
      <c r="EC5" s="105"/>
      <c r="ED5" s="91"/>
      <c r="EE5" s="91">
        <f>MAX(EB11:EB41)</f>
        <v>116325000</v>
      </c>
      <c r="EI5" s="91">
        <f>MAX(EG11:EG40)</f>
        <v>0</v>
      </c>
      <c r="EM5" s="91"/>
      <c r="EN5" s="91">
        <f>MAX(EK11:EK41)</f>
        <v>116325000</v>
      </c>
    </row>
    <row r="6" spans="1:147" x14ac:dyDescent="0.25">
      <c r="D6" s="37"/>
      <c r="E6" s="99" t="s">
        <v>118</v>
      </c>
      <c r="F6" s="91"/>
      <c r="G6" s="106">
        <f>EE4</f>
        <v>2.3511902048789564E-2</v>
      </c>
    </row>
    <row r="7" spans="1:147" ht="16.5" thickBot="1" x14ac:dyDescent="0.3">
      <c r="D7" s="37"/>
      <c r="E7" s="107" t="s">
        <v>120</v>
      </c>
      <c r="F7" s="108"/>
      <c r="G7" s="109">
        <f>EE5</f>
        <v>116325000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43678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(AC11*AD11)/'[11]Input Sheet'!$B$11</f>
        <v>0</v>
      </c>
      <c r="AH11" s="93">
        <f>(AF11*AG11)/'[11]Input Sheet'!$B$11</f>
        <v>0</v>
      </c>
      <c r="AI11" s="124">
        <f>86325000</f>
        <v>86325000</v>
      </c>
      <c r="AJ11" s="125">
        <v>2.3E-2</v>
      </c>
      <c r="AK11" s="93">
        <f>(AI11*AJ11)/360</f>
        <v>5515.208333333333</v>
      </c>
      <c r="AL11" s="124">
        <f t="shared" ref="AL11:AL16" si="0">30000000</f>
        <v>30000000</v>
      </c>
      <c r="AM11" s="125">
        <v>2.63E-2</v>
      </c>
      <c r="AN11" s="93">
        <f>(AL11*AM11)/360</f>
        <v>2191.6666666666665</v>
      </c>
      <c r="AO11" s="124"/>
      <c r="AP11" s="125"/>
      <c r="AQ11" s="93">
        <f>(AO11*AP11)/360</f>
        <v>0</v>
      </c>
      <c r="AR11" s="124"/>
      <c r="AS11" s="125"/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116325000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7706.875</v>
      </c>
      <c r="EE11" s="94">
        <f>IF(EB11&lt;&gt;0,((ED11/EB11)*360),0)</f>
        <v>2.3851063829787234E-2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116325000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7706.875</v>
      </c>
      <c r="EN11" s="94">
        <f>IF(EK11&lt;&gt;0,((EM11/EK11)*360),0)</f>
        <v>2.3851063829787234E-2</v>
      </c>
      <c r="EP11" s="93"/>
    </row>
    <row r="12" spans="1:147" x14ac:dyDescent="0.25">
      <c r="A12" s="39">
        <f>1+A11</f>
        <v>43679</v>
      </c>
      <c r="D12" s="93">
        <f t="shared" ref="D12:D41" si="1">(B12*C12)/360</f>
        <v>0</v>
      </c>
      <c r="G12" s="93">
        <f t="shared" ref="G12:G41" si="2">(E12*F12)/360</f>
        <v>0</v>
      </c>
      <c r="J12" s="93">
        <f t="shared" ref="J12:J41" si="3">(H12*I12)/360</f>
        <v>0</v>
      </c>
      <c r="M12" s="93">
        <f t="shared" ref="M12:M41" si="4">(K12*L12)/360</f>
        <v>0</v>
      </c>
      <c r="P12" s="93">
        <f t="shared" ref="P12:P41" si="5">(N12*O12)/360</f>
        <v>0</v>
      </c>
      <c r="S12" s="93">
        <f t="shared" ref="S12:S41" si="6">(Q12*R12)/360</f>
        <v>0</v>
      </c>
      <c r="V12" s="93">
        <f t="shared" ref="V12:V41" si="7">(T12*U12)/360</f>
        <v>0</v>
      </c>
      <c r="Y12" s="93">
        <f t="shared" ref="Y12:Y41" si="8">(W12*X12)/360</f>
        <v>0</v>
      </c>
      <c r="AB12" s="93">
        <f t="shared" ref="AB12:AB41" si="9">(Z12*AA12)/360</f>
        <v>0</v>
      </c>
      <c r="AE12" s="93">
        <f>(AC12*AD12)/'[11]Input Sheet'!$B$11</f>
        <v>0</v>
      </c>
      <c r="AH12" s="93">
        <f>(AF12*AG12)/'[11]Input Sheet'!$B$11</f>
        <v>0</v>
      </c>
      <c r="AI12" s="124">
        <f>81125000</f>
        <v>81125000</v>
      </c>
      <c r="AJ12" s="125">
        <v>2.3E-2</v>
      </c>
      <c r="AK12" s="93">
        <f t="shared" ref="AK12:AK41" si="10">(AI12*AJ12)/360</f>
        <v>5182.9861111111113</v>
      </c>
      <c r="AL12" s="124">
        <f t="shared" si="0"/>
        <v>30000000</v>
      </c>
      <c r="AM12" s="125">
        <v>2.63E-2</v>
      </c>
      <c r="AN12" s="93">
        <f t="shared" ref="AN12:AN41" si="11">(AL12*AM12)/360</f>
        <v>2191.6666666666665</v>
      </c>
      <c r="AO12" s="124"/>
      <c r="AP12" s="125"/>
      <c r="AQ12" s="93">
        <f t="shared" ref="AQ12:AQ41" si="12">(AO12*AP12)/360</f>
        <v>0</v>
      </c>
      <c r="AR12" s="124"/>
      <c r="AS12" s="125"/>
      <c r="AT12" s="93">
        <f t="shared" ref="AT12:AT41" si="13">(AR12*AS12)/360</f>
        <v>0</v>
      </c>
      <c r="AW12" s="93">
        <f t="shared" ref="AW12:AW41" si="14">(AU12*AV12)/360</f>
        <v>0</v>
      </c>
      <c r="AZ12" s="93">
        <f t="shared" ref="AZ12:AZ41" si="15">(AX12*AY12)/360</f>
        <v>0</v>
      </c>
      <c r="BC12" s="93">
        <f t="shared" ref="BC12:BC41" si="16">(BA12*BB12)/360</f>
        <v>0</v>
      </c>
      <c r="BF12" s="93">
        <f t="shared" ref="BF12:BF41" si="17">(BD12*BE12)/360</f>
        <v>0</v>
      </c>
      <c r="BI12" s="93">
        <f t="shared" ref="BI12:BI41" si="18">(BG12*BH12)/360</f>
        <v>0</v>
      </c>
      <c r="BL12" s="93">
        <f t="shared" ref="BL12:BL41" si="19">(BJ12*BK12)/360</f>
        <v>0</v>
      </c>
      <c r="BO12" s="93">
        <f t="shared" ref="BO12:BO41" si="20">(BM12*BN12)/360</f>
        <v>0</v>
      </c>
      <c r="BR12" s="93">
        <f t="shared" ref="BR12:BR41" si="21">(BP12*BQ12)/360</f>
        <v>0</v>
      </c>
      <c r="BU12" s="93">
        <f t="shared" ref="BU12:BU41" si="22">(BS12*BT12)/360</f>
        <v>0</v>
      </c>
      <c r="BX12" s="93">
        <f t="shared" ref="BX12:BX41" si="23">(BV12*BW12)/360</f>
        <v>0</v>
      </c>
      <c r="CA12" s="93">
        <f t="shared" ref="CA12:CA41" si="24">(BY12*BZ12)/360</f>
        <v>0</v>
      </c>
      <c r="CD12" s="93">
        <f t="shared" ref="CD12:CD41" si="25">(CB12*CC12)/360</f>
        <v>0</v>
      </c>
      <c r="CG12" s="93">
        <f t="shared" ref="CG12:CG41" si="26">(CE12*CF12)/360</f>
        <v>0</v>
      </c>
      <c r="CJ12" s="93">
        <f t="shared" ref="CJ12:CJ41" si="27">(CH12*CI12)/360</f>
        <v>0</v>
      </c>
      <c r="CM12" s="93">
        <f t="shared" ref="CM12:CM41" si="28">(CK12*CL12)/360</f>
        <v>0</v>
      </c>
      <c r="CP12" s="93">
        <f t="shared" ref="CP12:CP41" si="29">(CN12*CO12)/360</f>
        <v>0</v>
      </c>
      <c r="CS12" s="93">
        <f t="shared" ref="CS12:CS41" si="30">(CQ12*CR12)/360</f>
        <v>0</v>
      </c>
      <c r="CV12" s="93">
        <f t="shared" ref="CV12:CV41" si="31">(CT12*CU12)/360</f>
        <v>0</v>
      </c>
      <c r="CY12" s="93">
        <f t="shared" ref="CY12:CY41" si="32">(CW12*CX12)/360</f>
        <v>0</v>
      </c>
      <c r="DB12" s="93">
        <f t="shared" ref="DB12:DB41" si="33">(CZ12*DA12)/360</f>
        <v>0</v>
      </c>
      <c r="DE12" s="93">
        <f t="shared" ref="DE12:DE41" si="34">(DC12*DD12)/360</f>
        <v>0</v>
      </c>
      <c r="DH12" s="93">
        <f t="shared" ref="DH12:DH41" si="35">(DF12*DG12)/360</f>
        <v>0</v>
      </c>
      <c r="DK12" s="93">
        <f t="shared" ref="DK12:DK41" si="36">(DI12*DJ12)/360</f>
        <v>0</v>
      </c>
      <c r="DN12" s="93">
        <f t="shared" ref="DN12:DN41" si="37">(DL12*DM12)/360</f>
        <v>0</v>
      </c>
      <c r="DQ12" s="93">
        <f t="shared" ref="DQ12:DQ41" si="38">(DO12*DP12)/360</f>
        <v>0</v>
      </c>
      <c r="DT12" s="93">
        <f t="shared" ref="DT12:DT41" si="39">(DR12*DS12)/360</f>
        <v>0</v>
      </c>
      <c r="DW12" s="93">
        <f t="shared" ref="DW12:DW41" si="40">(DU12*DV12)/360</f>
        <v>0</v>
      </c>
      <c r="DZ12" s="93"/>
      <c r="EA12" s="93"/>
      <c r="EB12" s="126">
        <f t="shared" ref="EB12:EB41" si="41">B12+E12+H12+K12+N12+Q12+T12+W12+Z12+AC12+AF12+AL12+AO12+AR12+AU12+AX12+BA12+BD12+BG12+DU12+AI12+DR12+DO12+DL12+DI12+DF12+DC12+CZ12+CW12+CT12+CQ12+CN12+CK12+CH12+CE12+CB12+BY12+BV12+BS12+BP12+BM12+BJ12</f>
        <v>111125000</v>
      </c>
      <c r="EC12" s="126">
        <f t="shared" ref="EC12:EC41" si="42">EB12-EK12+EL12</f>
        <v>0</v>
      </c>
      <c r="ED12" s="93">
        <f t="shared" ref="ED12:ED41" si="43">D12+G12+J12+M12+P12+S12+V12+Y12+AB12+AE12+AH12+AK12+AN12+AQ12+AT12+AW12+AZ12+BC12+BF12+BI12+DW12+DT12+DQ12+DN12+DK12+DH12+DE12+DB12+CY12+CV12+CS12+CP12+CM12+CJ12+CG12+CD12+CA12+BX12+BU12+BR12+BO12+BL12</f>
        <v>7374.6527777777774</v>
      </c>
      <c r="EE12" s="94">
        <f t="shared" ref="EE12:EE41" si="44">IF(EB12&lt;&gt;0,((ED12/EB12)*360),0)</f>
        <v>2.3890888638920135E-2</v>
      </c>
      <c r="EG12" s="126">
        <f t="shared" ref="EG12:EG41" si="45">Q12+T12+W12+Z12+AC12+AF12</f>
        <v>0</v>
      </c>
      <c r="EH12" s="93">
        <f t="shared" ref="EH12:EH41" si="46">S12+V12+Y12+AB12+AE12+AH12</f>
        <v>0</v>
      </c>
      <c r="EI12" s="94">
        <f t="shared" ref="EI12:EI41" si="47">IF(EG12&lt;&gt;0,((EH12/EG12)*360),0)</f>
        <v>0</v>
      </c>
      <c r="EJ12" s="94"/>
      <c r="EK12" s="126">
        <f t="shared" ref="EK12:EK41" si="48">DR12+DL12+DI12+DF12+DC12+CZ12+CW12+CT12+CQ12+CN12+CK12+CH12+CE12+CB12+BY12+BV12+BS12+BP12+BM12+BJ12+BG12+BD12+BA12+AX12+AU12+AR12+AO12+AL12+AI12+DO12</f>
        <v>111125000</v>
      </c>
      <c r="EL12" s="126">
        <f t="shared" ref="EL12:EL41" si="49">DX12</f>
        <v>0</v>
      </c>
      <c r="EM12" s="126">
        <f t="shared" ref="EM12:EM41" si="50">DT12+DQ12+DN12+DK12+DH12+DE12+DB12+CY12+CV12+CS12+CP12+CM12+CJ12+CG12+CD12+CA12+BX12+BU12+BR12+BO12+BL12+BI12+BF12+BC12+AZ12+AW12+AT12+AQ12+AN12+AK12</f>
        <v>7374.6527777777774</v>
      </c>
      <c r="EN12" s="94">
        <f t="shared" ref="EN12:EN41" si="51">IF(EK12&lt;&gt;0,((EM12/EK12)*360),0)</f>
        <v>2.3890888638920135E-2</v>
      </c>
      <c r="EP12" s="93"/>
    </row>
    <row r="13" spans="1:147" x14ac:dyDescent="0.25">
      <c r="A13" s="39">
        <f t="shared" ref="A13:A41" si="52">1+A12</f>
        <v>43680</v>
      </c>
      <c r="D13" s="93">
        <f t="shared" si="1"/>
        <v>0</v>
      </c>
      <c r="G13" s="93">
        <f t="shared" si="2"/>
        <v>0</v>
      </c>
      <c r="J13" s="93">
        <f t="shared" si="3"/>
        <v>0</v>
      </c>
      <c r="M13" s="93">
        <f t="shared" si="4"/>
        <v>0</v>
      </c>
      <c r="P13" s="93">
        <f t="shared" si="5"/>
        <v>0</v>
      </c>
      <c r="S13" s="93">
        <f t="shared" si="6"/>
        <v>0</v>
      </c>
      <c r="V13" s="93">
        <f t="shared" si="7"/>
        <v>0</v>
      </c>
      <c r="Y13" s="93">
        <f t="shared" si="8"/>
        <v>0</v>
      </c>
      <c r="AB13" s="93">
        <f t="shared" si="9"/>
        <v>0</v>
      </c>
      <c r="AE13" s="93">
        <f>(AC13*AD13)/'[11]Input Sheet'!$B$11</f>
        <v>0</v>
      </c>
      <c r="AH13" s="93">
        <f>(AF13*AG13)/'[11]Input Sheet'!$B$11</f>
        <v>0</v>
      </c>
      <c r="AI13" s="124">
        <f>81125000</f>
        <v>81125000</v>
      </c>
      <c r="AJ13" s="125">
        <v>2.3E-2</v>
      </c>
      <c r="AK13" s="93">
        <f t="shared" si="10"/>
        <v>5182.9861111111113</v>
      </c>
      <c r="AL13" s="124">
        <f t="shared" si="0"/>
        <v>30000000</v>
      </c>
      <c r="AM13" s="125">
        <v>2.63E-2</v>
      </c>
      <c r="AN13" s="93">
        <f t="shared" si="11"/>
        <v>2191.6666666666665</v>
      </c>
      <c r="AO13" s="124"/>
      <c r="AP13" s="125"/>
      <c r="AQ13" s="93">
        <f t="shared" si="12"/>
        <v>0</v>
      </c>
      <c r="AR13" s="124"/>
      <c r="AS13" s="125"/>
      <c r="AT13" s="93">
        <f t="shared" si="13"/>
        <v>0</v>
      </c>
      <c r="AW13" s="93">
        <f t="shared" si="14"/>
        <v>0</v>
      </c>
      <c r="AZ13" s="93">
        <f t="shared" si="15"/>
        <v>0</v>
      </c>
      <c r="BC13" s="93">
        <f t="shared" si="16"/>
        <v>0</v>
      </c>
      <c r="BF13" s="93">
        <f t="shared" si="17"/>
        <v>0</v>
      </c>
      <c r="BI13" s="93">
        <f t="shared" si="18"/>
        <v>0</v>
      </c>
      <c r="BL13" s="93">
        <f t="shared" si="19"/>
        <v>0</v>
      </c>
      <c r="BO13" s="93">
        <f t="shared" si="20"/>
        <v>0</v>
      </c>
      <c r="BR13" s="93">
        <f t="shared" si="21"/>
        <v>0</v>
      </c>
      <c r="BU13" s="93">
        <f t="shared" si="22"/>
        <v>0</v>
      </c>
      <c r="BX13" s="93">
        <f t="shared" si="23"/>
        <v>0</v>
      </c>
      <c r="CA13" s="93">
        <f t="shared" si="24"/>
        <v>0</v>
      </c>
      <c r="CD13" s="93">
        <f t="shared" si="25"/>
        <v>0</v>
      </c>
      <c r="CG13" s="93">
        <f t="shared" si="26"/>
        <v>0</v>
      </c>
      <c r="CJ13" s="93">
        <f t="shared" si="27"/>
        <v>0</v>
      </c>
      <c r="CM13" s="93">
        <f t="shared" si="28"/>
        <v>0</v>
      </c>
      <c r="CP13" s="93">
        <f t="shared" si="29"/>
        <v>0</v>
      </c>
      <c r="CS13" s="93">
        <f t="shared" si="30"/>
        <v>0</v>
      </c>
      <c r="CV13" s="93">
        <f t="shared" si="31"/>
        <v>0</v>
      </c>
      <c r="CY13" s="93">
        <f t="shared" si="32"/>
        <v>0</v>
      </c>
      <c r="DB13" s="93">
        <f t="shared" si="33"/>
        <v>0</v>
      </c>
      <c r="DE13" s="93">
        <f t="shared" si="34"/>
        <v>0</v>
      </c>
      <c r="DH13" s="93">
        <f t="shared" si="35"/>
        <v>0</v>
      </c>
      <c r="DK13" s="93">
        <f t="shared" si="36"/>
        <v>0</v>
      </c>
      <c r="DN13" s="93">
        <f t="shared" si="37"/>
        <v>0</v>
      </c>
      <c r="DQ13" s="93">
        <f t="shared" si="38"/>
        <v>0</v>
      </c>
      <c r="DT13" s="93">
        <f t="shared" si="39"/>
        <v>0</v>
      </c>
      <c r="DW13" s="93">
        <f t="shared" si="40"/>
        <v>0</v>
      </c>
      <c r="DZ13" s="93"/>
      <c r="EA13" s="93"/>
      <c r="EB13" s="126">
        <f t="shared" si="41"/>
        <v>111125000</v>
      </c>
      <c r="EC13" s="126">
        <f t="shared" si="42"/>
        <v>0</v>
      </c>
      <c r="ED13" s="93">
        <f t="shared" si="43"/>
        <v>7374.6527777777774</v>
      </c>
      <c r="EE13" s="94">
        <f t="shared" si="44"/>
        <v>2.3890888638920135E-2</v>
      </c>
      <c r="EG13" s="126">
        <f t="shared" si="45"/>
        <v>0</v>
      </c>
      <c r="EH13" s="93">
        <f t="shared" si="46"/>
        <v>0</v>
      </c>
      <c r="EI13" s="94">
        <f t="shared" si="47"/>
        <v>0</v>
      </c>
      <c r="EJ13" s="94"/>
      <c r="EK13" s="126">
        <f t="shared" si="48"/>
        <v>111125000</v>
      </c>
      <c r="EL13" s="126">
        <f t="shared" si="49"/>
        <v>0</v>
      </c>
      <c r="EM13" s="126">
        <f t="shared" si="50"/>
        <v>7374.6527777777774</v>
      </c>
      <c r="EN13" s="94">
        <f t="shared" si="51"/>
        <v>2.3890888638920135E-2</v>
      </c>
      <c r="EP13" s="93"/>
    </row>
    <row r="14" spans="1:147" x14ac:dyDescent="0.25">
      <c r="A14" s="39">
        <f t="shared" si="52"/>
        <v>43681</v>
      </c>
      <c r="D14" s="93">
        <f t="shared" si="1"/>
        <v>0</v>
      </c>
      <c r="G14" s="93">
        <f t="shared" si="2"/>
        <v>0</v>
      </c>
      <c r="J14" s="93">
        <f t="shared" si="3"/>
        <v>0</v>
      </c>
      <c r="M14" s="93">
        <f t="shared" si="4"/>
        <v>0</v>
      </c>
      <c r="P14" s="93">
        <f t="shared" si="5"/>
        <v>0</v>
      </c>
      <c r="S14" s="93">
        <f t="shared" si="6"/>
        <v>0</v>
      </c>
      <c r="V14" s="93">
        <f t="shared" si="7"/>
        <v>0</v>
      </c>
      <c r="Y14" s="93">
        <f t="shared" si="8"/>
        <v>0</v>
      </c>
      <c r="AB14" s="93">
        <f t="shared" si="9"/>
        <v>0</v>
      </c>
      <c r="AE14" s="93">
        <f>(AC14*AD14)/'[11]Input Sheet'!$B$11</f>
        <v>0</v>
      </c>
      <c r="AH14" s="93">
        <f>(AF14*AG14)/'[11]Input Sheet'!$B$11</f>
        <v>0</v>
      </c>
      <c r="AI14" s="124">
        <f>81125000</f>
        <v>81125000</v>
      </c>
      <c r="AJ14" s="125">
        <v>2.3E-2</v>
      </c>
      <c r="AK14" s="93">
        <f t="shared" si="10"/>
        <v>5182.9861111111113</v>
      </c>
      <c r="AL14" s="124">
        <f t="shared" si="0"/>
        <v>30000000</v>
      </c>
      <c r="AM14" s="125">
        <v>2.63E-2</v>
      </c>
      <c r="AN14" s="93">
        <f t="shared" si="11"/>
        <v>2191.6666666666665</v>
      </c>
      <c r="AO14" s="124"/>
      <c r="AP14" s="125"/>
      <c r="AQ14" s="93">
        <f t="shared" si="12"/>
        <v>0</v>
      </c>
      <c r="AR14" s="124"/>
      <c r="AS14" s="125"/>
      <c r="AT14" s="93">
        <f t="shared" si="13"/>
        <v>0</v>
      </c>
      <c r="AW14" s="93">
        <f t="shared" si="14"/>
        <v>0</v>
      </c>
      <c r="AZ14" s="93">
        <f t="shared" si="15"/>
        <v>0</v>
      </c>
      <c r="BC14" s="93">
        <f t="shared" si="16"/>
        <v>0</v>
      </c>
      <c r="BF14" s="93">
        <f t="shared" si="17"/>
        <v>0</v>
      </c>
      <c r="BI14" s="93">
        <f t="shared" si="18"/>
        <v>0</v>
      </c>
      <c r="BL14" s="93">
        <f t="shared" si="19"/>
        <v>0</v>
      </c>
      <c r="BO14" s="93">
        <f t="shared" si="20"/>
        <v>0</v>
      </c>
      <c r="BR14" s="93">
        <f t="shared" si="21"/>
        <v>0</v>
      </c>
      <c r="BU14" s="93">
        <f t="shared" si="22"/>
        <v>0</v>
      </c>
      <c r="BX14" s="93">
        <f t="shared" si="23"/>
        <v>0</v>
      </c>
      <c r="CA14" s="93">
        <f t="shared" si="24"/>
        <v>0</v>
      </c>
      <c r="CD14" s="93">
        <f t="shared" si="25"/>
        <v>0</v>
      </c>
      <c r="CG14" s="93">
        <f t="shared" si="26"/>
        <v>0</v>
      </c>
      <c r="CJ14" s="93">
        <f t="shared" si="27"/>
        <v>0</v>
      </c>
      <c r="CM14" s="93">
        <f t="shared" si="28"/>
        <v>0</v>
      </c>
      <c r="CP14" s="93">
        <f t="shared" si="29"/>
        <v>0</v>
      </c>
      <c r="CS14" s="93">
        <f t="shared" si="30"/>
        <v>0</v>
      </c>
      <c r="CV14" s="93">
        <f t="shared" si="31"/>
        <v>0</v>
      </c>
      <c r="CY14" s="93">
        <f t="shared" si="32"/>
        <v>0</v>
      </c>
      <c r="DB14" s="93">
        <f t="shared" si="33"/>
        <v>0</v>
      </c>
      <c r="DE14" s="93">
        <f t="shared" si="34"/>
        <v>0</v>
      </c>
      <c r="DH14" s="93">
        <f t="shared" si="35"/>
        <v>0</v>
      </c>
      <c r="DK14" s="93">
        <f t="shared" si="36"/>
        <v>0</v>
      </c>
      <c r="DN14" s="93">
        <f t="shared" si="37"/>
        <v>0</v>
      </c>
      <c r="DQ14" s="93">
        <f t="shared" si="38"/>
        <v>0</v>
      </c>
      <c r="DT14" s="93">
        <f t="shared" si="39"/>
        <v>0</v>
      </c>
      <c r="DW14" s="93">
        <f t="shared" si="40"/>
        <v>0</v>
      </c>
      <c r="DZ14" s="93"/>
      <c r="EA14" s="93"/>
      <c r="EB14" s="126">
        <f t="shared" si="41"/>
        <v>111125000</v>
      </c>
      <c r="EC14" s="126">
        <f t="shared" si="42"/>
        <v>0</v>
      </c>
      <c r="ED14" s="93">
        <f t="shared" si="43"/>
        <v>7374.6527777777774</v>
      </c>
      <c r="EE14" s="94">
        <f t="shared" si="44"/>
        <v>2.3890888638920135E-2</v>
      </c>
      <c r="EG14" s="126">
        <f t="shared" si="45"/>
        <v>0</v>
      </c>
      <c r="EH14" s="93">
        <f t="shared" si="46"/>
        <v>0</v>
      </c>
      <c r="EI14" s="94">
        <f t="shared" si="47"/>
        <v>0</v>
      </c>
      <c r="EJ14" s="94"/>
      <c r="EK14" s="126">
        <f t="shared" si="48"/>
        <v>111125000</v>
      </c>
      <c r="EL14" s="126">
        <f t="shared" si="49"/>
        <v>0</v>
      </c>
      <c r="EM14" s="126">
        <f t="shared" si="50"/>
        <v>7374.6527777777774</v>
      </c>
      <c r="EN14" s="94">
        <f t="shared" si="51"/>
        <v>2.3890888638920135E-2</v>
      </c>
      <c r="EP14" s="93"/>
    </row>
    <row r="15" spans="1:147" x14ac:dyDescent="0.25">
      <c r="A15" s="39">
        <f t="shared" si="52"/>
        <v>43682</v>
      </c>
      <c r="D15" s="93">
        <f t="shared" si="1"/>
        <v>0</v>
      </c>
      <c r="G15" s="93">
        <f t="shared" si="2"/>
        <v>0</v>
      </c>
      <c r="J15" s="93">
        <f t="shared" si="3"/>
        <v>0</v>
      </c>
      <c r="M15" s="93">
        <f t="shared" si="4"/>
        <v>0</v>
      </c>
      <c r="P15" s="93">
        <f t="shared" si="5"/>
        <v>0</v>
      </c>
      <c r="S15" s="93">
        <f t="shared" si="6"/>
        <v>0</v>
      </c>
      <c r="V15" s="93">
        <f t="shared" si="7"/>
        <v>0</v>
      </c>
      <c r="Y15" s="93">
        <f t="shared" si="8"/>
        <v>0</v>
      </c>
      <c r="AB15" s="93">
        <f t="shared" si="9"/>
        <v>0</v>
      </c>
      <c r="AE15" s="93">
        <f>(AC15*AD15)/'[11]Input Sheet'!$B$11</f>
        <v>0</v>
      </c>
      <c r="AH15" s="93">
        <f>(AF15*AG15)/'[11]Input Sheet'!$B$11</f>
        <v>0</v>
      </c>
      <c r="AI15" s="124">
        <f>73600000</f>
        <v>73600000</v>
      </c>
      <c r="AJ15" s="125">
        <v>2.3E-2</v>
      </c>
      <c r="AK15" s="93">
        <f t="shared" si="10"/>
        <v>4702.2222222222226</v>
      </c>
      <c r="AL15" s="124">
        <f t="shared" si="0"/>
        <v>30000000</v>
      </c>
      <c r="AM15" s="125">
        <v>2.63E-2</v>
      </c>
      <c r="AN15" s="93">
        <f t="shared" si="11"/>
        <v>2191.6666666666665</v>
      </c>
      <c r="AO15" s="124"/>
      <c r="AP15" s="125"/>
      <c r="AQ15" s="93">
        <f t="shared" si="12"/>
        <v>0</v>
      </c>
      <c r="AR15" s="124"/>
      <c r="AS15" s="125"/>
      <c r="AT15" s="93">
        <f t="shared" si="13"/>
        <v>0</v>
      </c>
      <c r="AW15" s="93">
        <f t="shared" si="14"/>
        <v>0</v>
      </c>
      <c r="AZ15" s="93">
        <f t="shared" si="15"/>
        <v>0</v>
      </c>
      <c r="BC15" s="93">
        <f t="shared" si="16"/>
        <v>0</v>
      </c>
      <c r="BF15" s="93">
        <f t="shared" si="17"/>
        <v>0</v>
      </c>
      <c r="BI15" s="93">
        <f t="shared" si="18"/>
        <v>0</v>
      </c>
      <c r="BL15" s="93">
        <f t="shared" si="19"/>
        <v>0</v>
      </c>
      <c r="BO15" s="93">
        <f t="shared" si="20"/>
        <v>0</v>
      </c>
      <c r="BR15" s="93">
        <f t="shared" si="21"/>
        <v>0</v>
      </c>
      <c r="BU15" s="93">
        <f t="shared" si="22"/>
        <v>0</v>
      </c>
      <c r="BX15" s="93">
        <f t="shared" si="23"/>
        <v>0</v>
      </c>
      <c r="CA15" s="93">
        <f t="shared" si="24"/>
        <v>0</v>
      </c>
      <c r="CD15" s="93">
        <f t="shared" si="25"/>
        <v>0</v>
      </c>
      <c r="CG15" s="93">
        <f t="shared" si="26"/>
        <v>0</v>
      </c>
      <c r="CJ15" s="93">
        <f t="shared" si="27"/>
        <v>0</v>
      </c>
      <c r="CM15" s="93">
        <f t="shared" si="28"/>
        <v>0</v>
      </c>
      <c r="CP15" s="93">
        <f t="shared" si="29"/>
        <v>0</v>
      </c>
      <c r="CS15" s="93">
        <f t="shared" si="30"/>
        <v>0</v>
      </c>
      <c r="CV15" s="93">
        <f t="shared" si="31"/>
        <v>0</v>
      </c>
      <c r="CY15" s="93">
        <f t="shared" si="32"/>
        <v>0</v>
      </c>
      <c r="DB15" s="93">
        <f t="shared" si="33"/>
        <v>0</v>
      </c>
      <c r="DE15" s="93">
        <f t="shared" si="34"/>
        <v>0</v>
      </c>
      <c r="DH15" s="93">
        <f t="shared" si="35"/>
        <v>0</v>
      </c>
      <c r="DK15" s="93">
        <f t="shared" si="36"/>
        <v>0</v>
      </c>
      <c r="DN15" s="93">
        <f t="shared" si="37"/>
        <v>0</v>
      </c>
      <c r="DQ15" s="93">
        <f t="shared" si="38"/>
        <v>0</v>
      </c>
      <c r="DT15" s="93">
        <f t="shared" si="39"/>
        <v>0</v>
      </c>
      <c r="DW15" s="93">
        <f t="shared" si="40"/>
        <v>0</v>
      </c>
      <c r="DZ15" s="93"/>
      <c r="EA15" s="93"/>
      <c r="EB15" s="126">
        <f t="shared" si="41"/>
        <v>103600000</v>
      </c>
      <c r="EC15" s="126">
        <f t="shared" si="42"/>
        <v>0</v>
      </c>
      <c r="ED15" s="93">
        <f t="shared" si="43"/>
        <v>6893.8888888888887</v>
      </c>
      <c r="EE15" s="94">
        <f t="shared" si="44"/>
        <v>2.3955598455598456E-2</v>
      </c>
      <c r="EG15" s="126">
        <f t="shared" si="45"/>
        <v>0</v>
      </c>
      <c r="EH15" s="93">
        <f t="shared" si="46"/>
        <v>0</v>
      </c>
      <c r="EI15" s="94">
        <f t="shared" si="47"/>
        <v>0</v>
      </c>
      <c r="EJ15" s="94"/>
      <c r="EK15" s="126">
        <f t="shared" si="48"/>
        <v>103600000</v>
      </c>
      <c r="EL15" s="126">
        <f t="shared" si="49"/>
        <v>0</v>
      </c>
      <c r="EM15" s="126">
        <f t="shared" si="50"/>
        <v>6893.8888888888887</v>
      </c>
      <c r="EN15" s="94">
        <f t="shared" si="51"/>
        <v>2.3955598455598456E-2</v>
      </c>
      <c r="EP15" s="93"/>
    </row>
    <row r="16" spans="1:147" x14ac:dyDescent="0.25">
      <c r="A16" s="39">
        <f t="shared" si="52"/>
        <v>43683</v>
      </c>
      <c r="D16" s="93">
        <f t="shared" si="1"/>
        <v>0</v>
      </c>
      <c r="G16" s="93">
        <f t="shared" si="2"/>
        <v>0</v>
      </c>
      <c r="J16" s="93">
        <f t="shared" si="3"/>
        <v>0</v>
      </c>
      <c r="M16" s="93">
        <f t="shared" si="4"/>
        <v>0</v>
      </c>
      <c r="P16" s="93">
        <f t="shared" si="5"/>
        <v>0</v>
      </c>
      <c r="S16" s="93">
        <f t="shared" si="6"/>
        <v>0</v>
      </c>
      <c r="V16" s="93">
        <f t="shared" si="7"/>
        <v>0</v>
      </c>
      <c r="Y16" s="93">
        <f t="shared" si="8"/>
        <v>0</v>
      </c>
      <c r="AB16" s="93">
        <f t="shared" si="9"/>
        <v>0</v>
      </c>
      <c r="AE16" s="93">
        <f>(AC16*AD16)/'[11]Input Sheet'!$B$11</f>
        <v>0</v>
      </c>
      <c r="AH16" s="93">
        <f>(AF16*AG16)/'[11]Input Sheet'!$B$11</f>
        <v>0</v>
      </c>
      <c r="AI16" s="124">
        <f>54800000</f>
        <v>54800000</v>
      </c>
      <c r="AJ16" s="125">
        <v>2.3E-2</v>
      </c>
      <c r="AK16" s="93">
        <f t="shared" si="10"/>
        <v>3501.1111111111113</v>
      </c>
      <c r="AL16" s="124">
        <f t="shared" si="0"/>
        <v>30000000</v>
      </c>
      <c r="AM16" s="125">
        <v>2.63E-2</v>
      </c>
      <c r="AN16" s="93">
        <f t="shared" si="11"/>
        <v>2191.6666666666665</v>
      </c>
      <c r="AO16" s="124"/>
      <c r="AP16" s="125"/>
      <c r="AQ16" s="93">
        <f t="shared" si="12"/>
        <v>0</v>
      </c>
      <c r="AR16" s="124"/>
      <c r="AS16" s="125"/>
      <c r="AT16" s="93">
        <f t="shared" si="13"/>
        <v>0</v>
      </c>
      <c r="AW16" s="93">
        <f t="shared" si="14"/>
        <v>0</v>
      </c>
      <c r="AZ16" s="93">
        <f t="shared" si="15"/>
        <v>0</v>
      </c>
      <c r="BC16" s="93">
        <f t="shared" si="16"/>
        <v>0</v>
      </c>
      <c r="BF16" s="93">
        <f t="shared" si="17"/>
        <v>0</v>
      </c>
      <c r="BI16" s="93">
        <f t="shared" si="18"/>
        <v>0</v>
      </c>
      <c r="BL16" s="93">
        <f t="shared" si="19"/>
        <v>0</v>
      </c>
      <c r="BO16" s="93">
        <f t="shared" si="20"/>
        <v>0</v>
      </c>
      <c r="BR16" s="93">
        <f t="shared" si="21"/>
        <v>0</v>
      </c>
      <c r="BU16" s="93">
        <f t="shared" si="22"/>
        <v>0</v>
      </c>
      <c r="BX16" s="93">
        <f t="shared" si="23"/>
        <v>0</v>
      </c>
      <c r="CA16" s="93">
        <f t="shared" si="24"/>
        <v>0</v>
      </c>
      <c r="CD16" s="93">
        <f t="shared" si="25"/>
        <v>0</v>
      </c>
      <c r="CG16" s="93">
        <f t="shared" si="26"/>
        <v>0</v>
      </c>
      <c r="CJ16" s="93">
        <f t="shared" si="27"/>
        <v>0</v>
      </c>
      <c r="CM16" s="93">
        <f t="shared" si="28"/>
        <v>0</v>
      </c>
      <c r="CP16" s="93">
        <f t="shared" si="29"/>
        <v>0</v>
      </c>
      <c r="CS16" s="93">
        <f t="shared" si="30"/>
        <v>0</v>
      </c>
      <c r="CV16" s="93">
        <f t="shared" si="31"/>
        <v>0</v>
      </c>
      <c r="CY16" s="93">
        <f t="shared" si="32"/>
        <v>0</v>
      </c>
      <c r="DB16" s="93">
        <f t="shared" si="33"/>
        <v>0</v>
      </c>
      <c r="DE16" s="93">
        <f t="shared" si="34"/>
        <v>0</v>
      </c>
      <c r="DH16" s="93">
        <f t="shared" si="35"/>
        <v>0</v>
      </c>
      <c r="DK16" s="93">
        <f t="shared" si="36"/>
        <v>0</v>
      </c>
      <c r="DN16" s="93">
        <f t="shared" si="37"/>
        <v>0</v>
      </c>
      <c r="DQ16" s="93">
        <f t="shared" si="38"/>
        <v>0</v>
      </c>
      <c r="DT16" s="93">
        <f t="shared" si="39"/>
        <v>0</v>
      </c>
      <c r="DW16" s="93">
        <f t="shared" si="40"/>
        <v>0</v>
      </c>
      <c r="DZ16" s="93"/>
      <c r="EA16" s="93"/>
      <c r="EB16" s="126">
        <f t="shared" si="41"/>
        <v>84800000</v>
      </c>
      <c r="EC16" s="126">
        <f t="shared" si="42"/>
        <v>0</v>
      </c>
      <c r="ED16" s="93">
        <f t="shared" si="43"/>
        <v>5692.7777777777774</v>
      </c>
      <c r="EE16" s="94">
        <f t="shared" si="44"/>
        <v>2.4167452830188677E-2</v>
      </c>
      <c r="EG16" s="126">
        <f t="shared" si="45"/>
        <v>0</v>
      </c>
      <c r="EH16" s="93">
        <f t="shared" si="46"/>
        <v>0</v>
      </c>
      <c r="EI16" s="94">
        <f t="shared" si="47"/>
        <v>0</v>
      </c>
      <c r="EJ16" s="94"/>
      <c r="EK16" s="126">
        <f t="shared" si="48"/>
        <v>84800000</v>
      </c>
      <c r="EL16" s="126">
        <f t="shared" si="49"/>
        <v>0</v>
      </c>
      <c r="EM16" s="126">
        <f t="shared" si="50"/>
        <v>5692.7777777777774</v>
      </c>
      <c r="EN16" s="94">
        <f t="shared" si="51"/>
        <v>2.4167452830188677E-2</v>
      </c>
      <c r="EP16" s="93"/>
    </row>
    <row r="17" spans="1:146" x14ac:dyDescent="0.25">
      <c r="A17" s="39">
        <f t="shared" si="52"/>
        <v>43684</v>
      </c>
      <c r="D17" s="93">
        <f t="shared" si="1"/>
        <v>0</v>
      </c>
      <c r="G17" s="93">
        <f t="shared" si="2"/>
        <v>0</v>
      </c>
      <c r="J17" s="93">
        <f t="shared" si="3"/>
        <v>0</v>
      </c>
      <c r="M17" s="93">
        <f t="shared" si="4"/>
        <v>0</v>
      </c>
      <c r="P17" s="93">
        <f t="shared" si="5"/>
        <v>0</v>
      </c>
      <c r="S17" s="93">
        <f t="shared" si="6"/>
        <v>0</v>
      </c>
      <c r="V17" s="93">
        <f t="shared" si="7"/>
        <v>0</v>
      </c>
      <c r="Y17" s="93">
        <f t="shared" si="8"/>
        <v>0</v>
      </c>
      <c r="AB17" s="93">
        <f t="shared" si="9"/>
        <v>0</v>
      </c>
      <c r="AE17" s="93">
        <f>(AC17*AD17)/'[11]Input Sheet'!$B$11</f>
        <v>0</v>
      </c>
      <c r="AH17" s="93">
        <f>(AF17*AG17)/'[11]Input Sheet'!$B$11</f>
        <v>0</v>
      </c>
      <c r="AI17" s="124">
        <f>71325000</f>
        <v>71325000</v>
      </c>
      <c r="AJ17" s="125">
        <v>2.29E-2</v>
      </c>
      <c r="AK17" s="93">
        <f t="shared" si="10"/>
        <v>4537.0625</v>
      </c>
      <c r="AL17" s="124"/>
      <c r="AM17" s="125"/>
      <c r="AN17" s="93">
        <f t="shared" si="11"/>
        <v>0</v>
      </c>
      <c r="AO17" s="124"/>
      <c r="AP17" s="125"/>
      <c r="AQ17" s="93">
        <f t="shared" si="12"/>
        <v>0</v>
      </c>
      <c r="AR17" s="124"/>
      <c r="AS17" s="125"/>
      <c r="AT17" s="93">
        <f t="shared" si="13"/>
        <v>0</v>
      </c>
      <c r="AW17" s="93">
        <f t="shared" si="14"/>
        <v>0</v>
      </c>
      <c r="AZ17" s="93">
        <f t="shared" si="15"/>
        <v>0</v>
      </c>
      <c r="BC17" s="93">
        <f t="shared" si="16"/>
        <v>0</v>
      </c>
      <c r="BF17" s="93">
        <f t="shared" si="17"/>
        <v>0</v>
      </c>
      <c r="BI17" s="93">
        <f t="shared" si="18"/>
        <v>0</v>
      </c>
      <c r="BL17" s="93">
        <f t="shared" si="19"/>
        <v>0</v>
      </c>
      <c r="BO17" s="93">
        <f t="shared" si="20"/>
        <v>0</v>
      </c>
      <c r="BR17" s="93">
        <f t="shared" si="21"/>
        <v>0</v>
      </c>
      <c r="BU17" s="93">
        <f t="shared" si="22"/>
        <v>0</v>
      </c>
      <c r="BX17" s="93">
        <f t="shared" si="23"/>
        <v>0</v>
      </c>
      <c r="CA17" s="93">
        <f t="shared" si="24"/>
        <v>0</v>
      </c>
      <c r="CD17" s="93">
        <f t="shared" si="25"/>
        <v>0</v>
      </c>
      <c r="CG17" s="93">
        <f t="shared" si="26"/>
        <v>0</v>
      </c>
      <c r="CJ17" s="93">
        <f t="shared" si="27"/>
        <v>0</v>
      </c>
      <c r="CM17" s="93">
        <f t="shared" si="28"/>
        <v>0</v>
      </c>
      <c r="CP17" s="93">
        <f t="shared" si="29"/>
        <v>0</v>
      </c>
      <c r="CS17" s="93">
        <f t="shared" si="30"/>
        <v>0</v>
      </c>
      <c r="CV17" s="93">
        <f t="shared" si="31"/>
        <v>0</v>
      </c>
      <c r="CY17" s="93">
        <f t="shared" si="32"/>
        <v>0</v>
      </c>
      <c r="DB17" s="93">
        <f t="shared" si="33"/>
        <v>0</v>
      </c>
      <c r="DE17" s="93">
        <f t="shared" si="34"/>
        <v>0</v>
      </c>
      <c r="DH17" s="93">
        <f t="shared" si="35"/>
        <v>0</v>
      </c>
      <c r="DK17" s="93">
        <f t="shared" si="36"/>
        <v>0</v>
      </c>
      <c r="DN17" s="93">
        <f t="shared" si="37"/>
        <v>0</v>
      </c>
      <c r="DQ17" s="93">
        <f t="shared" si="38"/>
        <v>0</v>
      </c>
      <c r="DT17" s="93">
        <f t="shared" si="39"/>
        <v>0</v>
      </c>
      <c r="DW17" s="93">
        <f t="shared" si="40"/>
        <v>0</v>
      </c>
      <c r="DZ17" s="93"/>
      <c r="EA17" s="93"/>
      <c r="EB17" s="126">
        <f t="shared" si="41"/>
        <v>71325000</v>
      </c>
      <c r="EC17" s="126">
        <f t="shared" si="42"/>
        <v>0</v>
      </c>
      <c r="ED17" s="93">
        <f t="shared" si="43"/>
        <v>4537.0625</v>
      </c>
      <c r="EE17" s="94">
        <f t="shared" si="44"/>
        <v>2.29E-2</v>
      </c>
      <c r="EG17" s="126">
        <f t="shared" si="45"/>
        <v>0</v>
      </c>
      <c r="EH17" s="93">
        <f t="shared" si="46"/>
        <v>0</v>
      </c>
      <c r="EI17" s="94">
        <f t="shared" si="47"/>
        <v>0</v>
      </c>
      <c r="EJ17" s="94"/>
      <c r="EK17" s="126">
        <f t="shared" si="48"/>
        <v>71325000</v>
      </c>
      <c r="EL17" s="126">
        <f t="shared" si="49"/>
        <v>0</v>
      </c>
      <c r="EM17" s="126">
        <f t="shared" si="50"/>
        <v>4537.0625</v>
      </c>
      <c r="EN17" s="94">
        <f t="shared" si="51"/>
        <v>2.29E-2</v>
      </c>
      <c r="EP17" s="93"/>
    </row>
    <row r="18" spans="1:146" x14ac:dyDescent="0.25">
      <c r="A18" s="39">
        <f t="shared" si="52"/>
        <v>43685</v>
      </c>
      <c r="D18" s="93">
        <f t="shared" si="1"/>
        <v>0</v>
      </c>
      <c r="G18" s="93">
        <f t="shared" si="2"/>
        <v>0</v>
      </c>
      <c r="J18" s="93">
        <f t="shared" si="3"/>
        <v>0</v>
      </c>
      <c r="M18" s="93">
        <f t="shared" si="4"/>
        <v>0</v>
      </c>
      <c r="P18" s="93">
        <f t="shared" si="5"/>
        <v>0</v>
      </c>
      <c r="S18" s="93">
        <f t="shared" si="6"/>
        <v>0</v>
      </c>
      <c r="V18" s="93">
        <f t="shared" si="7"/>
        <v>0</v>
      </c>
      <c r="Y18" s="93">
        <f t="shared" si="8"/>
        <v>0</v>
      </c>
      <c r="AB18" s="93">
        <f t="shared" si="9"/>
        <v>0</v>
      </c>
      <c r="AE18" s="93">
        <f>(AC18*AD18)/'[11]Input Sheet'!$B$11</f>
        <v>0</v>
      </c>
      <c r="AH18" s="93">
        <f>(AF18*AG18)/'[11]Input Sheet'!$B$11</f>
        <v>0</v>
      </c>
      <c r="AI18" s="124">
        <f>57925000</f>
        <v>57925000</v>
      </c>
      <c r="AJ18" s="125">
        <v>2.29E-2</v>
      </c>
      <c r="AK18" s="93">
        <f t="shared" si="10"/>
        <v>3684.6736111111113</v>
      </c>
      <c r="AL18" s="124"/>
      <c r="AM18" s="125"/>
      <c r="AN18" s="93">
        <f t="shared" si="11"/>
        <v>0</v>
      </c>
      <c r="AO18" s="124"/>
      <c r="AP18" s="125"/>
      <c r="AQ18" s="93">
        <f t="shared" si="12"/>
        <v>0</v>
      </c>
      <c r="AR18" s="124"/>
      <c r="AS18" s="125"/>
      <c r="AT18" s="93">
        <f t="shared" si="13"/>
        <v>0</v>
      </c>
      <c r="AW18" s="93">
        <f t="shared" si="14"/>
        <v>0</v>
      </c>
      <c r="AZ18" s="93">
        <f t="shared" si="15"/>
        <v>0</v>
      </c>
      <c r="BC18" s="93">
        <f t="shared" si="16"/>
        <v>0</v>
      </c>
      <c r="BF18" s="93">
        <f t="shared" si="17"/>
        <v>0</v>
      </c>
      <c r="BI18" s="93">
        <f t="shared" si="18"/>
        <v>0</v>
      </c>
      <c r="BL18" s="93">
        <f t="shared" si="19"/>
        <v>0</v>
      </c>
      <c r="BO18" s="93">
        <f t="shared" si="20"/>
        <v>0</v>
      </c>
      <c r="BR18" s="93">
        <f t="shared" si="21"/>
        <v>0</v>
      </c>
      <c r="BU18" s="93">
        <f t="shared" si="22"/>
        <v>0</v>
      </c>
      <c r="BX18" s="93">
        <f t="shared" si="23"/>
        <v>0</v>
      </c>
      <c r="CA18" s="93">
        <f t="shared" si="24"/>
        <v>0</v>
      </c>
      <c r="CD18" s="93">
        <f t="shared" si="25"/>
        <v>0</v>
      </c>
      <c r="CG18" s="93">
        <f t="shared" si="26"/>
        <v>0</v>
      </c>
      <c r="CJ18" s="93">
        <f t="shared" si="27"/>
        <v>0</v>
      </c>
      <c r="CM18" s="93">
        <f t="shared" si="28"/>
        <v>0</v>
      </c>
      <c r="CP18" s="93">
        <f t="shared" si="29"/>
        <v>0</v>
      </c>
      <c r="CS18" s="93">
        <f t="shared" si="30"/>
        <v>0</v>
      </c>
      <c r="CV18" s="93">
        <f t="shared" si="31"/>
        <v>0</v>
      </c>
      <c r="CY18" s="93">
        <f t="shared" si="32"/>
        <v>0</v>
      </c>
      <c r="DB18" s="93">
        <f t="shared" si="33"/>
        <v>0</v>
      </c>
      <c r="DE18" s="93">
        <f t="shared" si="34"/>
        <v>0</v>
      </c>
      <c r="DH18" s="93">
        <f t="shared" si="35"/>
        <v>0</v>
      </c>
      <c r="DK18" s="93">
        <f t="shared" si="36"/>
        <v>0</v>
      </c>
      <c r="DN18" s="93">
        <f t="shared" si="37"/>
        <v>0</v>
      </c>
      <c r="DQ18" s="93">
        <f t="shared" si="38"/>
        <v>0</v>
      </c>
      <c r="DT18" s="93">
        <f t="shared" si="39"/>
        <v>0</v>
      </c>
      <c r="DW18" s="93">
        <f t="shared" si="40"/>
        <v>0</v>
      </c>
      <c r="DZ18" s="93"/>
      <c r="EA18" s="93"/>
      <c r="EB18" s="126">
        <f t="shared" si="41"/>
        <v>57925000</v>
      </c>
      <c r="EC18" s="126">
        <f t="shared" si="42"/>
        <v>0</v>
      </c>
      <c r="ED18" s="93">
        <f t="shared" si="43"/>
        <v>3684.6736111111113</v>
      </c>
      <c r="EE18" s="94">
        <f t="shared" si="44"/>
        <v>2.29E-2</v>
      </c>
      <c r="EG18" s="126">
        <f t="shared" si="45"/>
        <v>0</v>
      </c>
      <c r="EH18" s="93">
        <f t="shared" si="46"/>
        <v>0</v>
      </c>
      <c r="EI18" s="94">
        <f t="shared" si="47"/>
        <v>0</v>
      </c>
      <c r="EJ18" s="94"/>
      <c r="EK18" s="126">
        <f t="shared" si="48"/>
        <v>57925000</v>
      </c>
      <c r="EL18" s="126">
        <f t="shared" si="49"/>
        <v>0</v>
      </c>
      <c r="EM18" s="126">
        <f t="shared" si="50"/>
        <v>3684.6736111111113</v>
      </c>
      <c r="EN18" s="94">
        <f t="shared" si="51"/>
        <v>2.29E-2</v>
      </c>
      <c r="EP18" s="93"/>
    </row>
    <row r="19" spans="1:146" x14ac:dyDescent="0.25">
      <c r="A19" s="39">
        <f t="shared" si="52"/>
        <v>43686</v>
      </c>
      <c r="D19" s="93">
        <f t="shared" si="1"/>
        <v>0</v>
      </c>
      <c r="G19" s="93">
        <f t="shared" si="2"/>
        <v>0</v>
      </c>
      <c r="J19" s="93">
        <f t="shared" si="3"/>
        <v>0</v>
      </c>
      <c r="M19" s="93">
        <f t="shared" si="4"/>
        <v>0</v>
      </c>
      <c r="P19" s="93">
        <f t="shared" si="5"/>
        <v>0</v>
      </c>
      <c r="S19" s="93">
        <f t="shared" si="6"/>
        <v>0</v>
      </c>
      <c r="V19" s="93">
        <f t="shared" si="7"/>
        <v>0</v>
      </c>
      <c r="Y19" s="93">
        <f t="shared" si="8"/>
        <v>0</v>
      </c>
      <c r="AB19" s="93">
        <f t="shared" si="9"/>
        <v>0</v>
      </c>
      <c r="AE19" s="93">
        <f>(AC19*AD19)/'[11]Input Sheet'!$B$11</f>
        <v>0</v>
      </c>
      <c r="AH19" s="93">
        <f>(AF19*AG19)/'[11]Input Sheet'!$B$11</f>
        <v>0</v>
      </c>
      <c r="AI19" s="124">
        <f>57000000</f>
        <v>57000000</v>
      </c>
      <c r="AJ19" s="125">
        <v>2.29E-2</v>
      </c>
      <c r="AK19" s="93">
        <f t="shared" si="10"/>
        <v>3625.8333333333335</v>
      </c>
      <c r="AL19" s="124"/>
      <c r="AM19" s="125"/>
      <c r="AN19" s="93">
        <f t="shared" si="11"/>
        <v>0</v>
      </c>
      <c r="AO19" s="124"/>
      <c r="AP19" s="125"/>
      <c r="AQ19" s="93">
        <f t="shared" si="12"/>
        <v>0</v>
      </c>
      <c r="AR19" s="124"/>
      <c r="AS19" s="125"/>
      <c r="AT19" s="93">
        <f t="shared" si="13"/>
        <v>0</v>
      </c>
      <c r="AW19" s="93">
        <f t="shared" si="14"/>
        <v>0</v>
      </c>
      <c r="AZ19" s="93">
        <f t="shared" si="15"/>
        <v>0</v>
      </c>
      <c r="BC19" s="93">
        <f t="shared" si="16"/>
        <v>0</v>
      </c>
      <c r="BF19" s="93">
        <f t="shared" si="17"/>
        <v>0</v>
      </c>
      <c r="BI19" s="93">
        <f t="shared" si="18"/>
        <v>0</v>
      </c>
      <c r="BL19" s="93">
        <f t="shared" si="19"/>
        <v>0</v>
      </c>
      <c r="BO19" s="93">
        <f t="shared" si="20"/>
        <v>0</v>
      </c>
      <c r="BR19" s="93">
        <f t="shared" si="21"/>
        <v>0</v>
      </c>
      <c r="BU19" s="93">
        <f t="shared" si="22"/>
        <v>0</v>
      </c>
      <c r="BX19" s="93">
        <f t="shared" si="23"/>
        <v>0</v>
      </c>
      <c r="CA19" s="93">
        <f t="shared" si="24"/>
        <v>0</v>
      </c>
      <c r="CD19" s="93">
        <f t="shared" si="25"/>
        <v>0</v>
      </c>
      <c r="CG19" s="93">
        <f t="shared" si="26"/>
        <v>0</v>
      </c>
      <c r="CJ19" s="93">
        <f t="shared" si="27"/>
        <v>0</v>
      </c>
      <c r="CM19" s="93">
        <f t="shared" si="28"/>
        <v>0</v>
      </c>
      <c r="CP19" s="93">
        <f t="shared" si="29"/>
        <v>0</v>
      </c>
      <c r="CS19" s="93">
        <f t="shared" si="30"/>
        <v>0</v>
      </c>
      <c r="CV19" s="93">
        <f t="shared" si="31"/>
        <v>0</v>
      </c>
      <c r="CY19" s="93">
        <f t="shared" si="32"/>
        <v>0</v>
      </c>
      <c r="DB19" s="93">
        <f t="shared" si="33"/>
        <v>0</v>
      </c>
      <c r="DE19" s="93">
        <f t="shared" si="34"/>
        <v>0</v>
      </c>
      <c r="DH19" s="93">
        <f t="shared" si="35"/>
        <v>0</v>
      </c>
      <c r="DK19" s="93">
        <f t="shared" si="36"/>
        <v>0</v>
      </c>
      <c r="DN19" s="93">
        <f t="shared" si="37"/>
        <v>0</v>
      </c>
      <c r="DQ19" s="93">
        <f t="shared" si="38"/>
        <v>0</v>
      </c>
      <c r="DT19" s="93">
        <f t="shared" si="39"/>
        <v>0</v>
      </c>
      <c r="DW19" s="93">
        <f t="shared" si="40"/>
        <v>0</v>
      </c>
      <c r="DZ19" s="93"/>
      <c r="EA19" s="93"/>
      <c r="EB19" s="126">
        <f t="shared" si="41"/>
        <v>57000000</v>
      </c>
      <c r="EC19" s="126">
        <f t="shared" si="42"/>
        <v>0</v>
      </c>
      <c r="ED19" s="93">
        <f t="shared" si="43"/>
        <v>3625.8333333333335</v>
      </c>
      <c r="EE19" s="94">
        <f t="shared" si="44"/>
        <v>2.29E-2</v>
      </c>
      <c r="EG19" s="126">
        <f t="shared" si="45"/>
        <v>0</v>
      </c>
      <c r="EH19" s="93">
        <f t="shared" si="46"/>
        <v>0</v>
      </c>
      <c r="EI19" s="94">
        <f t="shared" si="47"/>
        <v>0</v>
      </c>
      <c r="EJ19" s="94"/>
      <c r="EK19" s="126">
        <f t="shared" si="48"/>
        <v>57000000</v>
      </c>
      <c r="EL19" s="126">
        <f t="shared" si="49"/>
        <v>0</v>
      </c>
      <c r="EM19" s="126">
        <f t="shared" si="50"/>
        <v>3625.8333333333335</v>
      </c>
      <c r="EN19" s="94">
        <f t="shared" si="51"/>
        <v>2.29E-2</v>
      </c>
      <c r="EP19" s="93"/>
    </row>
    <row r="20" spans="1:146" x14ac:dyDescent="0.25">
      <c r="A20" s="39">
        <f t="shared" si="52"/>
        <v>43687</v>
      </c>
      <c r="D20" s="93">
        <f t="shared" si="1"/>
        <v>0</v>
      </c>
      <c r="G20" s="93">
        <f t="shared" si="2"/>
        <v>0</v>
      </c>
      <c r="J20" s="93">
        <f t="shared" si="3"/>
        <v>0</v>
      </c>
      <c r="M20" s="93">
        <f t="shared" si="4"/>
        <v>0</v>
      </c>
      <c r="P20" s="93">
        <f t="shared" si="5"/>
        <v>0</v>
      </c>
      <c r="S20" s="93">
        <f t="shared" si="6"/>
        <v>0</v>
      </c>
      <c r="V20" s="93">
        <f t="shared" si="7"/>
        <v>0</v>
      </c>
      <c r="Y20" s="93">
        <f t="shared" si="8"/>
        <v>0</v>
      </c>
      <c r="AB20" s="93">
        <f t="shared" si="9"/>
        <v>0</v>
      </c>
      <c r="AE20" s="93">
        <f>(AC20*AD20)/'[11]Input Sheet'!$B$11</f>
        <v>0</v>
      </c>
      <c r="AH20" s="93">
        <f>(AF20*AG20)/'[11]Input Sheet'!$B$11</f>
        <v>0</v>
      </c>
      <c r="AI20" s="124">
        <f>57000000</f>
        <v>57000000</v>
      </c>
      <c r="AJ20" s="125">
        <v>2.29E-2</v>
      </c>
      <c r="AK20" s="93">
        <f t="shared" si="10"/>
        <v>3625.8333333333335</v>
      </c>
      <c r="AL20" s="124"/>
      <c r="AM20" s="125"/>
      <c r="AN20" s="93">
        <f t="shared" si="11"/>
        <v>0</v>
      </c>
      <c r="AO20" s="124"/>
      <c r="AP20" s="125"/>
      <c r="AQ20" s="93">
        <f t="shared" si="12"/>
        <v>0</v>
      </c>
      <c r="AR20" s="124"/>
      <c r="AS20" s="125"/>
      <c r="AT20" s="93">
        <f t="shared" si="13"/>
        <v>0</v>
      </c>
      <c r="AW20" s="93">
        <f t="shared" si="14"/>
        <v>0</v>
      </c>
      <c r="AZ20" s="93">
        <f t="shared" si="15"/>
        <v>0</v>
      </c>
      <c r="BC20" s="93">
        <f t="shared" si="16"/>
        <v>0</v>
      </c>
      <c r="BF20" s="93">
        <f t="shared" si="17"/>
        <v>0</v>
      </c>
      <c r="BI20" s="93">
        <f t="shared" si="18"/>
        <v>0</v>
      </c>
      <c r="BL20" s="93">
        <f t="shared" si="19"/>
        <v>0</v>
      </c>
      <c r="BO20" s="93">
        <f t="shared" si="20"/>
        <v>0</v>
      </c>
      <c r="BR20" s="93">
        <f t="shared" si="21"/>
        <v>0</v>
      </c>
      <c r="BU20" s="93">
        <f t="shared" si="22"/>
        <v>0</v>
      </c>
      <c r="BX20" s="93">
        <f t="shared" si="23"/>
        <v>0</v>
      </c>
      <c r="CA20" s="93">
        <f t="shared" si="24"/>
        <v>0</v>
      </c>
      <c r="CD20" s="93">
        <f t="shared" si="25"/>
        <v>0</v>
      </c>
      <c r="CG20" s="93">
        <f t="shared" si="26"/>
        <v>0</v>
      </c>
      <c r="CJ20" s="93">
        <f t="shared" si="27"/>
        <v>0</v>
      </c>
      <c r="CM20" s="93">
        <f t="shared" si="28"/>
        <v>0</v>
      </c>
      <c r="CP20" s="93">
        <f t="shared" si="29"/>
        <v>0</v>
      </c>
      <c r="CS20" s="93">
        <f t="shared" si="30"/>
        <v>0</v>
      </c>
      <c r="CV20" s="93">
        <f t="shared" si="31"/>
        <v>0</v>
      </c>
      <c r="CY20" s="93">
        <f t="shared" si="32"/>
        <v>0</v>
      </c>
      <c r="DB20" s="93">
        <f t="shared" si="33"/>
        <v>0</v>
      </c>
      <c r="DE20" s="93">
        <f t="shared" si="34"/>
        <v>0</v>
      </c>
      <c r="DH20" s="93">
        <f t="shared" si="35"/>
        <v>0</v>
      </c>
      <c r="DK20" s="93">
        <f t="shared" si="36"/>
        <v>0</v>
      </c>
      <c r="DN20" s="93">
        <f t="shared" si="37"/>
        <v>0</v>
      </c>
      <c r="DQ20" s="93">
        <f t="shared" si="38"/>
        <v>0</v>
      </c>
      <c r="DT20" s="93">
        <f t="shared" si="39"/>
        <v>0</v>
      </c>
      <c r="DW20" s="93">
        <f t="shared" si="40"/>
        <v>0</v>
      </c>
      <c r="DZ20" s="93"/>
      <c r="EA20" s="93"/>
      <c r="EB20" s="126">
        <f t="shared" si="41"/>
        <v>57000000</v>
      </c>
      <c r="EC20" s="126">
        <f t="shared" si="42"/>
        <v>0</v>
      </c>
      <c r="ED20" s="93">
        <f t="shared" si="43"/>
        <v>3625.8333333333335</v>
      </c>
      <c r="EE20" s="94">
        <f t="shared" si="44"/>
        <v>2.29E-2</v>
      </c>
      <c r="EG20" s="126">
        <f t="shared" si="45"/>
        <v>0</v>
      </c>
      <c r="EH20" s="93">
        <f t="shared" si="46"/>
        <v>0</v>
      </c>
      <c r="EI20" s="94">
        <f t="shared" si="47"/>
        <v>0</v>
      </c>
      <c r="EJ20" s="94"/>
      <c r="EK20" s="126">
        <f t="shared" si="48"/>
        <v>57000000</v>
      </c>
      <c r="EL20" s="126">
        <f t="shared" si="49"/>
        <v>0</v>
      </c>
      <c r="EM20" s="126">
        <f t="shared" si="50"/>
        <v>3625.8333333333335</v>
      </c>
      <c r="EN20" s="94">
        <f t="shared" si="51"/>
        <v>2.29E-2</v>
      </c>
      <c r="EP20" s="93"/>
    </row>
    <row r="21" spans="1:146" x14ac:dyDescent="0.25">
      <c r="A21" s="39">
        <f t="shared" si="52"/>
        <v>43688</v>
      </c>
      <c r="D21" s="93">
        <f t="shared" si="1"/>
        <v>0</v>
      </c>
      <c r="G21" s="93">
        <f t="shared" si="2"/>
        <v>0</v>
      </c>
      <c r="J21" s="93">
        <f t="shared" si="3"/>
        <v>0</v>
      </c>
      <c r="M21" s="93">
        <f t="shared" si="4"/>
        <v>0</v>
      </c>
      <c r="P21" s="93">
        <f t="shared" si="5"/>
        <v>0</v>
      </c>
      <c r="S21" s="93">
        <f t="shared" si="6"/>
        <v>0</v>
      </c>
      <c r="V21" s="93">
        <f t="shared" si="7"/>
        <v>0</v>
      </c>
      <c r="Y21" s="93">
        <f t="shared" si="8"/>
        <v>0</v>
      </c>
      <c r="AB21" s="93">
        <f t="shared" si="9"/>
        <v>0</v>
      </c>
      <c r="AE21" s="93">
        <f>(AC21*AD21)/'[11]Input Sheet'!$B$11</f>
        <v>0</v>
      </c>
      <c r="AH21" s="93">
        <f>(AF21*AG21)/'[11]Input Sheet'!$B$11</f>
        <v>0</v>
      </c>
      <c r="AI21" s="124">
        <f>57000000</f>
        <v>57000000</v>
      </c>
      <c r="AJ21" s="125">
        <v>2.29E-2</v>
      </c>
      <c r="AK21" s="93">
        <f t="shared" si="10"/>
        <v>3625.8333333333335</v>
      </c>
      <c r="AL21" s="124"/>
      <c r="AM21" s="125"/>
      <c r="AN21" s="93">
        <f t="shared" si="11"/>
        <v>0</v>
      </c>
      <c r="AO21" s="124"/>
      <c r="AP21" s="125"/>
      <c r="AQ21" s="93">
        <f t="shared" si="12"/>
        <v>0</v>
      </c>
      <c r="AR21" s="124"/>
      <c r="AS21" s="125"/>
      <c r="AT21" s="93">
        <f t="shared" si="13"/>
        <v>0</v>
      </c>
      <c r="AW21" s="93">
        <f t="shared" si="14"/>
        <v>0</v>
      </c>
      <c r="AZ21" s="93">
        <f t="shared" si="15"/>
        <v>0</v>
      </c>
      <c r="BC21" s="93">
        <f t="shared" si="16"/>
        <v>0</v>
      </c>
      <c r="BF21" s="93">
        <f t="shared" si="17"/>
        <v>0</v>
      </c>
      <c r="BI21" s="93">
        <f t="shared" si="18"/>
        <v>0</v>
      </c>
      <c r="BL21" s="93">
        <f t="shared" si="19"/>
        <v>0</v>
      </c>
      <c r="BO21" s="93">
        <f t="shared" si="20"/>
        <v>0</v>
      </c>
      <c r="BR21" s="93">
        <f t="shared" si="21"/>
        <v>0</v>
      </c>
      <c r="BU21" s="93">
        <f t="shared" si="22"/>
        <v>0</v>
      </c>
      <c r="BX21" s="93">
        <f t="shared" si="23"/>
        <v>0</v>
      </c>
      <c r="CA21" s="93">
        <f t="shared" si="24"/>
        <v>0</v>
      </c>
      <c r="CD21" s="93">
        <f t="shared" si="25"/>
        <v>0</v>
      </c>
      <c r="CG21" s="93">
        <f t="shared" si="26"/>
        <v>0</v>
      </c>
      <c r="CJ21" s="93">
        <f t="shared" si="27"/>
        <v>0</v>
      </c>
      <c r="CM21" s="93">
        <f t="shared" si="28"/>
        <v>0</v>
      </c>
      <c r="CP21" s="93">
        <f t="shared" si="29"/>
        <v>0</v>
      </c>
      <c r="CS21" s="93">
        <f t="shared" si="30"/>
        <v>0</v>
      </c>
      <c r="CV21" s="93">
        <f t="shared" si="31"/>
        <v>0</v>
      </c>
      <c r="CY21" s="93">
        <f t="shared" si="32"/>
        <v>0</v>
      </c>
      <c r="DB21" s="93">
        <f t="shared" si="33"/>
        <v>0</v>
      </c>
      <c r="DE21" s="93">
        <f t="shared" si="34"/>
        <v>0</v>
      </c>
      <c r="DH21" s="93">
        <f t="shared" si="35"/>
        <v>0</v>
      </c>
      <c r="DK21" s="93">
        <f t="shared" si="36"/>
        <v>0</v>
      </c>
      <c r="DN21" s="93">
        <f t="shared" si="37"/>
        <v>0</v>
      </c>
      <c r="DQ21" s="93">
        <f t="shared" si="38"/>
        <v>0</v>
      </c>
      <c r="DT21" s="93">
        <f t="shared" si="39"/>
        <v>0</v>
      </c>
      <c r="DW21" s="93">
        <f t="shared" si="40"/>
        <v>0</v>
      </c>
      <c r="DZ21" s="93"/>
      <c r="EA21" s="93"/>
      <c r="EB21" s="126">
        <f t="shared" si="41"/>
        <v>57000000</v>
      </c>
      <c r="EC21" s="126">
        <f t="shared" si="42"/>
        <v>0</v>
      </c>
      <c r="ED21" s="93">
        <f t="shared" si="43"/>
        <v>3625.8333333333335</v>
      </c>
      <c r="EE21" s="94">
        <f t="shared" si="44"/>
        <v>2.29E-2</v>
      </c>
      <c r="EG21" s="126">
        <f t="shared" si="45"/>
        <v>0</v>
      </c>
      <c r="EH21" s="93">
        <f t="shared" si="46"/>
        <v>0</v>
      </c>
      <c r="EI21" s="94">
        <f t="shared" si="47"/>
        <v>0</v>
      </c>
      <c r="EJ21" s="94"/>
      <c r="EK21" s="126">
        <f t="shared" si="48"/>
        <v>57000000</v>
      </c>
      <c r="EL21" s="126">
        <f t="shared" si="49"/>
        <v>0</v>
      </c>
      <c r="EM21" s="126">
        <f t="shared" si="50"/>
        <v>3625.8333333333335</v>
      </c>
      <c r="EN21" s="94">
        <f t="shared" si="51"/>
        <v>2.29E-2</v>
      </c>
      <c r="EP21" s="93"/>
    </row>
    <row r="22" spans="1:146" x14ac:dyDescent="0.25">
      <c r="A22" s="39">
        <f t="shared" si="52"/>
        <v>43689</v>
      </c>
      <c r="D22" s="93">
        <f t="shared" si="1"/>
        <v>0</v>
      </c>
      <c r="G22" s="93">
        <f t="shared" si="2"/>
        <v>0</v>
      </c>
      <c r="J22" s="93">
        <f t="shared" si="3"/>
        <v>0</v>
      </c>
      <c r="M22" s="93">
        <f t="shared" si="4"/>
        <v>0</v>
      </c>
      <c r="P22" s="93">
        <f t="shared" si="5"/>
        <v>0</v>
      </c>
      <c r="S22" s="93">
        <f t="shared" si="6"/>
        <v>0</v>
      </c>
      <c r="V22" s="93">
        <f t="shared" si="7"/>
        <v>0</v>
      </c>
      <c r="Y22" s="93">
        <f t="shared" si="8"/>
        <v>0</v>
      </c>
      <c r="AB22" s="93">
        <f t="shared" si="9"/>
        <v>0</v>
      </c>
      <c r="AE22" s="93">
        <f>(AC22*AD22)/'[11]Input Sheet'!$B$11</f>
        <v>0</v>
      </c>
      <c r="AH22" s="93">
        <f>(AF22*AG22)/'[11]Input Sheet'!$B$11</f>
        <v>0</v>
      </c>
      <c r="AI22" s="124">
        <f>58575000</f>
        <v>58575000</v>
      </c>
      <c r="AJ22" s="125">
        <v>2.29E-2</v>
      </c>
      <c r="AK22" s="93">
        <f t="shared" si="10"/>
        <v>3726.0208333333335</v>
      </c>
      <c r="AL22" s="124"/>
      <c r="AM22" s="125"/>
      <c r="AN22" s="93">
        <f t="shared" si="11"/>
        <v>0</v>
      </c>
      <c r="AO22" s="124"/>
      <c r="AP22" s="125"/>
      <c r="AQ22" s="93">
        <f t="shared" si="12"/>
        <v>0</v>
      </c>
      <c r="AR22" s="124"/>
      <c r="AS22" s="125"/>
      <c r="AT22" s="93">
        <f t="shared" si="13"/>
        <v>0</v>
      </c>
      <c r="AW22" s="93">
        <f t="shared" si="14"/>
        <v>0</v>
      </c>
      <c r="AZ22" s="93">
        <f t="shared" si="15"/>
        <v>0</v>
      </c>
      <c r="BC22" s="93">
        <f t="shared" si="16"/>
        <v>0</v>
      </c>
      <c r="BF22" s="93">
        <f t="shared" si="17"/>
        <v>0</v>
      </c>
      <c r="BI22" s="93">
        <f t="shared" si="18"/>
        <v>0</v>
      </c>
      <c r="BL22" s="93">
        <f t="shared" si="19"/>
        <v>0</v>
      </c>
      <c r="BO22" s="93">
        <f t="shared" si="20"/>
        <v>0</v>
      </c>
      <c r="BR22" s="93">
        <f t="shared" si="21"/>
        <v>0</v>
      </c>
      <c r="BU22" s="93">
        <f t="shared" si="22"/>
        <v>0</v>
      </c>
      <c r="BX22" s="93">
        <f t="shared" si="23"/>
        <v>0</v>
      </c>
      <c r="CA22" s="93">
        <f t="shared" si="24"/>
        <v>0</v>
      </c>
      <c r="CD22" s="93">
        <f t="shared" si="25"/>
        <v>0</v>
      </c>
      <c r="CG22" s="93">
        <f t="shared" si="26"/>
        <v>0</v>
      </c>
      <c r="CJ22" s="93">
        <f t="shared" si="27"/>
        <v>0</v>
      </c>
      <c r="CM22" s="93">
        <f t="shared" si="28"/>
        <v>0</v>
      </c>
      <c r="CP22" s="93">
        <f t="shared" si="29"/>
        <v>0</v>
      </c>
      <c r="CS22" s="93">
        <f t="shared" si="30"/>
        <v>0</v>
      </c>
      <c r="CV22" s="93">
        <f t="shared" si="31"/>
        <v>0</v>
      </c>
      <c r="CY22" s="93">
        <f t="shared" si="32"/>
        <v>0</v>
      </c>
      <c r="DB22" s="93">
        <f t="shared" si="33"/>
        <v>0</v>
      </c>
      <c r="DE22" s="93">
        <f t="shared" si="34"/>
        <v>0</v>
      </c>
      <c r="DH22" s="93">
        <f t="shared" si="35"/>
        <v>0</v>
      </c>
      <c r="DK22" s="93">
        <f t="shared" si="36"/>
        <v>0</v>
      </c>
      <c r="DN22" s="93">
        <f t="shared" si="37"/>
        <v>0</v>
      </c>
      <c r="DQ22" s="93">
        <f t="shared" si="38"/>
        <v>0</v>
      </c>
      <c r="DT22" s="93">
        <f t="shared" si="39"/>
        <v>0</v>
      </c>
      <c r="DW22" s="93">
        <f t="shared" si="40"/>
        <v>0</v>
      </c>
      <c r="DZ22" s="93"/>
      <c r="EA22" s="93"/>
      <c r="EB22" s="126">
        <f t="shared" si="41"/>
        <v>58575000</v>
      </c>
      <c r="EC22" s="126">
        <f t="shared" si="42"/>
        <v>0</v>
      </c>
      <c r="ED22" s="93">
        <f t="shared" si="43"/>
        <v>3726.0208333333335</v>
      </c>
      <c r="EE22" s="94">
        <f t="shared" si="44"/>
        <v>2.29E-2</v>
      </c>
      <c r="EG22" s="126">
        <f t="shared" si="45"/>
        <v>0</v>
      </c>
      <c r="EH22" s="93">
        <f t="shared" si="46"/>
        <v>0</v>
      </c>
      <c r="EI22" s="94">
        <f t="shared" si="47"/>
        <v>0</v>
      </c>
      <c r="EJ22" s="94"/>
      <c r="EK22" s="126">
        <f t="shared" si="48"/>
        <v>58575000</v>
      </c>
      <c r="EL22" s="126">
        <f t="shared" si="49"/>
        <v>0</v>
      </c>
      <c r="EM22" s="126">
        <f t="shared" si="50"/>
        <v>3726.0208333333335</v>
      </c>
      <c r="EN22" s="94">
        <f t="shared" si="51"/>
        <v>2.29E-2</v>
      </c>
      <c r="EP22" s="93"/>
    </row>
    <row r="23" spans="1:146" x14ac:dyDescent="0.25">
      <c r="A23" s="39">
        <f t="shared" si="52"/>
        <v>43690</v>
      </c>
      <c r="D23" s="93">
        <f t="shared" si="1"/>
        <v>0</v>
      </c>
      <c r="G23" s="93">
        <f t="shared" si="2"/>
        <v>0</v>
      </c>
      <c r="J23" s="93">
        <f t="shared" si="3"/>
        <v>0</v>
      </c>
      <c r="M23" s="93">
        <f t="shared" si="4"/>
        <v>0</v>
      </c>
      <c r="P23" s="93">
        <f t="shared" si="5"/>
        <v>0</v>
      </c>
      <c r="S23" s="93">
        <f t="shared" si="6"/>
        <v>0</v>
      </c>
      <c r="V23" s="93">
        <f t="shared" si="7"/>
        <v>0</v>
      </c>
      <c r="Y23" s="93">
        <f t="shared" si="8"/>
        <v>0</v>
      </c>
      <c r="AB23" s="93">
        <f t="shared" si="9"/>
        <v>0</v>
      </c>
      <c r="AE23" s="93">
        <f>(AC23*AD23)/'[11]Input Sheet'!$B$11</f>
        <v>0</v>
      </c>
      <c r="AH23" s="93">
        <f>(AF23*AG23)/'[11]Input Sheet'!$B$11</f>
        <v>0</v>
      </c>
      <c r="AI23" s="124">
        <f>47875000</f>
        <v>47875000</v>
      </c>
      <c r="AJ23" s="125">
        <v>2.29E-2</v>
      </c>
      <c r="AK23" s="93">
        <f t="shared" si="10"/>
        <v>3045.3819444444443</v>
      </c>
      <c r="AL23" s="124"/>
      <c r="AM23" s="125"/>
      <c r="AN23" s="93">
        <f t="shared" si="11"/>
        <v>0</v>
      </c>
      <c r="AO23" s="124"/>
      <c r="AP23" s="125"/>
      <c r="AQ23" s="93">
        <f t="shared" si="12"/>
        <v>0</v>
      </c>
      <c r="AR23" s="124"/>
      <c r="AS23" s="125"/>
      <c r="AT23" s="93">
        <f t="shared" si="13"/>
        <v>0</v>
      </c>
      <c r="AW23" s="93">
        <f t="shared" si="14"/>
        <v>0</v>
      </c>
      <c r="AZ23" s="93">
        <f t="shared" si="15"/>
        <v>0</v>
      </c>
      <c r="BC23" s="93">
        <f t="shared" si="16"/>
        <v>0</v>
      </c>
      <c r="BF23" s="93">
        <f t="shared" si="17"/>
        <v>0</v>
      </c>
      <c r="BI23" s="93">
        <f t="shared" si="18"/>
        <v>0</v>
      </c>
      <c r="BL23" s="93">
        <f t="shared" si="19"/>
        <v>0</v>
      </c>
      <c r="BO23" s="93">
        <f t="shared" si="20"/>
        <v>0</v>
      </c>
      <c r="BR23" s="93">
        <f t="shared" si="21"/>
        <v>0</v>
      </c>
      <c r="BU23" s="93">
        <f t="shared" si="22"/>
        <v>0</v>
      </c>
      <c r="BX23" s="93">
        <f t="shared" si="23"/>
        <v>0</v>
      </c>
      <c r="CA23" s="93">
        <f t="shared" si="24"/>
        <v>0</v>
      </c>
      <c r="CD23" s="93">
        <f t="shared" si="25"/>
        <v>0</v>
      </c>
      <c r="CG23" s="93">
        <f t="shared" si="26"/>
        <v>0</v>
      </c>
      <c r="CJ23" s="93">
        <f t="shared" si="27"/>
        <v>0</v>
      </c>
      <c r="CM23" s="93">
        <f t="shared" si="28"/>
        <v>0</v>
      </c>
      <c r="CP23" s="93">
        <f t="shared" si="29"/>
        <v>0</v>
      </c>
      <c r="CS23" s="93">
        <f t="shared" si="30"/>
        <v>0</v>
      </c>
      <c r="CV23" s="93">
        <f t="shared" si="31"/>
        <v>0</v>
      </c>
      <c r="CY23" s="93">
        <f t="shared" si="32"/>
        <v>0</v>
      </c>
      <c r="DB23" s="93">
        <f t="shared" si="33"/>
        <v>0</v>
      </c>
      <c r="DE23" s="93">
        <f t="shared" si="34"/>
        <v>0</v>
      </c>
      <c r="DH23" s="93">
        <f t="shared" si="35"/>
        <v>0</v>
      </c>
      <c r="DK23" s="93">
        <f t="shared" si="36"/>
        <v>0</v>
      </c>
      <c r="DN23" s="93">
        <f t="shared" si="37"/>
        <v>0</v>
      </c>
      <c r="DQ23" s="93">
        <f t="shared" si="38"/>
        <v>0</v>
      </c>
      <c r="DT23" s="93">
        <f t="shared" si="39"/>
        <v>0</v>
      </c>
      <c r="DW23" s="93">
        <f t="shared" si="40"/>
        <v>0</v>
      </c>
      <c r="DZ23" s="93"/>
      <c r="EA23" s="93"/>
      <c r="EB23" s="126">
        <f t="shared" si="41"/>
        <v>47875000</v>
      </c>
      <c r="EC23" s="126">
        <f t="shared" si="42"/>
        <v>0</v>
      </c>
      <c r="ED23" s="93">
        <f t="shared" si="43"/>
        <v>3045.3819444444443</v>
      </c>
      <c r="EE23" s="94">
        <f t="shared" si="44"/>
        <v>2.29E-2</v>
      </c>
      <c r="EG23" s="126">
        <f t="shared" si="45"/>
        <v>0</v>
      </c>
      <c r="EH23" s="93">
        <f t="shared" si="46"/>
        <v>0</v>
      </c>
      <c r="EI23" s="94">
        <f t="shared" si="47"/>
        <v>0</v>
      </c>
      <c r="EJ23" s="94"/>
      <c r="EK23" s="126">
        <f t="shared" si="48"/>
        <v>47875000</v>
      </c>
      <c r="EL23" s="126">
        <f t="shared" si="49"/>
        <v>0</v>
      </c>
      <c r="EM23" s="126">
        <f t="shared" si="50"/>
        <v>3045.3819444444443</v>
      </c>
      <c r="EN23" s="94">
        <f t="shared" si="51"/>
        <v>2.29E-2</v>
      </c>
      <c r="EP23" s="93"/>
    </row>
    <row r="24" spans="1:146" x14ac:dyDescent="0.25">
      <c r="A24" s="39">
        <f t="shared" si="52"/>
        <v>43691</v>
      </c>
      <c r="D24" s="93">
        <f t="shared" si="1"/>
        <v>0</v>
      </c>
      <c r="G24" s="93">
        <f t="shared" si="2"/>
        <v>0</v>
      </c>
      <c r="J24" s="93">
        <f t="shared" si="3"/>
        <v>0</v>
      </c>
      <c r="M24" s="93">
        <f t="shared" si="4"/>
        <v>0</v>
      </c>
      <c r="P24" s="93">
        <f t="shared" si="5"/>
        <v>0</v>
      </c>
      <c r="S24" s="93">
        <f t="shared" si="6"/>
        <v>0</v>
      </c>
      <c r="V24" s="93">
        <f t="shared" si="7"/>
        <v>0</v>
      </c>
      <c r="Y24" s="93">
        <f t="shared" si="8"/>
        <v>0</v>
      </c>
      <c r="AB24" s="93">
        <f t="shared" si="9"/>
        <v>0</v>
      </c>
      <c r="AE24" s="93">
        <f>(AC24*AD24)/'[11]Input Sheet'!$B$11</f>
        <v>0</v>
      </c>
      <c r="AH24" s="93">
        <f>(AF24*AG24)/'[11]Input Sheet'!$B$11</f>
        <v>0</v>
      </c>
      <c r="AI24" s="124">
        <v>19875000</v>
      </c>
      <c r="AJ24" s="125">
        <v>2.29E-2</v>
      </c>
      <c r="AK24" s="93">
        <f t="shared" si="10"/>
        <v>1264.2708333333333</v>
      </c>
      <c r="AL24" s="124"/>
      <c r="AM24" s="125"/>
      <c r="AN24" s="93">
        <f t="shared" si="11"/>
        <v>0</v>
      </c>
      <c r="AO24" s="124"/>
      <c r="AP24" s="125"/>
      <c r="AQ24" s="93">
        <f t="shared" si="12"/>
        <v>0</v>
      </c>
      <c r="AR24" s="124"/>
      <c r="AS24" s="125"/>
      <c r="AT24" s="93">
        <f t="shared" si="13"/>
        <v>0</v>
      </c>
      <c r="AW24" s="93">
        <f t="shared" si="14"/>
        <v>0</v>
      </c>
      <c r="AZ24" s="93">
        <f t="shared" si="15"/>
        <v>0</v>
      </c>
      <c r="BC24" s="93">
        <f t="shared" si="16"/>
        <v>0</v>
      </c>
      <c r="BF24" s="93">
        <f t="shared" si="17"/>
        <v>0</v>
      </c>
      <c r="BI24" s="93">
        <f t="shared" si="18"/>
        <v>0</v>
      </c>
      <c r="BL24" s="93">
        <f t="shared" si="19"/>
        <v>0</v>
      </c>
      <c r="BO24" s="93">
        <f t="shared" si="20"/>
        <v>0</v>
      </c>
      <c r="BR24" s="93">
        <f t="shared" si="21"/>
        <v>0</v>
      </c>
      <c r="BU24" s="93">
        <f t="shared" si="22"/>
        <v>0</v>
      </c>
      <c r="BX24" s="93">
        <f t="shared" si="23"/>
        <v>0</v>
      </c>
      <c r="CA24" s="93">
        <f t="shared" si="24"/>
        <v>0</v>
      </c>
      <c r="CD24" s="93">
        <f t="shared" si="25"/>
        <v>0</v>
      </c>
      <c r="CG24" s="93">
        <f t="shared" si="26"/>
        <v>0</v>
      </c>
      <c r="CJ24" s="93">
        <f t="shared" si="27"/>
        <v>0</v>
      </c>
      <c r="CM24" s="93">
        <f t="shared" si="28"/>
        <v>0</v>
      </c>
      <c r="CP24" s="93">
        <f t="shared" si="29"/>
        <v>0</v>
      </c>
      <c r="CS24" s="93">
        <f t="shared" si="30"/>
        <v>0</v>
      </c>
      <c r="CV24" s="93">
        <f t="shared" si="31"/>
        <v>0</v>
      </c>
      <c r="CY24" s="93">
        <f t="shared" si="32"/>
        <v>0</v>
      </c>
      <c r="DB24" s="93">
        <f t="shared" si="33"/>
        <v>0</v>
      </c>
      <c r="DE24" s="93">
        <f t="shared" si="34"/>
        <v>0</v>
      </c>
      <c r="DH24" s="93">
        <f t="shared" si="35"/>
        <v>0</v>
      </c>
      <c r="DK24" s="93">
        <f t="shared" si="36"/>
        <v>0</v>
      </c>
      <c r="DN24" s="93">
        <f t="shared" si="37"/>
        <v>0</v>
      </c>
      <c r="DQ24" s="93">
        <f t="shared" si="38"/>
        <v>0</v>
      </c>
      <c r="DT24" s="93">
        <f t="shared" si="39"/>
        <v>0</v>
      </c>
      <c r="DW24" s="93">
        <f t="shared" si="40"/>
        <v>0</v>
      </c>
      <c r="DZ24" s="93"/>
      <c r="EA24" s="93"/>
      <c r="EB24" s="126">
        <f t="shared" si="41"/>
        <v>19875000</v>
      </c>
      <c r="EC24" s="126">
        <f t="shared" si="42"/>
        <v>0</v>
      </c>
      <c r="ED24" s="93">
        <f t="shared" si="43"/>
        <v>1264.2708333333333</v>
      </c>
      <c r="EE24" s="94">
        <f t="shared" si="44"/>
        <v>2.29E-2</v>
      </c>
      <c r="EG24" s="126">
        <f t="shared" si="45"/>
        <v>0</v>
      </c>
      <c r="EH24" s="93">
        <f t="shared" si="46"/>
        <v>0</v>
      </c>
      <c r="EI24" s="94">
        <f t="shared" si="47"/>
        <v>0</v>
      </c>
      <c r="EJ24" s="94"/>
      <c r="EK24" s="126">
        <f t="shared" si="48"/>
        <v>19875000</v>
      </c>
      <c r="EL24" s="126">
        <f t="shared" si="49"/>
        <v>0</v>
      </c>
      <c r="EM24" s="126">
        <f t="shared" si="50"/>
        <v>1264.2708333333333</v>
      </c>
      <c r="EN24" s="94">
        <f t="shared" si="51"/>
        <v>2.29E-2</v>
      </c>
      <c r="EP24" s="93"/>
    </row>
    <row r="25" spans="1:146" x14ac:dyDescent="0.25">
      <c r="A25" s="39">
        <f t="shared" si="52"/>
        <v>43692</v>
      </c>
      <c r="D25" s="93">
        <f t="shared" si="1"/>
        <v>0</v>
      </c>
      <c r="G25" s="93">
        <f t="shared" si="2"/>
        <v>0</v>
      </c>
      <c r="J25" s="93">
        <f t="shared" si="3"/>
        <v>0</v>
      </c>
      <c r="M25" s="93">
        <f t="shared" si="4"/>
        <v>0</v>
      </c>
      <c r="P25" s="93">
        <f t="shared" si="5"/>
        <v>0</v>
      </c>
      <c r="S25" s="93">
        <f t="shared" si="6"/>
        <v>0</v>
      </c>
      <c r="V25" s="93">
        <f t="shared" si="7"/>
        <v>0</v>
      </c>
      <c r="Y25" s="93">
        <f t="shared" si="8"/>
        <v>0</v>
      </c>
      <c r="AB25" s="93">
        <f t="shared" si="9"/>
        <v>0</v>
      </c>
      <c r="AE25" s="93">
        <f>(AC25*AD25)/'[11]Input Sheet'!$B$11</f>
        <v>0</v>
      </c>
      <c r="AH25" s="93">
        <f>(AF25*AG25)/'[11]Input Sheet'!$B$11</f>
        <v>0</v>
      </c>
      <c r="AI25" s="124">
        <f>10225000+125000</f>
        <v>10350000</v>
      </c>
      <c r="AJ25" s="125">
        <v>2.29E-2</v>
      </c>
      <c r="AK25" s="93">
        <f t="shared" si="10"/>
        <v>658.375</v>
      </c>
      <c r="AL25" s="124"/>
      <c r="AM25" s="125"/>
      <c r="AN25" s="93">
        <f t="shared" si="11"/>
        <v>0</v>
      </c>
      <c r="AO25" s="124"/>
      <c r="AP25" s="125"/>
      <c r="AQ25" s="93">
        <f t="shared" si="12"/>
        <v>0</v>
      </c>
      <c r="AR25" s="124"/>
      <c r="AS25" s="125"/>
      <c r="AT25" s="93">
        <f t="shared" si="13"/>
        <v>0</v>
      </c>
      <c r="AW25" s="93">
        <f t="shared" si="14"/>
        <v>0</v>
      </c>
      <c r="AZ25" s="93">
        <f t="shared" si="15"/>
        <v>0</v>
      </c>
      <c r="BC25" s="93">
        <f t="shared" si="16"/>
        <v>0</v>
      </c>
      <c r="BF25" s="93">
        <f t="shared" si="17"/>
        <v>0</v>
      </c>
      <c r="BI25" s="93">
        <f t="shared" si="18"/>
        <v>0</v>
      </c>
      <c r="BL25" s="93">
        <f t="shared" si="19"/>
        <v>0</v>
      </c>
      <c r="BO25" s="93">
        <f t="shared" si="20"/>
        <v>0</v>
      </c>
      <c r="BR25" s="93">
        <f t="shared" si="21"/>
        <v>0</v>
      </c>
      <c r="BU25" s="93">
        <f t="shared" si="22"/>
        <v>0</v>
      </c>
      <c r="BX25" s="93">
        <f t="shared" si="23"/>
        <v>0</v>
      </c>
      <c r="CA25" s="93">
        <f t="shared" si="24"/>
        <v>0</v>
      </c>
      <c r="CD25" s="93">
        <f t="shared" si="25"/>
        <v>0</v>
      </c>
      <c r="CG25" s="93">
        <f t="shared" si="26"/>
        <v>0</v>
      </c>
      <c r="CJ25" s="93">
        <f t="shared" si="27"/>
        <v>0</v>
      </c>
      <c r="CM25" s="93">
        <f t="shared" si="28"/>
        <v>0</v>
      </c>
      <c r="CP25" s="93">
        <f t="shared" si="29"/>
        <v>0</v>
      </c>
      <c r="CS25" s="93">
        <f t="shared" si="30"/>
        <v>0</v>
      </c>
      <c r="CV25" s="93">
        <f t="shared" si="31"/>
        <v>0</v>
      </c>
      <c r="CY25" s="93">
        <f t="shared" si="32"/>
        <v>0</v>
      </c>
      <c r="DB25" s="93">
        <f t="shared" si="33"/>
        <v>0</v>
      </c>
      <c r="DE25" s="93">
        <f t="shared" si="34"/>
        <v>0</v>
      </c>
      <c r="DH25" s="93">
        <f t="shared" si="35"/>
        <v>0</v>
      </c>
      <c r="DK25" s="93">
        <f t="shared" si="36"/>
        <v>0</v>
      </c>
      <c r="DN25" s="93">
        <f t="shared" si="37"/>
        <v>0</v>
      </c>
      <c r="DQ25" s="93">
        <f t="shared" si="38"/>
        <v>0</v>
      </c>
      <c r="DT25" s="93">
        <f t="shared" si="39"/>
        <v>0</v>
      </c>
      <c r="DW25" s="93">
        <f t="shared" si="40"/>
        <v>0</v>
      </c>
      <c r="DZ25" s="93"/>
      <c r="EA25" s="93"/>
      <c r="EB25" s="126">
        <f t="shared" si="41"/>
        <v>10350000</v>
      </c>
      <c r="EC25" s="126">
        <f t="shared" si="42"/>
        <v>0</v>
      </c>
      <c r="ED25" s="93">
        <f t="shared" si="43"/>
        <v>658.375</v>
      </c>
      <c r="EE25" s="94">
        <f t="shared" si="44"/>
        <v>2.29E-2</v>
      </c>
      <c r="EG25" s="126">
        <f t="shared" si="45"/>
        <v>0</v>
      </c>
      <c r="EH25" s="93">
        <f t="shared" si="46"/>
        <v>0</v>
      </c>
      <c r="EI25" s="94">
        <f t="shared" si="47"/>
        <v>0</v>
      </c>
      <c r="EJ25" s="94"/>
      <c r="EK25" s="126">
        <f t="shared" si="48"/>
        <v>10350000</v>
      </c>
      <c r="EL25" s="126">
        <f t="shared" si="49"/>
        <v>0</v>
      </c>
      <c r="EM25" s="126">
        <f t="shared" si="50"/>
        <v>658.375</v>
      </c>
      <c r="EN25" s="94">
        <f t="shared" si="51"/>
        <v>2.29E-2</v>
      </c>
      <c r="EP25" s="93"/>
    </row>
    <row r="26" spans="1:146" x14ac:dyDescent="0.25">
      <c r="A26" s="39">
        <f t="shared" si="52"/>
        <v>43693</v>
      </c>
      <c r="D26" s="93">
        <f t="shared" si="1"/>
        <v>0</v>
      </c>
      <c r="G26" s="93">
        <f t="shared" si="2"/>
        <v>0</v>
      </c>
      <c r="J26" s="93">
        <f t="shared" si="3"/>
        <v>0</v>
      </c>
      <c r="M26" s="93">
        <f t="shared" si="4"/>
        <v>0</v>
      </c>
      <c r="P26" s="93">
        <f t="shared" si="5"/>
        <v>0</v>
      </c>
      <c r="S26" s="93">
        <f t="shared" si="6"/>
        <v>0</v>
      </c>
      <c r="V26" s="93">
        <f t="shared" si="7"/>
        <v>0</v>
      </c>
      <c r="Y26" s="93">
        <f t="shared" si="8"/>
        <v>0</v>
      </c>
      <c r="AB26" s="93">
        <f t="shared" si="9"/>
        <v>0</v>
      </c>
      <c r="AE26" s="93">
        <f>(AC26*AD26)/'[11]Input Sheet'!$B$11</f>
        <v>0</v>
      </c>
      <c r="AH26" s="93">
        <f>(AF26*AG26)/'[11]Input Sheet'!$B$11</f>
        <v>0</v>
      </c>
      <c r="AI26" s="124"/>
      <c r="AJ26" s="125"/>
      <c r="AK26" s="93">
        <f t="shared" si="10"/>
        <v>0</v>
      </c>
      <c r="AL26" s="124"/>
      <c r="AM26" s="125"/>
      <c r="AN26" s="93">
        <f t="shared" si="11"/>
        <v>0</v>
      </c>
      <c r="AO26" s="124"/>
      <c r="AP26" s="125"/>
      <c r="AQ26" s="93">
        <f t="shared" si="12"/>
        <v>0</v>
      </c>
      <c r="AR26" s="124"/>
      <c r="AS26" s="125"/>
      <c r="AT26" s="93">
        <f t="shared" si="13"/>
        <v>0</v>
      </c>
      <c r="AW26" s="93">
        <f t="shared" si="14"/>
        <v>0</v>
      </c>
      <c r="AZ26" s="93">
        <f t="shared" si="15"/>
        <v>0</v>
      </c>
      <c r="BC26" s="93">
        <f t="shared" si="16"/>
        <v>0</v>
      </c>
      <c r="BF26" s="93">
        <f t="shared" si="17"/>
        <v>0</v>
      </c>
      <c r="BI26" s="93">
        <f t="shared" si="18"/>
        <v>0</v>
      </c>
      <c r="BL26" s="93">
        <f t="shared" si="19"/>
        <v>0</v>
      </c>
      <c r="BO26" s="93">
        <f t="shared" si="20"/>
        <v>0</v>
      </c>
      <c r="BR26" s="93">
        <f t="shared" si="21"/>
        <v>0</v>
      </c>
      <c r="BU26" s="93">
        <f t="shared" si="22"/>
        <v>0</v>
      </c>
      <c r="BX26" s="93">
        <f t="shared" si="23"/>
        <v>0</v>
      </c>
      <c r="CA26" s="93">
        <f t="shared" si="24"/>
        <v>0</v>
      </c>
      <c r="CD26" s="93">
        <f t="shared" si="25"/>
        <v>0</v>
      </c>
      <c r="CG26" s="93">
        <f t="shared" si="26"/>
        <v>0</v>
      </c>
      <c r="CJ26" s="93">
        <f t="shared" si="27"/>
        <v>0</v>
      </c>
      <c r="CM26" s="93">
        <f t="shared" si="28"/>
        <v>0</v>
      </c>
      <c r="CP26" s="93">
        <f t="shared" si="29"/>
        <v>0</v>
      </c>
      <c r="CS26" s="93">
        <f t="shared" si="30"/>
        <v>0</v>
      </c>
      <c r="CV26" s="93">
        <f t="shared" si="31"/>
        <v>0</v>
      </c>
      <c r="CY26" s="93">
        <f t="shared" si="32"/>
        <v>0</v>
      </c>
      <c r="DB26" s="93">
        <f t="shared" si="33"/>
        <v>0</v>
      </c>
      <c r="DE26" s="93">
        <f t="shared" si="34"/>
        <v>0</v>
      </c>
      <c r="DH26" s="93">
        <f t="shared" si="35"/>
        <v>0</v>
      </c>
      <c r="DK26" s="93">
        <f t="shared" si="36"/>
        <v>0</v>
      </c>
      <c r="DN26" s="93">
        <f t="shared" si="37"/>
        <v>0</v>
      </c>
      <c r="DQ26" s="93">
        <f t="shared" si="38"/>
        <v>0</v>
      </c>
      <c r="DT26" s="93">
        <f t="shared" si="39"/>
        <v>0</v>
      </c>
      <c r="DW26" s="93">
        <f t="shared" si="40"/>
        <v>0</v>
      </c>
      <c r="DZ26" s="93"/>
      <c r="EA26" s="93"/>
      <c r="EB26" s="126">
        <f t="shared" si="41"/>
        <v>0</v>
      </c>
      <c r="EC26" s="126">
        <f t="shared" si="42"/>
        <v>0</v>
      </c>
      <c r="ED26" s="93">
        <f t="shared" si="43"/>
        <v>0</v>
      </c>
      <c r="EE26" s="94">
        <f t="shared" si="44"/>
        <v>0</v>
      </c>
      <c r="EG26" s="126">
        <f t="shared" si="45"/>
        <v>0</v>
      </c>
      <c r="EH26" s="93">
        <f t="shared" si="46"/>
        <v>0</v>
      </c>
      <c r="EI26" s="94">
        <f t="shared" si="47"/>
        <v>0</v>
      </c>
      <c r="EJ26" s="94"/>
      <c r="EK26" s="126">
        <f t="shared" si="48"/>
        <v>0</v>
      </c>
      <c r="EL26" s="126">
        <f t="shared" si="49"/>
        <v>0</v>
      </c>
      <c r="EM26" s="126">
        <f t="shared" si="50"/>
        <v>0</v>
      </c>
      <c r="EN26" s="94">
        <f t="shared" si="51"/>
        <v>0</v>
      </c>
      <c r="EP26" s="93"/>
    </row>
    <row r="27" spans="1:146" x14ac:dyDescent="0.25">
      <c r="A27" s="39">
        <f t="shared" si="52"/>
        <v>43694</v>
      </c>
      <c r="D27" s="93">
        <f t="shared" si="1"/>
        <v>0</v>
      </c>
      <c r="G27" s="93">
        <f t="shared" si="2"/>
        <v>0</v>
      </c>
      <c r="J27" s="93">
        <f t="shared" si="3"/>
        <v>0</v>
      </c>
      <c r="M27" s="93">
        <f t="shared" si="4"/>
        <v>0</v>
      </c>
      <c r="P27" s="93">
        <f t="shared" si="5"/>
        <v>0</v>
      </c>
      <c r="S27" s="93">
        <f t="shared" si="6"/>
        <v>0</v>
      </c>
      <c r="V27" s="93">
        <f t="shared" si="7"/>
        <v>0</v>
      </c>
      <c r="Y27" s="93">
        <f t="shared" si="8"/>
        <v>0</v>
      </c>
      <c r="AB27" s="93">
        <f t="shared" si="9"/>
        <v>0</v>
      </c>
      <c r="AE27" s="93">
        <f>(AC27*AD27)/'[11]Input Sheet'!$B$11</f>
        <v>0</v>
      </c>
      <c r="AH27" s="93">
        <f>(AF27*AG27)/'[11]Input Sheet'!$B$11</f>
        <v>0</v>
      </c>
      <c r="AI27" s="124"/>
      <c r="AJ27" s="125"/>
      <c r="AK27" s="93">
        <f t="shared" si="10"/>
        <v>0</v>
      </c>
      <c r="AL27" s="124"/>
      <c r="AM27" s="125"/>
      <c r="AN27" s="93">
        <f t="shared" si="11"/>
        <v>0</v>
      </c>
      <c r="AO27" s="124"/>
      <c r="AP27" s="125"/>
      <c r="AQ27" s="93">
        <f t="shared" si="12"/>
        <v>0</v>
      </c>
      <c r="AR27" s="124"/>
      <c r="AS27" s="125"/>
      <c r="AT27" s="93">
        <f t="shared" si="13"/>
        <v>0</v>
      </c>
      <c r="AW27" s="93">
        <f t="shared" si="14"/>
        <v>0</v>
      </c>
      <c r="AZ27" s="93">
        <f t="shared" si="15"/>
        <v>0</v>
      </c>
      <c r="BC27" s="93">
        <f t="shared" si="16"/>
        <v>0</v>
      </c>
      <c r="BF27" s="93">
        <f t="shared" si="17"/>
        <v>0</v>
      </c>
      <c r="BI27" s="93">
        <f t="shared" si="18"/>
        <v>0</v>
      </c>
      <c r="BL27" s="93">
        <f t="shared" si="19"/>
        <v>0</v>
      </c>
      <c r="BO27" s="93">
        <f t="shared" si="20"/>
        <v>0</v>
      </c>
      <c r="BR27" s="93">
        <f t="shared" si="21"/>
        <v>0</v>
      </c>
      <c r="BU27" s="93">
        <f t="shared" si="22"/>
        <v>0</v>
      </c>
      <c r="BX27" s="93">
        <f t="shared" si="23"/>
        <v>0</v>
      </c>
      <c r="CA27" s="93">
        <f t="shared" si="24"/>
        <v>0</v>
      </c>
      <c r="CD27" s="93">
        <f t="shared" si="25"/>
        <v>0</v>
      </c>
      <c r="CG27" s="93">
        <f t="shared" si="26"/>
        <v>0</v>
      </c>
      <c r="CJ27" s="93">
        <f t="shared" si="27"/>
        <v>0</v>
      </c>
      <c r="CM27" s="93">
        <f t="shared" si="28"/>
        <v>0</v>
      </c>
      <c r="CP27" s="93">
        <f t="shared" si="29"/>
        <v>0</v>
      </c>
      <c r="CS27" s="93">
        <f t="shared" si="30"/>
        <v>0</v>
      </c>
      <c r="CV27" s="93">
        <f t="shared" si="31"/>
        <v>0</v>
      </c>
      <c r="CY27" s="93">
        <f t="shared" si="32"/>
        <v>0</v>
      </c>
      <c r="DB27" s="93">
        <f t="shared" si="33"/>
        <v>0</v>
      </c>
      <c r="DE27" s="93">
        <f t="shared" si="34"/>
        <v>0</v>
      </c>
      <c r="DH27" s="93">
        <f t="shared" si="35"/>
        <v>0</v>
      </c>
      <c r="DK27" s="93">
        <f t="shared" si="36"/>
        <v>0</v>
      </c>
      <c r="DN27" s="93">
        <f t="shared" si="37"/>
        <v>0</v>
      </c>
      <c r="DQ27" s="93">
        <f t="shared" si="38"/>
        <v>0</v>
      </c>
      <c r="DT27" s="93">
        <f t="shared" si="39"/>
        <v>0</v>
      </c>
      <c r="DW27" s="93">
        <f t="shared" si="40"/>
        <v>0</v>
      </c>
      <c r="DZ27" s="93"/>
      <c r="EA27" s="93"/>
      <c r="EB27" s="126">
        <f t="shared" si="41"/>
        <v>0</v>
      </c>
      <c r="EC27" s="126">
        <f t="shared" si="42"/>
        <v>0</v>
      </c>
      <c r="ED27" s="93">
        <f t="shared" si="43"/>
        <v>0</v>
      </c>
      <c r="EE27" s="94">
        <f t="shared" si="44"/>
        <v>0</v>
      </c>
      <c r="EG27" s="126">
        <f t="shared" si="45"/>
        <v>0</v>
      </c>
      <c r="EH27" s="93">
        <f t="shared" si="46"/>
        <v>0</v>
      </c>
      <c r="EI27" s="94">
        <f t="shared" si="47"/>
        <v>0</v>
      </c>
      <c r="EJ27" s="94"/>
      <c r="EK27" s="126">
        <f t="shared" si="48"/>
        <v>0</v>
      </c>
      <c r="EL27" s="126">
        <f t="shared" si="49"/>
        <v>0</v>
      </c>
      <c r="EM27" s="126">
        <f t="shared" si="50"/>
        <v>0</v>
      </c>
      <c r="EN27" s="94">
        <f t="shared" si="51"/>
        <v>0</v>
      </c>
      <c r="EP27" s="93"/>
    </row>
    <row r="28" spans="1:146" x14ac:dyDescent="0.25">
      <c r="A28" s="39">
        <f t="shared" si="52"/>
        <v>43695</v>
      </c>
      <c r="D28" s="93">
        <f t="shared" si="1"/>
        <v>0</v>
      </c>
      <c r="G28" s="93">
        <f t="shared" si="2"/>
        <v>0</v>
      </c>
      <c r="J28" s="93">
        <f t="shared" si="3"/>
        <v>0</v>
      </c>
      <c r="M28" s="93">
        <f t="shared" si="4"/>
        <v>0</v>
      </c>
      <c r="P28" s="93">
        <f t="shared" si="5"/>
        <v>0</v>
      </c>
      <c r="S28" s="93">
        <f t="shared" si="6"/>
        <v>0</v>
      </c>
      <c r="V28" s="93">
        <f t="shared" si="7"/>
        <v>0</v>
      </c>
      <c r="Y28" s="93">
        <f t="shared" si="8"/>
        <v>0</v>
      </c>
      <c r="AB28" s="93">
        <f t="shared" si="9"/>
        <v>0</v>
      </c>
      <c r="AE28" s="93">
        <f>(AC28*AD28)/'[11]Input Sheet'!$B$11</f>
        <v>0</v>
      </c>
      <c r="AH28" s="93">
        <f>(AF28*AG28)/'[11]Input Sheet'!$B$11</f>
        <v>0</v>
      </c>
      <c r="AI28" s="124"/>
      <c r="AJ28" s="125"/>
      <c r="AK28" s="93">
        <f t="shared" si="10"/>
        <v>0</v>
      </c>
      <c r="AL28" s="124"/>
      <c r="AM28" s="125"/>
      <c r="AN28" s="93">
        <f t="shared" si="11"/>
        <v>0</v>
      </c>
      <c r="AO28" s="124"/>
      <c r="AP28" s="125"/>
      <c r="AQ28" s="93">
        <f t="shared" si="12"/>
        <v>0</v>
      </c>
      <c r="AR28" s="124"/>
      <c r="AS28" s="125"/>
      <c r="AT28" s="93">
        <f t="shared" si="13"/>
        <v>0</v>
      </c>
      <c r="AW28" s="93">
        <f t="shared" si="14"/>
        <v>0</v>
      </c>
      <c r="AZ28" s="93">
        <f t="shared" si="15"/>
        <v>0</v>
      </c>
      <c r="BC28" s="93">
        <f t="shared" si="16"/>
        <v>0</v>
      </c>
      <c r="BF28" s="93">
        <f t="shared" si="17"/>
        <v>0</v>
      </c>
      <c r="BI28" s="93">
        <f t="shared" si="18"/>
        <v>0</v>
      </c>
      <c r="BL28" s="93">
        <f t="shared" si="19"/>
        <v>0</v>
      </c>
      <c r="BO28" s="93">
        <f t="shared" si="20"/>
        <v>0</v>
      </c>
      <c r="BR28" s="93">
        <f t="shared" si="21"/>
        <v>0</v>
      </c>
      <c r="BU28" s="93">
        <f t="shared" si="22"/>
        <v>0</v>
      </c>
      <c r="BX28" s="93">
        <f t="shared" si="23"/>
        <v>0</v>
      </c>
      <c r="CA28" s="93">
        <f t="shared" si="24"/>
        <v>0</v>
      </c>
      <c r="CD28" s="93">
        <f t="shared" si="25"/>
        <v>0</v>
      </c>
      <c r="CG28" s="93">
        <f t="shared" si="26"/>
        <v>0</v>
      </c>
      <c r="CJ28" s="93">
        <f t="shared" si="27"/>
        <v>0</v>
      </c>
      <c r="CM28" s="93">
        <f t="shared" si="28"/>
        <v>0</v>
      </c>
      <c r="CP28" s="93">
        <f t="shared" si="29"/>
        <v>0</v>
      </c>
      <c r="CS28" s="93">
        <f t="shared" si="30"/>
        <v>0</v>
      </c>
      <c r="CV28" s="93">
        <f t="shared" si="31"/>
        <v>0</v>
      </c>
      <c r="CY28" s="93">
        <f t="shared" si="32"/>
        <v>0</v>
      </c>
      <c r="DB28" s="93">
        <f t="shared" si="33"/>
        <v>0</v>
      </c>
      <c r="DE28" s="93">
        <f t="shared" si="34"/>
        <v>0</v>
      </c>
      <c r="DH28" s="93">
        <f t="shared" si="35"/>
        <v>0</v>
      </c>
      <c r="DK28" s="93">
        <f t="shared" si="36"/>
        <v>0</v>
      </c>
      <c r="DN28" s="93">
        <f t="shared" si="37"/>
        <v>0</v>
      </c>
      <c r="DQ28" s="93">
        <f t="shared" si="38"/>
        <v>0</v>
      </c>
      <c r="DT28" s="93">
        <f t="shared" si="39"/>
        <v>0</v>
      </c>
      <c r="DW28" s="93">
        <f t="shared" si="40"/>
        <v>0</v>
      </c>
      <c r="DZ28" s="93"/>
      <c r="EA28" s="93"/>
      <c r="EB28" s="126">
        <f t="shared" si="41"/>
        <v>0</v>
      </c>
      <c r="EC28" s="126">
        <f t="shared" si="42"/>
        <v>0</v>
      </c>
      <c r="ED28" s="93">
        <f t="shared" si="43"/>
        <v>0</v>
      </c>
      <c r="EE28" s="94">
        <f t="shared" si="44"/>
        <v>0</v>
      </c>
      <c r="EG28" s="126">
        <f t="shared" si="45"/>
        <v>0</v>
      </c>
      <c r="EH28" s="93">
        <f t="shared" si="46"/>
        <v>0</v>
      </c>
      <c r="EI28" s="94">
        <f t="shared" si="47"/>
        <v>0</v>
      </c>
      <c r="EJ28" s="94"/>
      <c r="EK28" s="126">
        <f t="shared" si="48"/>
        <v>0</v>
      </c>
      <c r="EL28" s="126">
        <f t="shared" si="49"/>
        <v>0</v>
      </c>
      <c r="EM28" s="126">
        <f t="shared" si="50"/>
        <v>0</v>
      </c>
      <c r="EN28" s="94">
        <f t="shared" si="51"/>
        <v>0</v>
      </c>
      <c r="EP28" s="93"/>
    </row>
    <row r="29" spans="1:146" x14ac:dyDescent="0.25">
      <c r="A29" s="39">
        <f t="shared" si="52"/>
        <v>43696</v>
      </c>
      <c r="D29" s="93">
        <f t="shared" si="1"/>
        <v>0</v>
      </c>
      <c r="G29" s="93">
        <f t="shared" si="2"/>
        <v>0</v>
      </c>
      <c r="J29" s="93">
        <f t="shared" si="3"/>
        <v>0</v>
      </c>
      <c r="M29" s="93">
        <f t="shared" si="4"/>
        <v>0</v>
      </c>
      <c r="P29" s="93">
        <f t="shared" si="5"/>
        <v>0</v>
      </c>
      <c r="S29" s="93">
        <f t="shared" si="6"/>
        <v>0</v>
      </c>
      <c r="V29" s="93">
        <f t="shared" si="7"/>
        <v>0</v>
      </c>
      <c r="Y29" s="93">
        <f t="shared" si="8"/>
        <v>0</v>
      </c>
      <c r="AB29" s="93">
        <f t="shared" si="9"/>
        <v>0</v>
      </c>
      <c r="AE29" s="93">
        <f>(AC29*AD29)/'[11]Input Sheet'!$B$11</f>
        <v>0</v>
      </c>
      <c r="AH29" s="93">
        <f>(AF29*AG29)/'[11]Input Sheet'!$B$11</f>
        <v>0</v>
      </c>
      <c r="AI29" s="124"/>
      <c r="AJ29" s="125"/>
      <c r="AK29" s="93">
        <f t="shared" si="10"/>
        <v>0</v>
      </c>
      <c r="AL29" s="124"/>
      <c r="AM29" s="125"/>
      <c r="AN29" s="93">
        <f t="shared" si="11"/>
        <v>0</v>
      </c>
      <c r="AO29" s="124"/>
      <c r="AP29" s="125"/>
      <c r="AQ29" s="93">
        <f t="shared" si="12"/>
        <v>0</v>
      </c>
      <c r="AR29" s="124"/>
      <c r="AS29" s="125"/>
      <c r="AT29" s="93">
        <f t="shared" si="13"/>
        <v>0</v>
      </c>
      <c r="AW29" s="93">
        <f t="shared" si="14"/>
        <v>0</v>
      </c>
      <c r="AZ29" s="93">
        <f t="shared" si="15"/>
        <v>0</v>
      </c>
      <c r="BC29" s="93">
        <f t="shared" si="16"/>
        <v>0</v>
      </c>
      <c r="BF29" s="93">
        <f t="shared" si="17"/>
        <v>0</v>
      </c>
      <c r="BI29" s="93">
        <f t="shared" si="18"/>
        <v>0</v>
      </c>
      <c r="BL29" s="93">
        <f t="shared" si="19"/>
        <v>0</v>
      </c>
      <c r="BO29" s="93">
        <f t="shared" si="20"/>
        <v>0</v>
      </c>
      <c r="BR29" s="93">
        <f t="shared" si="21"/>
        <v>0</v>
      </c>
      <c r="BU29" s="93">
        <f t="shared" si="22"/>
        <v>0</v>
      </c>
      <c r="BX29" s="93">
        <f t="shared" si="23"/>
        <v>0</v>
      </c>
      <c r="CA29" s="93">
        <f t="shared" si="24"/>
        <v>0</v>
      </c>
      <c r="CD29" s="93">
        <f t="shared" si="25"/>
        <v>0</v>
      </c>
      <c r="CG29" s="93">
        <f t="shared" si="26"/>
        <v>0</v>
      </c>
      <c r="CJ29" s="93">
        <f t="shared" si="27"/>
        <v>0</v>
      </c>
      <c r="CM29" s="93">
        <f t="shared" si="28"/>
        <v>0</v>
      </c>
      <c r="CP29" s="93">
        <f t="shared" si="29"/>
        <v>0</v>
      </c>
      <c r="CS29" s="93">
        <f t="shared" si="30"/>
        <v>0</v>
      </c>
      <c r="CV29" s="93">
        <f t="shared" si="31"/>
        <v>0</v>
      </c>
      <c r="CY29" s="93">
        <f t="shared" si="32"/>
        <v>0</v>
      </c>
      <c r="DB29" s="93">
        <f t="shared" si="33"/>
        <v>0</v>
      </c>
      <c r="DE29" s="93">
        <f t="shared" si="34"/>
        <v>0</v>
      </c>
      <c r="DH29" s="93">
        <f t="shared" si="35"/>
        <v>0</v>
      </c>
      <c r="DK29" s="93">
        <f t="shared" si="36"/>
        <v>0</v>
      </c>
      <c r="DN29" s="93">
        <f t="shared" si="37"/>
        <v>0</v>
      </c>
      <c r="DQ29" s="93">
        <f t="shared" si="38"/>
        <v>0</v>
      </c>
      <c r="DT29" s="93">
        <f t="shared" si="39"/>
        <v>0</v>
      </c>
      <c r="DW29" s="93">
        <f t="shared" si="40"/>
        <v>0</v>
      </c>
      <c r="DZ29" s="93"/>
      <c r="EA29" s="93"/>
      <c r="EB29" s="126">
        <f t="shared" si="41"/>
        <v>0</v>
      </c>
      <c r="EC29" s="126">
        <f t="shared" si="42"/>
        <v>0</v>
      </c>
      <c r="ED29" s="93">
        <f t="shared" si="43"/>
        <v>0</v>
      </c>
      <c r="EE29" s="94">
        <f t="shared" si="44"/>
        <v>0</v>
      </c>
      <c r="EG29" s="126">
        <f t="shared" si="45"/>
        <v>0</v>
      </c>
      <c r="EH29" s="93">
        <f t="shared" si="46"/>
        <v>0</v>
      </c>
      <c r="EI29" s="94">
        <f t="shared" si="47"/>
        <v>0</v>
      </c>
      <c r="EJ29" s="94"/>
      <c r="EK29" s="126">
        <f t="shared" si="48"/>
        <v>0</v>
      </c>
      <c r="EL29" s="126">
        <f t="shared" si="49"/>
        <v>0</v>
      </c>
      <c r="EM29" s="126">
        <f t="shared" si="50"/>
        <v>0</v>
      </c>
      <c r="EN29" s="94">
        <f t="shared" si="51"/>
        <v>0</v>
      </c>
      <c r="EP29" s="93"/>
    </row>
    <row r="30" spans="1:146" x14ac:dyDescent="0.25">
      <c r="A30" s="39">
        <f t="shared" si="52"/>
        <v>43697</v>
      </c>
      <c r="D30" s="93">
        <f t="shared" si="1"/>
        <v>0</v>
      </c>
      <c r="G30" s="93">
        <f t="shared" si="2"/>
        <v>0</v>
      </c>
      <c r="J30" s="93">
        <f t="shared" si="3"/>
        <v>0</v>
      </c>
      <c r="M30" s="93">
        <f t="shared" si="4"/>
        <v>0</v>
      </c>
      <c r="P30" s="93">
        <f t="shared" si="5"/>
        <v>0</v>
      </c>
      <c r="S30" s="93">
        <f t="shared" si="6"/>
        <v>0</v>
      </c>
      <c r="V30" s="93">
        <f t="shared" si="7"/>
        <v>0</v>
      </c>
      <c r="Y30" s="93">
        <f t="shared" si="8"/>
        <v>0</v>
      </c>
      <c r="AB30" s="93">
        <f t="shared" si="9"/>
        <v>0</v>
      </c>
      <c r="AE30" s="93">
        <f>(AC30*AD30)/'[11]Input Sheet'!$B$11</f>
        <v>0</v>
      </c>
      <c r="AH30" s="93">
        <f>(AF30*AG30)/'[11]Input Sheet'!$B$11</f>
        <v>0</v>
      </c>
      <c r="AI30" s="124"/>
      <c r="AJ30" s="125"/>
      <c r="AK30" s="93">
        <f t="shared" si="10"/>
        <v>0</v>
      </c>
      <c r="AL30" s="124"/>
      <c r="AM30" s="125"/>
      <c r="AN30" s="93">
        <f t="shared" si="11"/>
        <v>0</v>
      </c>
      <c r="AO30" s="124"/>
      <c r="AP30" s="125"/>
      <c r="AQ30" s="93">
        <f t="shared" si="12"/>
        <v>0</v>
      </c>
      <c r="AR30" s="124"/>
      <c r="AS30" s="125"/>
      <c r="AT30" s="93">
        <f t="shared" si="13"/>
        <v>0</v>
      </c>
      <c r="AW30" s="93">
        <f t="shared" si="14"/>
        <v>0</v>
      </c>
      <c r="AZ30" s="93">
        <f t="shared" si="15"/>
        <v>0</v>
      </c>
      <c r="BC30" s="93">
        <f t="shared" si="16"/>
        <v>0</v>
      </c>
      <c r="BF30" s="93">
        <f t="shared" si="17"/>
        <v>0</v>
      </c>
      <c r="BI30" s="93">
        <f t="shared" si="18"/>
        <v>0</v>
      </c>
      <c r="BL30" s="93">
        <f t="shared" si="19"/>
        <v>0</v>
      </c>
      <c r="BO30" s="93">
        <f t="shared" si="20"/>
        <v>0</v>
      </c>
      <c r="BR30" s="93">
        <f t="shared" si="21"/>
        <v>0</v>
      </c>
      <c r="BU30" s="93">
        <f t="shared" si="22"/>
        <v>0</v>
      </c>
      <c r="BX30" s="93">
        <f t="shared" si="23"/>
        <v>0</v>
      </c>
      <c r="CA30" s="93">
        <f t="shared" si="24"/>
        <v>0</v>
      </c>
      <c r="CD30" s="93">
        <f t="shared" si="25"/>
        <v>0</v>
      </c>
      <c r="CG30" s="93">
        <f t="shared" si="26"/>
        <v>0</v>
      </c>
      <c r="CJ30" s="93">
        <f t="shared" si="27"/>
        <v>0</v>
      </c>
      <c r="CM30" s="93">
        <f t="shared" si="28"/>
        <v>0</v>
      </c>
      <c r="CP30" s="93">
        <f t="shared" si="29"/>
        <v>0</v>
      </c>
      <c r="CS30" s="93">
        <f t="shared" si="30"/>
        <v>0</v>
      </c>
      <c r="CV30" s="93">
        <f t="shared" si="31"/>
        <v>0</v>
      </c>
      <c r="CY30" s="93">
        <f t="shared" si="32"/>
        <v>0</v>
      </c>
      <c r="DB30" s="93">
        <f t="shared" si="33"/>
        <v>0</v>
      </c>
      <c r="DE30" s="93">
        <f t="shared" si="34"/>
        <v>0</v>
      </c>
      <c r="DH30" s="93">
        <f t="shared" si="35"/>
        <v>0</v>
      </c>
      <c r="DK30" s="93">
        <f t="shared" si="36"/>
        <v>0</v>
      </c>
      <c r="DN30" s="93">
        <f t="shared" si="37"/>
        <v>0</v>
      </c>
      <c r="DQ30" s="93">
        <f t="shared" si="38"/>
        <v>0</v>
      </c>
      <c r="DT30" s="93">
        <f t="shared" si="39"/>
        <v>0</v>
      </c>
      <c r="DW30" s="93">
        <f t="shared" si="40"/>
        <v>0</v>
      </c>
      <c r="DZ30" s="93"/>
      <c r="EA30" s="93"/>
      <c r="EB30" s="126">
        <f t="shared" si="41"/>
        <v>0</v>
      </c>
      <c r="EC30" s="126">
        <f t="shared" si="42"/>
        <v>0</v>
      </c>
      <c r="ED30" s="93">
        <f t="shared" si="43"/>
        <v>0</v>
      </c>
      <c r="EE30" s="94">
        <f t="shared" si="44"/>
        <v>0</v>
      </c>
      <c r="EG30" s="126">
        <f t="shared" si="45"/>
        <v>0</v>
      </c>
      <c r="EH30" s="93">
        <f t="shared" si="46"/>
        <v>0</v>
      </c>
      <c r="EI30" s="94">
        <f t="shared" si="47"/>
        <v>0</v>
      </c>
      <c r="EJ30" s="94"/>
      <c r="EK30" s="126">
        <f t="shared" si="48"/>
        <v>0</v>
      </c>
      <c r="EL30" s="126">
        <f t="shared" si="49"/>
        <v>0</v>
      </c>
      <c r="EM30" s="126">
        <f t="shared" si="50"/>
        <v>0</v>
      </c>
      <c r="EN30" s="94">
        <f t="shared" si="51"/>
        <v>0</v>
      </c>
      <c r="EP30" s="93"/>
    </row>
    <row r="31" spans="1:146" x14ac:dyDescent="0.25">
      <c r="A31" s="39">
        <f t="shared" si="52"/>
        <v>43698</v>
      </c>
      <c r="D31" s="93">
        <f t="shared" si="1"/>
        <v>0</v>
      </c>
      <c r="G31" s="93">
        <f t="shared" si="2"/>
        <v>0</v>
      </c>
      <c r="J31" s="93">
        <f t="shared" si="3"/>
        <v>0</v>
      </c>
      <c r="M31" s="93">
        <f t="shared" si="4"/>
        <v>0</v>
      </c>
      <c r="P31" s="93">
        <f t="shared" si="5"/>
        <v>0</v>
      </c>
      <c r="S31" s="93">
        <f t="shared" si="6"/>
        <v>0</v>
      </c>
      <c r="V31" s="93">
        <f t="shared" si="7"/>
        <v>0</v>
      </c>
      <c r="Y31" s="93">
        <f t="shared" si="8"/>
        <v>0</v>
      </c>
      <c r="AB31" s="93">
        <f t="shared" si="9"/>
        <v>0</v>
      </c>
      <c r="AE31" s="93">
        <f>(AC31*AD31)/'[11]Input Sheet'!$B$11</f>
        <v>0</v>
      </c>
      <c r="AH31" s="93">
        <f>(AF31*AG31)/'[11]Input Sheet'!$B$11</f>
        <v>0</v>
      </c>
      <c r="AI31" s="124"/>
      <c r="AJ31" s="125"/>
      <c r="AK31" s="93">
        <f t="shared" si="10"/>
        <v>0</v>
      </c>
      <c r="AL31" s="124"/>
      <c r="AM31" s="125"/>
      <c r="AN31" s="93">
        <f t="shared" si="11"/>
        <v>0</v>
      </c>
      <c r="AO31" s="124"/>
      <c r="AP31" s="125"/>
      <c r="AQ31" s="93">
        <f t="shared" si="12"/>
        <v>0</v>
      </c>
      <c r="AR31" s="124"/>
      <c r="AS31" s="125"/>
      <c r="AT31" s="93">
        <f t="shared" si="13"/>
        <v>0</v>
      </c>
      <c r="AW31" s="93">
        <f t="shared" si="14"/>
        <v>0</v>
      </c>
      <c r="AZ31" s="93">
        <f t="shared" si="15"/>
        <v>0</v>
      </c>
      <c r="BC31" s="93">
        <f t="shared" si="16"/>
        <v>0</v>
      </c>
      <c r="BF31" s="93">
        <f t="shared" si="17"/>
        <v>0</v>
      </c>
      <c r="BI31" s="93">
        <f t="shared" si="18"/>
        <v>0</v>
      </c>
      <c r="BL31" s="93">
        <f t="shared" si="19"/>
        <v>0</v>
      </c>
      <c r="BO31" s="93">
        <f t="shared" si="20"/>
        <v>0</v>
      </c>
      <c r="BR31" s="93">
        <f t="shared" si="21"/>
        <v>0</v>
      </c>
      <c r="BU31" s="93">
        <f t="shared" si="22"/>
        <v>0</v>
      </c>
      <c r="BX31" s="93">
        <f t="shared" si="23"/>
        <v>0</v>
      </c>
      <c r="CA31" s="93">
        <f t="shared" si="24"/>
        <v>0</v>
      </c>
      <c r="CD31" s="93">
        <f t="shared" si="25"/>
        <v>0</v>
      </c>
      <c r="CG31" s="93">
        <f t="shared" si="26"/>
        <v>0</v>
      </c>
      <c r="CJ31" s="93">
        <f t="shared" si="27"/>
        <v>0</v>
      </c>
      <c r="CM31" s="93">
        <f t="shared" si="28"/>
        <v>0</v>
      </c>
      <c r="CP31" s="93">
        <f t="shared" si="29"/>
        <v>0</v>
      </c>
      <c r="CS31" s="93">
        <f t="shared" si="30"/>
        <v>0</v>
      </c>
      <c r="CV31" s="93">
        <f t="shared" si="31"/>
        <v>0</v>
      </c>
      <c r="CY31" s="93">
        <f t="shared" si="32"/>
        <v>0</v>
      </c>
      <c r="DB31" s="93">
        <f t="shared" si="33"/>
        <v>0</v>
      </c>
      <c r="DE31" s="93">
        <f t="shared" si="34"/>
        <v>0</v>
      </c>
      <c r="DH31" s="93">
        <f t="shared" si="35"/>
        <v>0</v>
      </c>
      <c r="DK31" s="93">
        <f t="shared" si="36"/>
        <v>0</v>
      </c>
      <c r="DN31" s="93">
        <f t="shared" si="37"/>
        <v>0</v>
      </c>
      <c r="DQ31" s="93">
        <f t="shared" si="38"/>
        <v>0</v>
      </c>
      <c r="DT31" s="93">
        <f t="shared" si="39"/>
        <v>0</v>
      </c>
      <c r="DW31" s="93">
        <f t="shared" si="40"/>
        <v>0</v>
      </c>
      <c r="DZ31" s="93"/>
      <c r="EA31" s="93"/>
      <c r="EB31" s="126">
        <f t="shared" si="41"/>
        <v>0</v>
      </c>
      <c r="EC31" s="126">
        <f t="shared" si="42"/>
        <v>0</v>
      </c>
      <c r="ED31" s="93">
        <f t="shared" si="43"/>
        <v>0</v>
      </c>
      <c r="EE31" s="94">
        <f t="shared" si="44"/>
        <v>0</v>
      </c>
      <c r="EG31" s="126">
        <f t="shared" si="45"/>
        <v>0</v>
      </c>
      <c r="EH31" s="93">
        <f t="shared" si="46"/>
        <v>0</v>
      </c>
      <c r="EI31" s="94">
        <f t="shared" si="47"/>
        <v>0</v>
      </c>
      <c r="EJ31" s="94"/>
      <c r="EK31" s="126">
        <f t="shared" si="48"/>
        <v>0</v>
      </c>
      <c r="EL31" s="126">
        <f t="shared" si="49"/>
        <v>0</v>
      </c>
      <c r="EM31" s="126">
        <f t="shared" si="50"/>
        <v>0</v>
      </c>
      <c r="EN31" s="94">
        <f t="shared" si="51"/>
        <v>0</v>
      </c>
      <c r="EP31" s="93"/>
    </row>
    <row r="32" spans="1:146" x14ac:dyDescent="0.25">
      <c r="A32" s="39">
        <f t="shared" si="52"/>
        <v>43699</v>
      </c>
      <c r="D32" s="93">
        <f t="shared" si="1"/>
        <v>0</v>
      </c>
      <c r="G32" s="93">
        <f t="shared" si="2"/>
        <v>0</v>
      </c>
      <c r="J32" s="93">
        <f t="shared" si="3"/>
        <v>0</v>
      </c>
      <c r="M32" s="93">
        <f t="shared" si="4"/>
        <v>0</v>
      </c>
      <c r="P32" s="93">
        <f t="shared" si="5"/>
        <v>0</v>
      </c>
      <c r="S32" s="93">
        <f t="shared" si="6"/>
        <v>0</v>
      </c>
      <c r="V32" s="93">
        <f t="shared" si="7"/>
        <v>0</v>
      </c>
      <c r="Y32" s="93">
        <f t="shared" si="8"/>
        <v>0</v>
      </c>
      <c r="AB32" s="93">
        <f t="shared" si="9"/>
        <v>0</v>
      </c>
      <c r="AE32" s="93">
        <f>(AC32*AD32)/'[11]Input Sheet'!$B$11</f>
        <v>0</v>
      </c>
      <c r="AH32" s="93">
        <f>(AF32*AG32)/'[11]Input Sheet'!$B$11</f>
        <v>0</v>
      </c>
      <c r="AI32" s="124"/>
      <c r="AJ32" s="125"/>
      <c r="AK32" s="93">
        <f t="shared" si="10"/>
        <v>0</v>
      </c>
      <c r="AL32" s="124"/>
      <c r="AM32" s="125"/>
      <c r="AN32" s="93">
        <f t="shared" si="11"/>
        <v>0</v>
      </c>
      <c r="AO32" s="124"/>
      <c r="AP32" s="125"/>
      <c r="AQ32" s="93">
        <f t="shared" si="12"/>
        <v>0</v>
      </c>
      <c r="AR32" s="124"/>
      <c r="AS32" s="125"/>
      <c r="AT32" s="93">
        <f t="shared" si="13"/>
        <v>0</v>
      </c>
      <c r="AW32" s="93">
        <f t="shared" si="14"/>
        <v>0</v>
      </c>
      <c r="AZ32" s="93">
        <f t="shared" si="15"/>
        <v>0</v>
      </c>
      <c r="BC32" s="93">
        <f t="shared" si="16"/>
        <v>0</v>
      </c>
      <c r="BF32" s="93">
        <f t="shared" si="17"/>
        <v>0</v>
      </c>
      <c r="BI32" s="93">
        <f t="shared" si="18"/>
        <v>0</v>
      </c>
      <c r="BL32" s="93">
        <f t="shared" si="19"/>
        <v>0</v>
      </c>
      <c r="BO32" s="93">
        <f t="shared" si="20"/>
        <v>0</v>
      </c>
      <c r="BR32" s="93">
        <f t="shared" si="21"/>
        <v>0</v>
      </c>
      <c r="BU32" s="93">
        <f t="shared" si="22"/>
        <v>0</v>
      </c>
      <c r="BX32" s="93">
        <f t="shared" si="23"/>
        <v>0</v>
      </c>
      <c r="CA32" s="93">
        <f t="shared" si="24"/>
        <v>0</v>
      </c>
      <c r="CD32" s="93">
        <f t="shared" si="25"/>
        <v>0</v>
      </c>
      <c r="CG32" s="93">
        <f t="shared" si="26"/>
        <v>0</v>
      </c>
      <c r="CJ32" s="93">
        <f t="shared" si="27"/>
        <v>0</v>
      </c>
      <c r="CM32" s="93">
        <f t="shared" si="28"/>
        <v>0</v>
      </c>
      <c r="CP32" s="93">
        <f t="shared" si="29"/>
        <v>0</v>
      </c>
      <c r="CS32" s="93">
        <f t="shared" si="30"/>
        <v>0</v>
      </c>
      <c r="CV32" s="93">
        <f t="shared" si="31"/>
        <v>0</v>
      </c>
      <c r="CY32" s="93">
        <f t="shared" si="32"/>
        <v>0</v>
      </c>
      <c r="DB32" s="93">
        <f t="shared" si="33"/>
        <v>0</v>
      </c>
      <c r="DE32" s="93">
        <f t="shared" si="34"/>
        <v>0</v>
      </c>
      <c r="DH32" s="93">
        <f t="shared" si="35"/>
        <v>0</v>
      </c>
      <c r="DK32" s="93">
        <f t="shared" si="36"/>
        <v>0</v>
      </c>
      <c r="DN32" s="93">
        <f t="shared" si="37"/>
        <v>0</v>
      </c>
      <c r="DQ32" s="93">
        <f t="shared" si="38"/>
        <v>0</v>
      </c>
      <c r="DT32" s="93">
        <f t="shared" si="39"/>
        <v>0</v>
      </c>
      <c r="DW32" s="93">
        <f t="shared" si="40"/>
        <v>0</v>
      </c>
      <c r="DZ32" s="93"/>
      <c r="EA32" s="93"/>
      <c r="EB32" s="126">
        <f t="shared" si="41"/>
        <v>0</v>
      </c>
      <c r="EC32" s="126">
        <f t="shared" si="42"/>
        <v>0</v>
      </c>
      <c r="ED32" s="93">
        <f t="shared" si="43"/>
        <v>0</v>
      </c>
      <c r="EE32" s="94">
        <f t="shared" si="44"/>
        <v>0</v>
      </c>
      <c r="EG32" s="126">
        <f t="shared" si="45"/>
        <v>0</v>
      </c>
      <c r="EH32" s="93">
        <f t="shared" si="46"/>
        <v>0</v>
      </c>
      <c r="EI32" s="94">
        <f t="shared" si="47"/>
        <v>0</v>
      </c>
      <c r="EJ32" s="94"/>
      <c r="EK32" s="126">
        <f t="shared" si="48"/>
        <v>0</v>
      </c>
      <c r="EL32" s="126">
        <f t="shared" si="49"/>
        <v>0</v>
      </c>
      <c r="EM32" s="126">
        <f t="shared" si="50"/>
        <v>0</v>
      </c>
      <c r="EN32" s="94">
        <f t="shared" si="51"/>
        <v>0</v>
      </c>
      <c r="EP32" s="93"/>
    </row>
    <row r="33" spans="1:146" x14ac:dyDescent="0.25">
      <c r="A33" s="39">
        <f t="shared" si="52"/>
        <v>43700</v>
      </c>
      <c r="D33" s="93">
        <f t="shared" si="1"/>
        <v>0</v>
      </c>
      <c r="G33" s="93">
        <f t="shared" si="2"/>
        <v>0</v>
      </c>
      <c r="J33" s="93">
        <f t="shared" si="3"/>
        <v>0</v>
      </c>
      <c r="M33" s="93">
        <f t="shared" si="4"/>
        <v>0</v>
      </c>
      <c r="P33" s="93">
        <f t="shared" si="5"/>
        <v>0</v>
      </c>
      <c r="S33" s="93">
        <f t="shared" si="6"/>
        <v>0</v>
      </c>
      <c r="V33" s="93">
        <f t="shared" si="7"/>
        <v>0</v>
      </c>
      <c r="Y33" s="93">
        <f t="shared" si="8"/>
        <v>0</v>
      </c>
      <c r="AB33" s="93">
        <f t="shared" si="9"/>
        <v>0</v>
      </c>
      <c r="AE33" s="93">
        <f>(AC33*AD33)/'[11]Input Sheet'!$B$11</f>
        <v>0</v>
      </c>
      <c r="AH33" s="93">
        <f>(AF33*AG33)/'[11]Input Sheet'!$B$11</f>
        <v>0</v>
      </c>
      <c r="AI33" s="124"/>
      <c r="AJ33" s="125"/>
      <c r="AK33" s="93">
        <f t="shared" si="10"/>
        <v>0</v>
      </c>
      <c r="AL33" s="124"/>
      <c r="AM33" s="125"/>
      <c r="AN33" s="93">
        <f t="shared" si="11"/>
        <v>0</v>
      </c>
      <c r="AO33" s="124"/>
      <c r="AP33" s="125"/>
      <c r="AQ33" s="93">
        <f t="shared" si="12"/>
        <v>0</v>
      </c>
      <c r="AR33" s="124"/>
      <c r="AS33" s="125"/>
      <c r="AT33" s="93">
        <f t="shared" si="13"/>
        <v>0</v>
      </c>
      <c r="AW33" s="93">
        <f t="shared" si="14"/>
        <v>0</v>
      </c>
      <c r="AZ33" s="93">
        <f t="shared" si="15"/>
        <v>0</v>
      </c>
      <c r="BC33" s="93">
        <f t="shared" si="16"/>
        <v>0</v>
      </c>
      <c r="BF33" s="93">
        <f t="shared" si="17"/>
        <v>0</v>
      </c>
      <c r="BI33" s="93">
        <f t="shared" si="18"/>
        <v>0</v>
      </c>
      <c r="BL33" s="93">
        <f t="shared" si="19"/>
        <v>0</v>
      </c>
      <c r="BO33" s="93">
        <f t="shared" si="20"/>
        <v>0</v>
      </c>
      <c r="BR33" s="93">
        <f t="shared" si="21"/>
        <v>0</v>
      </c>
      <c r="BU33" s="93">
        <f t="shared" si="22"/>
        <v>0</v>
      </c>
      <c r="BX33" s="93">
        <f t="shared" si="23"/>
        <v>0</v>
      </c>
      <c r="CA33" s="93">
        <f t="shared" si="24"/>
        <v>0</v>
      </c>
      <c r="CD33" s="93">
        <f t="shared" si="25"/>
        <v>0</v>
      </c>
      <c r="CG33" s="93">
        <f t="shared" si="26"/>
        <v>0</v>
      </c>
      <c r="CJ33" s="93">
        <f t="shared" si="27"/>
        <v>0</v>
      </c>
      <c r="CM33" s="93">
        <f t="shared" si="28"/>
        <v>0</v>
      </c>
      <c r="CP33" s="93">
        <f t="shared" si="29"/>
        <v>0</v>
      </c>
      <c r="CS33" s="93">
        <f t="shared" si="30"/>
        <v>0</v>
      </c>
      <c r="CV33" s="93">
        <f t="shared" si="31"/>
        <v>0</v>
      </c>
      <c r="CY33" s="93">
        <f t="shared" si="32"/>
        <v>0</v>
      </c>
      <c r="DB33" s="93">
        <f t="shared" si="33"/>
        <v>0</v>
      </c>
      <c r="DE33" s="93">
        <f t="shared" si="34"/>
        <v>0</v>
      </c>
      <c r="DH33" s="93">
        <f t="shared" si="35"/>
        <v>0</v>
      </c>
      <c r="DK33" s="93">
        <f t="shared" si="36"/>
        <v>0</v>
      </c>
      <c r="DN33" s="93">
        <f t="shared" si="37"/>
        <v>0</v>
      </c>
      <c r="DQ33" s="93">
        <f t="shared" si="38"/>
        <v>0</v>
      </c>
      <c r="DT33" s="93">
        <f t="shared" si="39"/>
        <v>0</v>
      </c>
      <c r="DW33" s="93">
        <f t="shared" si="40"/>
        <v>0</v>
      </c>
      <c r="DZ33" s="93"/>
      <c r="EA33" s="93"/>
      <c r="EB33" s="126">
        <f t="shared" si="41"/>
        <v>0</v>
      </c>
      <c r="EC33" s="126">
        <f t="shared" si="42"/>
        <v>0</v>
      </c>
      <c r="ED33" s="93">
        <f t="shared" si="43"/>
        <v>0</v>
      </c>
      <c r="EE33" s="94">
        <f t="shared" si="44"/>
        <v>0</v>
      </c>
      <c r="EG33" s="126">
        <f t="shared" si="45"/>
        <v>0</v>
      </c>
      <c r="EH33" s="93">
        <f t="shared" si="46"/>
        <v>0</v>
      </c>
      <c r="EI33" s="94">
        <f t="shared" si="47"/>
        <v>0</v>
      </c>
      <c r="EJ33" s="94"/>
      <c r="EK33" s="126">
        <f t="shared" si="48"/>
        <v>0</v>
      </c>
      <c r="EL33" s="126">
        <f t="shared" si="49"/>
        <v>0</v>
      </c>
      <c r="EM33" s="126">
        <f t="shared" si="50"/>
        <v>0</v>
      </c>
      <c r="EN33" s="94">
        <f t="shared" si="51"/>
        <v>0</v>
      </c>
      <c r="EP33" s="93"/>
    </row>
    <row r="34" spans="1:146" x14ac:dyDescent="0.25">
      <c r="A34" s="39">
        <f t="shared" si="52"/>
        <v>43701</v>
      </c>
      <c r="D34" s="93">
        <f t="shared" si="1"/>
        <v>0</v>
      </c>
      <c r="G34" s="93">
        <f t="shared" si="2"/>
        <v>0</v>
      </c>
      <c r="J34" s="93">
        <f t="shared" si="3"/>
        <v>0</v>
      </c>
      <c r="M34" s="93">
        <f t="shared" si="4"/>
        <v>0</v>
      </c>
      <c r="P34" s="93">
        <f t="shared" si="5"/>
        <v>0</v>
      </c>
      <c r="S34" s="93">
        <f t="shared" si="6"/>
        <v>0</v>
      </c>
      <c r="V34" s="93">
        <f t="shared" si="7"/>
        <v>0</v>
      </c>
      <c r="Y34" s="93">
        <f t="shared" si="8"/>
        <v>0</v>
      </c>
      <c r="AB34" s="93">
        <f t="shared" si="9"/>
        <v>0</v>
      </c>
      <c r="AE34" s="93">
        <f>(AC34*AD34)/'[11]Input Sheet'!$B$11</f>
        <v>0</v>
      </c>
      <c r="AH34" s="93">
        <f>(AF34*AG34)/'[11]Input Sheet'!$B$11</f>
        <v>0</v>
      </c>
      <c r="AI34" s="124"/>
      <c r="AJ34" s="125"/>
      <c r="AK34" s="93">
        <f t="shared" si="10"/>
        <v>0</v>
      </c>
      <c r="AL34" s="124"/>
      <c r="AM34" s="125"/>
      <c r="AN34" s="93">
        <f t="shared" si="11"/>
        <v>0</v>
      </c>
      <c r="AO34" s="124"/>
      <c r="AP34" s="125"/>
      <c r="AQ34" s="93">
        <f t="shared" si="12"/>
        <v>0</v>
      </c>
      <c r="AR34" s="124"/>
      <c r="AS34" s="125"/>
      <c r="AT34" s="93">
        <f t="shared" si="13"/>
        <v>0</v>
      </c>
      <c r="AW34" s="93">
        <f t="shared" si="14"/>
        <v>0</v>
      </c>
      <c r="AZ34" s="93">
        <f t="shared" si="15"/>
        <v>0</v>
      </c>
      <c r="BC34" s="93">
        <f t="shared" si="16"/>
        <v>0</v>
      </c>
      <c r="BF34" s="93">
        <f t="shared" si="17"/>
        <v>0</v>
      </c>
      <c r="BI34" s="93">
        <f t="shared" si="18"/>
        <v>0</v>
      </c>
      <c r="BL34" s="93">
        <f t="shared" si="19"/>
        <v>0</v>
      </c>
      <c r="BO34" s="93">
        <f t="shared" si="20"/>
        <v>0</v>
      </c>
      <c r="BR34" s="93">
        <f t="shared" si="21"/>
        <v>0</v>
      </c>
      <c r="BU34" s="93">
        <f t="shared" si="22"/>
        <v>0</v>
      </c>
      <c r="BX34" s="93">
        <f t="shared" si="23"/>
        <v>0</v>
      </c>
      <c r="CA34" s="93">
        <f t="shared" si="24"/>
        <v>0</v>
      </c>
      <c r="CD34" s="93">
        <f t="shared" si="25"/>
        <v>0</v>
      </c>
      <c r="CG34" s="93">
        <f t="shared" si="26"/>
        <v>0</v>
      </c>
      <c r="CJ34" s="93">
        <f t="shared" si="27"/>
        <v>0</v>
      </c>
      <c r="CM34" s="93">
        <f t="shared" si="28"/>
        <v>0</v>
      </c>
      <c r="CP34" s="93">
        <f t="shared" si="29"/>
        <v>0</v>
      </c>
      <c r="CS34" s="93">
        <f t="shared" si="30"/>
        <v>0</v>
      </c>
      <c r="CV34" s="93">
        <f t="shared" si="31"/>
        <v>0</v>
      </c>
      <c r="CY34" s="93">
        <f t="shared" si="32"/>
        <v>0</v>
      </c>
      <c r="DB34" s="93">
        <f t="shared" si="33"/>
        <v>0</v>
      </c>
      <c r="DE34" s="93">
        <f t="shared" si="34"/>
        <v>0</v>
      </c>
      <c r="DH34" s="93">
        <f t="shared" si="35"/>
        <v>0</v>
      </c>
      <c r="DK34" s="93">
        <f t="shared" si="36"/>
        <v>0</v>
      </c>
      <c r="DN34" s="93">
        <f t="shared" si="37"/>
        <v>0</v>
      </c>
      <c r="DQ34" s="93">
        <f t="shared" si="38"/>
        <v>0</v>
      </c>
      <c r="DT34" s="93">
        <f t="shared" si="39"/>
        <v>0</v>
      </c>
      <c r="DW34" s="93">
        <f t="shared" si="40"/>
        <v>0</v>
      </c>
      <c r="DZ34" s="93"/>
      <c r="EA34" s="93"/>
      <c r="EB34" s="126">
        <f t="shared" si="41"/>
        <v>0</v>
      </c>
      <c r="EC34" s="126">
        <f t="shared" si="42"/>
        <v>0</v>
      </c>
      <c r="ED34" s="93">
        <f t="shared" si="43"/>
        <v>0</v>
      </c>
      <c r="EE34" s="94">
        <f t="shared" si="44"/>
        <v>0</v>
      </c>
      <c r="EG34" s="126">
        <f t="shared" si="45"/>
        <v>0</v>
      </c>
      <c r="EH34" s="93">
        <f t="shared" si="46"/>
        <v>0</v>
      </c>
      <c r="EI34" s="94">
        <f t="shared" si="47"/>
        <v>0</v>
      </c>
      <c r="EJ34" s="94"/>
      <c r="EK34" s="126">
        <f t="shared" si="48"/>
        <v>0</v>
      </c>
      <c r="EL34" s="126">
        <f t="shared" si="49"/>
        <v>0</v>
      </c>
      <c r="EM34" s="126">
        <f t="shared" si="50"/>
        <v>0</v>
      </c>
      <c r="EN34" s="94">
        <f t="shared" si="51"/>
        <v>0</v>
      </c>
      <c r="EP34" s="93"/>
    </row>
    <row r="35" spans="1:146" x14ac:dyDescent="0.25">
      <c r="A35" s="39">
        <f t="shared" si="52"/>
        <v>43702</v>
      </c>
      <c r="D35" s="93">
        <f t="shared" si="1"/>
        <v>0</v>
      </c>
      <c r="G35" s="93">
        <f t="shared" si="2"/>
        <v>0</v>
      </c>
      <c r="J35" s="93">
        <f t="shared" si="3"/>
        <v>0</v>
      </c>
      <c r="M35" s="93">
        <f t="shared" si="4"/>
        <v>0</v>
      </c>
      <c r="P35" s="93">
        <f t="shared" si="5"/>
        <v>0</v>
      </c>
      <c r="S35" s="93">
        <f t="shared" si="6"/>
        <v>0</v>
      </c>
      <c r="V35" s="93">
        <f t="shared" si="7"/>
        <v>0</v>
      </c>
      <c r="Y35" s="93">
        <f t="shared" si="8"/>
        <v>0</v>
      </c>
      <c r="AB35" s="93">
        <f t="shared" si="9"/>
        <v>0</v>
      </c>
      <c r="AE35" s="93">
        <f>(AC35*AD35)/'[11]Input Sheet'!$B$11</f>
        <v>0</v>
      </c>
      <c r="AH35" s="93">
        <f>(AF35*AG35)/'[11]Input Sheet'!$B$11</f>
        <v>0</v>
      </c>
      <c r="AI35" s="124"/>
      <c r="AJ35" s="125"/>
      <c r="AK35" s="93">
        <f t="shared" si="10"/>
        <v>0</v>
      </c>
      <c r="AL35" s="124"/>
      <c r="AM35" s="125"/>
      <c r="AN35" s="93">
        <f t="shared" si="11"/>
        <v>0</v>
      </c>
      <c r="AO35" s="124"/>
      <c r="AP35" s="125"/>
      <c r="AQ35" s="93">
        <f t="shared" si="12"/>
        <v>0</v>
      </c>
      <c r="AR35" s="124"/>
      <c r="AS35" s="125"/>
      <c r="AT35" s="93">
        <f t="shared" si="13"/>
        <v>0</v>
      </c>
      <c r="AW35" s="93">
        <f t="shared" si="14"/>
        <v>0</v>
      </c>
      <c r="AZ35" s="93">
        <f t="shared" si="15"/>
        <v>0</v>
      </c>
      <c r="BC35" s="93">
        <f t="shared" si="16"/>
        <v>0</v>
      </c>
      <c r="BF35" s="93">
        <f t="shared" si="17"/>
        <v>0</v>
      </c>
      <c r="BI35" s="93">
        <f t="shared" si="18"/>
        <v>0</v>
      </c>
      <c r="BL35" s="93">
        <f t="shared" si="19"/>
        <v>0</v>
      </c>
      <c r="BO35" s="93">
        <f t="shared" si="20"/>
        <v>0</v>
      </c>
      <c r="BR35" s="93">
        <f t="shared" si="21"/>
        <v>0</v>
      </c>
      <c r="BU35" s="93">
        <f t="shared" si="22"/>
        <v>0</v>
      </c>
      <c r="BX35" s="93">
        <f t="shared" si="23"/>
        <v>0</v>
      </c>
      <c r="CA35" s="93">
        <f t="shared" si="24"/>
        <v>0</v>
      </c>
      <c r="CD35" s="93">
        <f t="shared" si="25"/>
        <v>0</v>
      </c>
      <c r="CG35" s="93">
        <f t="shared" si="26"/>
        <v>0</v>
      </c>
      <c r="CJ35" s="93">
        <f t="shared" si="27"/>
        <v>0</v>
      </c>
      <c r="CM35" s="93">
        <f t="shared" si="28"/>
        <v>0</v>
      </c>
      <c r="CP35" s="93">
        <f t="shared" si="29"/>
        <v>0</v>
      </c>
      <c r="CS35" s="93">
        <f t="shared" si="30"/>
        <v>0</v>
      </c>
      <c r="CV35" s="93">
        <f t="shared" si="31"/>
        <v>0</v>
      </c>
      <c r="CY35" s="93">
        <f t="shared" si="32"/>
        <v>0</v>
      </c>
      <c r="DB35" s="93">
        <f t="shared" si="33"/>
        <v>0</v>
      </c>
      <c r="DE35" s="93">
        <f t="shared" si="34"/>
        <v>0</v>
      </c>
      <c r="DH35" s="93">
        <f t="shared" si="35"/>
        <v>0</v>
      </c>
      <c r="DK35" s="93">
        <f t="shared" si="36"/>
        <v>0</v>
      </c>
      <c r="DN35" s="93">
        <f t="shared" si="37"/>
        <v>0</v>
      </c>
      <c r="DQ35" s="93">
        <f t="shared" si="38"/>
        <v>0</v>
      </c>
      <c r="DT35" s="93">
        <f t="shared" si="39"/>
        <v>0</v>
      </c>
      <c r="DW35" s="93">
        <f t="shared" si="40"/>
        <v>0</v>
      </c>
      <c r="DZ35" s="93"/>
      <c r="EA35" s="93"/>
      <c r="EB35" s="126">
        <f t="shared" si="41"/>
        <v>0</v>
      </c>
      <c r="EC35" s="126">
        <f t="shared" si="42"/>
        <v>0</v>
      </c>
      <c r="ED35" s="93">
        <f t="shared" si="43"/>
        <v>0</v>
      </c>
      <c r="EE35" s="94">
        <f t="shared" si="44"/>
        <v>0</v>
      </c>
      <c r="EG35" s="126">
        <f t="shared" si="45"/>
        <v>0</v>
      </c>
      <c r="EH35" s="93">
        <f t="shared" si="46"/>
        <v>0</v>
      </c>
      <c r="EI35" s="94">
        <f t="shared" si="47"/>
        <v>0</v>
      </c>
      <c r="EJ35" s="94"/>
      <c r="EK35" s="126">
        <f t="shared" si="48"/>
        <v>0</v>
      </c>
      <c r="EL35" s="126">
        <f t="shared" si="49"/>
        <v>0</v>
      </c>
      <c r="EM35" s="126">
        <f t="shared" si="50"/>
        <v>0</v>
      </c>
      <c r="EN35" s="94">
        <f t="shared" si="51"/>
        <v>0</v>
      </c>
      <c r="EP35" s="93"/>
    </row>
    <row r="36" spans="1:146" x14ac:dyDescent="0.25">
      <c r="A36" s="39">
        <f t="shared" si="52"/>
        <v>43703</v>
      </c>
      <c r="D36" s="93">
        <f t="shared" si="1"/>
        <v>0</v>
      </c>
      <c r="G36" s="93">
        <f t="shared" si="2"/>
        <v>0</v>
      </c>
      <c r="J36" s="93">
        <f t="shared" si="3"/>
        <v>0</v>
      </c>
      <c r="M36" s="93">
        <f t="shared" si="4"/>
        <v>0</v>
      </c>
      <c r="P36" s="93">
        <f t="shared" si="5"/>
        <v>0</v>
      </c>
      <c r="S36" s="93">
        <f t="shared" si="6"/>
        <v>0</v>
      </c>
      <c r="V36" s="93">
        <f t="shared" si="7"/>
        <v>0</v>
      </c>
      <c r="Y36" s="93">
        <f t="shared" si="8"/>
        <v>0</v>
      </c>
      <c r="AB36" s="93">
        <f t="shared" si="9"/>
        <v>0</v>
      </c>
      <c r="AE36" s="93">
        <f>(AC36*AD36)/'[11]Input Sheet'!$B$11</f>
        <v>0</v>
      </c>
      <c r="AH36" s="93">
        <f>(AF36*AG36)/'[11]Input Sheet'!$B$11</f>
        <v>0</v>
      </c>
      <c r="AI36" s="124"/>
      <c r="AJ36" s="125"/>
      <c r="AK36" s="93">
        <f t="shared" si="10"/>
        <v>0</v>
      </c>
      <c r="AL36" s="124"/>
      <c r="AM36" s="125"/>
      <c r="AN36" s="93">
        <f t="shared" si="11"/>
        <v>0</v>
      </c>
      <c r="AO36" s="124"/>
      <c r="AP36" s="125"/>
      <c r="AQ36" s="93">
        <f t="shared" si="12"/>
        <v>0</v>
      </c>
      <c r="AR36" s="124"/>
      <c r="AS36" s="125"/>
      <c r="AT36" s="93">
        <f t="shared" si="13"/>
        <v>0</v>
      </c>
      <c r="AW36" s="93">
        <f t="shared" si="14"/>
        <v>0</v>
      </c>
      <c r="AZ36" s="93">
        <f t="shared" si="15"/>
        <v>0</v>
      </c>
      <c r="BC36" s="93">
        <f t="shared" si="16"/>
        <v>0</v>
      </c>
      <c r="BF36" s="93">
        <f t="shared" si="17"/>
        <v>0</v>
      </c>
      <c r="BI36" s="93">
        <f t="shared" si="18"/>
        <v>0</v>
      </c>
      <c r="BL36" s="93">
        <f t="shared" si="19"/>
        <v>0</v>
      </c>
      <c r="BO36" s="93">
        <f t="shared" si="20"/>
        <v>0</v>
      </c>
      <c r="BR36" s="93">
        <f t="shared" si="21"/>
        <v>0</v>
      </c>
      <c r="BU36" s="93">
        <f t="shared" si="22"/>
        <v>0</v>
      </c>
      <c r="BX36" s="93">
        <f t="shared" si="23"/>
        <v>0</v>
      </c>
      <c r="CA36" s="93">
        <f t="shared" si="24"/>
        <v>0</v>
      </c>
      <c r="CD36" s="93">
        <f t="shared" si="25"/>
        <v>0</v>
      </c>
      <c r="CG36" s="93">
        <f t="shared" si="26"/>
        <v>0</v>
      </c>
      <c r="CJ36" s="93">
        <f t="shared" si="27"/>
        <v>0</v>
      </c>
      <c r="CM36" s="93">
        <f t="shared" si="28"/>
        <v>0</v>
      </c>
      <c r="CP36" s="93">
        <f t="shared" si="29"/>
        <v>0</v>
      </c>
      <c r="CS36" s="93">
        <f t="shared" si="30"/>
        <v>0</v>
      </c>
      <c r="CV36" s="93">
        <f t="shared" si="31"/>
        <v>0</v>
      </c>
      <c r="CY36" s="93">
        <f t="shared" si="32"/>
        <v>0</v>
      </c>
      <c r="DB36" s="93">
        <f t="shared" si="33"/>
        <v>0</v>
      </c>
      <c r="DE36" s="93">
        <f t="shared" si="34"/>
        <v>0</v>
      </c>
      <c r="DH36" s="93">
        <f t="shared" si="35"/>
        <v>0</v>
      </c>
      <c r="DK36" s="93">
        <f t="shared" si="36"/>
        <v>0</v>
      </c>
      <c r="DN36" s="93">
        <f t="shared" si="37"/>
        <v>0</v>
      </c>
      <c r="DQ36" s="93">
        <f t="shared" si="38"/>
        <v>0</v>
      </c>
      <c r="DT36" s="93">
        <f t="shared" si="39"/>
        <v>0</v>
      </c>
      <c r="DW36" s="93">
        <f t="shared" si="40"/>
        <v>0</v>
      </c>
      <c r="DZ36" s="93"/>
      <c r="EA36" s="93"/>
      <c r="EB36" s="126">
        <f t="shared" si="41"/>
        <v>0</v>
      </c>
      <c r="EC36" s="126">
        <f t="shared" si="42"/>
        <v>0</v>
      </c>
      <c r="ED36" s="93">
        <f t="shared" si="43"/>
        <v>0</v>
      </c>
      <c r="EE36" s="94">
        <f t="shared" si="44"/>
        <v>0</v>
      </c>
      <c r="EG36" s="126">
        <f t="shared" si="45"/>
        <v>0</v>
      </c>
      <c r="EH36" s="93">
        <f t="shared" si="46"/>
        <v>0</v>
      </c>
      <c r="EI36" s="94">
        <f t="shared" si="47"/>
        <v>0</v>
      </c>
      <c r="EJ36" s="94"/>
      <c r="EK36" s="126">
        <f t="shared" si="48"/>
        <v>0</v>
      </c>
      <c r="EL36" s="126">
        <f t="shared" si="49"/>
        <v>0</v>
      </c>
      <c r="EM36" s="126">
        <f t="shared" si="50"/>
        <v>0</v>
      </c>
      <c r="EN36" s="94">
        <f t="shared" si="51"/>
        <v>0</v>
      </c>
      <c r="EP36" s="93"/>
    </row>
    <row r="37" spans="1:146" x14ac:dyDescent="0.25">
      <c r="A37" s="39">
        <f t="shared" si="52"/>
        <v>43704</v>
      </c>
      <c r="D37" s="93">
        <f t="shared" si="1"/>
        <v>0</v>
      </c>
      <c r="G37" s="93">
        <f t="shared" si="2"/>
        <v>0</v>
      </c>
      <c r="J37" s="93">
        <f t="shared" si="3"/>
        <v>0</v>
      </c>
      <c r="M37" s="93">
        <f t="shared" si="4"/>
        <v>0</v>
      </c>
      <c r="P37" s="93">
        <f t="shared" si="5"/>
        <v>0</v>
      </c>
      <c r="S37" s="93">
        <f t="shared" si="6"/>
        <v>0</v>
      </c>
      <c r="V37" s="93">
        <f t="shared" si="7"/>
        <v>0</v>
      </c>
      <c r="Y37" s="93">
        <f t="shared" si="8"/>
        <v>0</v>
      </c>
      <c r="AB37" s="93">
        <f t="shared" si="9"/>
        <v>0</v>
      </c>
      <c r="AE37" s="93">
        <f>(AC37*AD37)/'[11]Input Sheet'!$B$11</f>
        <v>0</v>
      </c>
      <c r="AH37" s="93">
        <f>(AF37*AG37)/'[11]Input Sheet'!$B$11</f>
        <v>0</v>
      </c>
      <c r="AI37" s="124"/>
      <c r="AJ37" s="125"/>
      <c r="AK37" s="93">
        <f t="shared" si="10"/>
        <v>0</v>
      </c>
      <c r="AL37" s="124"/>
      <c r="AM37" s="125"/>
      <c r="AN37" s="93">
        <f t="shared" si="11"/>
        <v>0</v>
      </c>
      <c r="AO37" s="124"/>
      <c r="AP37" s="125"/>
      <c r="AQ37" s="93">
        <f t="shared" si="12"/>
        <v>0</v>
      </c>
      <c r="AR37" s="124"/>
      <c r="AS37" s="125"/>
      <c r="AT37" s="93">
        <f t="shared" si="13"/>
        <v>0</v>
      </c>
      <c r="AW37" s="93">
        <f t="shared" si="14"/>
        <v>0</v>
      </c>
      <c r="AZ37" s="93">
        <f t="shared" si="15"/>
        <v>0</v>
      </c>
      <c r="BC37" s="93">
        <f t="shared" si="16"/>
        <v>0</v>
      </c>
      <c r="BF37" s="93">
        <f t="shared" si="17"/>
        <v>0</v>
      </c>
      <c r="BI37" s="93">
        <f t="shared" si="18"/>
        <v>0</v>
      </c>
      <c r="BL37" s="93">
        <f t="shared" si="19"/>
        <v>0</v>
      </c>
      <c r="BO37" s="93">
        <f t="shared" si="20"/>
        <v>0</v>
      </c>
      <c r="BR37" s="93">
        <f t="shared" si="21"/>
        <v>0</v>
      </c>
      <c r="BU37" s="93">
        <f t="shared" si="22"/>
        <v>0</v>
      </c>
      <c r="BX37" s="93">
        <f t="shared" si="23"/>
        <v>0</v>
      </c>
      <c r="CA37" s="93">
        <f t="shared" si="24"/>
        <v>0</v>
      </c>
      <c r="CD37" s="93">
        <f t="shared" si="25"/>
        <v>0</v>
      </c>
      <c r="CG37" s="93">
        <f t="shared" si="26"/>
        <v>0</v>
      </c>
      <c r="CJ37" s="93">
        <f t="shared" si="27"/>
        <v>0</v>
      </c>
      <c r="CM37" s="93">
        <f t="shared" si="28"/>
        <v>0</v>
      </c>
      <c r="CP37" s="93">
        <f t="shared" si="29"/>
        <v>0</v>
      </c>
      <c r="CS37" s="93">
        <f t="shared" si="30"/>
        <v>0</v>
      </c>
      <c r="CV37" s="93">
        <f t="shared" si="31"/>
        <v>0</v>
      </c>
      <c r="CY37" s="93">
        <f t="shared" si="32"/>
        <v>0</v>
      </c>
      <c r="DB37" s="93">
        <f t="shared" si="33"/>
        <v>0</v>
      </c>
      <c r="DE37" s="93">
        <f t="shared" si="34"/>
        <v>0</v>
      </c>
      <c r="DH37" s="93">
        <f t="shared" si="35"/>
        <v>0</v>
      </c>
      <c r="DK37" s="93">
        <f t="shared" si="36"/>
        <v>0</v>
      </c>
      <c r="DN37" s="93">
        <f t="shared" si="37"/>
        <v>0</v>
      </c>
      <c r="DQ37" s="93">
        <f t="shared" si="38"/>
        <v>0</v>
      </c>
      <c r="DT37" s="93">
        <f t="shared" si="39"/>
        <v>0</v>
      </c>
      <c r="DW37" s="93">
        <f t="shared" si="40"/>
        <v>0</v>
      </c>
      <c r="DZ37" s="93"/>
      <c r="EA37" s="93"/>
      <c r="EB37" s="126">
        <f t="shared" si="41"/>
        <v>0</v>
      </c>
      <c r="EC37" s="126">
        <f t="shared" si="42"/>
        <v>0</v>
      </c>
      <c r="ED37" s="93">
        <f t="shared" si="43"/>
        <v>0</v>
      </c>
      <c r="EE37" s="94">
        <f t="shared" si="44"/>
        <v>0</v>
      </c>
      <c r="EG37" s="126">
        <f t="shared" si="45"/>
        <v>0</v>
      </c>
      <c r="EH37" s="93">
        <f t="shared" si="46"/>
        <v>0</v>
      </c>
      <c r="EI37" s="94">
        <f t="shared" si="47"/>
        <v>0</v>
      </c>
      <c r="EJ37" s="94"/>
      <c r="EK37" s="126">
        <f t="shared" si="48"/>
        <v>0</v>
      </c>
      <c r="EL37" s="126">
        <f t="shared" si="49"/>
        <v>0</v>
      </c>
      <c r="EM37" s="126">
        <f t="shared" si="50"/>
        <v>0</v>
      </c>
      <c r="EN37" s="94">
        <f t="shared" si="51"/>
        <v>0</v>
      </c>
      <c r="EP37" s="93"/>
    </row>
    <row r="38" spans="1:146" x14ac:dyDescent="0.25">
      <c r="A38" s="39">
        <f t="shared" si="52"/>
        <v>43705</v>
      </c>
      <c r="D38" s="93">
        <f t="shared" si="1"/>
        <v>0</v>
      </c>
      <c r="G38" s="93">
        <f t="shared" si="2"/>
        <v>0</v>
      </c>
      <c r="J38" s="93">
        <f t="shared" si="3"/>
        <v>0</v>
      </c>
      <c r="M38" s="93">
        <f t="shared" si="4"/>
        <v>0</v>
      </c>
      <c r="P38" s="93">
        <f t="shared" si="5"/>
        <v>0</v>
      </c>
      <c r="S38" s="93">
        <f t="shared" si="6"/>
        <v>0</v>
      </c>
      <c r="V38" s="93">
        <f t="shared" si="7"/>
        <v>0</v>
      </c>
      <c r="Y38" s="93">
        <f t="shared" si="8"/>
        <v>0</v>
      </c>
      <c r="AB38" s="93">
        <f t="shared" si="9"/>
        <v>0</v>
      </c>
      <c r="AE38" s="93">
        <f>(AC38*AD38)/'[11]Input Sheet'!$B$11</f>
        <v>0</v>
      </c>
      <c r="AH38" s="93">
        <f>(AF38*AG38)/'[11]Input Sheet'!$B$11</f>
        <v>0</v>
      </c>
      <c r="AI38" s="124"/>
      <c r="AJ38" s="125"/>
      <c r="AK38" s="93">
        <f t="shared" si="10"/>
        <v>0</v>
      </c>
      <c r="AL38" s="124"/>
      <c r="AM38" s="125"/>
      <c r="AN38" s="93">
        <f t="shared" si="11"/>
        <v>0</v>
      </c>
      <c r="AO38" s="124"/>
      <c r="AP38" s="125"/>
      <c r="AQ38" s="93">
        <f t="shared" si="12"/>
        <v>0</v>
      </c>
      <c r="AR38" s="124"/>
      <c r="AS38" s="125"/>
      <c r="AT38" s="93">
        <f t="shared" si="13"/>
        <v>0</v>
      </c>
      <c r="AW38" s="93">
        <f t="shared" si="14"/>
        <v>0</v>
      </c>
      <c r="AZ38" s="93">
        <f t="shared" si="15"/>
        <v>0</v>
      </c>
      <c r="BC38" s="93">
        <f t="shared" si="16"/>
        <v>0</v>
      </c>
      <c r="BF38" s="93">
        <f t="shared" si="17"/>
        <v>0</v>
      </c>
      <c r="BI38" s="93">
        <f t="shared" si="18"/>
        <v>0</v>
      </c>
      <c r="BL38" s="93">
        <f t="shared" si="19"/>
        <v>0</v>
      </c>
      <c r="BO38" s="93">
        <f t="shared" si="20"/>
        <v>0</v>
      </c>
      <c r="BR38" s="93">
        <f t="shared" si="21"/>
        <v>0</v>
      </c>
      <c r="BU38" s="93">
        <f t="shared" si="22"/>
        <v>0</v>
      </c>
      <c r="BX38" s="93">
        <f t="shared" si="23"/>
        <v>0</v>
      </c>
      <c r="CA38" s="93">
        <f t="shared" si="24"/>
        <v>0</v>
      </c>
      <c r="CD38" s="93">
        <f t="shared" si="25"/>
        <v>0</v>
      </c>
      <c r="CG38" s="93">
        <f t="shared" si="26"/>
        <v>0</v>
      </c>
      <c r="CJ38" s="93">
        <f t="shared" si="27"/>
        <v>0</v>
      </c>
      <c r="CM38" s="93">
        <f t="shared" si="28"/>
        <v>0</v>
      </c>
      <c r="CP38" s="93">
        <f t="shared" si="29"/>
        <v>0</v>
      </c>
      <c r="CS38" s="93">
        <f t="shared" si="30"/>
        <v>0</v>
      </c>
      <c r="CV38" s="93">
        <f t="shared" si="31"/>
        <v>0</v>
      </c>
      <c r="CY38" s="93">
        <f t="shared" si="32"/>
        <v>0</v>
      </c>
      <c r="DB38" s="93">
        <f t="shared" si="33"/>
        <v>0</v>
      </c>
      <c r="DE38" s="93">
        <f t="shared" si="34"/>
        <v>0</v>
      </c>
      <c r="DH38" s="93">
        <f t="shared" si="35"/>
        <v>0</v>
      </c>
      <c r="DK38" s="93">
        <f t="shared" si="36"/>
        <v>0</v>
      </c>
      <c r="DN38" s="93">
        <f t="shared" si="37"/>
        <v>0</v>
      </c>
      <c r="DQ38" s="93">
        <f t="shared" si="38"/>
        <v>0</v>
      </c>
      <c r="DT38" s="93">
        <f t="shared" si="39"/>
        <v>0</v>
      </c>
      <c r="DW38" s="93">
        <f t="shared" si="40"/>
        <v>0</v>
      </c>
      <c r="DZ38" s="93"/>
      <c r="EA38" s="93"/>
      <c r="EB38" s="126">
        <f t="shared" si="41"/>
        <v>0</v>
      </c>
      <c r="EC38" s="126">
        <f t="shared" si="42"/>
        <v>0</v>
      </c>
      <c r="ED38" s="93">
        <f t="shared" si="43"/>
        <v>0</v>
      </c>
      <c r="EE38" s="94">
        <f t="shared" si="44"/>
        <v>0</v>
      </c>
      <c r="EG38" s="126">
        <f t="shared" si="45"/>
        <v>0</v>
      </c>
      <c r="EH38" s="93">
        <f t="shared" si="46"/>
        <v>0</v>
      </c>
      <c r="EI38" s="94">
        <f t="shared" si="47"/>
        <v>0</v>
      </c>
      <c r="EJ38" s="94"/>
      <c r="EK38" s="126">
        <f t="shared" si="48"/>
        <v>0</v>
      </c>
      <c r="EL38" s="126">
        <f t="shared" si="49"/>
        <v>0</v>
      </c>
      <c r="EM38" s="126">
        <f t="shared" si="50"/>
        <v>0</v>
      </c>
      <c r="EN38" s="94">
        <f t="shared" si="51"/>
        <v>0</v>
      </c>
      <c r="EP38" s="93"/>
    </row>
    <row r="39" spans="1:146" x14ac:dyDescent="0.25">
      <c r="A39" s="39">
        <f t="shared" si="52"/>
        <v>43706</v>
      </c>
      <c r="D39" s="93">
        <f t="shared" si="1"/>
        <v>0</v>
      </c>
      <c r="G39" s="93">
        <f t="shared" si="2"/>
        <v>0</v>
      </c>
      <c r="J39" s="93">
        <f t="shared" si="3"/>
        <v>0</v>
      </c>
      <c r="M39" s="93">
        <f t="shared" si="4"/>
        <v>0</v>
      </c>
      <c r="P39" s="93">
        <f t="shared" si="5"/>
        <v>0</v>
      </c>
      <c r="S39" s="93">
        <f t="shared" si="6"/>
        <v>0</v>
      </c>
      <c r="V39" s="93">
        <f t="shared" si="7"/>
        <v>0</v>
      </c>
      <c r="Y39" s="93">
        <f t="shared" si="8"/>
        <v>0</v>
      </c>
      <c r="AB39" s="93">
        <f t="shared" si="9"/>
        <v>0</v>
      </c>
      <c r="AE39" s="93">
        <f>(AC39*AD39)/'[11]Input Sheet'!$B$11</f>
        <v>0</v>
      </c>
      <c r="AH39" s="93">
        <f>(AF39*AG39)/'[11]Input Sheet'!$B$11</f>
        <v>0</v>
      </c>
      <c r="AI39" s="124"/>
      <c r="AJ39" s="125"/>
      <c r="AK39" s="93">
        <f t="shared" si="10"/>
        <v>0</v>
      </c>
      <c r="AL39" s="124"/>
      <c r="AM39" s="125"/>
      <c r="AN39" s="93">
        <f t="shared" si="11"/>
        <v>0</v>
      </c>
      <c r="AO39" s="124"/>
      <c r="AP39" s="125"/>
      <c r="AQ39" s="93">
        <f t="shared" si="12"/>
        <v>0</v>
      </c>
      <c r="AR39" s="124"/>
      <c r="AS39" s="125"/>
      <c r="AT39" s="93">
        <f t="shared" si="13"/>
        <v>0</v>
      </c>
      <c r="AW39" s="93">
        <f t="shared" si="14"/>
        <v>0</v>
      </c>
      <c r="AZ39" s="93">
        <f t="shared" si="15"/>
        <v>0</v>
      </c>
      <c r="BC39" s="93">
        <f t="shared" si="16"/>
        <v>0</v>
      </c>
      <c r="BF39" s="93">
        <f t="shared" si="17"/>
        <v>0</v>
      </c>
      <c r="BI39" s="93">
        <f t="shared" si="18"/>
        <v>0</v>
      </c>
      <c r="BL39" s="93">
        <f t="shared" si="19"/>
        <v>0</v>
      </c>
      <c r="BO39" s="93">
        <f t="shared" si="20"/>
        <v>0</v>
      </c>
      <c r="BR39" s="93">
        <f t="shared" si="21"/>
        <v>0</v>
      </c>
      <c r="BU39" s="93">
        <f t="shared" si="22"/>
        <v>0</v>
      </c>
      <c r="BX39" s="93">
        <f t="shared" si="23"/>
        <v>0</v>
      </c>
      <c r="CA39" s="93">
        <f t="shared" si="24"/>
        <v>0</v>
      </c>
      <c r="CD39" s="93">
        <f t="shared" si="25"/>
        <v>0</v>
      </c>
      <c r="CG39" s="93">
        <f t="shared" si="26"/>
        <v>0</v>
      </c>
      <c r="CJ39" s="93">
        <f t="shared" si="27"/>
        <v>0</v>
      </c>
      <c r="CM39" s="93">
        <f t="shared" si="28"/>
        <v>0</v>
      </c>
      <c r="CP39" s="93">
        <f t="shared" si="29"/>
        <v>0</v>
      </c>
      <c r="CS39" s="93">
        <f t="shared" si="30"/>
        <v>0</v>
      </c>
      <c r="CV39" s="93">
        <f t="shared" si="31"/>
        <v>0</v>
      </c>
      <c r="CY39" s="93">
        <f t="shared" si="32"/>
        <v>0</v>
      </c>
      <c r="DB39" s="93">
        <f t="shared" si="33"/>
        <v>0</v>
      </c>
      <c r="DE39" s="93">
        <f t="shared" si="34"/>
        <v>0</v>
      </c>
      <c r="DH39" s="93">
        <f t="shared" si="35"/>
        <v>0</v>
      </c>
      <c r="DK39" s="93">
        <f t="shared" si="36"/>
        <v>0</v>
      </c>
      <c r="DN39" s="93">
        <f t="shared" si="37"/>
        <v>0</v>
      </c>
      <c r="DQ39" s="93">
        <f t="shared" si="38"/>
        <v>0</v>
      </c>
      <c r="DT39" s="93">
        <f t="shared" si="39"/>
        <v>0</v>
      </c>
      <c r="DW39" s="93">
        <f t="shared" si="40"/>
        <v>0</v>
      </c>
      <c r="DZ39" s="93"/>
      <c r="EA39" s="93"/>
      <c r="EB39" s="126">
        <f t="shared" si="41"/>
        <v>0</v>
      </c>
      <c r="EC39" s="126">
        <f t="shared" si="42"/>
        <v>0</v>
      </c>
      <c r="ED39" s="93">
        <f t="shared" si="43"/>
        <v>0</v>
      </c>
      <c r="EE39" s="94">
        <f t="shared" si="44"/>
        <v>0</v>
      </c>
      <c r="EG39" s="126">
        <f t="shared" si="45"/>
        <v>0</v>
      </c>
      <c r="EH39" s="93">
        <f t="shared" si="46"/>
        <v>0</v>
      </c>
      <c r="EI39" s="94">
        <f t="shared" si="47"/>
        <v>0</v>
      </c>
      <c r="EJ39" s="94"/>
      <c r="EK39" s="126">
        <f t="shared" si="48"/>
        <v>0</v>
      </c>
      <c r="EL39" s="126">
        <f t="shared" si="49"/>
        <v>0</v>
      </c>
      <c r="EM39" s="126">
        <f t="shared" si="50"/>
        <v>0</v>
      </c>
      <c r="EN39" s="94">
        <f t="shared" si="51"/>
        <v>0</v>
      </c>
      <c r="EP39" s="93"/>
    </row>
    <row r="40" spans="1:146" x14ac:dyDescent="0.25">
      <c r="A40" s="39">
        <f t="shared" si="52"/>
        <v>43707</v>
      </c>
      <c r="D40" s="93">
        <f t="shared" si="1"/>
        <v>0</v>
      </c>
      <c r="G40" s="93">
        <f t="shared" si="2"/>
        <v>0</v>
      </c>
      <c r="J40" s="93">
        <f t="shared" si="3"/>
        <v>0</v>
      </c>
      <c r="M40" s="93">
        <f t="shared" si="4"/>
        <v>0</v>
      </c>
      <c r="P40" s="93">
        <f t="shared" si="5"/>
        <v>0</v>
      </c>
      <c r="S40" s="93">
        <f t="shared" si="6"/>
        <v>0</v>
      </c>
      <c r="V40" s="93">
        <f t="shared" si="7"/>
        <v>0</v>
      </c>
      <c r="Y40" s="93">
        <f t="shared" si="8"/>
        <v>0</v>
      </c>
      <c r="AB40" s="93">
        <f t="shared" si="9"/>
        <v>0</v>
      </c>
      <c r="AE40" s="93">
        <f>(AC40*AD40)/'[11]Input Sheet'!$B$11</f>
        <v>0</v>
      </c>
      <c r="AH40" s="93">
        <f>(AF40*AG40)/'[11]Input Sheet'!$B$11</f>
        <v>0</v>
      </c>
      <c r="AI40" s="124"/>
      <c r="AJ40" s="125"/>
      <c r="AK40" s="93">
        <f t="shared" si="10"/>
        <v>0</v>
      </c>
      <c r="AL40" s="124"/>
      <c r="AM40" s="125"/>
      <c r="AN40" s="93">
        <f t="shared" si="11"/>
        <v>0</v>
      </c>
      <c r="AO40" s="124"/>
      <c r="AP40" s="125"/>
      <c r="AQ40" s="93">
        <f t="shared" si="12"/>
        <v>0</v>
      </c>
      <c r="AR40" s="124"/>
      <c r="AS40" s="125"/>
      <c r="AT40" s="93">
        <f t="shared" si="13"/>
        <v>0</v>
      </c>
      <c r="AW40" s="93">
        <f t="shared" si="14"/>
        <v>0</v>
      </c>
      <c r="AZ40" s="93">
        <f t="shared" si="15"/>
        <v>0</v>
      </c>
      <c r="BC40" s="93">
        <f t="shared" si="16"/>
        <v>0</v>
      </c>
      <c r="BF40" s="93">
        <f t="shared" si="17"/>
        <v>0</v>
      </c>
      <c r="BI40" s="93">
        <f t="shared" si="18"/>
        <v>0</v>
      </c>
      <c r="BL40" s="93">
        <f t="shared" si="19"/>
        <v>0</v>
      </c>
      <c r="BO40" s="93">
        <f t="shared" si="20"/>
        <v>0</v>
      </c>
      <c r="BR40" s="93">
        <f t="shared" si="21"/>
        <v>0</v>
      </c>
      <c r="BU40" s="93">
        <f t="shared" si="22"/>
        <v>0</v>
      </c>
      <c r="BX40" s="93">
        <f t="shared" si="23"/>
        <v>0</v>
      </c>
      <c r="CA40" s="93">
        <f t="shared" si="24"/>
        <v>0</v>
      </c>
      <c r="CD40" s="93">
        <f t="shared" si="25"/>
        <v>0</v>
      </c>
      <c r="CG40" s="93">
        <f t="shared" si="26"/>
        <v>0</v>
      </c>
      <c r="CJ40" s="93">
        <f t="shared" si="27"/>
        <v>0</v>
      </c>
      <c r="CM40" s="93">
        <f t="shared" si="28"/>
        <v>0</v>
      </c>
      <c r="CP40" s="93">
        <f t="shared" si="29"/>
        <v>0</v>
      </c>
      <c r="CS40" s="93">
        <f t="shared" si="30"/>
        <v>0</v>
      </c>
      <c r="CV40" s="93">
        <f t="shared" si="31"/>
        <v>0</v>
      </c>
      <c r="CY40" s="93">
        <f t="shared" si="32"/>
        <v>0</v>
      </c>
      <c r="DB40" s="93">
        <f t="shared" si="33"/>
        <v>0</v>
      </c>
      <c r="DE40" s="93">
        <f t="shared" si="34"/>
        <v>0</v>
      </c>
      <c r="DH40" s="93">
        <f t="shared" si="35"/>
        <v>0</v>
      </c>
      <c r="DK40" s="93">
        <f t="shared" si="36"/>
        <v>0</v>
      </c>
      <c r="DN40" s="93">
        <f t="shared" si="37"/>
        <v>0</v>
      </c>
      <c r="DQ40" s="93">
        <f t="shared" si="38"/>
        <v>0</v>
      </c>
      <c r="DT40" s="93">
        <f t="shared" si="39"/>
        <v>0</v>
      </c>
      <c r="DW40" s="93">
        <f t="shared" si="40"/>
        <v>0</v>
      </c>
      <c r="DZ40" s="91"/>
      <c r="EA40" s="93"/>
      <c r="EB40" s="126">
        <f t="shared" si="41"/>
        <v>0</v>
      </c>
      <c r="EC40" s="126">
        <f t="shared" si="42"/>
        <v>0</v>
      </c>
      <c r="ED40" s="93">
        <f t="shared" si="43"/>
        <v>0</v>
      </c>
      <c r="EE40" s="94">
        <f t="shared" si="44"/>
        <v>0</v>
      </c>
      <c r="EG40" s="126">
        <f t="shared" si="45"/>
        <v>0</v>
      </c>
      <c r="EH40" s="93">
        <f t="shared" si="46"/>
        <v>0</v>
      </c>
      <c r="EI40" s="94">
        <f t="shared" si="47"/>
        <v>0</v>
      </c>
      <c r="EJ40" s="94"/>
      <c r="EK40" s="126">
        <f t="shared" si="48"/>
        <v>0</v>
      </c>
      <c r="EL40" s="126">
        <f t="shared" si="49"/>
        <v>0</v>
      </c>
      <c r="EM40" s="126">
        <f t="shared" si="50"/>
        <v>0</v>
      </c>
      <c r="EN40" s="94">
        <f t="shared" si="51"/>
        <v>0</v>
      </c>
      <c r="EP40" s="93"/>
    </row>
    <row r="41" spans="1:146" x14ac:dyDescent="0.25">
      <c r="A41" s="39">
        <f t="shared" si="52"/>
        <v>43708</v>
      </c>
      <c r="D41" s="93">
        <f t="shared" si="1"/>
        <v>0</v>
      </c>
      <c r="G41" s="93">
        <f t="shared" si="2"/>
        <v>0</v>
      </c>
      <c r="J41" s="93">
        <f t="shared" si="3"/>
        <v>0</v>
      </c>
      <c r="M41" s="93">
        <f t="shared" si="4"/>
        <v>0</v>
      </c>
      <c r="P41" s="93">
        <f t="shared" si="5"/>
        <v>0</v>
      </c>
      <c r="S41" s="93">
        <f t="shared" si="6"/>
        <v>0</v>
      </c>
      <c r="V41" s="93">
        <f t="shared" si="7"/>
        <v>0</v>
      </c>
      <c r="Y41" s="93">
        <f t="shared" si="8"/>
        <v>0</v>
      </c>
      <c r="AB41" s="93">
        <f t="shared" si="9"/>
        <v>0</v>
      </c>
      <c r="AE41" s="93">
        <f>(AC41*AD41)/'[11]Input Sheet'!$B$11</f>
        <v>0</v>
      </c>
      <c r="AH41" s="93">
        <f>(AF41*AG41)/'[11]Input Sheet'!$B$11</f>
        <v>0</v>
      </c>
      <c r="AI41" s="124"/>
      <c r="AJ41" s="125"/>
      <c r="AK41" s="93">
        <f t="shared" si="10"/>
        <v>0</v>
      </c>
      <c r="AL41" s="124"/>
      <c r="AM41" s="125"/>
      <c r="AN41" s="93">
        <f t="shared" si="11"/>
        <v>0</v>
      </c>
      <c r="AO41" s="124"/>
      <c r="AP41" s="125"/>
      <c r="AQ41" s="93">
        <f t="shared" si="12"/>
        <v>0</v>
      </c>
      <c r="AR41" s="124"/>
      <c r="AS41" s="125"/>
      <c r="AT41" s="93">
        <f t="shared" si="13"/>
        <v>0</v>
      </c>
      <c r="AW41" s="93">
        <f t="shared" si="14"/>
        <v>0</v>
      </c>
      <c r="AZ41" s="93">
        <f t="shared" si="15"/>
        <v>0</v>
      </c>
      <c r="BC41" s="93">
        <f t="shared" si="16"/>
        <v>0</v>
      </c>
      <c r="BF41" s="93">
        <f t="shared" si="17"/>
        <v>0</v>
      </c>
      <c r="BI41" s="93">
        <f t="shared" si="18"/>
        <v>0</v>
      </c>
      <c r="BL41" s="93">
        <f t="shared" si="19"/>
        <v>0</v>
      </c>
      <c r="BO41" s="93">
        <f t="shared" si="20"/>
        <v>0</v>
      </c>
      <c r="BR41" s="93">
        <f t="shared" si="21"/>
        <v>0</v>
      </c>
      <c r="BU41" s="93">
        <f t="shared" si="22"/>
        <v>0</v>
      </c>
      <c r="BX41" s="93">
        <f t="shared" si="23"/>
        <v>0</v>
      </c>
      <c r="CA41" s="93">
        <f t="shared" si="24"/>
        <v>0</v>
      </c>
      <c r="CD41" s="93">
        <f t="shared" si="25"/>
        <v>0</v>
      </c>
      <c r="CG41" s="93">
        <f t="shared" si="26"/>
        <v>0</v>
      </c>
      <c r="CJ41" s="93">
        <f t="shared" si="27"/>
        <v>0</v>
      </c>
      <c r="CM41" s="93">
        <f t="shared" si="28"/>
        <v>0</v>
      </c>
      <c r="CP41" s="93">
        <f t="shared" si="29"/>
        <v>0</v>
      </c>
      <c r="CS41" s="93">
        <f t="shared" si="30"/>
        <v>0</v>
      </c>
      <c r="CV41" s="93">
        <f t="shared" si="31"/>
        <v>0</v>
      </c>
      <c r="CY41" s="93">
        <f t="shared" si="32"/>
        <v>0</v>
      </c>
      <c r="DB41" s="93">
        <f t="shared" si="33"/>
        <v>0</v>
      </c>
      <c r="DE41" s="93">
        <f t="shared" si="34"/>
        <v>0</v>
      </c>
      <c r="DH41" s="93">
        <f t="shared" si="35"/>
        <v>0</v>
      </c>
      <c r="DK41" s="93">
        <f t="shared" si="36"/>
        <v>0</v>
      </c>
      <c r="DN41" s="93">
        <f t="shared" si="37"/>
        <v>0</v>
      </c>
      <c r="DQ41" s="93">
        <f t="shared" si="38"/>
        <v>0</v>
      </c>
      <c r="DT41" s="93">
        <f t="shared" si="39"/>
        <v>0</v>
      </c>
      <c r="DW41" s="93">
        <f t="shared" si="40"/>
        <v>0</v>
      </c>
      <c r="DZ41" s="91"/>
      <c r="EA41" s="93"/>
      <c r="EB41" s="126">
        <f t="shared" si="41"/>
        <v>0</v>
      </c>
      <c r="EC41" s="126">
        <f t="shared" si="42"/>
        <v>0</v>
      </c>
      <c r="ED41" s="93">
        <f t="shared" si="43"/>
        <v>0</v>
      </c>
      <c r="EE41" s="94">
        <f t="shared" si="44"/>
        <v>0</v>
      </c>
      <c r="EG41" s="126">
        <f t="shared" si="45"/>
        <v>0</v>
      </c>
      <c r="EH41" s="93">
        <f t="shared" si="46"/>
        <v>0</v>
      </c>
      <c r="EI41" s="94">
        <f t="shared" si="47"/>
        <v>0</v>
      </c>
      <c r="EJ41" s="94"/>
      <c r="EK41" s="126">
        <f t="shared" si="48"/>
        <v>0</v>
      </c>
      <c r="EL41" s="126">
        <f t="shared" si="49"/>
        <v>0</v>
      </c>
      <c r="EM41" s="126">
        <f t="shared" si="50"/>
        <v>0</v>
      </c>
      <c r="EN41" s="94">
        <f t="shared" si="51"/>
        <v>0</v>
      </c>
      <c r="EP41" s="93"/>
    </row>
    <row r="42" spans="1:146" x14ac:dyDescent="0.25">
      <c r="A42" s="127" t="s">
        <v>88</v>
      </c>
      <c r="D42" s="128">
        <f>SUM(D11:D41)</f>
        <v>0</v>
      </c>
      <c r="G42" s="128">
        <f>SUM(G11:G41)</f>
        <v>0</v>
      </c>
      <c r="J42" s="128">
        <f>SUM(J11:J41)</f>
        <v>0</v>
      </c>
      <c r="M42" s="128">
        <f>SUM(M11:M41)</f>
        <v>0</v>
      </c>
      <c r="P42" s="128">
        <f>SUM(P11:P41)</f>
        <v>0</v>
      </c>
      <c r="S42" s="128">
        <f>SUM(S11:S41)</f>
        <v>0</v>
      </c>
      <c r="V42" s="128">
        <f>SUM(V11:V41)</f>
        <v>0</v>
      </c>
      <c r="Y42" s="128">
        <f>SUM(Y11:Y41)</f>
        <v>0</v>
      </c>
      <c r="AB42" s="128">
        <f>SUM(AB11:AB41)</f>
        <v>0</v>
      </c>
      <c r="AE42" s="128">
        <f>SUM(AE11:AE41)</f>
        <v>0</v>
      </c>
      <c r="AH42" s="128">
        <f>SUM(AH11:AH41)</f>
        <v>0</v>
      </c>
      <c r="AK42" s="128">
        <f>SUM(AK11:AK41)</f>
        <v>57060.784722222234</v>
      </c>
      <c r="AN42" s="128">
        <f>SUM(AN11:AN41)</f>
        <v>13149.999999999998</v>
      </c>
      <c r="AQ42" s="128">
        <f>SUM(AQ11:AQ41)</f>
        <v>0</v>
      </c>
      <c r="AT42" s="128">
        <f>SUM(AT11:AT41)</f>
        <v>0</v>
      </c>
      <c r="AW42" s="128">
        <f>SUM(AW11:AW41)</f>
        <v>0</v>
      </c>
      <c r="AZ42" s="128">
        <f>SUM(AZ11:AZ41)</f>
        <v>0</v>
      </c>
      <c r="BC42" s="128">
        <f>SUM(BC11:BC41)</f>
        <v>0</v>
      </c>
      <c r="BF42" s="128">
        <f>SUM(BF11:BF41)</f>
        <v>0</v>
      </c>
      <c r="BI42" s="128">
        <f>SUM(BI11:BI41)</f>
        <v>0</v>
      </c>
      <c r="BL42" s="128">
        <f>SUM(BL11:BL41)</f>
        <v>0</v>
      </c>
      <c r="BO42" s="128">
        <f>SUM(BO11:BO41)</f>
        <v>0</v>
      </c>
      <c r="BR42" s="128">
        <f>SUM(BR11:BR41)</f>
        <v>0</v>
      </c>
      <c r="BU42" s="128">
        <f>SUM(BU11:BU41)</f>
        <v>0</v>
      </c>
      <c r="BX42" s="128">
        <f>SUM(BX11:BX41)</f>
        <v>0</v>
      </c>
      <c r="CA42" s="128">
        <f>SUM(CA11:CA41)</f>
        <v>0</v>
      </c>
      <c r="CD42" s="128">
        <f>SUM(CD11:CD41)</f>
        <v>0</v>
      </c>
      <c r="CG42" s="128">
        <f>SUM(CG11:CG41)</f>
        <v>0</v>
      </c>
      <c r="CJ42" s="128">
        <f>SUM(CJ11:CJ41)</f>
        <v>0</v>
      </c>
      <c r="CM42" s="128">
        <f>SUM(CM11:CM41)</f>
        <v>0</v>
      </c>
      <c r="CP42" s="128">
        <f>SUM(CP11:CP41)</f>
        <v>0</v>
      </c>
      <c r="CS42" s="128">
        <f>SUM(CS11:CS41)</f>
        <v>0</v>
      </c>
      <c r="CV42" s="128">
        <f>SUM(CV11:CV41)</f>
        <v>0</v>
      </c>
      <c r="CY42" s="128">
        <f>SUM(CY11:CY41)</f>
        <v>0</v>
      </c>
      <c r="DB42" s="128">
        <f>SUM(DB11:DB41)</f>
        <v>0</v>
      </c>
      <c r="DE42" s="128">
        <f>SUM(DE11:DE41)</f>
        <v>0</v>
      </c>
      <c r="DH42" s="128">
        <f>SUM(DH11:DH41)</f>
        <v>0</v>
      </c>
      <c r="DK42" s="128">
        <f>SUM(DK11:DK41)</f>
        <v>0</v>
      </c>
      <c r="DN42" s="128">
        <f>SUM(DN11:DN41)</f>
        <v>0</v>
      </c>
      <c r="DQ42" s="128">
        <f>SUM(DQ11:DQ41)</f>
        <v>0</v>
      </c>
      <c r="DT42" s="128">
        <f>SUM(DT11:DT41)</f>
        <v>0</v>
      </c>
      <c r="DW42" s="128">
        <f>SUM(DW11:DW41)</f>
        <v>0</v>
      </c>
      <c r="DZ42" s="91"/>
      <c r="EA42" s="91"/>
      <c r="EB42" s="93"/>
      <c r="EC42" s="93"/>
      <c r="ED42" s="128">
        <f>SUM(ED11:ED41)</f>
        <v>70210.784722222219</v>
      </c>
      <c r="EE42" s="94"/>
      <c r="EG42" s="93"/>
      <c r="EH42" s="128">
        <f>SUM(EH11:EH41)</f>
        <v>0</v>
      </c>
      <c r="EI42" s="94"/>
      <c r="EJ42" s="94"/>
      <c r="EK42" s="93"/>
      <c r="EL42" s="93"/>
      <c r="EM42" s="128">
        <f>SUM(EM11:EM41)</f>
        <v>70210.784722222219</v>
      </c>
      <c r="EN42" s="94"/>
    </row>
    <row r="44" spans="1:146" x14ac:dyDescent="0.25">
      <c r="EM44" s="129"/>
    </row>
    <row r="46" spans="1:146" x14ac:dyDescent="0.25">
      <c r="EM46" s="93"/>
    </row>
    <row r="48" spans="1:146" x14ac:dyDescent="0.25">
      <c r="EM48" s="9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93" bestFit="1" customWidth="1"/>
    <col min="3" max="3" width="15.42578125" style="94" bestFit="1" customWidth="1"/>
    <col min="4" max="4" width="15.42578125" bestFit="1" customWidth="1"/>
    <col min="5" max="5" width="15.5703125" style="93" bestFit="1" customWidth="1"/>
    <col min="6" max="6" width="12.28515625" style="94" bestFit="1" customWidth="1"/>
    <col min="7" max="7" width="15.42578125" bestFit="1" customWidth="1"/>
    <col min="8" max="8" width="15.42578125" style="93" hidden="1" customWidth="1"/>
    <col min="9" max="9" width="10.28515625" style="94" hidden="1" customWidth="1"/>
    <col min="10" max="10" width="13.42578125" hidden="1" customWidth="1"/>
    <col min="11" max="11" width="14.42578125" style="93" hidden="1" customWidth="1"/>
    <col min="12" max="12" width="10.28515625" style="94" hidden="1" customWidth="1"/>
    <col min="13" max="13" width="11.7109375" hidden="1" customWidth="1"/>
    <col min="14" max="14" width="14.42578125" style="93" hidden="1" customWidth="1"/>
    <col min="15" max="15" width="10.28515625" style="94" hidden="1" customWidth="1"/>
    <col min="16" max="16" width="11.7109375" hidden="1" customWidth="1"/>
    <col min="17" max="17" width="15.42578125" style="93" hidden="1" customWidth="1"/>
    <col min="18" max="18" width="10.28515625" style="94" hidden="1" customWidth="1"/>
    <col min="19" max="19" width="11.7109375" hidden="1" customWidth="1"/>
    <col min="20" max="20" width="15.42578125" style="93" hidden="1" customWidth="1"/>
    <col min="21" max="21" width="10.28515625" style="94" hidden="1" customWidth="1"/>
    <col min="22" max="22" width="11.7109375" hidden="1" customWidth="1"/>
    <col min="23" max="23" width="15.42578125" style="93" hidden="1" customWidth="1"/>
    <col min="24" max="24" width="10.28515625" style="94" hidden="1" customWidth="1"/>
    <col min="25" max="25" width="11.7109375" hidden="1" customWidth="1"/>
    <col min="26" max="26" width="15.42578125" style="93" hidden="1" customWidth="1"/>
    <col min="27" max="27" width="10.28515625" style="94" hidden="1" customWidth="1"/>
    <col min="28" max="28" width="11.7109375" hidden="1" customWidth="1"/>
    <col min="29" max="29" width="15.42578125" style="93" hidden="1" customWidth="1"/>
    <col min="30" max="30" width="10.28515625" style="94" hidden="1" customWidth="1"/>
    <col min="31" max="31" width="11.7109375" hidden="1" customWidth="1"/>
    <col min="32" max="32" width="14.42578125" style="93" hidden="1" customWidth="1"/>
    <col min="33" max="33" width="10.28515625" style="94" hidden="1" customWidth="1"/>
    <col min="34" max="34" width="10.7109375" hidden="1" customWidth="1"/>
    <col min="35" max="35" width="14.42578125" style="93" customWidth="1"/>
    <col min="36" max="36" width="10.28515625" style="94" customWidth="1"/>
    <col min="37" max="37" width="10.7109375" customWidth="1"/>
    <col min="38" max="38" width="14.42578125" style="93" customWidth="1"/>
    <col min="39" max="39" width="10.28515625" style="94" customWidth="1"/>
    <col min="40" max="40" width="10.7109375" customWidth="1"/>
    <col min="41" max="41" width="15.42578125" style="93" bestFit="1" customWidth="1"/>
    <col min="42" max="42" width="12.28515625" style="94" bestFit="1" customWidth="1"/>
    <col min="43" max="43" width="11.7109375" bestFit="1" customWidth="1"/>
    <col min="44" max="44" width="15.42578125" style="93" bestFit="1" customWidth="1"/>
    <col min="45" max="45" width="10.28515625" style="94" bestFit="1" customWidth="1"/>
    <col min="46" max="46" width="11.7109375" bestFit="1" customWidth="1"/>
    <col min="47" max="47" width="14.42578125" style="93" customWidth="1"/>
    <col min="48" max="48" width="10.28515625" style="94" customWidth="1"/>
    <col min="49" max="49" width="10.7109375" customWidth="1"/>
    <col min="50" max="50" width="14.42578125" style="93" customWidth="1"/>
    <col min="51" max="51" width="10.28515625" style="94" customWidth="1"/>
    <col min="52" max="52" width="10.7109375" customWidth="1"/>
    <col min="53" max="53" width="14.42578125" style="93" customWidth="1"/>
    <col min="54" max="54" width="10.28515625" style="94" customWidth="1"/>
    <col min="55" max="55" width="10.7109375" customWidth="1"/>
    <col min="56" max="56" width="14.42578125" style="93" customWidth="1"/>
    <col min="57" max="57" width="10.28515625" style="94" customWidth="1"/>
    <col min="58" max="58" width="10.7109375" customWidth="1"/>
    <col min="59" max="59" width="14.42578125" style="93" customWidth="1"/>
    <col min="60" max="60" width="10.28515625" style="94" customWidth="1"/>
    <col min="61" max="61" width="10.7109375" customWidth="1"/>
    <col min="62" max="62" width="14.42578125" style="93" customWidth="1"/>
    <col min="63" max="63" width="10.28515625" style="94" customWidth="1"/>
    <col min="64" max="64" width="10.7109375" customWidth="1"/>
    <col min="65" max="65" width="14.42578125" style="93" hidden="1" customWidth="1"/>
    <col min="66" max="66" width="10.28515625" style="94" hidden="1" customWidth="1"/>
    <col min="67" max="67" width="10.7109375" hidden="1" customWidth="1"/>
    <col min="68" max="68" width="14.42578125" style="93" hidden="1" customWidth="1"/>
    <col min="69" max="69" width="10.28515625" style="94" hidden="1" customWidth="1"/>
    <col min="70" max="70" width="10.7109375" hidden="1" customWidth="1"/>
    <col min="71" max="71" width="14.42578125" style="93" hidden="1" customWidth="1"/>
    <col min="72" max="72" width="10.28515625" style="94" hidden="1" customWidth="1"/>
    <col min="73" max="73" width="10.7109375" hidden="1" customWidth="1"/>
    <col min="74" max="74" width="14.42578125" style="93" hidden="1" customWidth="1"/>
    <col min="75" max="75" width="10.28515625" style="94" hidden="1" customWidth="1"/>
    <col min="76" max="76" width="10.7109375" hidden="1" customWidth="1"/>
    <col min="77" max="77" width="14.42578125" style="93" hidden="1" customWidth="1"/>
    <col min="78" max="78" width="10.28515625" style="94" hidden="1" customWidth="1"/>
    <col min="79" max="79" width="10.7109375" hidden="1" customWidth="1"/>
    <col min="80" max="80" width="14.42578125" style="93" hidden="1" customWidth="1"/>
    <col min="81" max="81" width="10.28515625" style="94" hidden="1" customWidth="1"/>
    <col min="82" max="82" width="10.7109375" hidden="1" customWidth="1"/>
    <col min="83" max="83" width="14.42578125" style="93" hidden="1" customWidth="1"/>
    <col min="84" max="84" width="10.28515625" style="94" hidden="1" customWidth="1"/>
    <col min="85" max="85" width="10.7109375" hidden="1" customWidth="1"/>
    <col min="86" max="86" width="14.42578125" style="93" hidden="1" customWidth="1"/>
    <col min="87" max="87" width="10.28515625" style="94" hidden="1" customWidth="1"/>
    <col min="88" max="88" width="10.7109375" hidden="1" customWidth="1"/>
    <col min="89" max="89" width="14.42578125" style="93" hidden="1" customWidth="1"/>
    <col min="90" max="90" width="10.28515625" style="94" hidden="1" customWidth="1"/>
    <col min="91" max="91" width="10.7109375" hidden="1" customWidth="1"/>
    <col min="92" max="92" width="14.42578125" style="93" hidden="1" customWidth="1"/>
    <col min="93" max="93" width="10.28515625" style="94" hidden="1" customWidth="1"/>
    <col min="94" max="94" width="10.7109375" hidden="1" customWidth="1"/>
    <col min="95" max="95" width="14.42578125" style="93" hidden="1" customWidth="1"/>
    <col min="96" max="96" width="10.28515625" style="94" hidden="1" customWidth="1"/>
    <col min="97" max="97" width="10.7109375" hidden="1" customWidth="1"/>
    <col min="98" max="98" width="14.42578125" style="93" hidden="1" customWidth="1"/>
    <col min="99" max="99" width="10.28515625" style="94" hidden="1" customWidth="1"/>
    <col min="100" max="100" width="10.7109375" hidden="1" customWidth="1"/>
    <col min="101" max="101" width="14.42578125" style="93" hidden="1" customWidth="1"/>
    <col min="102" max="102" width="10.28515625" style="94" hidden="1" customWidth="1"/>
    <col min="103" max="103" width="10.7109375" hidden="1" customWidth="1"/>
    <col min="104" max="104" width="14.42578125" style="93" hidden="1" customWidth="1"/>
    <col min="105" max="105" width="10.28515625" style="94" hidden="1" customWidth="1"/>
    <col min="106" max="106" width="10.7109375" hidden="1" customWidth="1"/>
    <col min="107" max="107" width="14.42578125" style="93" hidden="1" customWidth="1"/>
    <col min="108" max="108" width="10.28515625" style="94" hidden="1" customWidth="1"/>
    <col min="109" max="109" width="10.7109375" hidden="1" customWidth="1"/>
    <col min="110" max="110" width="14.42578125" style="93" hidden="1" customWidth="1"/>
    <col min="111" max="111" width="10.28515625" style="94" hidden="1" customWidth="1"/>
    <col min="112" max="112" width="10.7109375" hidden="1" customWidth="1"/>
    <col min="113" max="113" width="14.42578125" style="93" hidden="1" customWidth="1"/>
    <col min="114" max="114" width="10.28515625" style="94" hidden="1" customWidth="1"/>
    <col min="115" max="115" width="10.7109375" hidden="1" customWidth="1"/>
    <col min="116" max="116" width="14.42578125" style="93" hidden="1" customWidth="1"/>
    <col min="117" max="117" width="10.28515625" style="94" hidden="1" customWidth="1"/>
    <col min="118" max="118" width="10.7109375" hidden="1" customWidth="1"/>
    <col min="119" max="119" width="14.42578125" style="93" hidden="1" customWidth="1"/>
    <col min="120" max="120" width="10.28515625" style="94" hidden="1" customWidth="1"/>
    <col min="121" max="121" width="10.7109375" hidden="1" customWidth="1"/>
    <col min="122" max="122" width="14.42578125" style="93" hidden="1" customWidth="1"/>
    <col min="123" max="123" width="10.28515625" style="94" hidden="1" customWidth="1"/>
    <col min="124" max="124" width="10.7109375" hidden="1" customWidth="1"/>
    <col min="125" max="125" width="14.42578125" style="93" hidden="1" customWidth="1"/>
    <col min="126" max="126" width="10.28515625" style="94" hidden="1" customWidth="1"/>
    <col min="127" max="127" width="10.7109375" hidden="1" customWidth="1"/>
    <col min="128" max="128" width="14.42578125" style="93" hidden="1" customWidth="1"/>
    <col min="129" max="129" width="10.28515625" style="94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6" customFormat="1" ht="15.75" x14ac:dyDescent="0.25">
      <c r="A1" s="83" t="s">
        <v>0</v>
      </c>
      <c r="B1" s="84"/>
      <c r="C1" s="85"/>
      <c r="E1" s="84"/>
      <c r="F1" s="85"/>
      <c r="H1" s="84"/>
      <c r="I1" s="85"/>
      <c r="K1" s="84"/>
      <c r="L1" s="85"/>
      <c r="N1" s="84"/>
      <c r="O1" s="85"/>
      <c r="Q1" s="84"/>
      <c r="R1" s="85"/>
      <c r="T1" s="84"/>
      <c r="U1" s="85"/>
      <c r="W1" s="84"/>
      <c r="X1" s="85"/>
      <c r="Z1" s="84"/>
      <c r="AA1" s="85"/>
      <c r="AC1" s="84"/>
      <c r="AD1" s="85"/>
      <c r="AF1" s="84"/>
      <c r="AG1" s="85"/>
      <c r="AI1" s="84"/>
      <c r="AJ1" s="85"/>
      <c r="AL1" s="84"/>
      <c r="AM1" s="85"/>
      <c r="AO1" s="84"/>
      <c r="AP1" s="85"/>
      <c r="AR1" s="84"/>
      <c r="AS1" s="85"/>
      <c r="AU1" s="84"/>
      <c r="AV1" s="85"/>
      <c r="AX1" s="84"/>
      <c r="AY1" s="85"/>
      <c r="BA1" s="84"/>
      <c r="BB1" s="85"/>
      <c r="BD1" s="84"/>
      <c r="BE1" s="85"/>
      <c r="BG1" s="84"/>
      <c r="BH1" s="85"/>
      <c r="BJ1" s="84"/>
      <c r="BK1" s="85"/>
      <c r="BM1" s="84"/>
      <c r="BN1" s="85"/>
      <c r="BP1" s="84"/>
      <c r="BQ1" s="85"/>
      <c r="BS1" s="84"/>
      <c r="BT1" s="85"/>
      <c r="BV1" s="84"/>
      <c r="BW1" s="85"/>
      <c r="BY1" s="84"/>
      <c r="BZ1" s="85"/>
      <c r="CB1" s="84"/>
      <c r="CC1" s="85"/>
      <c r="CE1" s="84"/>
      <c r="CF1" s="85"/>
      <c r="CH1" s="84"/>
      <c r="CI1" s="85"/>
      <c r="CK1" s="84"/>
      <c r="CL1" s="85"/>
      <c r="CN1" s="84"/>
      <c r="CO1" s="85"/>
      <c r="CQ1" s="84"/>
      <c r="CR1" s="85"/>
      <c r="CT1" s="84"/>
      <c r="CU1" s="85"/>
      <c r="CW1" s="84"/>
      <c r="CX1" s="85"/>
      <c r="CZ1" s="84"/>
      <c r="DA1" s="85"/>
      <c r="DC1" s="84"/>
      <c r="DD1" s="85"/>
      <c r="DF1" s="84"/>
      <c r="DG1" s="85"/>
      <c r="DI1" s="84"/>
      <c r="DJ1" s="85"/>
      <c r="DL1" s="84"/>
      <c r="DM1" s="85"/>
      <c r="DO1" s="84"/>
      <c r="DP1" s="85"/>
      <c r="DR1" s="84"/>
      <c r="DS1" s="85"/>
      <c r="DU1" s="84"/>
      <c r="DV1" s="85"/>
      <c r="DX1" s="84"/>
      <c r="DY1" s="85"/>
      <c r="DZ1" s="87"/>
      <c r="ED1" s="88"/>
      <c r="EE1" s="89" t="s">
        <v>107</v>
      </c>
      <c r="EI1" s="88" t="s">
        <v>108</v>
      </c>
      <c r="EM1" s="88"/>
      <c r="EN1" s="88" t="s">
        <v>109</v>
      </c>
      <c r="EO1" s="83" t="s">
        <v>110</v>
      </c>
      <c r="EP1" s="83" t="s">
        <v>111</v>
      </c>
      <c r="EQ1" s="83" t="s">
        <v>112</v>
      </c>
    </row>
    <row r="2" spans="1:147" s="86" customFormat="1" ht="16.5" thickBot="1" x14ac:dyDescent="0.3">
      <c r="A2" s="83" t="s">
        <v>113</v>
      </c>
      <c r="B2" s="84"/>
      <c r="C2" s="85"/>
      <c r="E2" s="90"/>
      <c r="F2" s="85"/>
      <c r="G2" s="88"/>
      <c r="H2" s="84"/>
      <c r="I2" s="85"/>
      <c r="K2" s="84"/>
      <c r="L2" s="85"/>
      <c r="N2" s="84"/>
      <c r="O2" s="85"/>
      <c r="Q2" s="84"/>
      <c r="R2" s="85"/>
      <c r="T2" s="84"/>
      <c r="U2" s="85"/>
      <c r="W2" s="84"/>
      <c r="X2" s="85"/>
      <c r="Z2" s="84"/>
      <c r="AA2" s="85"/>
      <c r="AC2" s="84"/>
      <c r="AD2" s="85"/>
      <c r="AF2" s="84"/>
      <c r="AG2" s="85"/>
      <c r="AI2" s="84"/>
      <c r="AJ2" s="85"/>
      <c r="AL2" s="84"/>
      <c r="AM2" s="85"/>
      <c r="AO2" s="84"/>
      <c r="AP2" s="85"/>
      <c r="AR2" s="84"/>
      <c r="AS2" s="85"/>
      <c r="AU2" s="84"/>
      <c r="AV2" s="85"/>
      <c r="AX2" s="84"/>
      <c r="AY2" s="85"/>
      <c r="BA2" s="84"/>
      <c r="BB2" s="85"/>
      <c r="BD2" s="84"/>
      <c r="BE2" s="85"/>
      <c r="BG2" s="84"/>
      <c r="BH2" s="85"/>
      <c r="BJ2" s="84"/>
      <c r="BK2" s="85"/>
      <c r="BM2" s="84"/>
      <c r="BN2" s="85"/>
      <c r="BP2" s="84"/>
      <c r="BQ2" s="85"/>
      <c r="BS2" s="84"/>
      <c r="BT2" s="85"/>
      <c r="BV2" s="84"/>
      <c r="BW2" s="85"/>
      <c r="BY2" s="84"/>
      <c r="BZ2" s="85"/>
      <c r="CB2" s="84"/>
      <c r="CC2" s="85"/>
      <c r="CE2" s="84"/>
      <c r="CF2" s="85"/>
      <c r="CH2" s="84"/>
      <c r="CI2" s="85"/>
      <c r="CK2" s="84"/>
      <c r="CL2" s="85"/>
      <c r="CN2" s="84"/>
      <c r="CO2" s="85"/>
      <c r="CQ2" s="84"/>
      <c r="CR2" s="85"/>
      <c r="CT2" s="84"/>
      <c r="CU2" s="85"/>
      <c r="CW2" s="84"/>
      <c r="CX2" s="85"/>
      <c r="CZ2" s="84"/>
      <c r="DA2" s="85"/>
      <c r="DC2" s="84"/>
      <c r="DD2" s="85"/>
      <c r="DF2" s="84"/>
      <c r="DG2" s="85"/>
      <c r="DI2" s="84"/>
      <c r="DJ2" s="85"/>
      <c r="DL2" s="84"/>
      <c r="DM2" s="85"/>
      <c r="DO2" s="84"/>
      <c r="DP2" s="85"/>
      <c r="DR2" s="84"/>
      <c r="DS2" s="85"/>
      <c r="DU2" s="84"/>
      <c r="DV2" s="85"/>
      <c r="DX2" s="84"/>
      <c r="DY2" s="85"/>
      <c r="EB2" s="37" t="s">
        <v>114</v>
      </c>
      <c r="EC2" s="37"/>
      <c r="ED2" s="91"/>
      <c r="EE2" s="91">
        <f>EB40</f>
        <v>143825000</v>
      </c>
      <c r="EI2" s="91">
        <f>EG40</f>
        <v>0</v>
      </c>
      <c r="EM2" s="91"/>
      <c r="EN2" s="91">
        <f>EK40</f>
        <v>143825000</v>
      </c>
      <c r="EO2" s="84">
        <v>0</v>
      </c>
      <c r="EP2" s="84">
        <v>0</v>
      </c>
      <c r="EQ2" s="84">
        <f>EE2+EO2</f>
        <v>143825000</v>
      </c>
    </row>
    <row r="3" spans="1:147" ht="16.5" thickTop="1" x14ac:dyDescent="0.25">
      <c r="A3" s="92" t="s">
        <v>183</v>
      </c>
      <c r="E3" s="95" t="s">
        <v>115</v>
      </c>
      <c r="F3" s="96"/>
      <c r="G3" s="97"/>
      <c r="EB3" s="37" t="s">
        <v>116</v>
      </c>
      <c r="EC3" s="37"/>
      <c r="ED3" s="91"/>
      <c r="EE3" s="91">
        <f>AVERAGE(EB11:EB40)</f>
        <v>49035000</v>
      </c>
      <c r="EI3" s="91">
        <f>AVERAGE(EG11:EG40)</f>
        <v>0</v>
      </c>
      <c r="EM3" s="91"/>
      <c r="EN3" s="91">
        <f>AVERAGE(EK11:EK40)</f>
        <v>49035000</v>
      </c>
    </row>
    <row r="4" spans="1:147" x14ac:dyDescent="0.25">
      <c r="D4" s="37"/>
      <c r="E4" s="99" t="s">
        <v>114</v>
      </c>
      <c r="F4" s="91"/>
      <c r="G4" s="100">
        <f>EQ2</f>
        <v>143825000</v>
      </c>
      <c r="AI4" s="101" t="s">
        <v>117</v>
      </c>
      <c r="EB4" s="37" t="s">
        <v>118</v>
      </c>
      <c r="EC4" s="37"/>
      <c r="ED4" s="98"/>
      <c r="EE4" s="98">
        <f>IF(EE3=0,0,360*(AVERAGE(ED11:ED40)/EE3))</f>
        <v>2.2168699228442262E-2</v>
      </c>
      <c r="EI4" s="98">
        <f>IF(EI3=0,0,360*(AVERAGE(EH11:EH40)/EI3))</f>
        <v>0</v>
      </c>
      <c r="EM4" s="98"/>
      <c r="EN4" s="98">
        <f>IF(EN3=0,0,360*(AVERAGE(EM11:EM40)/EN3))</f>
        <v>2.2168699228442262E-2</v>
      </c>
      <c r="EO4" s="102" t="s">
        <v>119</v>
      </c>
      <c r="EQ4" s="103" t="s">
        <v>117</v>
      </c>
    </row>
    <row r="5" spans="1:147" ht="15.75" x14ac:dyDescent="0.25">
      <c r="D5" s="37"/>
      <c r="E5" s="99" t="s">
        <v>116</v>
      </c>
      <c r="F5" s="91"/>
      <c r="G5" s="100">
        <f>EE3</f>
        <v>49035000</v>
      </c>
      <c r="AI5" s="104" t="s">
        <v>109</v>
      </c>
      <c r="EB5" s="105" t="s">
        <v>120</v>
      </c>
      <c r="EC5" s="105"/>
      <c r="ED5" s="91"/>
      <c r="EE5" s="91">
        <f>MAX(EB11:EB40)</f>
        <v>146200000</v>
      </c>
      <c r="EI5" s="91">
        <f>MAX(EG11:EG40)</f>
        <v>0</v>
      </c>
      <c r="EM5" s="91"/>
      <c r="EN5" s="91">
        <f>MAX(EK11:EK40)</f>
        <v>146200000</v>
      </c>
    </row>
    <row r="6" spans="1:147" x14ac:dyDescent="0.25">
      <c r="D6" s="37"/>
      <c r="E6" s="99" t="s">
        <v>118</v>
      </c>
      <c r="F6" s="91"/>
      <c r="G6" s="106">
        <f>EE4</f>
        <v>2.2168699228442262E-2</v>
      </c>
    </row>
    <row r="7" spans="1:147" ht="16.5" thickBot="1" x14ac:dyDescent="0.3">
      <c r="D7" s="37"/>
      <c r="E7" s="107" t="s">
        <v>120</v>
      </c>
      <c r="F7" s="108"/>
      <c r="G7" s="109">
        <f>EE5</f>
        <v>146200000</v>
      </c>
      <c r="AI7" s="104" t="s">
        <v>109</v>
      </c>
      <c r="EB7" s="110" t="s">
        <v>121</v>
      </c>
      <c r="EC7" s="110"/>
      <c r="ED7" s="111"/>
      <c r="EE7" s="111"/>
      <c r="EG7" s="110" t="s">
        <v>122</v>
      </c>
      <c r="EH7" s="111"/>
      <c r="EI7" s="111"/>
      <c r="EJ7" s="112"/>
      <c r="EK7" s="110" t="s">
        <v>123</v>
      </c>
      <c r="EL7" s="110"/>
      <c r="EM7" s="111"/>
      <c r="EN7" s="111"/>
    </row>
    <row r="8" spans="1:147" ht="15.75" thickTop="1" x14ac:dyDescent="0.25">
      <c r="AI8" s="113" t="s">
        <v>124</v>
      </c>
      <c r="AL8" s="113" t="s">
        <v>124</v>
      </c>
      <c r="AO8" s="113" t="s">
        <v>124</v>
      </c>
      <c r="AR8" s="113" t="s">
        <v>124</v>
      </c>
      <c r="AU8" s="113" t="s">
        <v>124</v>
      </c>
      <c r="AX8" s="113" t="s">
        <v>124</v>
      </c>
      <c r="BA8" s="113" t="s">
        <v>124</v>
      </c>
      <c r="BD8" s="113" t="s">
        <v>124</v>
      </c>
      <c r="BG8" s="113" t="s">
        <v>124</v>
      </c>
      <c r="BJ8" s="113" t="s">
        <v>124</v>
      </c>
      <c r="BM8" s="113" t="s">
        <v>124</v>
      </c>
      <c r="BP8" s="113" t="s">
        <v>124</v>
      </c>
      <c r="BS8" s="113" t="s">
        <v>124</v>
      </c>
      <c r="BV8" s="113" t="s">
        <v>124</v>
      </c>
      <c r="BY8" s="113" t="s">
        <v>124</v>
      </c>
      <c r="CB8" s="113" t="s">
        <v>124</v>
      </c>
      <c r="CE8" s="113" t="s">
        <v>124</v>
      </c>
      <c r="CH8" s="113" t="s">
        <v>124</v>
      </c>
      <c r="CK8" s="113" t="s">
        <v>124</v>
      </c>
      <c r="CN8" s="113" t="s">
        <v>124</v>
      </c>
      <c r="CQ8" s="113" t="s">
        <v>124</v>
      </c>
      <c r="CT8" s="113" t="s">
        <v>124</v>
      </c>
      <c r="CW8" s="113" t="s">
        <v>124</v>
      </c>
      <c r="CZ8" s="113" t="s">
        <v>124</v>
      </c>
      <c r="DC8" s="113" t="s">
        <v>124</v>
      </c>
      <c r="DF8" s="113" t="s">
        <v>124</v>
      </c>
      <c r="DI8" s="113" t="s">
        <v>124</v>
      </c>
      <c r="DL8" s="113" t="s">
        <v>124</v>
      </c>
      <c r="DO8" s="113" t="s">
        <v>124</v>
      </c>
      <c r="DR8" s="113" t="s">
        <v>124</v>
      </c>
      <c r="EB8" s="114"/>
      <c r="EC8" s="114"/>
      <c r="ED8" s="114"/>
      <c r="EE8" s="114" t="s">
        <v>125</v>
      </c>
      <c r="EG8" s="114"/>
      <c r="EH8" s="115" t="s">
        <v>108</v>
      </c>
      <c r="EI8" s="114" t="s">
        <v>125</v>
      </c>
      <c r="EJ8" s="114"/>
      <c r="EK8" s="103" t="s">
        <v>126</v>
      </c>
      <c r="EL8" s="103" t="s">
        <v>127</v>
      </c>
      <c r="EM8" s="115" t="s">
        <v>128</v>
      </c>
      <c r="EN8" s="114" t="s">
        <v>125</v>
      </c>
    </row>
    <row r="9" spans="1:147" x14ac:dyDescent="0.25">
      <c r="B9" s="116" t="s">
        <v>129</v>
      </c>
      <c r="C9" s="117"/>
      <c r="D9" s="111"/>
      <c r="E9" s="116" t="s">
        <v>130</v>
      </c>
      <c r="F9" s="117"/>
      <c r="G9" s="111"/>
      <c r="H9" s="116" t="s">
        <v>131</v>
      </c>
      <c r="I9" s="117"/>
      <c r="J9" s="111"/>
      <c r="K9" s="116" t="s">
        <v>132</v>
      </c>
      <c r="L9" s="117"/>
      <c r="M9" s="111"/>
      <c r="N9" s="116" t="s">
        <v>133</v>
      </c>
      <c r="O9" s="117"/>
      <c r="P9" s="111"/>
      <c r="Q9" s="116" t="s">
        <v>134</v>
      </c>
      <c r="R9" s="117"/>
      <c r="S9" s="111"/>
      <c r="T9" s="116" t="s">
        <v>135</v>
      </c>
      <c r="U9" s="117"/>
      <c r="V9" s="111"/>
      <c r="W9" s="116" t="s">
        <v>136</v>
      </c>
      <c r="X9" s="117"/>
      <c r="Y9" s="111"/>
      <c r="Z9" s="116" t="s">
        <v>137</v>
      </c>
      <c r="AA9" s="117"/>
      <c r="AB9" s="111"/>
      <c r="AC9" s="118" t="s">
        <v>138</v>
      </c>
      <c r="AD9" s="117"/>
      <c r="AE9" s="111"/>
      <c r="AF9" s="118" t="s">
        <v>139</v>
      </c>
      <c r="AG9" s="117"/>
      <c r="AH9" s="111"/>
      <c r="AI9" s="116" t="s">
        <v>140</v>
      </c>
      <c r="AJ9" s="117"/>
      <c r="AK9" s="111"/>
      <c r="AL9" s="116" t="s">
        <v>141</v>
      </c>
      <c r="AM9" s="117"/>
      <c r="AN9" s="111"/>
      <c r="AO9" s="116" t="s">
        <v>142</v>
      </c>
      <c r="AP9" s="117"/>
      <c r="AQ9" s="111"/>
      <c r="AR9" s="116" t="s">
        <v>143</v>
      </c>
      <c r="AS9" s="117"/>
      <c r="AT9" s="111"/>
      <c r="AU9" s="116" t="s">
        <v>144</v>
      </c>
      <c r="AV9" s="117"/>
      <c r="AW9" s="111"/>
      <c r="AX9" s="116" t="s">
        <v>145</v>
      </c>
      <c r="AY9" s="117"/>
      <c r="AZ9" s="111"/>
      <c r="BA9" s="116" t="s">
        <v>146</v>
      </c>
      <c r="BB9" s="117"/>
      <c r="BC9" s="111"/>
      <c r="BD9" s="116" t="s">
        <v>147</v>
      </c>
      <c r="BE9" s="117"/>
      <c r="BF9" s="111"/>
      <c r="BG9" s="116" t="s">
        <v>148</v>
      </c>
      <c r="BH9" s="117"/>
      <c r="BI9" s="111"/>
      <c r="BJ9" s="116" t="s">
        <v>149</v>
      </c>
      <c r="BK9" s="117"/>
      <c r="BL9" s="111"/>
      <c r="BM9" s="116" t="s">
        <v>150</v>
      </c>
      <c r="BN9" s="117"/>
      <c r="BO9" s="111"/>
      <c r="BP9" s="116" t="s">
        <v>151</v>
      </c>
      <c r="BQ9" s="117"/>
      <c r="BR9" s="111"/>
      <c r="BS9" s="116" t="s">
        <v>152</v>
      </c>
      <c r="BT9" s="117"/>
      <c r="BU9" s="111"/>
      <c r="BV9" s="116" t="s">
        <v>153</v>
      </c>
      <c r="BW9" s="117"/>
      <c r="BX9" s="111"/>
      <c r="BY9" s="116" t="s">
        <v>154</v>
      </c>
      <c r="BZ9" s="117"/>
      <c r="CA9" s="111"/>
      <c r="CB9" s="116" t="s">
        <v>155</v>
      </c>
      <c r="CC9" s="117"/>
      <c r="CD9" s="111"/>
      <c r="CE9" s="116" t="s">
        <v>156</v>
      </c>
      <c r="CF9" s="117"/>
      <c r="CG9" s="111"/>
      <c r="CH9" s="116" t="s">
        <v>157</v>
      </c>
      <c r="CI9" s="117"/>
      <c r="CJ9" s="111"/>
      <c r="CK9" s="116" t="s">
        <v>158</v>
      </c>
      <c r="CL9" s="117"/>
      <c r="CM9" s="111"/>
      <c r="CN9" s="116" t="s">
        <v>159</v>
      </c>
      <c r="CO9" s="117"/>
      <c r="CP9" s="111"/>
      <c r="CQ9" s="116" t="s">
        <v>160</v>
      </c>
      <c r="CR9" s="117"/>
      <c r="CS9" s="111"/>
      <c r="CT9" s="116" t="s">
        <v>161</v>
      </c>
      <c r="CU9" s="117"/>
      <c r="CV9" s="111"/>
      <c r="CW9" s="116" t="s">
        <v>162</v>
      </c>
      <c r="CX9" s="117"/>
      <c r="CY9" s="111"/>
      <c r="CZ9" s="116" t="s">
        <v>163</v>
      </c>
      <c r="DA9" s="117"/>
      <c r="DB9" s="111"/>
      <c r="DC9" s="116" t="s">
        <v>164</v>
      </c>
      <c r="DD9" s="117"/>
      <c r="DE9" s="111"/>
      <c r="DF9" s="116" t="s">
        <v>165</v>
      </c>
      <c r="DG9" s="117"/>
      <c r="DH9" s="111"/>
      <c r="DI9" s="116" t="s">
        <v>166</v>
      </c>
      <c r="DJ9" s="117"/>
      <c r="DK9" s="111"/>
      <c r="DL9" s="116" t="s">
        <v>167</v>
      </c>
      <c r="DM9" s="117"/>
      <c r="DN9" s="111"/>
      <c r="DO9" s="116" t="s">
        <v>168</v>
      </c>
      <c r="DP9" s="117"/>
      <c r="DQ9" s="111"/>
      <c r="DR9" s="116" t="s">
        <v>169</v>
      </c>
      <c r="DS9" s="117"/>
      <c r="DT9" s="111"/>
      <c r="DU9" s="116" t="s">
        <v>170</v>
      </c>
      <c r="DV9" s="117"/>
      <c r="DW9" s="111"/>
      <c r="DX9" s="119" t="s">
        <v>171</v>
      </c>
      <c r="DY9" s="117"/>
      <c r="DZ9" s="111"/>
      <c r="EA9" s="112"/>
      <c r="EB9" s="103" t="s">
        <v>172</v>
      </c>
      <c r="EC9" s="103" t="s">
        <v>173</v>
      </c>
      <c r="ED9" s="114" t="s">
        <v>174</v>
      </c>
      <c r="EE9" s="114" t="s">
        <v>175</v>
      </c>
      <c r="EG9" s="115" t="s">
        <v>176</v>
      </c>
      <c r="EH9" s="114" t="s">
        <v>174</v>
      </c>
      <c r="EI9" s="114" t="s">
        <v>175</v>
      </c>
      <c r="EJ9" s="114"/>
      <c r="EK9" s="115" t="s">
        <v>128</v>
      </c>
      <c r="EL9" s="115" t="s">
        <v>128</v>
      </c>
      <c r="EM9" s="114" t="s">
        <v>174</v>
      </c>
      <c r="EN9" s="114" t="s">
        <v>175</v>
      </c>
    </row>
    <row r="10" spans="1:147" x14ac:dyDescent="0.25">
      <c r="A10" s="114" t="s">
        <v>177</v>
      </c>
      <c r="B10" s="120" t="s">
        <v>178</v>
      </c>
      <c r="C10" s="121" t="s">
        <v>179</v>
      </c>
      <c r="D10" s="122" t="s">
        <v>19</v>
      </c>
      <c r="E10" s="120" t="s">
        <v>178</v>
      </c>
      <c r="F10" s="121" t="s">
        <v>179</v>
      </c>
      <c r="G10" s="122" t="s">
        <v>19</v>
      </c>
      <c r="H10" s="120" t="s">
        <v>178</v>
      </c>
      <c r="I10" s="121" t="s">
        <v>179</v>
      </c>
      <c r="J10" s="122" t="s">
        <v>19</v>
      </c>
      <c r="K10" s="120" t="s">
        <v>178</v>
      </c>
      <c r="L10" s="121" t="s">
        <v>179</v>
      </c>
      <c r="M10" s="122" t="s">
        <v>19</v>
      </c>
      <c r="N10" s="120" t="s">
        <v>178</v>
      </c>
      <c r="O10" s="121" t="s">
        <v>179</v>
      </c>
      <c r="P10" s="122" t="s">
        <v>19</v>
      </c>
      <c r="Q10" s="120" t="s">
        <v>178</v>
      </c>
      <c r="R10" s="121" t="s">
        <v>179</v>
      </c>
      <c r="S10" s="122" t="s">
        <v>19</v>
      </c>
      <c r="T10" s="120" t="s">
        <v>178</v>
      </c>
      <c r="U10" s="121" t="s">
        <v>179</v>
      </c>
      <c r="V10" s="122" t="s">
        <v>19</v>
      </c>
      <c r="W10" s="120" t="s">
        <v>178</v>
      </c>
      <c r="X10" s="121" t="s">
        <v>179</v>
      </c>
      <c r="Y10" s="122" t="s">
        <v>19</v>
      </c>
      <c r="Z10" s="120" t="s">
        <v>178</v>
      </c>
      <c r="AA10" s="121" t="s">
        <v>179</v>
      </c>
      <c r="AB10" s="122" t="s">
        <v>19</v>
      </c>
      <c r="AC10" s="120" t="s">
        <v>178</v>
      </c>
      <c r="AD10" s="121" t="s">
        <v>179</v>
      </c>
      <c r="AE10" s="122" t="s">
        <v>19</v>
      </c>
      <c r="AF10" s="120" t="s">
        <v>178</v>
      </c>
      <c r="AG10" s="121" t="s">
        <v>179</v>
      </c>
      <c r="AH10" s="122" t="s">
        <v>19</v>
      </c>
      <c r="AI10" s="120" t="s">
        <v>178</v>
      </c>
      <c r="AJ10" s="121" t="s">
        <v>179</v>
      </c>
      <c r="AK10" s="122" t="s">
        <v>19</v>
      </c>
      <c r="AL10" s="120" t="s">
        <v>178</v>
      </c>
      <c r="AM10" s="121" t="s">
        <v>179</v>
      </c>
      <c r="AN10" s="122" t="s">
        <v>19</v>
      </c>
      <c r="AO10" s="120" t="s">
        <v>178</v>
      </c>
      <c r="AP10" s="121" t="s">
        <v>179</v>
      </c>
      <c r="AQ10" s="122" t="s">
        <v>19</v>
      </c>
      <c r="AR10" s="120" t="s">
        <v>178</v>
      </c>
      <c r="AS10" s="121" t="s">
        <v>179</v>
      </c>
      <c r="AT10" s="122" t="s">
        <v>19</v>
      </c>
      <c r="AU10" s="120" t="s">
        <v>178</v>
      </c>
      <c r="AV10" s="121" t="s">
        <v>179</v>
      </c>
      <c r="AW10" s="122" t="s">
        <v>19</v>
      </c>
      <c r="AX10" s="120" t="s">
        <v>178</v>
      </c>
      <c r="AY10" s="121" t="s">
        <v>179</v>
      </c>
      <c r="AZ10" s="122" t="s">
        <v>19</v>
      </c>
      <c r="BA10" s="120" t="s">
        <v>178</v>
      </c>
      <c r="BB10" s="121" t="s">
        <v>179</v>
      </c>
      <c r="BC10" s="122" t="s">
        <v>19</v>
      </c>
      <c r="BD10" s="120" t="s">
        <v>178</v>
      </c>
      <c r="BE10" s="121" t="s">
        <v>179</v>
      </c>
      <c r="BF10" s="122" t="s">
        <v>19</v>
      </c>
      <c r="BG10" s="120" t="s">
        <v>178</v>
      </c>
      <c r="BH10" s="121" t="s">
        <v>179</v>
      </c>
      <c r="BI10" s="122" t="s">
        <v>19</v>
      </c>
      <c r="BJ10" s="120" t="s">
        <v>178</v>
      </c>
      <c r="BK10" s="121" t="s">
        <v>179</v>
      </c>
      <c r="BL10" s="122" t="s">
        <v>19</v>
      </c>
      <c r="BM10" s="120" t="s">
        <v>178</v>
      </c>
      <c r="BN10" s="121" t="s">
        <v>179</v>
      </c>
      <c r="BO10" s="122" t="s">
        <v>19</v>
      </c>
      <c r="BP10" s="120" t="s">
        <v>178</v>
      </c>
      <c r="BQ10" s="121" t="s">
        <v>179</v>
      </c>
      <c r="BR10" s="122" t="s">
        <v>19</v>
      </c>
      <c r="BS10" s="120" t="s">
        <v>178</v>
      </c>
      <c r="BT10" s="121" t="s">
        <v>179</v>
      </c>
      <c r="BU10" s="122" t="s">
        <v>19</v>
      </c>
      <c r="BV10" s="120" t="s">
        <v>178</v>
      </c>
      <c r="BW10" s="121" t="s">
        <v>179</v>
      </c>
      <c r="BX10" s="122" t="s">
        <v>19</v>
      </c>
      <c r="BY10" s="120" t="s">
        <v>178</v>
      </c>
      <c r="BZ10" s="121" t="s">
        <v>179</v>
      </c>
      <c r="CA10" s="122" t="s">
        <v>19</v>
      </c>
      <c r="CB10" s="120" t="s">
        <v>178</v>
      </c>
      <c r="CC10" s="121" t="s">
        <v>179</v>
      </c>
      <c r="CD10" s="122" t="s">
        <v>19</v>
      </c>
      <c r="CE10" s="120" t="s">
        <v>178</v>
      </c>
      <c r="CF10" s="121" t="s">
        <v>179</v>
      </c>
      <c r="CG10" s="122" t="s">
        <v>19</v>
      </c>
      <c r="CH10" s="120" t="s">
        <v>178</v>
      </c>
      <c r="CI10" s="121" t="s">
        <v>179</v>
      </c>
      <c r="CJ10" s="122" t="s">
        <v>19</v>
      </c>
      <c r="CK10" s="120" t="s">
        <v>178</v>
      </c>
      <c r="CL10" s="121" t="s">
        <v>179</v>
      </c>
      <c r="CM10" s="122" t="s">
        <v>19</v>
      </c>
      <c r="CN10" s="120" t="s">
        <v>178</v>
      </c>
      <c r="CO10" s="121" t="s">
        <v>179</v>
      </c>
      <c r="CP10" s="122" t="s">
        <v>19</v>
      </c>
      <c r="CQ10" s="120" t="s">
        <v>178</v>
      </c>
      <c r="CR10" s="121" t="s">
        <v>179</v>
      </c>
      <c r="CS10" s="122" t="s">
        <v>19</v>
      </c>
      <c r="CT10" s="120" t="s">
        <v>178</v>
      </c>
      <c r="CU10" s="121" t="s">
        <v>179</v>
      </c>
      <c r="CV10" s="122" t="s">
        <v>19</v>
      </c>
      <c r="CW10" s="120" t="s">
        <v>178</v>
      </c>
      <c r="CX10" s="121" t="s">
        <v>179</v>
      </c>
      <c r="CY10" s="122" t="s">
        <v>19</v>
      </c>
      <c r="CZ10" s="120" t="s">
        <v>178</v>
      </c>
      <c r="DA10" s="121" t="s">
        <v>179</v>
      </c>
      <c r="DB10" s="122" t="s">
        <v>19</v>
      </c>
      <c r="DC10" s="120" t="s">
        <v>178</v>
      </c>
      <c r="DD10" s="121" t="s">
        <v>179</v>
      </c>
      <c r="DE10" s="122" t="s">
        <v>19</v>
      </c>
      <c r="DF10" s="120" t="s">
        <v>178</v>
      </c>
      <c r="DG10" s="121" t="s">
        <v>179</v>
      </c>
      <c r="DH10" s="122" t="s">
        <v>19</v>
      </c>
      <c r="DI10" s="120" t="s">
        <v>178</v>
      </c>
      <c r="DJ10" s="121" t="s">
        <v>179</v>
      </c>
      <c r="DK10" s="122" t="s">
        <v>19</v>
      </c>
      <c r="DL10" s="120" t="s">
        <v>178</v>
      </c>
      <c r="DM10" s="121" t="s">
        <v>179</v>
      </c>
      <c r="DN10" s="122" t="s">
        <v>19</v>
      </c>
      <c r="DO10" s="120" t="s">
        <v>178</v>
      </c>
      <c r="DP10" s="121" t="s">
        <v>179</v>
      </c>
      <c r="DQ10" s="122" t="s">
        <v>19</v>
      </c>
      <c r="DR10" s="120" t="s">
        <v>178</v>
      </c>
      <c r="DS10" s="121" t="s">
        <v>179</v>
      </c>
      <c r="DT10" s="122" t="s">
        <v>19</v>
      </c>
      <c r="DU10" s="120" t="s">
        <v>178</v>
      </c>
      <c r="DV10" s="121" t="s">
        <v>179</v>
      </c>
      <c r="DW10" s="122" t="s">
        <v>19</v>
      </c>
      <c r="DX10" s="120" t="s">
        <v>178</v>
      </c>
      <c r="DY10" s="121"/>
      <c r="DZ10" s="122"/>
      <c r="EA10" s="122"/>
      <c r="EB10" s="122" t="s">
        <v>180</v>
      </c>
      <c r="EC10" s="122" t="s">
        <v>180</v>
      </c>
      <c r="ED10" s="122" t="s">
        <v>19</v>
      </c>
      <c r="EE10" s="123" t="s">
        <v>179</v>
      </c>
      <c r="EG10" s="122" t="s">
        <v>180</v>
      </c>
      <c r="EH10" s="122" t="s">
        <v>19</v>
      </c>
      <c r="EI10" s="123" t="s">
        <v>179</v>
      </c>
      <c r="EJ10" s="123"/>
      <c r="EK10" s="122" t="s">
        <v>180</v>
      </c>
      <c r="EL10" s="122" t="s">
        <v>180</v>
      </c>
      <c r="EM10" s="122" t="s">
        <v>19</v>
      </c>
      <c r="EN10" s="123" t="s">
        <v>179</v>
      </c>
    </row>
    <row r="11" spans="1:147" x14ac:dyDescent="0.25">
      <c r="A11" s="39">
        <v>43709</v>
      </c>
      <c r="D11" s="93">
        <f>(B11*C11)/360</f>
        <v>0</v>
      </c>
      <c r="G11" s="93">
        <f>(E11*F11)/360</f>
        <v>0</v>
      </c>
      <c r="J11" s="93">
        <f>(H11*I11)/360</f>
        <v>0</v>
      </c>
      <c r="M11" s="93">
        <f>(K11*L11)/360</f>
        <v>0</v>
      </c>
      <c r="P11" s="93">
        <f>(N11*O11)/360</f>
        <v>0</v>
      </c>
      <c r="S11" s="93">
        <f>(Q11*R11)/360</f>
        <v>0</v>
      </c>
      <c r="V11" s="93">
        <f>(T11*U11)/360</f>
        <v>0</v>
      </c>
      <c r="Y11" s="93">
        <f>(W11*X11)/360</f>
        <v>0</v>
      </c>
      <c r="AB11" s="93">
        <f>(Z11*AA11)/360</f>
        <v>0</v>
      </c>
      <c r="AE11" s="93">
        <f>(AC11*AD11)/'[12]Input Sheet'!$B$11</f>
        <v>0</v>
      </c>
      <c r="AH11" s="93">
        <f>(AF11*AG11)/'[12]Input Sheet'!$B$11</f>
        <v>0</v>
      </c>
      <c r="AI11" s="124"/>
      <c r="AJ11" s="125"/>
      <c r="AK11" s="93">
        <f>(AI11*AJ11)/360</f>
        <v>0</v>
      </c>
      <c r="AN11" s="93">
        <f>(AL11*AM11)/360</f>
        <v>0</v>
      </c>
      <c r="AQ11" s="93">
        <f>(AO11*AP11)/360</f>
        <v>0</v>
      </c>
      <c r="AT11" s="93">
        <f>(AR11*AS11)/360</f>
        <v>0</v>
      </c>
      <c r="AW11" s="93">
        <f>(AU11*AV11)/360</f>
        <v>0</v>
      </c>
      <c r="AZ11" s="93">
        <f>(AX11*AY11)/360</f>
        <v>0</v>
      </c>
      <c r="BC11" s="93">
        <f>(BA11*BB11)/360</f>
        <v>0</v>
      </c>
      <c r="BF11" s="93">
        <f>(BD11*BE11)/360</f>
        <v>0</v>
      </c>
      <c r="BI11" s="93">
        <f>(BG11*BH11)/360</f>
        <v>0</v>
      </c>
      <c r="BL11" s="93">
        <f>(BJ11*BK11)/360</f>
        <v>0</v>
      </c>
      <c r="BO11" s="93">
        <f>(BM11*BN11)/360</f>
        <v>0</v>
      </c>
      <c r="BR11" s="93">
        <f>(BP11*BQ11)/360</f>
        <v>0</v>
      </c>
      <c r="BU11" s="93">
        <f>(BS11*BT11)/360</f>
        <v>0</v>
      </c>
      <c r="BX11" s="93">
        <f>(BV11*BW11)/360</f>
        <v>0</v>
      </c>
      <c r="CA11" s="93">
        <f>(BY11*BZ11)/360</f>
        <v>0</v>
      </c>
      <c r="CD11" s="93">
        <f>(CB11*CC11)/360</f>
        <v>0</v>
      </c>
      <c r="CG11" s="93">
        <f>(CE11*CF11)/360</f>
        <v>0</v>
      </c>
      <c r="CJ11" s="93">
        <f>(CH11*CI11)/360</f>
        <v>0</v>
      </c>
      <c r="CM11" s="93">
        <f>(CK11*CL11)/360</f>
        <v>0</v>
      </c>
      <c r="CP11" s="93">
        <f>(CN11*CO11)/360</f>
        <v>0</v>
      </c>
      <c r="CS11" s="93">
        <f>(CQ11*CR11)/360</f>
        <v>0</v>
      </c>
      <c r="CV11" s="93">
        <f>(CT11*CU11)/360</f>
        <v>0</v>
      </c>
      <c r="CY11" s="93">
        <f>(CW11*CX11)/360</f>
        <v>0</v>
      </c>
      <c r="DB11" s="93">
        <f>(CZ11*DA11)/360</f>
        <v>0</v>
      </c>
      <c r="DE11" s="93">
        <f>(DC11*DD11)/360</f>
        <v>0</v>
      </c>
      <c r="DH11" s="93">
        <f>(DF11*DG11)/360</f>
        <v>0</v>
      </c>
      <c r="DK11" s="93">
        <f>(DI11*DJ11)/360</f>
        <v>0</v>
      </c>
      <c r="DN11" s="93">
        <f>(DL11*DM11)/360</f>
        <v>0</v>
      </c>
      <c r="DQ11" s="93">
        <f>(DO11*DP11)/360</f>
        <v>0</v>
      </c>
      <c r="DT11" s="93">
        <f>(DR11*DS11)/360</f>
        <v>0</v>
      </c>
      <c r="DW11" s="93">
        <f>(DU11*DV11)/360</f>
        <v>0</v>
      </c>
      <c r="DZ11" s="93"/>
      <c r="EA11" s="93"/>
      <c r="EB11" s="126">
        <f>B11+E11+H11+K11+N11+Q11+T11+W11+Z11+AC11+AF11+AL11+AO11+AR11+AU11+AX11+BA11+BD11+BG11+DU11+AI11+DR11+DO11+DL11+DI11+DF11+DC11+CZ11+CW11+CT11+CQ11+CN11+CK11+CH11+CE11+CB11+BY11+BV11+BS11+BP11+BM11+BJ11</f>
        <v>0</v>
      </c>
      <c r="EC11" s="126">
        <f>EB11-EK11+EL11</f>
        <v>0</v>
      </c>
      <c r="ED11" s="93">
        <f>D11+G11+J11+M11+P11+S11+V11+Y11+AB11+AE11+AH11+AK11+AN11+AQ11+AT11+AW11+AZ11+BC11+BF11+BI11+DW11+DT11+DQ11+DN11+DK11+DH11+DE11+DB11+CY11+CV11+CS11+CP11+CM11+CJ11+CG11+CD11+CA11+BX11+BU11+BR11+BO11+BL11</f>
        <v>0</v>
      </c>
      <c r="EE11" s="94">
        <f>IF(EB11&lt;&gt;0,((ED11/EB11)*360),0)</f>
        <v>0</v>
      </c>
      <c r="EG11" s="126">
        <f>Q11+T11+W11+Z11+AC11+AF11</f>
        <v>0</v>
      </c>
      <c r="EH11" s="93">
        <f>S11+V11+Y11+AB11+AE11+AH11</f>
        <v>0</v>
      </c>
      <c r="EI11" s="94">
        <f>IF(EG11&lt;&gt;0,((EH11/EG11)*360),0)</f>
        <v>0</v>
      </c>
      <c r="EJ11" s="94"/>
      <c r="EK11" s="126">
        <f>DR11+DL11+DI11+DF11+DC11+CZ11+CW11+CT11+CQ11+CN11+CK11+CH11+CE11+CB11+BY11+BV11+BS11+BP11+BM11+BJ11+BG11+BD11+BA11+AX11+AU11+AR11+AO11+AL11+AI11+DO11</f>
        <v>0</v>
      </c>
      <c r="EL11" s="126">
        <f>DX11</f>
        <v>0</v>
      </c>
      <c r="EM11" s="126">
        <f>DT11+DQ11+DN11+DK11+DH11+DE11+DB11+CY11+CV11+CS11+CP11+CM11+CJ11+CG11+CD11+CA11+BX11+BU11+BR11+BO11+BL11+BI11+BF11+BC11+AZ11+AW11+AT11+AQ11+AN11+AK11</f>
        <v>0</v>
      </c>
      <c r="EN11" s="94">
        <f>IF(EK11&lt;&gt;0,((EM11/EK11)*360),0)</f>
        <v>0</v>
      </c>
    </row>
    <row r="12" spans="1:147" x14ac:dyDescent="0.25">
      <c r="A12" s="39">
        <f>1+A11</f>
        <v>43710</v>
      </c>
      <c r="D12" s="93">
        <f t="shared" ref="D12:D40" si="0">(B12*C12)/360</f>
        <v>0</v>
      </c>
      <c r="G12" s="93">
        <f t="shared" ref="G12:G40" si="1">(E12*F12)/360</f>
        <v>0</v>
      </c>
      <c r="J12" s="93">
        <f t="shared" ref="J12:J40" si="2">(H12*I12)/360</f>
        <v>0</v>
      </c>
      <c r="M12" s="93">
        <f t="shared" ref="M12:M40" si="3">(K12*L12)/360</f>
        <v>0</v>
      </c>
      <c r="P12" s="93">
        <f t="shared" ref="P12:P40" si="4">(N12*O12)/360</f>
        <v>0</v>
      </c>
      <c r="S12" s="93">
        <f t="shared" ref="S12:S40" si="5">(Q12*R12)/360</f>
        <v>0</v>
      </c>
      <c r="V12" s="93">
        <f t="shared" ref="V12:V40" si="6">(T12*U12)/360</f>
        <v>0</v>
      </c>
      <c r="Y12" s="93">
        <f t="shared" ref="Y12:Y40" si="7">(W12*X12)/360</f>
        <v>0</v>
      </c>
      <c r="AB12" s="93">
        <f t="shared" ref="AB12:AB40" si="8">(Z12*AA12)/360</f>
        <v>0</v>
      </c>
      <c r="AE12" s="93">
        <f>(AC12*AD12)/'[12]Input Sheet'!$B$11</f>
        <v>0</v>
      </c>
      <c r="AH12" s="93">
        <f>(AF12*AG12)/'[12]Input Sheet'!$B$11</f>
        <v>0</v>
      </c>
      <c r="AI12" s="124"/>
      <c r="AJ12" s="125"/>
      <c r="AK12" s="93">
        <f t="shared" ref="AK12:AK40" si="9">(AI12*AJ12)/360</f>
        <v>0</v>
      </c>
      <c r="AN12" s="93">
        <f t="shared" ref="AN12:AN40" si="10">(AL12*AM12)/360</f>
        <v>0</v>
      </c>
      <c r="AQ12" s="93">
        <f t="shared" ref="AQ12:AQ40" si="11">(AO12*AP12)/360</f>
        <v>0</v>
      </c>
      <c r="AT12" s="93">
        <f t="shared" ref="AT12:AT40" si="12">(AR12*AS12)/360</f>
        <v>0</v>
      </c>
      <c r="AW12" s="93">
        <f t="shared" ref="AW12:AW40" si="13">(AU12*AV12)/360</f>
        <v>0</v>
      </c>
      <c r="AZ12" s="93">
        <f t="shared" ref="AZ12:AZ40" si="14">(AX12*AY12)/360</f>
        <v>0</v>
      </c>
      <c r="BC12" s="93">
        <f t="shared" ref="BC12:BC40" si="15">(BA12*BB12)/360</f>
        <v>0</v>
      </c>
      <c r="BF12" s="93">
        <f t="shared" ref="BF12:BF40" si="16">(BD12*BE12)/360</f>
        <v>0</v>
      </c>
      <c r="BI12" s="93">
        <f t="shared" ref="BI12:BI40" si="17">(BG12*BH12)/360</f>
        <v>0</v>
      </c>
      <c r="BL12" s="93">
        <f t="shared" ref="BL12:BL40" si="18">(BJ12*BK12)/360</f>
        <v>0</v>
      </c>
      <c r="BO12" s="93">
        <f t="shared" ref="BO12:BO40" si="19">(BM12*BN12)/360</f>
        <v>0</v>
      </c>
      <c r="BR12" s="93">
        <f t="shared" ref="BR12:BR40" si="20">(BP12*BQ12)/360</f>
        <v>0</v>
      </c>
      <c r="BU12" s="93">
        <f t="shared" ref="BU12:BU40" si="21">(BS12*BT12)/360</f>
        <v>0</v>
      </c>
      <c r="BX12" s="93">
        <f t="shared" ref="BX12:BX40" si="22">(BV12*BW12)/360</f>
        <v>0</v>
      </c>
      <c r="CA12" s="93">
        <f t="shared" ref="CA12:CA40" si="23">(BY12*BZ12)/360</f>
        <v>0</v>
      </c>
      <c r="CD12" s="93">
        <f t="shared" ref="CD12:CD40" si="24">(CB12*CC12)/360</f>
        <v>0</v>
      </c>
      <c r="CG12" s="93">
        <f t="shared" ref="CG12:CG40" si="25">(CE12*CF12)/360</f>
        <v>0</v>
      </c>
      <c r="CJ12" s="93">
        <f t="shared" ref="CJ12:CJ40" si="26">(CH12*CI12)/360</f>
        <v>0</v>
      </c>
      <c r="CM12" s="93">
        <f t="shared" ref="CM12:CM40" si="27">(CK12*CL12)/360</f>
        <v>0</v>
      </c>
      <c r="CP12" s="93">
        <f t="shared" ref="CP12:CP40" si="28">(CN12*CO12)/360</f>
        <v>0</v>
      </c>
      <c r="CS12" s="93">
        <f t="shared" ref="CS12:CS40" si="29">(CQ12*CR12)/360</f>
        <v>0</v>
      </c>
      <c r="CV12" s="93">
        <f t="shared" ref="CV12:CV40" si="30">(CT12*CU12)/360</f>
        <v>0</v>
      </c>
      <c r="CY12" s="93">
        <f t="shared" ref="CY12:CY40" si="31">(CW12*CX12)/360</f>
        <v>0</v>
      </c>
      <c r="DB12" s="93">
        <f t="shared" ref="DB12:DB40" si="32">(CZ12*DA12)/360</f>
        <v>0</v>
      </c>
      <c r="DE12" s="93">
        <f t="shared" ref="DE12:DE40" si="33">(DC12*DD12)/360</f>
        <v>0</v>
      </c>
      <c r="DH12" s="93">
        <f t="shared" ref="DH12:DH40" si="34">(DF12*DG12)/360</f>
        <v>0</v>
      </c>
      <c r="DK12" s="93">
        <f t="shared" ref="DK12:DK40" si="35">(DI12*DJ12)/360</f>
        <v>0</v>
      </c>
      <c r="DN12" s="93">
        <f t="shared" ref="DN12:DN40" si="36">(DL12*DM12)/360</f>
        <v>0</v>
      </c>
      <c r="DQ12" s="93">
        <f t="shared" ref="DQ12:DQ40" si="37">(DO12*DP12)/360</f>
        <v>0</v>
      </c>
      <c r="DT12" s="93">
        <f t="shared" ref="DT12:DT40" si="38">(DR12*DS12)/360</f>
        <v>0</v>
      </c>
      <c r="DW12" s="93">
        <f t="shared" ref="DW12:DW40" si="39">(DU12*DV12)/360</f>
        <v>0</v>
      </c>
      <c r="DZ12" s="93"/>
      <c r="EA12" s="93"/>
      <c r="EB12" s="126">
        <f t="shared" ref="EB12:EB40" si="40">B12+E12+H12+K12+N12+Q12+T12+W12+Z12+AC12+AF12+AL12+AO12+AR12+AU12+AX12+BA12+BD12+BG12+DU12+AI12+DR12+DO12+DL12+DI12+DF12+DC12+CZ12+CW12+CT12+CQ12+CN12+CK12+CH12+CE12+CB12+BY12+BV12+BS12+BP12+BM12+BJ12</f>
        <v>0</v>
      </c>
      <c r="EC12" s="126">
        <f t="shared" ref="EC12:EC40" si="41">EB12-EK12+EL12</f>
        <v>0</v>
      </c>
      <c r="ED12" s="93">
        <f t="shared" ref="ED12:ED40" si="42">D12+G12+J12+M12+P12+S12+V12+Y12+AB12+AE12+AH12+AK12+AN12+AQ12+AT12+AW12+AZ12+BC12+BF12+BI12+DW12+DT12+DQ12+DN12+DK12+DH12+DE12+DB12+CY12+CV12+CS12+CP12+CM12+CJ12+CG12+CD12+CA12+BX12+BU12+BR12+BO12+BL12</f>
        <v>0</v>
      </c>
      <c r="EE12" s="94">
        <f t="shared" ref="EE12:EE40" si="43">IF(EB12&lt;&gt;0,((ED12/EB12)*360),0)</f>
        <v>0</v>
      </c>
      <c r="EG12" s="126">
        <f t="shared" ref="EG12:EG40" si="44">Q12+T12+W12+Z12+AC12+AF12</f>
        <v>0</v>
      </c>
      <c r="EH12" s="93">
        <f t="shared" ref="EH12:EH40" si="45">S12+V12+Y12+AB12+AE12+AH12</f>
        <v>0</v>
      </c>
      <c r="EI12" s="94">
        <f t="shared" ref="EI12:EI40" si="46">IF(EG12&lt;&gt;0,((EH12/EG12)*360),0)</f>
        <v>0</v>
      </c>
      <c r="EJ12" s="94"/>
      <c r="EK12" s="126">
        <f t="shared" ref="EK12:EK40" si="47">DR12+DL12+DI12+DF12+DC12+CZ12+CW12+CT12+CQ12+CN12+CK12+CH12+CE12+CB12+BY12+BV12+BS12+BP12+BM12+BJ12+BG12+BD12+BA12+AX12+AU12+AR12+AO12+AL12+AI12+DO12</f>
        <v>0</v>
      </c>
      <c r="EL12" s="126">
        <f t="shared" ref="EL12:EL40" si="48">DX12</f>
        <v>0</v>
      </c>
      <c r="EM12" s="126">
        <f t="shared" ref="EM12:EM40" si="49">DT12+DQ12+DN12+DK12+DH12+DE12+DB12+CY12+CV12+CS12+CP12+CM12+CJ12+CG12+CD12+CA12+BX12+BU12+BR12+BO12+BL12+BI12+BF12+BC12+AZ12+AW12+AT12+AQ12+AN12+AK12</f>
        <v>0</v>
      </c>
      <c r="EN12" s="94">
        <f t="shared" ref="EN12:EN40" si="50">IF(EK12&lt;&gt;0,((EM12/EK12)*360),0)</f>
        <v>0</v>
      </c>
    </row>
    <row r="13" spans="1:147" x14ac:dyDescent="0.25">
      <c r="A13" s="39">
        <f t="shared" ref="A13:A40" si="51">1+A12</f>
        <v>43711</v>
      </c>
      <c r="D13" s="93">
        <f t="shared" si="0"/>
        <v>0</v>
      </c>
      <c r="G13" s="93">
        <f t="shared" si="1"/>
        <v>0</v>
      </c>
      <c r="J13" s="93">
        <f t="shared" si="2"/>
        <v>0</v>
      </c>
      <c r="M13" s="93">
        <f t="shared" si="3"/>
        <v>0</v>
      </c>
      <c r="P13" s="93">
        <f t="shared" si="4"/>
        <v>0</v>
      </c>
      <c r="S13" s="93">
        <f t="shared" si="5"/>
        <v>0</v>
      </c>
      <c r="V13" s="93">
        <f t="shared" si="6"/>
        <v>0</v>
      </c>
      <c r="Y13" s="93">
        <f t="shared" si="7"/>
        <v>0</v>
      </c>
      <c r="AB13" s="93">
        <f t="shared" si="8"/>
        <v>0</v>
      </c>
      <c r="AE13" s="93">
        <f>(AC13*AD13)/'[12]Input Sheet'!$B$11</f>
        <v>0</v>
      </c>
      <c r="AH13" s="93">
        <f>(AF13*AG13)/'[12]Input Sheet'!$B$11</f>
        <v>0</v>
      </c>
      <c r="AI13" s="124"/>
      <c r="AJ13" s="125"/>
      <c r="AK13" s="93">
        <f t="shared" si="9"/>
        <v>0</v>
      </c>
      <c r="AN13" s="93">
        <f t="shared" si="10"/>
        <v>0</v>
      </c>
      <c r="AQ13" s="93">
        <f t="shared" si="11"/>
        <v>0</v>
      </c>
      <c r="AT13" s="93">
        <f t="shared" si="12"/>
        <v>0</v>
      </c>
      <c r="AW13" s="93">
        <f t="shared" si="13"/>
        <v>0</v>
      </c>
      <c r="AZ13" s="93">
        <f t="shared" si="14"/>
        <v>0</v>
      </c>
      <c r="BC13" s="93">
        <f t="shared" si="15"/>
        <v>0</v>
      </c>
      <c r="BF13" s="93">
        <f t="shared" si="16"/>
        <v>0</v>
      </c>
      <c r="BI13" s="93">
        <f t="shared" si="17"/>
        <v>0</v>
      </c>
      <c r="BL13" s="93">
        <f t="shared" si="18"/>
        <v>0</v>
      </c>
      <c r="BO13" s="93">
        <f t="shared" si="19"/>
        <v>0</v>
      </c>
      <c r="BR13" s="93">
        <f t="shared" si="20"/>
        <v>0</v>
      </c>
      <c r="BU13" s="93">
        <f t="shared" si="21"/>
        <v>0</v>
      </c>
      <c r="BX13" s="93">
        <f t="shared" si="22"/>
        <v>0</v>
      </c>
      <c r="CA13" s="93">
        <f t="shared" si="23"/>
        <v>0</v>
      </c>
      <c r="CD13" s="93">
        <f t="shared" si="24"/>
        <v>0</v>
      </c>
      <c r="CG13" s="93">
        <f t="shared" si="25"/>
        <v>0</v>
      </c>
      <c r="CJ13" s="93">
        <f t="shared" si="26"/>
        <v>0</v>
      </c>
      <c r="CM13" s="93">
        <f t="shared" si="27"/>
        <v>0</v>
      </c>
      <c r="CP13" s="93">
        <f t="shared" si="28"/>
        <v>0</v>
      </c>
      <c r="CS13" s="93">
        <f t="shared" si="29"/>
        <v>0</v>
      </c>
      <c r="CV13" s="93">
        <f t="shared" si="30"/>
        <v>0</v>
      </c>
      <c r="CY13" s="93">
        <f t="shared" si="31"/>
        <v>0</v>
      </c>
      <c r="DB13" s="93">
        <f t="shared" si="32"/>
        <v>0</v>
      </c>
      <c r="DE13" s="93">
        <f t="shared" si="33"/>
        <v>0</v>
      </c>
      <c r="DH13" s="93">
        <f t="shared" si="34"/>
        <v>0</v>
      </c>
      <c r="DK13" s="93">
        <f t="shared" si="35"/>
        <v>0</v>
      </c>
      <c r="DN13" s="93">
        <f t="shared" si="36"/>
        <v>0</v>
      </c>
      <c r="DQ13" s="93">
        <f t="shared" si="37"/>
        <v>0</v>
      </c>
      <c r="DT13" s="93">
        <f t="shared" si="38"/>
        <v>0</v>
      </c>
      <c r="DW13" s="93">
        <f t="shared" si="39"/>
        <v>0</v>
      </c>
      <c r="DZ13" s="93"/>
      <c r="EA13" s="93"/>
      <c r="EB13" s="126">
        <f t="shared" si="40"/>
        <v>0</v>
      </c>
      <c r="EC13" s="126">
        <f t="shared" si="41"/>
        <v>0</v>
      </c>
      <c r="ED13" s="93">
        <f t="shared" si="42"/>
        <v>0</v>
      </c>
      <c r="EE13" s="94">
        <f t="shared" si="43"/>
        <v>0</v>
      </c>
      <c r="EG13" s="126">
        <f t="shared" si="44"/>
        <v>0</v>
      </c>
      <c r="EH13" s="93">
        <f t="shared" si="45"/>
        <v>0</v>
      </c>
      <c r="EI13" s="94">
        <f t="shared" si="46"/>
        <v>0</v>
      </c>
      <c r="EJ13" s="94"/>
      <c r="EK13" s="126">
        <f t="shared" si="47"/>
        <v>0</v>
      </c>
      <c r="EL13" s="126">
        <f t="shared" si="48"/>
        <v>0</v>
      </c>
      <c r="EM13" s="126">
        <f t="shared" si="49"/>
        <v>0</v>
      </c>
      <c r="EN13" s="94">
        <f t="shared" si="50"/>
        <v>0</v>
      </c>
    </row>
    <row r="14" spans="1:147" x14ac:dyDescent="0.25">
      <c r="A14" s="39">
        <f t="shared" si="51"/>
        <v>43712</v>
      </c>
      <c r="D14" s="93">
        <f t="shared" si="0"/>
        <v>0</v>
      </c>
      <c r="G14" s="93">
        <f t="shared" si="1"/>
        <v>0</v>
      </c>
      <c r="J14" s="93">
        <f t="shared" si="2"/>
        <v>0</v>
      </c>
      <c r="M14" s="93">
        <f t="shared" si="3"/>
        <v>0</v>
      </c>
      <c r="P14" s="93">
        <f t="shared" si="4"/>
        <v>0</v>
      </c>
      <c r="S14" s="93">
        <f t="shared" si="5"/>
        <v>0</v>
      </c>
      <c r="V14" s="93">
        <f t="shared" si="6"/>
        <v>0</v>
      </c>
      <c r="Y14" s="93">
        <f t="shared" si="7"/>
        <v>0</v>
      </c>
      <c r="AB14" s="93">
        <f t="shared" si="8"/>
        <v>0</v>
      </c>
      <c r="AE14" s="93">
        <f>(AC14*AD14)/'[12]Input Sheet'!$B$11</f>
        <v>0</v>
      </c>
      <c r="AH14" s="93">
        <f>(AF14*AG14)/'[12]Input Sheet'!$B$11</f>
        <v>0</v>
      </c>
      <c r="AI14" s="124"/>
      <c r="AJ14" s="125"/>
      <c r="AK14" s="93">
        <f t="shared" si="9"/>
        <v>0</v>
      </c>
      <c r="AN14" s="93">
        <f t="shared" si="10"/>
        <v>0</v>
      </c>
      <c r="AQ14" s="93">
        <f t="shared" si="11"/>
        <v>0</v>
      </c>
      <c r="AT14" s="93">
        <f t="shared" si="12"/>
        <v>0</v>
      </c>
      <c r="AW14" s="93">
        <f t="shared" si="13"/>
        <v>0</v>
      </c>
      <c r="AZ14" s="93">
        <f t="shared" si="14"/>
        <v>0</v>
      </c>
      <c r="BC14" s="93">
        <f t="shared" si="15"/>
        <v>0</v>
      </c>
      <c r="BF14" s="93">
        <f t="shared" si="16"/>
        <v>0</v>
      </c>
      <c r="BI14" s="93">
        <f t="shared" si="17"/>
        <v>0</v>
      </c>
      <c r="BL14" s="93">
        <f t="shared" si="18"/>
        <v>0</v>
      </c>
      <c r="BO14" s="93">
        <f t="shared" si="19"/>
        <v>0</v>
      </c>
      <c r="BR14" s="93">
        <f t="shared" si="20"/>
        <v>0</v>
      </c>
      <c r="BU14" s="93">
        <f t="shared" si="21"/>
        <v>0</v>
      </c>
      <c r="BX14" s="93">
        <f t="shared" si="22"/>
        <v>0</v>
      </c>
      <c r="CA14" s="93">
        <f t="shared" si="23"/>
        <v>0</v>
      </c>
      <c r="CD14" s="93">
        <f t="shared" si="24"/>
        <v>0</v>
      </c>
      <c r="CG14" s="93">
        <f t="shared" si="25"/>
        <v>0</v>
      </c>
      <c r="CJ14" s="93">
        <f t="shared" si="26"/>
        <v>0</v>
      </c>
      <c r="CM14" s="93">
        <f t="shared" si="27"/>
        <v>0</v>
      </c>
      <c r="CP14" s="93">
        <f t="shared" si="28"/>
        <v>0</v>
      </c>
      <c r="CS14" s="93">
        <f t="shared" si="29"/>
        <v>0</v>
      </c>
      <c r="CV14" s="93">
        <f t="shared" si="30"/>
        <v>0</v>
      </c>
      <c r="CY14" s="93">
        <f t="shared" si="31"/>
        <v>0</v>
      </c>
      <c r="DB14" s="93">
        <f t="shared" si="32"/>
        <v>0</v>
      </c>
      <c r="DE14" s="93">
        <f t="shared" si="33"/>
        <v>0</v>
      </c>
      <c r="DH14" s="93">
        <f t="shared" si="34"/>
        <v>0</v>
      </c>
      <c r="DK14" s="93">
        <f t="shared" si="35"/>
        <v>0</v>
      </c>
      <c r="DN14" s="93">
        <f t="shared" si="36"/>
        <v>0</v>
      </c>
      <c r="DQ14" s="93">
        <f t="shared" si="37"/>
        <v>0</v>
      </c>
      <c r="DT14" s="93">
        <f t="shared" si="38"/>
        <v>0</v>
      </c>
      <c r="DW14" s="93">
        <f t="shared" si="39"/>
        <v>0</v>
      </c>
      <c r="DZ14" s="93"/>
      <c r="EA14" s="93"/>
      <c r="EB14" s="126">
        <f t="shared" si="40"/>
        <v>0</v>
      </c>
      <c r="EC14" s="126">
        <f t="shared" si="41"/>
        <v>0</v>
      </c>
      <c r="ED14" s="93">
        <f t="shared" si="42"/>
        <v>0</v>
      </c>
      <c r="EE14" s="94">
        <f t="shared" si="43"/>
        <v>0</v>
      </c>
      <c r="EG14" s="126">
        <f t="shared" si="44"/>
        <v>0</v>
      </c>
      <c r="EH14" s="93">
        <f t="shared" si="45"/>
        <v>0</v>
      </c>
      <c r="EI14" s="94">
        <f t="shared" si="46"/>
        <v>0</v>
      </c>
      <c r="EJ14" s="94"/>
      <c r="EK14" s="126">
        <f t="shared" si="47"/>
        <v>0</v>
      </c>
      <c r="EL14" s="126">
        <f t="shared" si="48"/>
        <v>0</v>
      </c>
      <c r="EM14" s="126">
        <f t="shared" si="49"/>
        <v>0</v>
      </c>
      <c r="EN14" s="94">
        <f t="shared" si="50"/>
        <v>0</v>
      </c>
    </row>
    <row r="15" spans="1:147" x14ac:dyDescent="0.25">
      <c r="A15" s="39">
        <f t="shared" si="51"/>
        <v>43713</v>
      </c>
      <c r="D15" s="93">
        <f t="shared" si="0"/>
        <v>0</v>
      </c>
      <c r="G15" s="93">
        <f t="shared" si="1"/>
        <v>0</v>
      </c>
      <c r="J15" s="93">
        <f t="shared" si="2"/>
        <v>0</v>
      </c>
      <c r="M15" s="93">
        <f t="shared" si="3"/>
        <v>0</v>
      </c>
      <c r="P15" s="93">
        <f t="shared" si="4"/>
        <v>0</v>
      </c>
      <c r="S15" s="93">
        <f t="shared" si="5"/>
        <v>0</v>
      </c>
      <c r="V15" s="93">
        <f t="shared" si="6"/>
        <v>0</v>
      </c>
      <c r="Y15" s="93">
        <f t="shared" si="7"/>
        <v>0</v>
      </c>
      <c r="AB15" s="93">
        <f t="shared" si="8"/>
        <v>0</v>
      </c>
      <c r="AE15" s="93">
        <f>(AC15*AD15)/'[12]Input Sheet'!$B$11</f>
        <v>0</v>
      </c>
      <c r="AH15" s="93">
        <f>(AF15*AG15)/'[12]Input Sheet'!$B$11</f>
        <v>0</v>
      </c>
      <c r="AI15" s="124"/>
      <c r="AJ15" s="125"/>
      <c r="AK15" s="93">
        <f t="shared" si="9"/>
        <v>0</v>
      </c>
      <c r="AN15" s="93">
        <f t="shared" si="10"/>
        <v>0</v>
      </c>
      <c r="AQ15" s="93">
        <f t="shared" si="11"/>
        <v>0</v>
      </c>
      <c r="AT15" s="93">
        <f t="shared" si="12"/>
        <v>0</v>
      </c>
      <c r="AW15" s="93">
        <f t="shared" si="13"/>
        <v>0</v>
      </c>
      <c r="AZ15" s="93">
        <f t="shared" si="14"/>
        <v>0</v>
      </c>
      <c r="BC15" s="93">
        <f t="shared" si="15"/>
        <v>0</v>
      </c>
      <c r="BF15" s="93">
        <f t="shared" si="16"/>
        <v>0</v>
      </c>
      <c r="BI15" s="93">
        <f t="shared" si="17"/>
        <v>0</v>
      </c>
      <c r="BL15" s="93">
        <f t="shared" si="18"/>
        <v>0</v>
      </c>
      <c r="BO15" s="93">
        <f t="shared" si="19"/>
        <v>0</v>
      </c>
      <c r="BR15" s="93">
        <f t="shared" si="20"/>
        <v>0</v>
      </c>
      <c r="BU15" s="93">
        <f t="shared" si="21"/>
        <v>0</v>
      </c>
      <c r="BX15" s="93">
        <f t="shared" si="22"/>
        <v>0</v>
      </c>
      <c r="CA15" s="93">
        <f t="shared" si="23"/>
        <v>0</v>
      </c>
      <c r="CD15" s="93">
        <f t="shared" si="24"/>
        <v>0</v>
      </c>
      <c r="CG15" s="93">
        <f t="shared" si="25"/>
        <v>0</v>
      </c>
      <c r="CJ15" s="93">
        <f t="shared" si="26"/>
        <v>0</v>
      </c>
      <c r="CM15" s="93">
        <f t="shared" si="27"/>
        <v>0</v>
      </c>
      <c r="CP15" s="93">
        <f t="shared" si="28"/>
        <v>0</v>
      </c>
      <c r="CS15" s="93">
        <f t="shared" si="29"/>
        <v>0</v>
      </c>
      <c r="CV15" s="93">
        <f t="shared" si="30"/>
        <v>0</v>
      </c>
      <c r="CY15" s="93">
        <f t="shared" si="31"/>
        <v>0</v>
      </c>
      <c r="DB15" s="93">
        <f t="shared" si="32"/>
        <v>0</v>
      </c>
      <c r="DE15" s="93">
        <f t="shared" si="33"/>
        <v>0</v>
      </c>
      <c r="DH15" s="93">
        <f t="shared" si="34"/>
        <v>0</v>
      </c>
      <c r="DK15" s="93">
        <f t="shared" si="35"/>
        <v>0</v>
      </c>
      <c r="DN15" s="93">
        <f t="shared" si="36"/>
        <v>0</v>
      </c>
      <c r="DQ15" s="93">
        <f t="shared" si="37"/>
        <v>0</v>
      </c>
      <c r="DT15" s="93">
        <f t="shared" si="38"/>
        <v>0</v>
      </c>
      <c r="DW15" s="93">
        <f t="shared" si="39"/>
        <v>0</v>
      </c>
      <c r="DZ15" s="93"/>
      <c r="EA15" s="93"/>
      <c r="EB15" s="126">
        <f t="shared" si="40"/>
        <v>0</v>
      </c>
      <c r="EC15" s="126">
        <f t="shared" si="41"/>
        <v>0</v>
      </c>
      <c r="ED15" s="93">
        <f t="shared" si="42"/>
        <v>0</v>
      </c>
      <c r="EE15" s="94">
        <f t="shared" si="43"/>
        <v>0</v>
      </c>
      <c r="EG15" s="126">
        <f t="shared" si="44"/>
        <v>0</v>
      </c>
      <c r="EH15" s="93">
        <f t="shared" si="45"/>
        <v>0</v>
      </c>
      <c r="EI15" s="94">
        <f t="shared" si="46"/>
        <v>0</v>
      </c>
      <c r="EJ15" s="94"/>
      <c r="EK15" s="126">
        <f t="shared" si="47"/>
        <v>0</v>
      </c>
      <c r="EL15" s="126">
        <f t="shared" si="48"/>
        <v>0</v>
      </c>
      <c r="EM15" s="126">
        <f t="shared" si="49"/>
        <v>0</v>
      </c>
      <c r="EN15" s="94">
        <f t="shared" si="50"/>
        <v>0</v>
      </c>
    </row>
    <row r="16" spans="1:147" x14ac:dyDescent="0.25">
      <c r="A16" s="39">
        <f t="shared" si="51"/>
        <v>43714</v>
      </c>
      <c r="D16" s="93">
        <f t="shared" si="0"/>
        <v>0</v>
      </c>
      <c r="G16" s="93">
        <f t="shared" si="1"/>
        <v>0</v>
      </c>
      <c r="J16" s="93">
        <f t="shared" si="2"/>
        <v>0</v>
      </c>
      <c r="M16" s="93">
        <f t="shared" si="3"/>
        <v>0</v>
      </c>
      <c r="P16" s="93">
        <f t="shared" si="4"/>
        <v>0</v>
      </c>
      <c r="S16" s="93">
        <f t="shared" si="5"/>
        <v>0</v>
      </c>
      <c r="V16" s="93">
        <f t="shared" si="6"/>
        <v>0</v>
      </c>
      <c r="Y16" s="93">
        <f t="shared" si="7"/>
        <v>0</v>
      </c>
      <c r="AB16" s="93">
        <f t="shared" si="8"/>
        <v>0</v>
      </c>
      <c r="AE16" s="93">
        <f>(AC16*AD16)/'[12]Input Sheet'!$B$11</f>
        <v>0</v>
      </c>
      <c r="AH16" s="93">
        <f>(AF16*AG16)/'[12]Input Sheet'!$B$11</f>
        <v>0</v>
      </c>
      <c r="AI16" s="124"/>
      <c r="AJ16" s="125"/>
      <c r="AK16" s="93">
        <f t="shared" si="9"/>
        <v>0</v>
      </c>
      <c r="AN16" s="93">
        <f t="shared" si="10"/>
        <v>0</v>
      </c>
      <c r="AQ16" s="93">
        <f t="shared" si="11"/>
        <v>0</v>
      </c>
      <c r="AT16" s="93">
        <f t="shared" si="12"/>
        <v>0</v>
      </c>
      <c r="AW16" s="93">
        <f t="shared" si="13"/>
        <v>0</v>
      </c>
      <c r="AZ16" s="93">
        <f t="shared" si="14"/>
        <v>0</v>
      </c>
      <c r="BC16" s="93">
        <f t="shared" si="15"/>
        <v>0</v>
      </c>
      <c r="BF16" s="93">
        <f t="shared" si="16"/>
        <v>0</v>
      </c>
      <c r="BI16" s="93">
        <f t="shared" si="17"/>
        <v>0</v>
      </c>
      <c r="BL16" s="93">
        <f t="shared" si="18"/>
        <v>0</v>
      </c>
      <c r="BO16" s="93">
        <f t="shared" si="19"/>
        <v>0</v>
      </c>
      <c r="BR16" s="93">
        <f t="shared" si="20"/>
        <v>0</v>
      </c>
      <c r="BU16" s="93">
        <f t="shared" si="21"/>
        <v>0</v>
      </c>
      <c r="BX16" s="93">
        <f t="shared" si="22"/>
        <v>0</v>
      </c>
      <c r="CA16" s="93">
        <f t="shared" si="23"/>
        <v>0</v>
      </c>
      <c r="CD16" s="93">
        <f t="shared" si="24"/>
        <v>0</v>
      </c>
      <c r="CG16" s="93">
        <f t="shared" si="25"/>
        <v>0</v>
      </c>
      <c r="CJ16" s="93">
        <f t="shared" si="26"/>
        <v>0</v>
      </c>
      <c r="CM16" s="93">
        <f t="shared" si="27"/>
        <v>0</v>
      </c>
      <c r="CP16" s="93">
        <f t="shared" si="28"/>
        <v>0</v>
      </c>
      <c r="CS16" s="93">
        <f t="shared" si="29"/>
        <v>0</v>
      </c>
      <c r="CV16" s="93">
        <f t="shared" si="30"/>
        <v>0</v>
      </c>
      <c r="CY16" s="93">
        <f t="shared" si="31"/>
        <v>0</v>
      </c>
      <c r="DB16" s="93">
        <f t="shared" si="32"/>
        <v>0</v>
      </c>
      <c r="DE16" s="93">
        <f t="shared" si="33"/>
        <v>0</v>
      </c>
      <c r="DH16" s="93">
        <f t="shared" si="34"/>
        <v>0</v>
      </c>
      <c r="DK16" s="93">
        <f t="shared" si="35"/>
        <v>0</v>
      </c>
      <c r="DN16" s="93">
        <f t="shared" si="36"/>
        <v>0</v>
      </c>
      <c r="DQ16" s="93">
        <f t="shared" si="37"/>
        <v>0</v>
      </c>
      <c r="DT16" s="93">
        <f t="shared" si="38"/>
        <v>0</v>
      </c>
      <c r="DW16" s="93">
        <f t="shared" si="39"/>
        <v>0</v>
      </c>
      <c r="DZ16" s="93"/>
      <c r="EA16" s="93"/>
      <c r="EB16" s="126">
        <f t="shared" si="40"/>
        <v>0</v>
      </c>
      <c r="EC16" s="126">
        <f t="shared" si="41"/>
        <v>0</v>
      </c>
      <c r="ED16" s="93">
        <f t="shared" si="42"/>
        <v>0</v>
      </c>
      <c r="EE16" s="94">
        <f t="shared" si="43"/>
        <v>0</v>
      </c>
      <c r="EG16" s="126">
        <f t="shared" si="44"/>
        <v>0</v>
      </c>
      <c r="EH16" s="93">
        <f t="shared" si="45"/>
        <v>0</v>
      </c>
      <c r="EI16" s="94">
        <f t="shared" si="46"/>
        <v>0</v>
      </c>
      <c r="EJ16" s="94"/>
      <c r="EK16" s="126">
        <f t="shared" si="47"/>
        <v>0</v>
      </c>
      <c r="EL16" s="126">
        <f t="shared" si="48"/>
        <v>0</v>
      </c>
      <c r="EM16" s="126">
        <f t="shared" si="49"/>
        <v>0</v>
      </c>
      <c r="EN16" s="94">
        <f t="shared" si="50"/>
        <v>0</v>
      </c>
    </row>
    <row r="17" spans="1:144" x14ac:dyDescent="0.25">
      <c r="A17" s="39">
        <f t="shared" si="51"/>
        <v>43715</v>
      </c>
      <c r="D17" s="93">
        <f t="shared" si="0"/>
        <v>0</v>
      </c>
      <c r="G17" s="93">
        <f t="shared" si="1"/>
        <v>0</v>
      </c>
      <c r="J17" s="93">
        <f t="shared" si="2"/>
        <v>0</v>
      </c>
      <c r="M17" s="93">
        <f t="shared" si="3"/>
        <v>0</v>
      </c>
      <c r="P17" s="93">
        <f t="shared" si="4"/>
        <v>0</v>
      </c>
      <c r="S17" s="93">
        <f t="shared" si="5"/>
        <v>0</v>
      </c>
      <c r="V17" s="93">
        <f t="shared" si="6"/>
        <v>0</v>
      </c>
      <c r="Y17" s="93">
        <f t="shared" si="7"/>
        <v>0</v>
      </c>
      <c r="AB17" s="93">
        <f t="shared" si="8"/>
        <v>0</v>
      </c>
      <c r="AE17" s="93">
        <f>(AC17*AD17)/'[12]Input Sheet'!$B$11</f>
        <v>0</v>
      </c>
      <c r="AH17" s="93">
        <f>(AF17*AG17)/'[12]Input Sheet'!$B$11</f>
        <v>0</v>
      </c>
      <c r="AI17" s="124"/>
      <c r="AJ17" s="125"/>
      <c r="AK17" s="93">
        <f t="shared" si="9"/>
        <v>0</v>
      </c>
      <c r="AN17" s="93">
        <f t="shared" si="10"/>
        <v>0</v>
      </c>
      <c r="AQ17" s="93">
        <f t="shared" si="11"/>
        <v>0</v>
      </c>
      <c r="AT17" s="93">
        <f t="shared" si="12"/>
        <v>0</v>
      </c>
      <c r="AW17" s="93">
        <f t="shared" si="13"/>
        <v>0</v>
      </c>
      <c r="AZ17" s="93">
        <f t="shared" si="14"/>
        <v>0</v>
      </c>
      <c r="BC17" s="93">
        <f t="shared" si="15"/>
        <v>0</v>
      </c>
      <c r="BF17" s="93">
        <f t="shared" si="16"/>
        <v>0</v>
      </c>
      <c r="BI17" s="93">
        <f t="shared" si="17"/>
        <v>0</v>
      </c>
      <c r="BL17" s="93">
        <f t="shared" si="18"/>
        <v>0</v>
      </c>
      <c r="BO17" s="93">
        <f t="shared" si="19"/>
        <v>0</v>
      </c>
      <c r="BR17" s="93">
        <f t="shared" si="20"/>
        <v>0</v>
      </c>
      <c r="BU17" s="93">
        <f t="shared" si="21"/>
        <v>0</v>
      </c>
      <c r="BX17" s="93">
        <f t="shared" si="22"/>
        <v>0</v>
      </c>
      <c r="CA17" s="93">
        <f t="shared" si="23"/>
        <v>0</v>
      </c>
      <c r="CD17" s="93">
        <f t="shared" si="24"/>
        <v>0</v>
      </c>
      <c r="CG17" s="93">
        <f t="shared" si="25"/>
        <v>0</v>
      </c>
      <c r="CJ17" s="93">
        <f t="shared" si="26"/>
        <v>0</v>
      </c>
      <c r="CM17" s="93">
        <f t="shared" si="27"/>
        <v>0</v>
      </c>
      <c r="CP17" s="93">
        <f t="shared" si="28"/>
        <v>0</v>
      </c>
      <c r="CS17" s="93">
        <f t="shared" si="29"/>
        <v>0</v>
      </c>
      <c r="CV17" s="93">
        <f t="shared" si="30"/>
        <v>0</v>
      </c>
      <c r="CY17" s="93">
        <f t="shared" si="31"/>
        <v>0</v>
      </c>
      <c r="DB17" s="93">
        <f t="shared" si="32"/>
        <v>0</v>
      </c>
      <c r="DE17" s="93">
        <f t="shared" si="33"/>
        <v>0</v>
      </c>
      <c r="DH17" s="93">
        <f t="shared" si="34"/>
        <v>0</v>
      </c>
      <c r="DK17" s="93">
        <f t="shared" si="35"/>
        <v>0</v>
      </c>
      <c r="DN17" s="93">
        <f t="shared" si="36"/>
        <v>0</v>
      </c>
      <c r="DQ17" s="93">
        <f t="shared" si="37"/>
        <v>0</v>
      </c>
      <c r="DT17" s="93">
        <f t="shared" si="38"/>
        <v>0</v>
      </c>
      <c r="DW17" s="93">
        <f t="shared" si="39"/>
        <v>0</v>
      </c>
      <c r="DZ17" s="93"/>
      <c r="EA17" s="93"/>
      <c r="EB17" s="126">
        <f t="shared" si="40"/>
        <v>0</v>
      </c>
      <c r="EC17" s="126">
        <f t="shared" si="41"/>
        <v>0</v>
      </c>
      <c r="ED17" s="93">
        <f t="shared" si="42"/>
        <v>0</v>
      </c>
      <c r="EE17" s="94">
        <f t="shared" si="43"/>
        <v>0</v>
      </c>
      <c r="EG17" s="126">
        <f t="shared" si="44"/>
        <v>0</v>
      </c>
      <c r="EH17" s="93">
        <f t="shared" si="45"/>
        <v>0</v>
      </c>
      <c r="EI17" s="94">
        <f t="shared" si="46"/>
        <v>0</v>
      </c>
      <c r="EJ17" s="94"/>
      <c r="EK17" s="126">
        <f t="shared" si="47"/>
        <v>0</v>
      </c>
      <c r="EL17" s="126">
        <f t="shared" si="48"/>
        <v>0</v>
      </c>
      <c r="EM17" s="126">
        <f t="shared" si="49"/>
        <v>0</v>
      </c>
      <c r="EN17" s="94">
        <f t="shared" si="50"/>
        <v>0</v>
      </c>
    </row>
    <row r="18" spans="1:144" x14ac:dyDescent="0.25">
      <c r="A18" s="39">
        <f t="shared" si="51"/>
        <v>43716</v>
      </c>
      <c r="D18" s="93">
        <f t="shared" si="0"/>
        <v>0</v>
      </c>
      <c r="G18" s="93">
        <f t="shared" si="1"/>
        <v>0</v>
      </c>
      <c r="J18" s="93">
        <f t="shared" si="2"/>
        <v>0</v>
      </c>
      <c r="M18" s="93">
        <f t="shared" si="3"/>
        <v>0</v>
      </c>
      <c r="P18" s="93">
        <f t="shared" si="4"/>
        <v>0</v>
      </c>
      <c r="S18" s="93">
        <f t="shared" si="5"/>
        <v>0</v>
      </c>
      <c r="V18" s="93">
        <f t="shared" si="6"/>
        <v>0</v>
      </c>
      <c r="Y18" s="93">
        <f t="shared" si="7"/>
        <v>0</v>
      </c>
      <c r="AB18" s="93">
        <f t="shared" si="8"/>
        <v>0</v>
      </c>
      <c r="AE18" s="93">
        <f>(AC18*AD18)/'[12]Input Sheet'!$B$11</f>
        <v>0</v>
      </c>
      <c r="AH18" s="93">
        <f>(AF18*AG18)/'[12]Input Sheet'!$B$11</f>
        <v>0</v>
      </c>
      <c r="AI18" s="124"/>
      <c r="AJ18" s="125"/>
      <c r="AK18" s="93">
        <f t="shared" si="9"/>
        <v>0</v>
      </c>
      <c r="AN18" s="93">
        <f t="shared" si="10"/>
        <v>0</v>
      </c>
      <c r="AQ18" s="93">
        <f t="shared" si="11"/>
        <v>0</v>
      </c>
      <c r="AT18" s="93">
        <f t="shared" si="12"/>
        <v>0</v>
      </c>
      <c r="AW18" s="93">
        <f t="shared" si="13"/>
        <v>0</v>
      </c>
      <c r="AZ18" s="93">
        <f t="shared" si="14"/>
        <v>0</v>
      </c>
      <c r="BC18" s="93">
        <f t="shared" si="15"/>
        <v>0</v>
      </c>
      <c r="BF18" s="93">
        <f t="shared" si="16"/>
        <v>0</v>
      </c>
      <c r="BI18" s="93">
        <f t="shared" si="17"/>
        <v>0</v>
      </c>
      <c r="BL18" s="93">
        <f t="shared" si="18"/>
        <v>0</v>
      </c>
      <c r="BO18" s="93">
        <f t="shared" si="19"/>
        <v>0</v>
      </c>
      <c r="BR18" s="93">
        <f t="shared" si="20"/>
        <v>0</v>
      </c>
      <c r="BU18" s="93">
        <f t="shared" si="21"/>
        <v>0</v>
      </c>
      <c r="BX18" s="93">
        <f t="shared" si="22"/>
        <v>0</v>
      </c>
      <c r="CA18" s="93">
        <f t="shared" si="23"/>
        <v>0</v>
      </c>
      <c r="CD18" s="93">
        <f t="shared" si="24"/>
        <v>0</v>
      </c>
      <c r="CG18" s="93">
        <f t="shared" si="25"/>
        <v>0</v>
      </c>
      <c r="CJ18" s="93">
        <f t="shared" si="26"/>
        <v>0</v>
      </c>
      <c r="CM18" s="93">
        <f t="shared" si="27"/>
        <v>0</v>
      </c>
      <c r="CP18" s="93">
        <f t="shared" si="28"/>
        <v>0</v>
      </c>
      <c r="CS18" s="93">
        <f t="shared" si="29"/>
        <v>0</v>
      </c>
      <c r="CV18" s="93">
        <f t="shared" si="30"/>
        <v>0</v>
      </c>
      <c r="CY18" s="93">
        <f t="shared" si="31"/>
        <v>0</v>
      </c>
      <c r="DB18" s="93">
        <f t="shared" si="32"/>
        <v>0</v>
      </c>
      <c r="DE18" s="93">
        <f t="shared" si="33"/>
        <v>0</v>
      </c>
      <c r="DH18" s="93">
        <f t="shared" si="34"/>
        <v>0</v>
      </c>
      <c r="DK18" s="93">
        <f t="shared" si="35"/>
        <v>0</v>
      </c>
      <c r="DN18" s="93">
        <f t="shared" si="36"/>
        <v>0</v>
      </c>
      <c r="DQ18" s="93">
        <f t="shared" si="37"/>
        <v>0</v>
      </c>
      <c r="DT18" s="93">
        <f t="shared" si="38"/>
        <v>0</v>
      </c>
      <c r="DW18" s="93">
        <f t="shared" si="39"/>
        <v>0</v>
      </c>
      <c r="DZ18" s="93"/>
      <c r="EA18" s="93"/>
      <c r="EB18" s="126">
        <f t="shared" si="40"/>
        <v>0</v>
      </c>
      <c r="EC18" s="126">
        <f t="shared" si="41"/>
        <v>0</v>
      </c>
      <c r="ED18" s="93">
        <f t="shared" si="42"/>
        <v>0</v>
      </c>
      <c r="EE18" s="94">
        <f t="shared" si="43"/>
        <v>0</v>
      </c>
      <c r="EG18" s="126">
        <f t="shared" si="44"/>
        <v>0</v>
      </c>
      <c r="EH18" s="93">
        <f t="shared" si="45"/>
        <v>0</v>
      </c>
      <c r="EI18" s="94">
        <f t="shared" si="46"/>
        <v>0</v>
      </c>
      <c r="EJ18" s="94"/>
      <c r="EK18" s="126">
        <f t="shared" si="47"/>
        <v>0</v>
      </c>
      <c r="EL18" s="126">
        <f t="shared" si="48"/>
        <v>0</v>
      </c>
      <c r="EM18" s="126">
        <f t="shared" si="49"/>
        <v>0</v>
      </c>
      <c r="EN18" s="94">
        <f t="shared" si="50"/>
        <v>0</v>
      </c>
    </row>
    <row r="19" spans="1:144" x14ac:dyDescent="0.25">
      <c r="A19" s="39">
        <f t="shared" si="51"/>
        <v>43717</v>
      </c>
      <c r="D19" s="93">
        <f t="shared" si="0"/>
        <v>0</v>
      </c>
      <c r="G19" s="93">
        <f t="shared" si="1"/>
        <v>0</v>
      </c>
      <c r="J19" s="93">
        <f t="shared" si="2"/>
        <v>0</v>
      </c>
      <c r="M19" s="93">
        <f t="shared" si="3"/>
        <v>0</v>
      </c>
      <c r="P19" s="93">
        <f t="shared" si="4"/>
        <v>0</v>
      </c>
      <c r="S19" s="93">
        <f t="shared" si="5"/>
        <v>0</v>
      </c>
      <c r="V19" s="93">
        <f t="shared" si="6"/>
        <v>0</v>
      </c>
      <c r="Y19" s="93">
        <f t="shared" si="7"/>
        <v>0</v>
      </c>
      <c r="AB19" s="93">
        <f t="shared" si="8"/>
        <v>0</v>
      </c>
      <c r="AE19" s="93">
        <f>(AC19*AD19)/'[12]Input Sheet'!$B$11</f>
        <v>0</v>
      </c>
      <c r="AH19" s="93">
        <f>(AF19*AG19)/'[12]Input Sheet'!$B$11</f>
        <v>0</v>
      </c>
      <c r="AI19" s="124"/>
      <c r="AJ19" s="125"/>
      <c r="AK19" s="93">
        <f t="shared" si="9"/>
        <v>0</v>
      </c>
      <c r="AN19" s="93">
        <f t="shared" si="10"/>
        <v>0</v>
      </c>
      <c r="AQ19" s="93">
        <f t="shared" si="11"/>
        <v>0</v>
      </c>
      <c r="AT19" s="93">
        <f t="shared" si="12"/>
        <v>0</v>
      </c>
      <c r="AW19" s="93">
        <f t="shared" si="13"/>
        <v>0</v>
      </c>
      <c r="AZ19" s="93">
        <f t="shared" si="14"/>
        <v>0</v>
      </c>
      <c r="BC19" s="93">
        <f t="shared" si="15"/>
        <v>0</v>
      </c>
      <c r="BF19" s="93">
        <f t="shared" si="16"/>
        <v>0</v>
      </c>
      <c r="BI19" s="93">
        <f t="shared" si="17"/>
        <v>0</v>
      </c>
      <c r="BL19" s="93">
        <f t="shared" si="18"/>
        <v>0</v>
      </c>
      <c r="BO19" s="93">
        <f t="shared" si="19"/>
        <v>0</v>
      </c>
      <c r="BR19" s="93">
        <f t="shared" si="20"/>
        <v>0</v>
      </c>
      <c r="BU19" s="93">
        <f t="shared" si="21"/>
        <v>0</v>
      </c>
      <c r="BX19" s="93">
        <f t="shared" si="22"/>
        <v>0</v>
      </c>
      <c r="CA19" s="93">
        <f t="shared" si="23"/>
        <v>0</v>
      </c>
      <c r="CD19" s="93">
        <f t="shared" si="24"/>
        <v>0</v>
      </c>
      <c r="CG19" s="93">
        <f t="shared" si="25"/>
        <v>0</v>
      </c>
      <c r="CJ19" s="93">
        <f t="shared" si="26"/>
        <v>0</v>
      </c>
      <c r="CM19" s="93">
        <f t="shared" si="27"/>
        <v>0</v>
      </c>
      <c r="CP19" s="93">
        <f t="shared" si="28"/>
        <v>0</v>
      </c>
      <c r="CS19" s="93">
        <f t="shared" si="29"/>
        <v>0</v>
      </c>
      <c r="CV19" s="93">
        <f t="shared" si="30"/>
        <v>0</v>
      </c>
      <c r="CY19" s="93">
        <f t="shared" si="31"/>
        <v>0</v>
      </c>
      <c r="DB19" s="93">
        <f t="shared" si="32"/>
        <v>0</v>
      </c>
      <c r="DE19" s="93">
        <f t="shared" si="33"/>
        <v>0</v>
      </c>
      <c r="DH19" s="93">
        <f t="shared" si="34"/>
        <v>0</v>
      </c>
      <c r="DK19" s="93">
        <f t="shared" si="35"/>
        <v>0</v>
      </c>
      <c r="DN19" s="93">
        <f t="shared" si="36"/>
        <v>0</v>
      </c>
      <c r="DQ19" s="93">
        <f t="shared" si="37"/>
        <v>0</v>
      </c>
      <c r="DT19" s="93">
        <f t="shared" si="38"/>
        <v>0</v>
      </c>
      <c r="DW19" s="93">
        <f t="shared" si="39"/>
        <v>0</v>
      </c>
      <c r="DZ19" s="93"/>
      <c r="EA19" s="93"/>
      <c r="EB19" s="126">
        <f t="shared" si="40"/>
        <v>0</v>
      </c>
      <c r="EC19" s="126">
        <f t="shared" si="41"/>
        <v>0</v>
      </c>
      <c r="ED19" s="93">
        <f t="shared" si="42"/>
        <v>0</v>
      </c>
      <c r="EE19" s="94">
        <f t="shared" si="43"/>
        <v>0</v>
      </c>
      <c r="EG19" s="126">
        <f t="shared" si="44"/>
        <v>0</v>
      </c>
      <c r="EH19" s="93">
        <f t="shared" si="45"/>
        <v>0</v>
      </c>
      <c r="EI19" s="94">
        <f t="shared" si="46"/>
        <v>0</v>
      </c>
      <c r="EJ19" s="94"/>
      <c r="EK19" s="126">
        <f t="shared" si="47"/>
        <v>0</v>
      </c>
      <c r="EL19" s="126">
        <f t="shared" si="48"/>
        <v>0</v>
      </c>
      <c r="EM19" s="126">
        <f t="shared" si="49"/>
        <v>0</v>
      </c>
      <c r="EN19" s="94">
        <f t="shared" si="50"/>
        <v>0</v>
      </c>
    </row>
    <row r="20" spans="1:144" x14ac:dyDescent="0.25">
      <c r="A20" s="39">
        <f t="shared" si="51"/>
        <v>43718</v>
      </c>
      <c r="D20" s="93">
        <f t="shared" si="0"/>
        <v>0</v>
      </c>
      <c r="G20" s="93">
        <f t="shared" si="1"/>
        <v>0</v>
      </c>
      <c r="J20" s="93">
        <f t="shared" si="2"/>
        <v>0</v>
      </c>
      <c r="M20" s="93">
        <f t="shared" si="3"/>
        <v>0</v>
      </c>
      <c r="P20" s="93">
        <f t="shared" si="4"/>
        <v>0</v>
      </c>
      <c r="S20" s="93">
        <f t="shared" si="5"/>
        <v>0</v>
      </c>
      <c r="V20" s="93">
        <f t="shared" si="6"/>
        <v>0</v>
      </c>
      <c r="Y20" s="93">
        <f t="shared" si="7"/>
        <v>0</v>
      </c>
      <c r="AB20" s="93">
        <f t="shared" si="8"/>
        <v>0</v>
      </c>
      <c r="AE20" s="93">
        <f>(AC20*AD20)/'[12]Input Sheet'!$B$11</f>
        <v>0</v>
      </c>
      <c r="AH20" s="93">
        <f>(AF20*AG20)/'[12]Input Sheet'!$B$11</f>
        <v>0</v>
      </c>
      <c r="AI20" s="124"/>
      <c r="AJ20" s="125"/>
      <c r="AK20" s="93">
        <f t="shared" si="9"/>
        <v>0</v>
      </c>
      <c r="AN20" s="93">
        <f t="shared" si="10"/>
        <v>0</v>
      </c>
      <c r="AQ20" s="93">
        <f t="shared" si="11"/>
        <v>0</v>
      </c>
      <c r="AT20" s="93">
        <f t="shared" si="12"/>
        <v>0</v>
      </c>
      <c r="AW20" s="93">
        <f t="shared" si="13"/>
        <v>0</v>
      </c>
      <c r="AZ20" s="93">
        <f t="shared" si="14"/>
        <v>0</v>
      </c>
      <c r="BC20" s="93">
        <f t="shared" si="15"/>
        <v>0</v>
      </c>
      <c r="BF20" s="93">
        <f t="shared" si="16"/>
        <v>0</v>
      </c>
      <c r="BI20" s="93">
        <f t="shared" si="17"/>
        <v>0</v>
      </c>
      <c r="BL20" s="93">
        <f t="shared" si="18"/>
        <v>0</v>
      </c>
      <c r="BO20" s="93">
        <f t="shared" si="19"/>
        <v>0</v>
      </c>
      <c r="BR20" s="93">
        <f t="shared" si="20"/>
        <v>0</v>
      </c>
      <c r="BU20" s="93">
        <f t="shared" si="21"/>
        <v>0</v>
      </c>
      <c r="BX20" s="93">
        <f t="shared" si="22"/>
        <v>0</v>
      </c>
      <c r="CA20" s="93">
        <f t="shared" si="23"/>
        <v>0</v>
      </c>
      <c r="CD20" s="93">
        <f t="shared" si="24"/>
        <v>0</v>
      </c>
      <c r="CG20" s="93">
        <f t="shared" si="25"/>
        <v>0</v>
      </c>
      <c r="CJ20" s="93">
        <f t="shared" si="26"/>
        <v>0</v>
      </c>
      <c r="CM20" s="93">
        <f t="shared" si="27"/>
        <v>0</v>
      </c>
      <c r="CP20" s="93">
        <f t="shared" si="28"/>
        <v>0</v>
      </c>
      <c r="CS20" s="93">
        <f t="shared" si="29"/>
        <v>0</v>
      </c>
      <c r="CV20" s="93">
        <f t="shared" si="30"/>
        <v>0</v>
      </c>
      <c r="CY20" s="93">
        <f t="shared" si="31"/>
        <v>0</v>
      </c>
      <c r="DB20" s="93">
        <f t="shared" si="32"/>
        <v>0</v>
      </c>
      <c r="DE20" s="93">
        <f t="shared" si="33"/>
        <v>0</v>
      </c>
      <c r="DH20" s="93">
        <f t="shared" si="34"/>
        <v>0</v>
      </c>
      <c r="DK20" s="93">
        <f t="shared" si="35"/>
        <v>0</v>
      </c>
      <c r="DN20" s="93">
        <f t="shared" si="36"/>
        <v>0</v>
      </c>
      <c r="DQ20" s="93">
        <f t="shared" si="37"/>
        <v>0</v>
      </c>
      <c r="DT20" s="93">
        <f t="shared" si="38"/>
        <v>0</v>
      </c>
      <c r="DW20" s="93">
        <f t="shared" si="39"/>
        <v>0</v>
      </c>
      <c r="DZ20" s="93"/>
      <c r="EA20" s="93"/>
      <c r="EB20" s="126">
        <f t="shared" si="40"/>
        <v>0</v>
      </c>
      <c r="EC20" s="126">
        <f t="shared" si="41"/>
        <v>0</v>
      </c>
      <c r="ED20" s="93">
        <f t="shared" si="42"/>
        <v>0</v>
      </c>
      <c r="EE20" s="94">
        <f t="shared" si="43"/>
        <v>0</v>
      </c>
      <c r="EG20" s="126">
        <f t="shared" si="44"/>
        <v>0</v>
      </c>
      <c r="EH20" s="93">
        <f t="shared" si="45"/>
        <v>0</v>
      </c>
      <c r="EI20" s="94">
        <f t="shared" si="46"/>
        <v>0</v>
      </c>
      <c r="EJ20" s="94"/>
      <c r="EK20" s="126">
        <f t="shared" si="47"/>
        <v>0</v>
      </c>
      <c r="EL20" s="126">
        <f t="shared" si="48"/>
        <v>0</v>
      </c>
      <c r="EM20" s="126">
        <f t="shared" si="49"/>
        <v>0</v>
      </c>
      <c r="EN20" s="94">
        <f t="shared" si="50"/>
        <v>0</v>
      </c>
    </row>
    <row r="21" spans="1:144" x14ac:dyDescent="0.25">
      <c r="A21" s="39">
        <f t="shared" si="51"/>
        <v>43719</v>
      </c>
      <c r="D21" s="93">
        <f t="shared" si="0"/>
        <v>0</v>
      </c>
      <c r="G21" s="93">
        <f t="shared" si="1"/>
        <v>0</v>
      </c>
      <c r="J21" s="93">
        <f t="shared" si="2"/>
        <v>0</v>
      </c>
      <c r="M21" s="93">
        <f t="shared" si="3"/>
        <v>0</v>
      </c>
      <c r="P21" s="93">
        <f t="shared" si="4"/>
        <v>0</v>
      </c>
      <c r="S21" s="93">
        <f t="shared" si="5"/>
        <v>0</v>
      </c>
      <c r="V21" s="93">
        <f t="shared" si="6"/>
        <v>0</v>
      </c>
      <c r="Y21" s="93">
        <f t="shared" si="7"/>
        <v>0</v>
      </c>
      <c r="AB21" s="93">
        <f t="shared" si="8"/>
        <v>0</v>
      </c>
      <c r="AE21" s="93">
        <f>(AC21*AD21)/'[12]Input Sheet'!$B$11</f>
        <v>0</v>
      </c>
      <c r="AH21" s="93">
        <f>(AF21*AG21)/'[12]Input Sheet'!$B$11</f>
        <v>0</v>
      </c>
      <c r="AI21" s="124"/>
      <c r="AJ21" s="125"/>
      <c r="AK21" s="93">
        <f t="shared" si="9"/>
        <v>0</v>
      </c>
      <c r="AN21" s="93">
        <f t="shared" si="10"/>
        <v>0</v>
      </c>
      <c r="AQ21" s="93">
        <f t="shared" si="11"/>
        <v>0</v>
      </c>
      <c r="AT21" s="93">
        <f t="shared" si="12"/>
        <v>0</v>
      </c>
      <c r="AW21" s="93">
        <f t="shared" si="13"/>
        <v>0</v>
      </c>
      <c r="AZ21" s="93">
        <f t="shared" si="14"/>
        <v>0</v>
      </c>
      <c r="BC21" s="93">
        <f t="shared" si="15"/>
        <v>0</v>
      </c>
      <c r="BF21" s="93">
        <f t="shared" si="16"/>
        <v>0</v>
      </c>
      <c r="BI21" s="93">
        <f t="shared" si="17"/>
        <v>0</v>
      </c>
      <c r="BL21" s="93">
        <f t="shared" si="18"/>
        <v>0</v>
      </c>
      <c r="BO21" s="93">
        <f t="shared" si="19"/>
        <v>0</v>
      </c>
      <c r="BR21" s="93">
        <f t="shared" si="20"/>
        <v>0</v>
      </c>
      <c r="BU21" s="93">
        <f t="shared" si="21"/>
        <v>0</v>
      </c>
      <c r="BX21" s="93">
        <f t="shared" si="22"/>
        <v>0</v>
      </c>
      <c r="CA21" s="93">
        <f t="shared" si="23"/>
        <v>0</v>
      </c>
      <c r="CD21" s="93">
        <f t="shared" si="24"/>
        <v>0</v>
      </c>
      <c r="CG21" s="93">
        <f t="shared" si="25"/>
        <v>0</v>
      </c>
      <c r="CJ21" s="93">
        <f t="shared" si="26"/>
        <v>0</v>
      </c>
      <c r="CM21" s="93">
        <f t="shared" si="27"/>
        <v>0</v>
      </c>
      <c r="CP21" s="93">
        <f t="shared" si="28"/>
        <v>0</v>
      </c>
      <c r="CS21" s="93">
        <f t="shared" si="29"/>
        <v>0</v>
      </c>
      <c r="CV21" s="93">
        <f t="shared" si="30"/>
        <v>0</v>
      </c>
      <c r="CY21" s="93">
        <f t="shared" si="31"/>
        <v>0</v>
      </c>
      <c r="DB21" s="93">
        <f t="shared" si="32"/>
        <v>0</v>
      </c>
      <c r="DE21" s="93">
        <f t="shared" si="33"/>
        <v>0</v>
      </c>
      <c r="DH21" s="93">
        <f t="shared" si="34"/>
        <v>0</v>
      </c>
      <c r="DK21" s="93">
        <f t="shared" si="35"/>
        <v>0</v>
      </c>
      <c r="DN21" s="93">
        <f t="shared" si="36"/>
        <v>0</v>
      </c>
      <c r="DQ21" s="93">
        <f t="shared" si="37"/>
        <v>0</v>
      </c>
      <c r="DT21" s="93">
        <f t="shared" si="38"/>
        <v>0</v>
      </c>
      <c r="DW21" s="93">
        <f t="shared" si="39"/>
        <v>0</v>
      </c>
      <c r="DZ21" s="93"/>
      <c r="EA21" s="93"/>
      <c r="EB21" s="126">
        <f t="shared" si="40"/>
        <v>0</v>
      </c>
      <c r="EC21" s="126">
        <f t="shared" si="41"/>
        <v>0</v>
      </c>
      <c r="ED21" s="93">
        <f t="shared" si="42"/>
        <v>0</v>
      </c>
      <c r="EE21" s="94">
        <f t="shared" si="43"/>
        <v>0</v>
      </c>
      <c r="EG21" s="126">
        <f t="shared" si="44"/>
        <v>0</v>
      </c>
      <c r="EH21" s="93">
        <f t="shared" si="45"/>
        <v>0</v>
      </c>
      <c r="EI21" s="94">
        <f t="shared" si="46"/>
        <v>0</v>
      </c>
      <c r="EJ21" s="94"/>
      <c r="EK21" s="126">
        <f t="shared" si="47"/>
        <v>0</v>
      </c>
      <c r="EL21" s="126">
        <f t="shared" si="48"/>
        <v>0</v>
      </c>
      <c r="EM21" s="126">
        <f t="shared" si="49"/>
        <v>0</v>
      </c>
      <c r="EN21" s="94">
        <f t="shared" si="50"/>
        <v>0</v>
      </c>
    </row>
    <row r="22" spans="1:144" x14ac:dyDescent="0.25">
      <c r="A22" s="39">
        <f t="shared" si="51"/>
        <v>43720</v>
      </c>
      <c r="D22" s="93">
        <f t="shared" si="0"/>
        <v>0</v>
      </c>
      <c r="G22" s="93">
        <f t="shared" si="1"/>
        <v>0</v>
      </c>
      <c r="J22" s="93">
        <f t="shared" si="2"/>
        <v>0</v>
      </c>
      <c r="M22" s="93">
        <f t="shared" si="3"/>
        <v>0</v>
      </c>
      <c r="P22" s="93">
        <f t="shared" si="4"/>
        <v>0</v>
      </c>
      <c r="S22" s="93">
        <f t="shared" si="5"/>
        <v>0</v>
      </c>
      <c r="V22" s="93">
        <f t="shared" si="6"/>
        <v>0</v>
      </c>
      <c r="Y22" s="93">
        <f t="shared" si="7"/>
        <v>0</v>
      </c>
      <c r="AB22" s="93">
        <f t="shared" si="8"/>
        <v>0</v>
      </c>
      <c r="AE22" s="93">
        <f>(AC22*AD22)/'[12]Input Sheet'!$B$11</f>
        <v>0</v>
      </c>
      <c r="AH22" s="93">
        <f>(AF22*AG22)/'[12]Input Sheet'!$B$11</f>
        <v>0</v>
      </c>
      <c r="AI22" s="124"/>
      <c r="AJ22" s="125"/>
      <c r="AK22" s="93">
        <f t="shared" si="9"/>
        <v>0</v>
      </c>
      <c r="AN22" s="93">
        <f t="shared" si="10"/>
        <v>0</v>
      </c>
      <c r="AQ22" s="93">
        <f t="shared" si="11"/>
        <v>0</v>
      </c>
      <c r="AT22" s="93">
        <f t="shared" si="12"/>
        <v>0</v>
      </c>
      <c r="AW22" s="93">
        <f t="shared" si="13"/>
        <v>0</v>
      </c>
      <c r="AZ22" s="93">
        <f t="shared" si="14"/>
        <v>0</v>
      </c>
      <c r="BC22" s="93">
        <f t="shared" si="15"/>
        <v>0</v>
      </c>
      <c r="BF22" s="93">
        <f t="shared" si="16"/>
        <v>0</v>
      </c>
      <c r="BI22" s="93">
        <f t="shared" si="17"/>
        <v>0</v>
      </c>
      <c r="BL22" s="93">
        <f t="shared" si="18"/>
        <v>0</v>
      </c>
      <c r="BO22" s="93">
        <f t="shared" si="19"/>
        <v>0</v>
      </c>
      <c r="BR22" s="93">
        <f t="shared" si="20"/>
        <v>0</v>
      </c>
      <c r="BU22" s="93">
        <f t="shared" si="21"/>
        <v>0</v>
      </c>
      <c r="BX22" s="93">
        <f t="shared" si="22"/>
        <v>0</v>
      </c>
      <c r="CA22" s="93">
        <f t="shared" si="23"/>
        <v>0</v>
      </c>
      <c r="CD22" s="93">
        <f t="shared" si="24"/>
        <v>0</v>
      </c>
      <c r="CG22" s="93">
        <f t="shared" si="25"/>
        <v>0</v>
      </c>
      <c r="CJ22" s="93">
        <f t="shared" si="26"/>
        <v>0</v>
      </c>
      <c r="CM22" s="93">
        <f t="shared" si="27"/>
        <v>0</v>
      </c>
      <c r="CP22" s="93">
        <f t="shared" si="28"/>
        <v>0</v>
      </c>
      <c r="CS22" s="93">
        <f t="shared" si="29"/>
        <v>0</v>
      </c>
      <c r="CV22" s="93">
        <f t="shared" si="30"/>
        <v>0</v>
      </c>
      <c r="CY22" s="93">
        <f t="shared" si="31"/>
        <v>0</v>
      </c>
      <c r="DB22" s="93">
        <f t="shared" si="32"/>
        <v>0</v>
      </c>
      <c r="DE22" s="93">
        <f t="shared" si="33"/>
        <v>0</v>
      </c>
      <c r="DH22" s="93">
        <f t="shared" si="34"/>
        <v>0</v>
      </c>
      <c r="DK22" s="93">
        <f t="shared" si="35"/>
        <v>0</v>
      </c>
      <c r="DN22" s="93">
        <f t="shared" si="36"/>
        <v>0</v>
      </c>
      <c r="DQ22" s="93">
        <f t="shared" si="37"/>
        <v>0</v>
      </c>
      <c r="DT22" s="93">
        <f t="shared" si="38"/>
        <v>0</v>
      </c>
      <c r="DW22" s="93">
        <f t="shared" si="39"/>
        <v>0</v>
      </c>
      <c r="DZ22" s="93"/>
      <c r="EA22" s="93"/>
      <c r="EB22" s="126">
        <f t="shared" si="40"/>
        <v>0</v>
      </c>
      <c r="EC22" s="126">
        <f t="shared" si="41"/>
        <v>0</v>
      </c>
      <c r="ED22" s="93">
        <f t="shared" si="42"/>
        <v>0</v>
      </c>
      <c r="EE22" s="94">
        <f t="shared" si="43"/>
        <v>0</v>
      </c>
      <c r="EG22" s="126">
        <f t="shared" si="44"/>
        <v>0</v>
      </c>
      <c r="EH22" s="93">
        <f t="shared" si="45"/>
        <v>0</v>
      </c>
      <c r="EI22" s="94">
        <f t="shared" si="46"/>
        <v>0</v>
      </c>
      <c r="EJ22" s="94"/>
      <c r="EK22" s="126">
        <f t="shared" si="47"/>
        <v>0</v>
      </c>
      <c r="EL22" s="126">
        <f t="shared" si="48"/>
        <v>0</v>
      </c>
      <c r="EM22" s="126">
        <f t="shared" si="49"/>
        <v>0</v>
      </c>
      <c r="EN22" s="94">
        <f t="shared" si="50"/>
        <v>0</v>
      </c>
    </row>
    <row r="23" spans="1:144" x14ac:dyDescent="0.25">
      <c r="A23" s="39">
        <f t="shared" si="51"/>
        <v>43721</v>
      </c>
      <c r="D23" s="93">
        <f t="shared" si="0"/>
        <v>0</v>
      </c>
      <c r="G23" s="93">
        <f t="shared" si="1"/>
        <v>0</v>
      </c>
      <c r="J23" s="93">
        <f t="shared" si="2"/>
        <v>0</v>
      </c>
      <c r="M23" s="93">
        <f t="shared" si="3"/>
        <v>0</v>
      </c>
      <c r="P23" s="93">
        <f t="shared" si="4"/>
        <v>0</v>
      </c>
      <c r="S23" s="93">
        <f t="shared" si="5"/>
        <v>0</v>
      </c>
      <c r="V23" s="93">
        <f t="shared" si="6"/>
        <v>0</v>
      </c>
      <c r="Y23" s="93">
        <f t="shared" si="7"/>
        <v>0</v>
      </c>
      <c r="AB23" s="93">
        <f t="shared" si="8"/>
        <v>0</v>
      </c>
      <c r="AE23" s="93">
        <f>(AC23*AD23)/'[12]Input Sheet'!$B$11</f>
        <v>0</v>
      </c>
      <c r="AH23" s="93">
        <f>(AF23*AG23)/'[12]Input Sheet'!$B$11</f>
        <v>0</v>
      </c>
      <c r="AI23" s="124"/>
      <c r="AJ23" s="125"/>
      <c r="AK23" s="93">
        <f t="shared" si="9"/>
        <v>0</v>
      </c>
      <c r="AN23" s="93">
        <f t="shared" si="10"/>
        <v>0</v>
      </c>
      <c r="AQ23" s="93">
        <f t="shared" si="11"/>
        <v>0</v>
      </c>
      <c r="AT23" s="93">
        <f t="shared" si="12"/>
        <v>0</v>
      </c>
      <c r="AW23" s="93">
        <f t="shared" si="13"/>
        <v>0</v>
      </c>
      <c r="AZ23" s="93">
        <f t="shared" si="14"/>
        <v>0</v>
      </c>
      <c r="BC23" s="93">
        <f t="shared" si="15"/>
        <v>0</v>
      </c>
      <c r="BF23" s="93">
        <f t="shared" si="16"/>
        <v>0</v>
      </c>
      <c r="BI23" s="93">
        <f t="shared" si="17"/>
        <v>0</v>
      </c>
      <c r="BL23" s="93">
        <f t="shared" si="18"/>
        <v>0</v>
      </c>
      <c r="BO23" s="93">
        <f t="shared" si="19"/>
        <v>0</v>
      </c>
      <c r="BR23" s="93">
        <f t="shared" si="20"/>
        <v>0</v>
      </c>
      <c r="BU23" s="93">
        <f t="shared" si="21"/>
        <v>0</v>
      </c>
      <c r="BX23" s="93">
        <f t="shared" si="22"/>
        <v>0</v>
      </c>
      <c r="CA23" s="93">
        <f t="shared" si="23"/>
        <v>0</v>
      </c>
      <c r="CD23" s="93">
        <f t="shared" si="24"/>
        <v>0</v>
      </c>
      <c r="CG23" s="93">
        <f t="shared" si="25"/>
        <v>0</v>
      </c>
      <c r="CJ23" s="93">
        <f t="shared" si="26"/>
        <v>0</v>
      </c>
      <c r="CM23" s="93">
        <f t="shared" si="27"/>
        <v>0</v>
      </c>
      <c r="CP23" s="93">
        <f t="shared" si="28"/>
        <v>0</v>
      </c>
      <c r="CS23" s="93">
        <f t="shared" si="29"/>
        <v>0</v>
      </c>
      <c r="CV23" s="93">
        <f t="shared" si="30"/>
        <v>0</v>
      </c>
      <c r="CY23" s="93">
        <f t="shared" si="31"/>
        <v>0</v>
      </c>
      <c r="DB23" s="93">
        <f t="shared" si="32"/>
        <v>0</v>
      </c>
      <c r="DE23" s="93">
        <f t="shared" si="33"/>
        <v>0</v>
      </c>
      <c r="DH23" s="93">
        <f t="shared" si="34"/>
        <v>0</v>
      </c>
      <c r="DK23" s="93">
        <f t="shared" si="35"/>
        <v>0</v>
      </c>
      <c r="DN23" s="93">
        <f t="shared" si="36"/>
        <v>0</v>
      </c>
      <c r="DQ23" s="93">
        <f t="shared" si="37"/>
        <v>0</v>
      </c>
      <c r="DT23" s="93">
        <f t="shared" si="38"/>
        <v>0</v>
      </c>
      <c r="DW23" s="93">
        <f t="shared" si="39"/>
        <v>0</v>
      </c>
      <c r="DZ23" s="93"/>
      <c r="EA23" s="93"/>
      <c r="EB23" s="126">
        <f t="shared" si="40"/>
        <v>0</v>
      </c>
      <c r="EC23" s="126">
        <f t="shared" si="41"/>
        <v>0</v>
      </c>
      <c r="ED23" s="93">
        <f t="shared" si="42"/>
        <v>0</v>
      </c>
      <c r="EE23" s="94">
        <f t="shared" si="43"/>
        <v>0</v>
      </c>
      <c r="EG23" s="126">
        <f t="shared" si="44"/>
        <v>0</v>
      </c>
      <c r="EH23" s="93">
        <f t="shared" si="45"/>
        <v>0</v>
      </c>
      <c r="EI23" s="94">
        <f t="shared" si="46"/>
        <v>0</v>
      </c>
      <c r="EJ23" s="94"/>
      <c r="EK23" s="126">
        <f t="shared" si="47"/>
        <v>0</v>
      </c>
      <c r="EL23" s="126">
        <f t="shared" si="48"/>
        <v>0</v>
      </c>
      <c r="EM23" s="126">
        <f t="shared" si="49"/>
        <v>0</v>
      </c>
      <c r="EN23" s="94">
        <f t="shared" si="50"/>
        <v>0</v>
      </c>
    </row>
    <row r="24" spans="1:144" x14ac:dyDescent="0.25">
      <c r="A24" s="39">
        <f t="shared" si="51"/>
        <v>43722</v>
      </c>
      <c r="D24" s="93">
        <f t="shared" si="0"/>
        <v>0</v>
      </c>
      <c r="G24" s="93">
        <f t="shared" si="1"/>
        <v>0</v>
      </c>
      <c r="J24" s="93">
        <f t="shared" si="2"/>
        <v>0</v>
      </c>
      <c r="M24" s="93">
        <f t="shared" si="3"/>
        <v>0</v>
      </c>
      <c r="P24" s="93">
        <f t="shared" si="4"/>
        <v>0</v>
      </c>
      <c r="S24" s="93">
        <f t="shared" si="5"/>
        <v>0</v>
      </c>
      <c r="V24" s="93">
        <f t="shared" si="6"/>
        <v>0</v>
      </c>
      <c r="Y24" s="93">
        <f t="shared" si="7"/>
        <v>0</v>
      </c>
      <c r="AB24" s="93">
        <f t="shared" si="8"/>
        <v>0</v>
      </c>
      <c r="AE24" s="93">
        <f>(AC24*AD24)/'[12]Input Sheet'!$B$11</f>
        <v>0</v>
      </c>
      <c r="AH24" s="93">
        <f>(AF24*AG24)/'[12]Input Sheet'!$B$11</f>
        <v>0</v>
      </c>
      <c r="AI24" s="124"/>
      <c r="AJ24" s="125"/>
      <c r="AK24" s="93">
        <f t="shared" si="9"/>
        <v>0</v>
      </c>
      <c r="AN24" s="93">
        <f t="shared" si="10"/>
        <v>0</v>
      </c>
      <c r="AQ24" s="93">
        <f t="shared" si="11"/>
        <v>0</v>
      </c>
      <c r="AT24" s="93">
        <f t="shared" si="12"/>
        <v>0</v>
      </c>
      <c r="AW24" s="93">
        <f t="shared" si="13"/>
        <v>0</v>
      </c>
      <c r="AZ24" s="93">
        <f t="shared" si="14"/>
        <v>0</v>
      </c>
      <c r="BC24" s="93">
        <f t="shared" si="15"/>
        <v>0</v>
      </c>
      <c r="BF24" s="93">
        <f t="shared" si="16"/>
        <v>0</v>
      </c>
      <c r="BI24" s="93">
        <f t="shared" si="17"/>
        <v>0</v>
      </c>
      <c r="BL24" s="93">
        <f t="shared" si="18"/>
        <v>0</v>
      </c>
      <c r="BO24" s="93">
        <f t="shared" si="19"/>
        <v>0</v>
      </c>
      <c r="BR24" s="93">
        <f t="shared" si="20"/>
        <v>0</v>
      </c>
      <c r="BU24" s="93">
        <f t="shared" si="21"/>
        <v>0</v>
      </c>
      <c r="BX24" s="93">
        <f t="shared" si="22"/>
        <v>0</v>
      </c>
      <c r="CA24" s="93">
        <f t="shared" si="23"/>
        <v>0</v>
      </c>
      <c r="CD24" s="93">
        <f t="shared" si="24"/>
        <v>0</v>
      </c>
      <c r="CG24" s="93">
        <f t="shared" si="25"/>
        <v>0</v>
      </c>
      <c r="CJ24" s="93">
        <f t="shared" si="26"/>
        <v>0</v>
      </c>
      <c r="CM24" s="93">
        <f t="shared" si="27"/>
        <v>0</v>
      </c>
      <c r="CP24" s="93">
        <f t="shared" si="28"/>
        <v>0</v>
      </c>
      <c r="CS24" s="93">
        <f t="shared" si="29"/>
        <v>0</v>
      </c>
      <c r="CV24" s="93">
        <f t="shared" si="30"/>
        <v>0</v>
      </c>
      <c r="CY24" s="93">
        <f t="shared" si="31"/>
        <v>0</v>
      </c>
      <c r="DB24" s="93">
        <f t="shared" si="32"/>
        <v>0</v>
      </c>
      <c r="DE24" s="93">
        <f t="shared" si="33"/>
        <v>0</v>
      </c>
      <c r="DH24" s="93">
        <f t="shared" si="34"/>
        <v>0</v>
      </c>
      <c r="DK24" s="93">
        <f t="shared" si="35"/>
        <v>0</v>
      </c>
      <c r="DN24" s="93">
        <f t="shared" si="36"/>
        <v>0</v>
      </c>
      <c r="DQ24" s="93">
        <f t="shared" si="37"/>
        <v>0</v>
      </c>
      <c r="DT24" s="93">
        <f t="shared" si="38"/>
        <v>0</v>
      </c>
      <c r="DW24" s="93">
        <f t="shared" si="39"/>
        <v>0</v>
      </c>
      <c r="DZ24" s="93"/>
      <c r="EA24" s="93"/>
      <c r="EB24" s="126">
        <f t="shared" si="40"/>
        <v>0</v>
      </c>
      <c r="EC24" s="126">
        <f t="shared" si="41"/>
        <v>0</v>
      </c>
      <c r="ED24" s="93">
        <f t="shared" si="42"/>
        <v>0</v>
      </c>
      <c r="EE24" s="94">
        <f t="shared" si="43"/>
        <v>0</v>
      </c>
      <c r="EG24" s="126">
        <f t="shared" si="44"/>
        <v>0</v>
      </c>
      <c r="EH24" s="93">
        <f t="shared" si="45"/>
        <v>0</v>
      </c>
      <c r="EI24" s="94">
        <f t="shared" si="46"/>
        <v>0</v>
      </c>
      <c r="EJ24" s="94"/>
      <c r="EK24" s="126">
        <f t="shared" si="47"/>
        <v>0</v>
      </c>
      <c r="EL24" s="126">
        <f t="shared" si="48"/>
        <v>0</v>
      </c>
      <c r="EM24" s="126">
        <f t="shared" si="49"/>
        <v>0</v>
      </c>
      <c r="EN24" s="94">
        <f t="shared" si="50"/>
        <v>0</v>
      </c>
    </row>
    <row r="25" spans="1:144" x14ac:dyDescent="0.25">
      <c r="A25" s="39">
        <f t="shared" si="51"/>
        <v>43723</v>
      </c>
      <c r="D25" s="93">
        <f t="shared" si="0"/>
        <v>0</v>
      </c>
      <c r="G25" s="93">
        <f t="shared" si="1"/>
        <v>0</v>
      </c>
      <c r="J25" s="93">
        <f t="shared" si="2"/>
        <v>0</v>
      </c>
      <c r="M25" s="93">
        <f t="shared" si="3"/>
        <v>0</v>
      </c>
      <c r="P25" s="93">
        <f t="shared" si="4"/>
        <v>0</v>
      </c>
      <c r="S25" s="93">
        <f t="shared" si="5"/>
        <v>0</v>
      </c>
      <c r="V25" s="93">
        <f t="shared" si="6"/>
        <v>0</v>
      </c>
      <c r="Y25" s="93">
        <f t="shared" si="7"/>
        <v>0</v>
      </c>
      <c r="AB25" s="93">
        <f t="shared" si="8"/>
        <v>0</v>
      </c>
      <c r="AE25" s="93">
        <f>(AC25*AD25)/'[12]Input Sheet'!$B$11</f>
        <v>0</v>
      </c>
      <c r="AH25" s="93">
        <f>(AF25*AG25)/'[12]Input Sheet'!$B$11</f>
        <v>0</v>
      </c>
      <c r="AI25" s="124"/>
      <c r="AJ25" s="125"/>
      <c r="AK25" s="93">
        <f t="shared" si="9"/>
        <v>0</v>
      </c>
      <c r="AN25" s="93">
        <f t="shared" si="10"/>
        <v>0</v>
      </c>
      <c r="AQ25" s="93">
        <f t="shared" si="11"/>
        <v>0</v>
      </c>
      <c r="AT25" s="93">
        <f t="shared" si="12"/>
        <v>0</v>
      </c>
      <c r="AW25" s="93">
        <f t="shared" si="13"/>
        <v>0</v>
      </c>
      <c r="AZ25" s="93">
        <f t="shared" si="14"/>
        <v>0</v>
      </c>
      <c r="BC25" s="93">
        <f t="shared" si="15"/>
        <v>0</v>
      </c>
      <c r="BF25" s="93">
        <f t="shared" si="16"/>
        <v>0</v>
      </c>
      <c r="BI25" s="93">
        <f t="shared" si="17"/>
        <v>0</v>
      </c>
      <c r="BL25" s="93">
        <f t="shared" si="18"/>
        <v>0</v>
      </c>
      <c r="BO25" s="93">
        <f t="shared" si="19"/>
        <v>0</v>
      </c>
      <c r="BR25" s="93">
        <f t="shared" si="20"/>
        <v>0</v>
      </c>
      <c r="BU25" s="93">
        <f t="shared" si="21"/>
        <v>0</v>
      </c>
      <c r="BX25" s="93">
        <f t="shared" si="22"/>
        <v>0</v>
      </c>
      <c r="CA25" s="93">
        <f t="shared" si="23"/>
        <v>0</v>
      </c>
      <c r="CD25" s="93">
        <f t="shared" si="24"/>
        <v>0</v>
      </c>
      <c r="CG25" s="93">
        <f t="shared" si="25"/>
        <v>0</v>
      </c>
      <c r="CJ25" s="93">
        <f t="shared" si="26"/>
        <v>0</v>
      </c>
      <c r="CM25" s="93">
        <f t="shared" si="27"/>
        <v>0</v>
      </c>
      <c r="CP25" s="93">
        <f t="shared" si="28"/>
        <v>0</v>
      </c>
      <c r="CS25" s="93">
        <f t="shared" si="29"/>
        <v>0</v>
      </c>
      <c r="CV25" s="93">
        <f t="shared" si="30"/>
        <v>0</v>
      </c>
      <c r="CY25" s="93">
        <f t="shared" si="31"/>
        <v>0</v>
      </c>
      <c r="DB25" s="93">
        <f t="shared" si="32"/>
        <v>0</v>
      </c>
      <c r="DE25" s="93">
        <f t="shared" si="33"/>
        <v>0</v>
      </c>
      <c r="DH25" s="93">
        <f t="shared" si="34"/>
        <v>0</v>
      </c>
      <c r="DK25" s="93">
        <f t="shared" si="35"/>
        <v>0</v>
      </c>
      <c r="DN25" s="93">
        <f t="shared" si="36"/>
        <v>0</v>
      </c>
      <c r="DQ25" s="93">
        <f t="shared" si="37"/>
        <v>0</v>
      </c>
      <c r="DT25" s="93">
        <f t="shared" si="38"/>
        <v>0</v>
      </c>
      <c r="DW25" s="93">
        <f t="shared" si="39"/>
        <v>0</v>
      </c>
      <c r="DZ25" s="93"/>
      <c r="EA25" s="93"/>
      <c r="EB25" s="126">
        <f t="shared" si="40"/>
        <v>0</v>
      </c>
      <c r="EC25" s="126">
        <f t="shared" si="41"/>
        <v>0</v>
      </c>
      <c r="ED25" s="93">
        <f t="shared" si="42"/>
        <v>0</v>
      </c>
      <c r="EE25" s="94">
        <f t="shared" si="43"/>
        <v>0</v>
      </c>
      <c r="EG25" s="126">
        <f t="shared" si="44"/>
        <v>0</v>
      </c>
      <c r="EH25" s="93">
        <f t="shared" si="45"/>
        <v>0</v>
      </c>
      <c r="EI25" s="94">
        <f t="shared" si="46"/>
        <v>0</v>
      </c>
      <c r="EJ25" s="94"/>
      <c r="EK25" s="126">
        <f t="shared" si="47"/>
        <v>0</v>
      </c>
      <c r="EL25" s="126">
        <f t="shared" si="48"/>
        <v>0</v>
      </c>
      <c r="EM25" s="126">
        <f t="shared" si="49"/>
        <v>0</v>
      </c>
      <c r="EN25" s="94">
        <f t="shared" si="50"/>
        <v>0</v>
      </c>
    </row>
    <row r="26" spans="1:144" x14ac:dyDescent="0.25">
      <c r="A26" s="39">
        <f t="shared" si="51"/>
        <v>43724</v>
      </c>
      <c r="D26" s="93">
        <f t="shared" si="0"/>
        <v>0</v>
      </c>
      <c r="G26" s="93">
        <f t="shared" si="1"/>
        <v>0</v>
      </c>
      <c r="J26" s="93">
        <f t="shared" si="2"/>
        <v>0</v>
      </c>
      <c r="M26" s="93">
        <f t="shared" si="3"/>
        <v>0</v>
      </c>
      <c r="P26" s="93">
        <f t="shared" si="4"/>
        <v>0</v>
      </c>
      <c r="S26" s="93">
        <f t="shared" si="5"/>
        <v>0</v>
      </c>
      <c r="V26" s="93">
        <f t="shared" si="6"/>
        <v>0</v>
      </c>
      <c r="Y26" s="93">
        <f t="shared" si="7"/>
        <v>0</v>
      </c>
      <c r="AB26" s="93">
        <f t="shared" si="8"/>
        <v>0</v>
      </c>
      <c r="AE26" s="93">
        <f>(AC26*AD26)/'[12]Input Sheet'!$B$11</f>
        <v>0</v>
      </c>
      <c r="AH26" s="93">
        <f>(AF26*AG26)/'[12]Input Sheet'!$B$11</f>
        <v>0</v>
      </c>
      <c r="AI26" s="124"/>
      <c r="AJ26" s="125"/>
      <c r="AK26" s="93">
        <f t="shared" si="9"/>
        <v>0</v>
      </c>
      <c r="AN26" s="93">
        <f t="shared" si="10"/>
        <v>0</v>
      </c>
      <c r="AQ26" s="93">
        <f t="shared" si="11"/>
        <v>0</v>
      </c>
      <c r="AT26" s="93">
        <f t="shared" si="12"/>
        <v>0</v>
      </c>
      <c r="AW26" s="93">
        <f t="shared" si="13"/>
        <v>0</v>
      </c>
      <c r="AZ26" s="93">
        <f t="shared" si="14"/>
        <v>0</v>
      </c>
      <c r="BC26" s="93">
        <f t="shared" si="15"/>
        <v>0</v>
      </c>
      <c r="BF26" s="93">
        <f t="shared" si="16"/>
        <v>0</v>
      </c>
      <c r="BI26" s="93">
        <f t="shared" si="17"/>
        <v>0</v>
      </c>
      <c r="BL26" s="93">
        <f t="shared" si="18"/>
        <v>0</v>
      </c>
      <c r="BO26" s="93">
        <f t="shared" si="19"/>
        <v>0</v>
      </c>
      <c r="BR26" s="93">
        <f t="shared" si="20"/>
        <v>0</v>
      </c>
      <c r="BU26" s="93">
        <f t="shared" si="21"/>
        <v>0</v>
      </c>
      <c r="BX26" s="93">
        <f t="shared" si="22"/>
        <v>0</v>
      </c>
      <c r="CA26" s="93">
        <f t="shared" si="23"/>
        <v>0</v>
      </c>
      <c r="CD26" s="93">
        <f t="shared" si="24"/>
        <v>0</v>
      </c>
      <c r="CG26" s="93">
        <f t="shared" si="25"/>
        <v>0</v>
      </c>
      <c r="CJ26" s="93">
        <f t="shared" si="26"/>
        <v>0</v>
      </c>
      <c r="CM26" s="93">
        <f t="shared" si="27"/>
        <v>0</v>
      </c>
      <c r="CP26" s="93">
        <f t="shared" si="28"/>
        <v>0</v>
      </c>
      <c r="CS26" s="93">
        <f t="shared" si="29"/>
        <v>0</v>
      </c>
      <c r="CV26" s="93">
        <f t="shared" si="30"/>
        <v>0</v>
      </c>
      <c r="CY26" s="93">
        <f t="shared" si="31"/>
        <v>0</v>
      </c>
      <c r="DB26" s="93">
        <f t="shared" si="32"/>
        <v>0</v>
      </c>
      <c r="DE26" s="93">
        <f t="shared" si="33"/>
        <v>0</v>
      </c>
      <c r="DH26" s="93">
        <f t="shared" si="34"/>
        <v>0</v>
      </c>
      <c r="DK26" s="93">
        <f t="shared" si="35"/>
        <v>0</v>
      </c>
      <c r="DN26" s="93">
        <f t="shared" si="36"/>
        <v>0</v>
      </c>
      <c r="DQ26" s="93">
        <f t="shared" si="37"/>
        <v>0</v>
      </c>
      <c r="DT26" s="93">
        <f t="shared" si="38"/>
        <v>0</v>
      </c>
      <c r="DW26" s="93">
        <f t="shared" si="39"/>
        <v>0</v>
      </c>
      <c r="DZ26" s="93"/>
      <c r="EA26" s="93"/>
      <c r="EB26" s="126">
        <f t="shared" si="40"/>
        <v>0</v>
      </c>
      <c r="EC26" s="126">
        <f t="shared" si="41"/>
        <v>0</v>
      </c>
      <c r="ED26" s="93">
        <f t="shared" si="42"/>
        <v>0</v>
      </c>
      <c r="EE26" s="94">
        <f t="shared" si="43"/>
        <v>0</v>
      </c>
      <c r="EG26" s="126">
        <f t="shared" si="44"/>
        <v>0</v>
      </c>
      <c r="EH26" s="93">
        <f t="shared" si="45"/>
        <v>0</v>
      </c>
      <c r="EI26" s="94">
        <f t="shared" si="46"/>
        <v>0</v>
      </c>
      <c r="EJ26" s="94"/>
      <c r="EK26" s="126">
        <f t="shared" si="47"/>
        <v>0</v>
      </c>
      <c r="EL26" s="126">
        <f t="shared" si="48"/>
        <v>0</v>
      </c>
      <c r="EM26" s="126">
        <f t="shared" si="49"/>
        <v>0</v>
      </c>
      <c r="EN26" s="94">
        <f t="shared" si="50"/>
        <v>0</v>
      </c>
    </row>
    <row r="27" spans="1:144" x14ac:dyDescent="0.25">
      <c r="A27" s="39">
        <f t="shared" si="51"/>
        <v>43725</v>
      </c>
      <c r="D27" s="93">
        <f t="shared" si="0"/>
        <v>0</v>
      </c>
      <c r="G27" s="93">
        <f t="shared" si="1"/>
        <v>0</v>
      </c>
      <c r="J27" s="93">
        <f t="shared" si="2"/>
        <v>0</v>
      </c>
      <c r="M27" s="93">
        <f t="shared" si="3"/>
        <v>0</v>
      </c>
      <c r="P27" s="93">
        <f t="shared" si="4"/>
        <v>0</v>
      </c>
      <c r="S27" s="93">
        <f t="shared" si="5"/>
        <v>0</v>
      </c>
      <c r="V27" s="93">
        <f t="shared" si="6"/>
        <v>0</v>
      </c>
      <c r="Y27" s="93">
        <f t="shared" si="7"/>
        <v>0</v>
      </c>
      <c r="AB27" s="93">
        <f t="shared" si="8"/>
        <v>0</v>
      </c>
      <c r="AE27" s="93">
        <f>(AC27*AD27)/'[12]Input Sheet'!$B$11</f>
        <v>0</v>
      </c>
      <c r="AH27" s="93">
        <f>(AF27*AG27)/'[12]Input Sheet'!$B$11</f>
        <v>0</v>
      </c>
      <c r="AI27" s="124"/>
      <c r="AJ27" s="125"/>
      <c r="AK27" s="93">
        <f t="shared" si="9"/>
        <v>0</v>
      </c>
      <c r="AN27" s="93">
        <f t="shared" si="10"/>
        <v>0</v>
      </c>
      <c r="AQ27" s="93">
        <f t="shared" si="11"/>
        <v>0</v>
      </c>
      <c r="AT27" s="93">
        <f t="shared" si="12"/>
        <v>0</v>
      </c>
      <c r="AW27" s="93">
        <f t="shared" si="13"/>
        <v>0</v>
      </c>
      <c r="AZ27" s="93">
        <f t="shared" si="14"/>
        <v>0</v>
      </c>
      <c r="BC27" s="93">
        <f t="shared" si="15"/>
        <v>0</v>
      </c>
      <c r="BF27" s="93">
        <f t="shared" si="16"/>
        <v>0</v>
      </c>
      <c r="BI27" s="93">
        <f t="shared" si="17"/>
        <v>0</v>
      </c>
      <c r="BL27" s="93">
        <f t="shared" si="18"/>
        <v>0</v>
      </c>
      <c r="BO27" s="93">
        <f t="shared" si="19"/>
        <v>0</v>
      </c>
      <c r="BR27" s="93">
        <f t="shared" si="20"/>
        <v>0</v>
      </c>
      <c r="BU27" s="93">
        <f t="shared" si="21"/>
        <v>0</v>
      </c>
      <c r="BX27" s="93">
        <f t="shared" si="22"/>
        <v>0</v>
      </c>
      <c r="CA27" s="93">
        <f t="shared" si="23"/>
        <v>0</v>
      </c>
      <c r="CD27" s="93">
        <f t="shared" si="24"/>
        <v>0</v>
      </c>
      <c r="CG27" s="93">
        <f t="shared" si="25"/>
        <v>0</v>
      </c>
      <c r="CJ27" s="93">
        <f t="shared" si="26"/>
        <v>0</v>
      </c>
      <c r="CM27" s="93">
        <f t="shared" si="27"/>
        <v>0</v>
      </c>
      <c r="CP27" s="93">
        <f t="shared" si="28"/>
        <v>0</v>
      </c>
      <c r="CS27" s="93">
        <f t="shared" si="29"/>
        <v>0</v>
      </c>
      <c r="CV27" s="93">
        <f t="shared" si="30"/>
        <v>0</v>
      </c>
      <c r="CY27" s="93">
        <f t="shared" si="31"/>
        <v>0</v>
      </c>
      <c r="DB27" s="93">
        <f t="shared" si="32"/>
        <v>0</v>
      </c>
      <c r="DE27" s="93">
        <f t="shared" si="33"/>
        <v>0</v>
      </c>
      <c r="DH27" s="93">
        <f t="shared" si="34"/>
        <v>0</v>
      </c>
      <c r="DK27" s="93">
        <f t="shared" si="35"/>
        <v>0</v>
      </c>
      <c r="DN27" s="93">
        <f t="shared" si="36"/>
        <v>0</v>
      </c>
      <c r="DQ27" s="93">
        <f t="shared" si="37"/>
        <v>0</v>
      </c>
      <c r="DT27" s="93">
        <f t="shared" si="38"/>
        <v>0</v>
      </c>
      <c r="DW27" s="93">
        <f t="shared" si="39"/>
        <v>0</v>
      </c>
      <c r="DZ27" s="93"/>
      <c r="EA27" s="93"/>
      <c r="EB27" s="126">
        <f t="shared" si="40"/>
        <v>0</v>
      </c>
      <c r="EC27" s="126">
        <f t="shared" si="41"/>
        <v>0</v>
      </c>
      <c r="ED27" s="93">
        <f t="shared" si="42"/>
        <v>0</v>
      </c>
      <c r="EE27" s="94">
        <f t="shared" si="43"/>
        <v>0</v>
      </c>
      <c r="EG27" s="126">
        <f t="shared" si="44"/>
        <v>0</v>
      </c>
      <c r="EH27" s="93">
        <f t="shared" si="45"/>
        <v>0</v>
      </c>
      <c r="EI27" s="94">
        <f t="shared" si="46"/>
        <v>0</v>
      </c>
      <c r="EJ27" s="94"/>
      <c r="EK27" s="126">
        <f t="shared" si="47"/>
        <v>0</v>
      </c>
      <c r="EL27" s="126">
        <f t="shared" si="48"/>
        <v>0</v>
      </c>
      <c r="EM27" s="126">
        <f t="shared" si="49"/>
        <v>0</v>
      </c>
      <c r="EN27" s="94">
        <f t="shared" si="50"/>
        <v>0</v>
      </c>
    </row>
    <row r="28" spans="1:144" x14ac:dyDescent="0.25">
      <c r="A28" s="39">
        <f t="shared" si="51"/>
        <v>43726</v>
      </c>
      <c r="D28" s="93">
        <f t="shared" si="0"/>
        <v>0</v>
      </c>
      <c r="G28" s="93">
        <f t="shared" si="1"/>
        <v>0</v>
      </c>
      <c r="J28" s="93">
        <f t="shared" si="2"/>
        <v>0</v>
      </c>
      <c r="M28" s="93">
        <f t="shared" si="3"/>
        <v>0</v>
      </c>
      <c r="P28" s="93">
        <f t="shared" si="4"/>
        <v>0</v>
      </c>
      <c r="S28" s="93">
        <f t="shared" si="5"/>
        <v>0</v>
      </c>
      <c r="V28" s="93">
        <f t="shared" si="6"/>
        <v>0</v>
      </c>
      <c r="Y28" s="93">
        <f t="shared" si="7"/>
        <v>0</v>
      </c>
      <c r="AB28" s="93">
        <f t="shared" si="8"/>
        <v>0</v>
      </c>
      <c r="AE28" s="93">
        <f>(AC28*AD28)/'[12]Input Sheet'!$B$11</f>
        <v>0</v>
      </c>
      <c r="AH28" s="93">
        <f>(AF28*AG28)/'[12]Input Sheet'!$B$11</f>
        <v>0</v>
      </c>
      <c r="AI28" s="124"/>
      <c r="AJ28" s="125"/>
      <c r="AK28" s="93">
        <f t="shared" si="9"/>
        <v>0</v>
      </c>
      <c r="AN28" s="93">
        <f t="shared" si="10"/>
        <v>0</v>
      </c>
      <c r="AQ28" s="93">
        <f t="shared" si="11"/>
        <v>0</v>
      </c>
      <c r="AT28" s="93">
        <f t="shared" si="12"/>
        <v>0</v>
      </c>
      <c r="AW28" s="93">
        <f t="shared" si="13"/>
        <v>0</v>
      </c>
      <c r="AZ28" s="93">
        <f t="shared" si="14"/>
        <v>0</v>
      </c>
      <c r="BC28" s="93">
        <f t="shared" si="15"/>
        <v>0</v>
      </c>
      <c r="BF28" s="93">
        <f t="shared" si="16"/>
        <v>0</v>
      </c>
      <c r="BI28" s="93">
        <f t="shared" si="17"/>
        <v>0</v>
      </c>
      <c r="BL28" s="93">
        <f t="shared" si="18"/>
        <v>0</v>
      </c>
      <c r="BO28" s="93">
        <f t="shared" si="19"/>
        <v>0</v>
      </c>
      <c r="BR28" s="93">
        <f t="shared" si="20"/>
        <v>0</v>
      </c>
      <c r="BU28" s="93">
        <f t="shared" si="21"/>
        <v>0</v>
      </c>
      <c r="BX28" s="93">
        <f t="shared" si="22"/>
        <v>0</v>
      </c>
      <c r="CA28" s="93">
        <f t="shared" si="23"/>
        <v>0</v>
      </c>
      <c r="CD28" s="93">
        <f t="shared" si="24"/>
        <v>0</v>
      </c>
      <c r="CG28" s="93">
        <f t="shared" si="25"/>
        <v>0</v>
      </c>
      <c r="CJ28" s="93">
        <f t="shared" si="26"/>
        <v>0</v>
      </c>
      <c r="CM28" s="93">
        <f t="shared" si="27"/>
        <v>0</v>
      </c>
      <c r="CP28" s="93">
        <f t="shared" si="28"/>
        <v>0</v>
      </c>
      <c r="CS28" s="93">
        <f t="shared" si="29"/>
        <v>0</v>
      </c>
      <c r="CV28" s="93">
        <f t="shared" si="30"/>
        <v>0</v>
      </c>
      <c r="CY28" s="93">
        <f t="shared" si="31"/>
        <v>0</v>
      </c>
      <c r="DB28" s="93">
        <f t="shared" si="32"/>
        <v>0</v>
      </c>
      <c r="DE28" s="93">
        <f t="shared" si="33"/>
        <v>0</v>
      </c>
      <c r="DH28" s="93">
        <f t="shared" si="34"/>
        <v>0</v>
      </c>
      <c r="DK28" s="93">
        <f t="shared" si="35"/>
        <v>0</v>
      </c>
      <c r="DN28" s="93">
        <f t="shared" si="36"/>
        <v>0</v>
      </c>
      <c r="DQ28" s="93">
        <f t="shared" si="37"/>
        <v>0</v>
      </c>
      <c r="DT28" s="93">
        <f t="shared" si="38"/>
        <v>0</v>
      </c>
      <c r="DW28" s="93">
        <f t="shared" si="39"/>
        <v>0</v>
      </c>
      <c r="DZ28" s="93"/>
      <c r="EA28" s="93"/>
      <c r="EB28" s="126">
        <f t="shared" si="40"/>
        <v>0</v>
      </c>
      <c r="EC28" s="126">
        <f t="shared" si="41"/>
        <v>0</v>
      </c>
      <c r="ED28" s="93">
        <f t="shared" si="42"/>
        <v>0</v>
      </c>
      <c r="EE28" s="94">
        <f t="shared" si="43"/>
        <v>0</v>
      </c>
      <c r="EG28" s="126">
        <f t="shared" si="44"/>
        <v>0</v>
      </c>
      <c r="EH28" s="93">
        <f t="shared" si="45"/>
        <v>0</v>
      </c>
      <c r="EI28" s="94">
        <f t="shared" si="46"/>
        <v>0</v>
      </c>
      <c r="EJ28" s="94"/>
      <c r="EK28" s="126">
        <f t="shared" si="47"/>
        <v>0</v>
      </c>
      <c r="EL28" s="126">
        <f t="shared" si="48"/>
        <v>0</v>
      </c>
      <c r="EM28" s="126">
        <f t="shared" si="49"/>
        <v>0</v>
      </c>
      <c r="EN28" s="94">
        <f t="shared" si="50"/>
        <v>0</v>
      </c>
    </row>
    <row r="29" spans="1:144" x14ac:dyDescent="0.25">
      <c r="A29" s="39">
        <f t="shared" si="51"/>
        <v>43727</v>
      </c>
      <c r="D29" s="93">
        <f t="shared" si="0"/>
        <v>0</v>
      </c>
      <c r="G29" s="93">
        <f t="shared" si="1"/>
        <v>0</v>
      </c>
      <c r="J29" s="93">
        <f t="shared" si="2"/>
        <v>0</v>
      </c>
      <c r="M29" s="93">
        <f t="shared" si="3"/>
        <v>0</v>
      </c>
      <c r="P29" s="93">
        <f t="shared" si="4"/>
        <v>0</v>
      </c>
      <c r="S29" s="93">
        <f t="shared" si="5"/>
        <v>0</v>
      </c>
      <c r="V29" s="93">
        <f t="shared" si="6"/>
        <v>0</v>
      </c>
      <c r="Y29" s="93">
        <f t="shared" si="7"/>
        <v>0</v>
      </c>
      <c r="AB29" s="93">
        <f t="shared" si="8"/>
        <v>0</v>
      </c>
      <c r="AE29" s="93">
        <f>(AC29*AD29)/'[12]Input Sheet'!$B$11</f>
        <v>0</v>
      </c>
      <c r="AH29" s="93">
        <f>(AF29*AG29)/'[12]Input Sheet'!$B$11</f>
        <v>0</v>
      </c>
      <c r="AI29" s="124"/>
      <c r="AJ29" s="125"/>
      <c r="AK29" s="93">
        <f t="shared" si="9"/>
        <v>0</v>
      </c>
      <c r="AN29" s="93">
        <f t="shared" si="10"/>
        <v>0</v>
      </c>
      <c r="AQ29" s="93">
        <f t="shared" si="11"/>
        <v>0</v>
      </c>
      <c r="AT29" s="93">
        <f t="shared" si="12"/>
        <v>0</v>
      </c>
      <c r="AW29" s="93">
        <f t="shared" si="13"/>
        <v>0</v>
      </c>
      <c r="AZ29" s="93">
        <f t="shared" si="14"/>
        <v>0</v>
      </c>
      <c r="BC29" s="93">
        <f t="shared" si="15"/>
        <v>0</v>
      </c>
      <c r="BF29" s="93">
        <f t="shared" si="16"/>
        <v>0</v>
      </c>
      <c r="BI29" s="93">
        <f t="shared" si="17"/>
        <v>0</v>
      </c>
      <c r="BL29" s="93">
        <f t="shared" si="18"/>
        <v>0</v>
      </c>
      <c r="BO29" s="93">
        <f t="shared" si="19"/>
        <v>0</v>
      </c>
      <c r="BR29" s="93">
        <f t="shared" si="20"/>
        <v>0</v>
      </c>
      <c r="BU29" s="93">
        <f t="shared" si="21"/>
        <v>0</v>
      </c>
      <c r="BX29" s="93">
        <f t="shared" si="22"/>
        <v>0</v>
      </c>
      <c r="CA29" s="93">
        <f t="shared" si="23"/>
        <v>0</v>
      </c>
      <c r="CD29" s="93">
        <f t="shared" si="24"/>
        <v>0</v>
      </c>
      <c r="CG29" s="93">
        <f t="shared" si="25"/>
        <v>0</v>
      </c>
      <c r="CJ29" s="93">
        <f t="shared" si="26"/>
        <v>0</v>
      </c>
      <c r="CM29" s="93">
        <f t="shared" si="27"/>
        <v>0</v>
      </c>
      <c r="CP29" s="93">
        <f t="shared" si="28"/>
        <v>0</v>
      </c>
      <c r="CS29" s="93">
        <f t="shared" si="29"/>
        <v>0</v>
      </c>
      <c r="CV29" s="93">
        <f t="shared" si="30"/>
        <v>0</v>
      </c>
      <c r="CY29" s="93">
        <f t="shared" si="31"/>
        <v>0</v>
      </c>
      <c r="DB29" s="93">
        <f t="shared" si="32"/>
        <v>0</v>
      </c>
      <c r="DE29" s="93">
        <f t="shared" si="33"/>
        <v>0</v>
      </c>
      <c r="DH29" s="93">
        <f t="shared" si="34"/>
        <v>0</v>
      </c>
      <c r="DK29" s="93">
        <f t="shared" si="35"/>
        <v>0</v>
      </c>
      <c r="DN29" s="93">
        <f t="shared" si="36"/>
        <v>0</v>
      </c>
      <c r="DQ29" s="93">
        <f t="shared" si="37"/>
        <v>0</v>
      </c>
      <c r="DT29" s="93">
        <f t="shared" si="38"/>
        <v>0</v>
      </c>
      <c r="DW29" s="93">
        <f t="shared" si="39"/>
        <v>0</v>
      </c>
      <c r="DZ29" s="93"/>
      <c r="EA29" s="93"/>
      <c r="EB29" s="126">
        <f t="shared" si="40"/>
        <v>0</v>
      </c>
      <c r="EC29" s="126">
        <f t="shared" si="41"/>
        <v>0</v>
      </c>
      <c r="ED29" s="93">
        <f t="shared" si="42"/>
        <v>0</v>
      </c>
      <c r="EE29" s="94">
        <f t="shared" si="43"/>
        <v>0</v>
      </c>
      <c r="EG29" s="126">
        <f t="shared" si="44"/>
        <v>0</v>
      </c>
      <c r="EH29" s="93">
        <f t="shared" si="45"/>
        <v>0</v>
      </c>
      <c r="EI29" s="94">
        <f t="shared" si="46"/>
        <v>0</v>
      </c>
      <c r="EJ29" s="94"/>
      <c r="EK29" s="126">
        <f t="shared" si="47"/>
        <v>0</v>
      </c>
      <c r="EL29" s="126">
        <f t="shared" si="48"/>
        <v>0</v>
      </c>
      <c r="EM29" s="126">
        <f t="shared" si="49"/>
        <v>0</v>
      </c>
      <c r="EN29" s="94">
        <f t="shared" si="50"/>
        <v>0</v>
      </c>
    </row>
    <row r="30" spans="1:144" x14ac:dyDescent="0.25">
      <c r="A30" s="39">
        <f t="shared" si="51"/>
        <v>43728</v>
      </c>
      <c r="D30" s="93">
        <f t="shared" si="0"/>
        <v>0</v>
      </c>
      <c r="G30" s="93">
        <f t="shared" si="1"/>
        <v>0</v>
      </c>
      <c r="J30" s="93">
        <f t="shared" si="2"/>
        <v>0</v>
      </c>
      <c r="M30" s="93">
        <f t="shared" si="3"/>
        <v>0</v>
      </c>
      <c r="P30" s="93">
        <f t="shared" si="4"/>
        <v>0</v>
      </c>
      <c r="S30" s="93">
        <f t="shared" si="5"/>
        <v>0</v>
      </c>
      <c r="V30" s="93">
        <f t="shared" si="6"/>
        <v>0</v>
      </c>
      <c r="Y30" s="93">
        <f t="shared" si="7"/>
        <v>0</v>
      </c>
      <c r="AB30" s="93">
        <f t="shared" si="8"/>
        <v>0</v>
      </c>
      <c r="AE30" s="93">
        <f>(AC30*AD30)/'[12]Input Sheet'!$B$11</f>
        <v>0</v>
      </c>
      <c r="AH30" s="93">
        <f>(AF30*AG30)/'[12]Input Sheet'!$B$11</f>
        <v>0</v>
      </c>
      <c r="AI30" s="124">
        <f>100000000+45950000</f>
        <v>145950000</v>
      </c>
      <c r="AJ30" s="125">
        <v>2.2499999999999999E-2</v>
      </c>
      <c r="AK30" s="93">
        <f t="shared" si="9"/>
        <v>9121.875</v>
      </c>
      <c r="AN30" s="93">
        <f t="shared" si="10"/>
        <v>0</v>
      </c>
      <c r="AQ30" s="93">
        <f t="shared" si="11"/>
        <v>0</v>
      </c>
      <c r="AT30" s="93">
        <f t="shared" si="12"/>
        <v>0</v>
      </c>
      <c r="AW30" s="93">
        <f t="shared" si="13"/>
        <v>0</v>
      </c>
      <c r="AZ30" s="93">
        <f t="shared" si="14"/>
        <v>0</v>
      </c>
      <c r="BC30" s="93">
        <f t="shared" si="15"/>
        <v>0</v>
      </c>
      <c r="BF30" s="93">
        <f t="shared" si="16"/>
        <v>0</v>
      </c>
      <c r="BI30" s="93">
        <f t="shared" si="17"/>
        <v>0</v>
      </c>
      <c r="BL30" s="93">
        <f t="shared" si="18"/>
        <v>0</v>
      </c>
      <c r="BO30" s="93">
        <f t="shared" si="19"/>
        <v>0</v>
      </c>
      <c r="BR30" s="93">
        <f t="shared" si="20"/>
        <v>0</v>
      </c>
      <c r="BU30" s="93">
        <f t="shared" si="21"/>
        <v>0</v>
      </c>
      <c r="BX30" s="93">
        <f t="shared" si="22"/>
        <v>0</v>
      </c>
      <c r="CA30" s="93">
        <f t="shared" si="23"/>
        <v>0</v>
      </c>
      <c r="CD30" s="93">
        <f t="shared" si="24"/>
        <v>0</v>
      </c>
      <c r="CG30" s="93">
        <f t="shared" si="25"/>
        <v>0</v>
      </c>
      <c r="CJ30" s="93">
        <f t="shared" si="26"/>
        <v>0</v>
      </c>
      <c r="CM30" s="93">
        <f t="shared" si="27"/>
        <v>0</v>
      </c>
      <c r="CP30" s="93">
        <f t="shared" si="28"/>
        <v>0</v>
      </c>
      <c r="CS30" s="93">
        <f t="shared" si="29"/>
        <v>0</v>
      </c>
      <c r="CV30" s="93">
        <f t="shared" si="30"/>
        <v>0</v>
      </c>
      <c r="CY30" s="93">
        <f t="shared" si="31"/>
        <v>0</v>
      </c>
      <c r="DB30" s="93">
        <f t="shared" si="32"/>
        <v>0</v>
      </c>
      <c r="DE30" s="93">
        <f t="shared" si="33"/>
        <v>0</v>
      </c>
      <c r="DH30" s="93">
        <f t="shared" si="34"/>
        <v>0</v>
      </c>
      <c r="DK30" s="93">
        <f t="shared" si="35"/>
        <v>0</v>
      </c>
      <c r="DN30" s="93">
        <f t="shared" si="36"/>
        <v>0</v>
      </c>
      <c r="DQ30" s="93">
        <f t="shared" si="37"/>
        <v>0</v>
      </c>
      <c r="DT30" s="93">
        <f t="shared" si="38"/>
        <v>0</v>
      </c>
      <c r="DW30" s="93">
        <f t="shared" si="39"/>
        <v>0</v>
      </c>
      <c r="DZ30" s="93"/>
      <c r="EA30" s="93"/>
      <c r="EB30" s="126">
        <f t="shared" si="40"/>
        <v>145950000</v>
      </c>
      <c r="EC30" s="126">
        <f t="shared" si="41"/>
        <v>0</v>
      </c>
      <c r="ED30" s="93">
        <f t="shared" si="42"/>
        <v>9121.875</v>
      </c>
      <c r="EE30" s="94">
        <f t="shared" si="43"/>
        <v>2.2499999999999999E-2</v>
      </c>
      <c r="EG30" s="126">
        <f t="shared" si="44"/>
        <v>0</v>
      </c>
      <c r="EH30" s="93">
        <f t="shared" si="45"/>
        <v>0</v>
      </c>
      <c r="EI30" s="94">
        <f t="shared" si="46"/>
        <v>0</v>
      </c>
      <c r="EJ30" s="94"/>
      <c r="EK30" s="126">
        <f t="shared" si="47"/>
        <v>145950000</v>
      </c>
      <c r="EL30" s="126">
        <f t="shared" si="48"/>
        <v>0</v>
      </c>
      <c r="EM30" s="126">
        <f t="shared" si="49"/>
        <v>9121.875</v>
      </c>
      <c r="EN30" s="94">
        <f t="shared" si="50"/>
        <v>2.2499999999999999E-2</v>
      </c>
    </row>
    <row r="31" spans="1:144" x14ac:dyDescent="0.25">
      <c r="A31" s="39">
        <f t="shared" si="51"/>
        <v>43729</v>
      </c>
      <c r="D31" s="93">
        <f t="shared" si="0"/>
        <v>0</v>
      </c>
      <c r="G31" s="93">
        <f t="shared" si="1"/>
        <v>0</v>
      </c>
      <c r="J31" s="93">
        <f t="shared" si="2"/>
        <v>0</v>
      </c>
      <c r="M31" s="93">
        <f t="shared" si="3"/>
        <v>0</v>
      </c>
      <c r="P31" s="93">
        <f t="shared" si="4"/>
        <v>0</v>
      </c>
      <c r="S31" s="93">
        <f t="shared" si="5"/>
        <v>0</v>
      </c>
      <c r="V31" s="93">
        <f t="shared" si="6"/>
        <v>0</v>
      </c>
      <c r="Y31" s="93">
        <f t="shared" si="7"/>
        <v>0</v>
      </c>
      <c r="AB31" s="93">
        <f t="shared" si="8"/>
        <v>0</v>
      </c>
      <c r="AE31" s="93">
        <f>(AC31*AD31)/'[12]Input Sheet'!$B$11</f>
        <v>0</v>
      </c>
      <c r="AH31" s="93">
        <f>(AF31*AG31)/'[12]Input Sheet'!$B$11</f>
        <v>0</v>
      </c>
      <c r="AI31" s="124">
        <f>100000000+45950000</f>
        <v>145950000</v>
      </c>
      <c r="AJ31" s="125">
        <v>2.2499999999999999E-2</v>
      </c>
      <c r="AK31" s="93">
        <f t="shared" si="9"/>
        <v>9121.875</v>
      </c>
      <c r="AN31" s="93">
        <f t="shared" si="10"/>
        <v>0</v>
      </c>
      <c r="AQ31" s="93">
        <f t="shared" si="11"/>
        <v>0</v>
      </c>
      <c r="AT31" s="93">
        <f t="shared" si="12"/>
        <v>0</v>
      </c>
      <c r="AW31" s="93">
        <f t="shared" si="13"/>
        <v>0</v>
      </c>
      <c r="AZ31" s="93">
        <f t="shared" si="14"/>
        <v>0</v>
      </c>
      <c r="BC31" s="93">
        <f t="shared" si="15"/>
        <v>0</v>
      </c>
      <c r="BF31" s="93">
        <f t="shared" si="16"/>
        <v>0</v>
      </c>
      <c r="BI31" s="93">
        <f t="shared" si="17"/>
        <v>0</v>
      </c>
      <c r="BL31" s="93">
        <f t="shared" si="18"/>
        <v>0</v>
      </c>
      <c r="BO31" s="93">
        <f t="shared" si="19"/>
        <v>0</v>
      </c>
      <c r="BR31" s="93">
        <f t="shared" si="20"/>
        <v>0</v>
      </c>
      <c r="BU31" s="93">
        <f t="shared" si="21"/>
        <v>0</v>
      </c>
      <c r="BX31" s="93">
        <f t="shared" si="22"/>
        <v>0</v>
      </c>
      <c r="CA31" s="93">
        <f t="shared" si="23"/>
        <v>0</v>
      </c>
      <c r="CD31" s="93">
        <f t="shared" si="24"/>
        <v>0</v>
      </c>
      <c r="CG31" s="93">
        <f t="shared" si="25"/>
        <v>0</v>
      </c>
      <c r="CJ31" s="93">
        <f t="shared" si="26"/>
        <v>0</v>
      </c>
      <c r="CM31" s="93">
        <f t="shared" si="27"/>
        <v>0</v>
      </c>
      <c r="CP31" s="93">
        <f t="shared" si="28"/>
        <v>0</v>
      </c>
      <c r="CS31" s="93">
        <f t="shared" si="29"/>
        <v>0</v>
      </c>
      <c r="CV31" s="93">
        <f t="shared" si="30"/>
        <v>0</v>
      </c>
      <c r="CY31" s="93">
        <f t="shared" si="31"/>
        <v>0</v>
      </c>
      <c r="DB31" s="93">
        <f t="shared" si="32"/>
        <v>0</v>
      </c>
      <c r="DE31" s="93">
        <f t="shared" si="33"/>
        <v>0</v>
      </c>
      <c r="DH31" s="93">
        <f t="shared" si="34"/>
        <v>0</v>
      </c>
      <c r="DK31" s="93">
        <f t="shared" si="35"/>
        <v>0</v>
      </c>
      <c r="DN31" s="93">
        <f t="shared" si="36"/>
        <v>0</v>
      </c>
      <c r="DQ31" s="93">
        <f t="shared" si="37"/>
        <v>0</v>
      </c>
      <c r="DT31" s="93">
        <f t="shared" si="38"/>
        <v>0</v>
      </c>
      <c r="DW31" s="93">
        <f t="shared" si="39"/>
        <v>0</v>
      </c>
      <c r="DZ31" s="93"/>
      <c r="EA31" s="93"/>
      <c r="EB31" s="126">
        <f t="shared" si="40"/>
        <v>145950000</v>
      </c>
      <c r="EC31" s="126">
        <f t="shared" si="41"/>
        <v>0</v>
      </c>
      <c r="ED31" s="93">
        <f t="shared" si="42"/>
        <v>9121.875</v>
      </c>
      <c r="EE31" s="94">
        <f t="shared" si="43"/>
        <v>2.2499999999999999E-2</v>
      </c>
      <c r="EG31" s="126">
        <f t="shared" si="44"/>
        <v>0</v>
      </c>
      <c r="EH31" s="93">
        <f t="shared" si="45"/>
        <v>0</v>
      </c>
      <c r="EI31" s="94">
        <f t="shared" si="46"/>
        <v>0</v>
      </c>
      <c r="EJ31" s="94"/>
      <c r="EK31" s="126">
        <f t="shared" si="47"/>
        <v>145950000</v>
      </c>
      <c r="EL31" s="126">
        <f t="shared" si="48"/>
        <v>0</v>
      </c>
      <c r="EM31" s="126">
        <f t="shared" si="49"/>
        <v>9121.875</v>
      </c>
      <c r="EN31" s="94">
        <f t="shared" si="50"/>
        <v>2.2499999999999999E-2</v>
      </c>
    </row>
    <row r="32" spans="1:144" x14ac:dyDescent="0.25">
      <c r="A32" s="39">
        <f t="shared" si="51"/>
        <v>43730</v>
      </c>
      <c r="D32" s="93">
        <f t="shared" si="0"/>
        <v>0</v>
      </c>
      <c r="G32" s="93">
        <f t="shared" si="1"/>
        <v>0</v>
      </c>
      <c r="J32" s="93">
        <f t="shared" si="2"/>
        <v>0</v>
      </c>
      <c r="M32" s="93">
        <f t="shared" si="3"/>
        <v>0</v>
      </c>
      <c r="P32" s="93">
        <f t="shared" si="4"/>
        <v>0</v>
      </c>
      <c r="S32" s="93">
        <f t="shared" si="5"/>
        <v>0</v>
      </c>
      <c r="V32" s="93">
        <f t="shared" si="6"/>
        <v>0</v>
      </c>
      <c r="Y32" s="93">
        <f t="shared" si="7"/>
        <v>0</v>
      </c>
      <c r="AB32" s="93">
        <f t="shared" si="8"/>
        <v>0</v>
      </c>
      <c r="AE32" s="93">
        <f>(AC32*AD32)/'[12]Input Sheet'!$B$11</f>
        <v>0</v>
      </c>
      <c r="AH32" s="93">
        <f>(AF32*AG32)/'[12]Input Sheet'!$B$11</f>
        <v>0</v>
      </c>
      <c r="AI32" s="124">
        <f>100000000+45950000</f>
        <v>145950000</v>
      </c>
      <c r="AJ32" s="125">
        <v>2.2499999999999999E-2</v>
      </c>
      <c r="AK32" s="93">
        <f t="shared" si="9"/>
        <v>9121.875</v>
      </c>
      <c r="AN32" s="93">
        <f t="shared" si="10"/>
        <v>0</v>
      </c>
      <c r="AQ32" s="93">
        <f t="shared" si="11"/>
        <v>0</v>
      </c>
      <c r="AT32" s="93">
        <f t="shared" si="12"/>
        <v>0</v>
      </c>
      <c r="AW32" s="93">
        <f t="shared" si="13"/>
        <v>0</v>
      </c>
      <c r="AZ32" s="93">
        <f t="shared" si="14"/>
        <v>0</v>
      </c>
      <c r="BC32" s="93">
        <f t="shared" si="15"/>
        <v>0</v>
      </c>
      <c r="BF32" s="93">
        <f t="shared" si="16"/>
        <v>0</v>
      </c>
      <c r="BI32" s="93">
        <f t="shared" si="17"/>
        <v>0</v>
      </c>
      <c r="BL32" s="93">
        <f t="shared" si="18"/>
        <v>0</v>
      </c>
      <c r="BO32" s="93">
        <f t="shared" si="19"/>
        <v>0</v>
      </c>
      <c r="BR32" s="93">
        <f t="shared" si="20"/>
        <v>0</v>
      </c>
      <c r="BU32" s="93">
        <f t="shared" si="21"/>
        <v>0</v>
      </c>
      <c r="BX32" s="93">
        <f t="shared" si="22"/>
        <v>0</v>
      </c>
      <c r="CA32" s="93">
        <f t="shared" si="23"/>
        <v>0</v>
      </c>
      <c r="CD32" s="93">
        <f t="shared" si="24"/>
        <v>0</v>
      </c>
      <c r="CG32" s="93">
        <f t="shared" si="25"/>
        <v>0</v>
      </c>
      <c r="CJ32" s="93">
        <f t="shared" si="26"/>
        <v>0</v>
      </c>
      <c r="CM32" s="93">
        <f t="shared" si="27"/>
        <v>0</v>
      </c>
      <c r="CP32" s="93">
        <f t="shared" si="28"/>
        <v>0</v>
      </c>
      <c r="CS32" s="93">
        <f t="shared" si="29"/>
        <v>0</v>
      </c>
      <c r="CV32" s="93">
        <f t="shared" si="30"/>
        <v>0</v>
      </c>
      <c r="CY32" s="93">
        <f t="shared" si="31"/>
        <v>0</v>
      </c>
      <c r="DB32" s="93">
        <f t="shared" si="32"/>
        <v>0</v>
      </c>
      <c r="DE32" s="93">
        <f t="shared" si="33"/>
        <v>0</v>
      </c>
      <c r="DH32" s="93">
        <f t="shared" si="34"/>
        <v>0</v>
      </c>
      <c r="DK32" s="93">
        <f t="shared" si="35"/>
        <v>0</v>
      </c>
      <c r="DN32" s="93">
        <f t="shared" si="36"/>
        <v>0</v>
      </c>
      <c r="DQ32" s="93">
        <f t="shared" si="37"/>
        <v>0</v>
      </c>
      <c r="DT32" s="93">
        <f t="shared" si="38"/>
        <v>0</v>
      </c>
      <c r="DW32" s="93">
        <f t="shared" si="39"/>
        <v>0</v>
      </c>
      <c r="DZ32" s="93"/>
      <c r="EA32" s="93"/>
      <c r="EB32" s="126">
        <f t="shared" si="40"/>
        <v>145950000</v>
      </c>
      <c r="EC32" s="126">
        <f t="shared" si="41"/>
        <v>0</v>
      </c>
      <c r="ED32" s="93">
        <f t="shared" si="42"/>
        <v>9121.875</v>
      </c>
      <c r="EE32" s="94">
        <f t="shared" si="43"/>
        <v>2.2499999999999999E-2</v>
      </c>
      <c r="EG32" s="126">
        <f t="shared" si="44"/>
        <v>0</v>
      </c>
      <c r="EH32" s="93">
        <f t="shared" si="45"/>
        <v>0</v>
      </c>
      <c r="EI32" s="94">
        <f t="shared" si="46"/>
        <v>0</v>
      </c>
      <c r="EJ32" s="94"/>
      <c r="EK32" s="126">
        <f t="shared" si="47"/>
        <v>145950000</v>
      </c>
      <c r="EL32" s="126">
        <f t="shared" si="48"/>
        <v>0</v>
      </c>
      <c r="EM32" s="126">
        <f t="shared" si="49"/>
        <v>9121.875</v>
      </c>
      <c r="EN32" s="94">
        <f t="shared" si="50"/>
        <v>2.2499999999999999E-2</v>
      </c>
    </row>
    <row r="33" spans="1:144" x14ac:dyDescent="0.25">
      <c r="A33" s="39">
        <f t="shared" si="51"/>
        <v>43731</v>
      </c>
      <c r="D33" s="93">
        <f t="shared" si="0"/>
        <v>0</v>
      </c>
      <c r="G33" s="93">
        <f t="shared" si="1"/>
        <v>0</v>
      </c>
      <c r="J33" s="93">
        <f t="shared" si="2"/>
        <v>0</v>
      </c>
      <c r="M33" s="93">
        <f t="shared" si="3"/>
        <v>0</v>
      </c>
      <c r="P33" s="93">
        <f t="shared" si="4"/>
        <v>0</v>
      </c>
      <c r="S33" s="93">
        <f t="shared" si="5"/>
        <v>0</v>
      </c>
      <c r="V33" s="93">
        <f t="shared" si="6"/>
        <v>0</v>
      </c>
      <c r="Y33" s="93">
        <f t="shared" si="7"/>
        <v>0</v>
      </c>
      <c r="AB33" s="93">
        <f t="shared" si="8"/>
        <v>0</v>
      </c>
      <c r="AE33" s="93">
        <f>(AC33*AD33)/'[12]Input Sheet'!$B$11</f>
        <v>0</v>
      </c>
      <c r="AH33" s="93">
        <f>(AF33*AG33)/'[12]Input Sheet'!$B$11</f>
        <v>0</v>
      </c>
      <c r="AI33" s="124">
        <f>100100000+46100000</f>
        <v>146200000</v>
      </c>
      <c r="AJ33" s="125">
        <v>2.2200000000000001E-2</v>
      </c>
      <c r="AK33" s="93">
        <f t="shared" si="9"/>
        <v>9015.6666666666661</v>
      </c>
      <c r="AN33" s="93">
        <f t="shared" si="10"/>
        <v>0</v>
      </c>
      <c r="AQ33" s="93">
        <f t="shared" si="11"/>
        <v>0</v>
      </c>
      <c r="AT33" s="93">
        <f t="shared" si="12"/>
        <v>0</v>
      </c>
      <c r="AW33" s="93">
        <f t="shared" si="13"/>
        <v>0</v>
      </c>
      <c r="AZ33" s="93">
        <f t="shared" si="14"/>
        <v>0</v>
      </c>
      <c r="BC33" s="93">
        <f t="shared" si="15"/>
        <v>0</v>
      </c>
      <c r="BF33" s="93">
        <f t="shared" si="16"/>
        <v>0</v>
      </c>
      <c r="BI33" s="93">
        <f t="shared" si="17"/>
        <v>0</v>
      </c>
      <c r="BL33" s="93">
        <f t="shared" si="18"/>
        <v>0</v>
      </c>
      <c r="BO33" s="93">
        <f t="shared" si="19"/>
        <v>0</v>
      </c>
      <c r="BR33" s="93">
        <f t="shared" si="20"/>
        <v>0</v>
      </c>
      <c r="BU33" s="93">
        <f t="shared" si="21"/>
        <v>0</v>
      </c>
      <c r="BX33" s="93">
        <f t="shared" si="22"/>
        <v>0</v>
      </c>
      <c r="CA33" s="93">
        <f t="shared" si="23"/>
        <v>0</v>
      </c>
      <c r="CD33" s="93">
        <f t="shared" si="24"/>
        <v>0</v>
      </c>
      <c r="CG33" s="93">
        <f t="shared" si="25"/>
        <v>0</v>
      </c>
      <c r="CJ33" s="93">
        <f t="shared" si="26"/>
        <v>0</v>
      </c>
      <c r="CM33" s="93">
        <f t="shared" si="27"/>
        <v>0</v>
      </c>
      <c r="CP33" s="93">
        <f t="shared" si="28"/>
        <v>0</v>
      </c>
      <c r="CS33" s="93">
        <f t="shared" si="29"/>
        <v>0</v>
      </c>
      <c r="CV33" s="93">
        <f t="shared" si="30"/>
        <v>0</v>
      </c>
      <c r="CY33" s="93">
        <f t="shared" si="31"/>
        <v>0</v>
      </c>
      <c r="DB33" s="93">
        <f t="shared" si="32"/>
        <v>0</v>
      </c>
      <c r="DE33" s="93">
        <f t="shared" si="33"/>
        <v>0</v>
      </c>
      <c r="DH33" s="93">
        <f t="shared" si="34"/>
        <v>0</v>
      </c>
      <c r="DK33" s="93">
        <f t="shared" si="35"/>
        <v>0</v>
      </c>
      <c r="DN33" s="93">
        <f t="shared" si="36"/>
        <v>0</v>
      </c>
      <c r="DQ33" s="93">
        <f t="shared" si="37"/>
        <v>0</v>
      </c>
      <c r="DT33" s="93">
        <f t="shared" si="38"/>
        <v>0</v>
      </c>
      <c r="DW33" s="93">
        <f t="shared" si="39"/>
        <v>0</v>
      </c>
      <c r="DZ33" s="93"/>
      <c r="EA33" s="93"/>
      <c r="EB33" s="126">
        <f t="shared" si="40"/>
        <v>146200000</v>
      </c>
      <c r="EC33" s="126">
        <f t="shared" si="41"/>
        <v>0</v>
      </c>
      <c r="ED33" s="93">
        <f t="shared" si="42"/>
        <v>9015.6666666666661</v>
      </c>
      <c r="EE33" s="94">
        <f t="shared" si="43"/>
        <v>2.2199999999999998E-2</v>
      </c>
      <c r="EG33" s="126">
        <f t="shared" si="44"/>
        <v>0</v>
      </c>
      <c r="EH33" s="93">
        <f t="shared" si="45"/>
        <v>0</v>
      </c>
      <c r="EI33" s="94">
        <f t="shared" si="46"/>
        <v>0</v>
      </c>
      <c r="EJ33" s="94"/>
      <c r="EK33" s="126">
        <f t="shared" si="47"/>
        <v>146200000</v>
      </c>
      <c r="EL33" s="126">
        <f t="shared" si="48"/>
        <v>0</v>
      </c>
      <c r="EM33" s="126">
        <f t="shared" si="49"/>
        <v>9015.6666666666661</v>
      </c>
      <c r="EN33" s="94">
        <f t="shared" si="50"/>
        <v>2.2199999999999998E-2</v>
      </c>
    </row>
    <row r="34" spans="1:144" x14ac:dyDescent="0.25">
      <c r="A34" s="39">
        <f t="shared" si="51"/>
        <v>43732</v>
      </c>
      <c r="D34" s="93">
        <f t="shared" si="0"/>
        <v>0</v>
      </c>
      <c r="G34" s="93">
        <f t="shared" si="1"/>
        <v>0</v>
      </c>
      <c r="J34" s="93">
        <f t="shared" si="2"/>
        <v>0</v>
      </c>
      <c r="M34" s="93">
        <f t="shared" si="3"/>
        <v>0</v>
      </c>
      <c r="P34" s="93">
        <f t="shared" si="4"/>
        <v>0</v>
      </c>
      <c r="S34" s="93">
        <f t="shared" si="5"/>
        <v>0</v>
      </c>
      <c r="V34" s="93">
        <f t="shared" si="6"/>
        <v>0</v>
      </c>
      <c r="Y34" s="93">
        <f t="shared" si="7"/>
        <v>0</v>
      </c>
      <c r="AB34" s="93">
        <f t="shared" si="8"/>
        <v>0</v>
      </c>
      <c r="AE34" s="93">
        <f>(AC34*AD34)/'[12]Input Sheet'!$B$11</f>
        <v>0</v>
      </c>
      <c r="AH34" s="93">
        <f>(AF34*AG34)/'[12]Input Sheet'!$B$11</f>
        <v>0</v>
      </c>
      <c r="AI34" s="124">
        <f>100000000+28800000</f>
        <v>128800000</v>
      </c>
      <c r="AJ34" s="125">
        <v>2.1999999999999999E-2</v>
      </c>
      <c r="AK34" s="93">
        <f t="shared" si="9"/>
        <v>7871.1111111111113</v>
      </c>
      <c r="AN34" s="93">
        <f t="shared" si="10"/>
        <v>0</v>
      </c>
      <c r="AQ34" s="93">
        <f t="shared" si="11"/>
        <v>0</v>
      </c>
      <c r="AT34" s="93">
        <f t="shared" si="12"/>
        <v>0</v>
      </c>
      <c r="AW34" s="93">
        <f t="shared" si="13"/>
        <v>0</v>
      </c>
      <c r="AZ34" s="93">
        <f t="shared" si="14"/>
        <v>0</v>
      </c>
      <c r="BC34" s="93">
        <f t="shared" si="15"/>
        <v>0</v>
      </c>
      <c r="BF34" s="93">
        <f t="shared" si="16"/>
        <v>0</v>
      </c>
      <c r="BI34" s="93">
        <f t="shared" si="17"/>
        <v>0</v>
      </c>
      <c r="BL34" s="93">
        <f t="shared" si="18"/>
        <v>0</v>
      </c>
      <c r="BO34" s="93">
        <f t="shared" si="19"/>
        <v>0</v>
      </c>
      <c r="BR34" s="93">
        <f t="shared" si="20"/>
        <v>0</v>
      </c>
      <c r="BU34" s="93">
        <f t="shared" si="21"/>
        <v>0</v>
      </c>
      <c r="BX34" s="93">
        <f t="shared" si="22"/>
        <v>0</v>
      </c>
      <c r="CA34" s="93">
        <f t="shared" si="23"/>
        <v>0</v>
      </c>
      <c r="CD34" s="93">
        <f t="shared" si="24"/>
        <v>0</v>
      </c>
      <c r="CG34" s="93">
        <f t="shared" si="25"/>
        <v>0</v>
      </c>
      <c r="CJ34" s="93">
        <f t="shared" si="26"/>
        <v>0</v>
      </c>
      <c r="CM34" s="93">
        <f t="shared" si="27"/>
        <v>0</v>
      </c>
      <c r="CP34" s="93">
        <f t="shared" si="28"/>
        <v>0</v>
      </c>
      <c r="CS34" s="93">
        <f t="shared" si="29"/>
        <v>0</v>
      </c>
      <c r="CV34" s="93">
        <f t="shared" si="30"/>
        <v>0</v>
      </c>
      <c r="CY34" s="93">
        <f t="shared" si="31"/>
        <v>0</v>
      </c>
      <c r="DB34" s="93">
        <f t="shared" si="32"/>
        <v>0</v>
      </c>
      <c r="DE34" s="93">
        <f t="shared" si="33"/>
        <v>0</v>
      </c>
      <c r="DH34" s="93">
        <f t="shared" si="34"/>
        <v>0</v>
      </c>
      <c r="DK34" s="93">
        <f t="shared" si="35"/>
        <v>0</v>
      </c>
      <c r="DN34" s="93">
        <f t="shared" si="36"/>
        <v>0</v>
      </c>
      <c r="DQ34" s="93">
        <f t="shared" si="37"/>
        <v>0</v>
      </c>
      <c r="DT34" s="93">
        <f t="shared" si="38"/>
        <v>0</v>
      </c>
      <c r="DW34" s="93">
        <f t="shared" si="39"/>
        <v>0</v>
      </c>
      <c r="DZ34" s="93"/>
      <c r="EA34" s="93"/>
      <c r="EB34" s="126">
        <f t="shared" si="40"/>
        <v>128800000</v>
      </c>
      <c r="EC34" s="126">
        <f t="shared" si="41"/>
        <v>0</v>
      </c>
      <c r="ED34" s="93">
        <f t="shared" si="42"/>
        <v>7871.1111111111113</v>
      </c>
      <c r="EE34" s="94">
        <f t="shared" si="43"/>
        <v>2.1999999999999999E-2</v>
      </c>
      <c r="EG34" s="126">
        <f t="shared" si="44"/>
        <v>0</v>
      </c>
      <c r="EH34" s="93">
        <f t="shared" si="45"/>
        <v>0</v>
      </c>
      <c r="EI34" s="94">
        <f t="shared" si="46"/>
        <v>0</v>
      </c>
      <c r="EJ34" s="94"/>
      <c r="EK34" s="126">
        <f t="shared" si="47"/>
        <v>128800000</v>
      </c>
      <c r="EL34" s="126">
        <f t="shared" si="48"/>
        <v>0</v>
      </c>
      <c r="EM34" s="126">
        <f t="shared" si="49"/>
        <v>7871.1111111111113</v>
      </c>
      <c r="EN34" s="94">
        <f t="shared" si="50"/>
        <v>2.1999999999999999E-2</v>
      </c>
    </row>
    <row r="35" spans="1:144" x14ac:dyDescent="0.25">
      <c r="A35" s="39">
        <f t="shared" si="51"/>
        <v>43733</v>
      </c>
      <c r="D35" s="93">
        <f t="shared" si="0"/>
        <v>0</v>
      </c>
      <c r="G35" s="93">
        <f t="shared" si="1"/>
        <v>0</v>
      </c>
      <c r="J35" s="93">
        <f t="shared" si="2"/>
        <v>0</v>
      </c>
      <c r="M35" s="93">
        <f t="shared" si="3"/>
        <v>0</v>
      </c>
      <c r="P35" s="93">
        <f t="shared" si="4"/>
        <v>0</v>
      </c>
      <c r="S35" s="93">
        <f t="shared" si="5"/>
        <v>0</v>
      </c>
      <c r="V35" s="93">
        <f t="shared" si="6"/>
        <v>0</v>
      </c>
      <c r="Y35" s="93">
        <f t="shared" si="7"/>
        <v>0</v>
      </c>
      <c r="AB35" s="93">
        <f t="shared" si="8"/>
        <v>0</v>
      </c>
      <c r="AE35" s="93">
        <f>(AC35*AD35)/'[12]Input Sheet'!$B$11</f>
        <v>0</v>
      </c>
      <c r="AH35" s="93">
        <f>(AF35*AG35)/'[12]Input Sheet'!$B$11</f>
        <v>0</v>
      </c>
      <c r="AI35" s="124">
        <f>100000000+14075000</f>
        <v>114075000</v>
      </c>
      <c r="AJ35" s="125">
        <v>2.1999999999999999E-2</v>
      </c>
      <c r="AK35" s="93">
        <f t="shared" si="9"/>
        <v>6971.25</v>
      </c>
      <c r="AN35" s="93">
        <f t="shared" si="10"/>
        <v>0</v>
      </c>
      <c r="AQ35" s="93">
        <f t="shared" si="11"/>
        <v>0</v>
      </c>
      <c r="AT35" s="93">
        <f t="shared" si="12"/>
        <v>0</v>
      </c>
      <c r="AW35" s="93">
        <f t="shared" si="13"/>
        <v>0</v>
      </c>
      <c r="AZ35" s="93">
        <f t="shared" si="14"/>
        <v>0</v>
      </c>
      <c r="BC35" s="93">
        <f t="shared" si="15"/>
        <v>0</v>
      </c>
      <c r="BF35" s="93">
        <f t="shared" si="16"/>
        <v>0</v>
      </c>
      <c r="BI35" s="93">
        <f t="shared" si="17"/>
        <v>0</v>
      </c>
      <c r="BL35" s="93">
        <f t="shared" si="18"/>
        <v>0</v>
      </c>
      <c r="BO35" s="93">
        <f t="shared" si="19"/>
        <v>0</v>
      </c>
      <c r="BR35" s="93">
        <f t="shared" si="20"/>
        <v>0</v>
      </c>
      <c r="BU35" s="93">
        <f t="shared" si="21"/>
        <v>0</v>
      </c>
      <c r="BX35" s="93">
        <f t="shared" si="22"/>
        <v>0</v>
      </c>
      <c r="CA35" s="93">
        <f t="shared" si="23"/>
        <v>0</v>
      </c>
      <c r="CD35" s="93">
        <f t="shared" si="24"/>
        <v>0</v>
      </c>
      <c r="CG35" s="93">
        <f t="shared" si="25"/>
        <v>0</v>
      </c>
      <c r="CJ35" s="93">
        <f t="shared" si="26"/>
        <v>0</v>
      </c>
      <c r="CM35" s="93">
        <f t="shared" si="27"/>
        <v>0</v>
      </c>
      <c r="CP35" s="93">
        <f t="shared" si="28"/>
        <v>0</v>
      </c>
      <c r="CS35" s="93">
        <f t="shared" si="29"/>
        <v>0</v>
      </c>
      <c r="CV35" s="93">
        <f t="shared" si="30"/>
        <v>0</v>
      </c>
      <c r="CY35" s="93">
        <f t="shared" si="31"/>
        <v>0</v>
      </c>
      <c r="DB35" s="93">
        <f t="shared" si="32"/>
        <v>0</v>
      </c>
      <c r="DE35" s="93">
        <f t="shared" si="33"/>
        <v>0</v>
      </c>
      <c r="DH35" s="93">
        <f t="shared" si="34"/>
        <v>0</v>
      </c>
      <c r="DK35" s="93">
        <f t="shared" si="35"/>
        <v>0</v>
      </c>
      <c r="DN35" s="93">
        <f t="shared" si="36"/>
        <v>0</v>
      </c>
      <c r="DQ35" s="93">
        <f t="shared" si="37"/>
        <v>0</v>
      </c>
      <c r="DT35" s="93">
        <f t="shared" si="38"/>
        <v>0</v>
      </c>
      <c r="DW35" s="93">
        <f t="shared" si="39"/>
        <v>0</v>
      </c>
      <c r="DZ35" s="93"/>
      <c r="EA35" s="93"/>
      <c r="EB35" s="126">
        <f t="shared" si="40"/>
        <v>114075000</v>
      </c>
      <c r="EC35" s="126">
        <f t="shared" si="41"/>
        <v>0</v>
      </c>
      <c r="ED35" s="93">
        <f t="shared" si="42"/>
        <v>6971.25</v>
      </c>
      <c r="EE35" s="94">
        <f t="shared" si="43"/>
        <v>2.1999999999999999E-2</v>
      </c>
      <c r="EG35" s="126">
        <f t="shared" si="44"/>
        <v>0</v>
      </c>
      <c r="EH35" s="93">
        <f t="shared" si="45"/>
        <v>0</v>
      </c>
      <c r="EI35" s="94">
        <f t="shared" si="46"/>
        <v>0</v>
      </c>
      <c r="EJ35" s="94"/>
      <c r="EK35" s="126">
        <f t="shared" si="47"/>
        <v>114075000</v>
      </c>
      <c r="EL35" s="126">
        <f t="shared" si="48"/>
        <v>0</v>
      </c>
      <c r="EM35" s="126">
        <f t="shared" si="49"/>
        <v>6971.25</v>
      </c>
      <c r="EN35" s="94">
        <f t="shared" si="50"/>
        <v>2.1999999999999999E-2</v>
      </c>
    </row>
    <row r="36" spans="1:144" x14ac:dyDescent="0.25">
      <c r="A36" s="39">
        <f t="shared" si="51"/>
        <v>43734</v>
      </c>
      <c r="D36" s="93">
        <f t="shared" si="0"/>
        <v>0</v>
      </c>
      <c r="G36" s="93">
        <f t="shared" si="1"/>
        <v>0</v>
      </c>
      <c r="J36" s="93">
        <f t="shared" si="2"/>
        <v>0</v>
      </c>
      <c r="M36" s="93">
        <f t="shared" si="3"/>
        <v>0</v>
      </c>
      <c r="P36" s="93">
        <f t="shared" si="4"/>
        <v>0</v>
      </c>
      <c r="S36" s="93">
        <f t="shared" si="5"/>
        <v>0</v>
      </c>
      <c r="V36" s="93">
        <f t="shared" si="6"/>
        <v>0</v>
      </c>
      <c r="Y36" s="93">
        <f t="shared" si="7"/>
        <v>0</v>
      </c>
      <c r="AB36" s="93">
        <f t="shared" si="8"/>
        <v>0</v>
      </c>
      <c r="AE36" s="93">
        <f>(AC36*AD36)/'[12]Input Sheet'!$B$11</f>
        <v>0</v>
      </c>
      <c r="AH36" s="93">
        <f>(AF36*AG36)/'[12]Input Sheet'!$B$11</f>
        <v>0</v>
      </c>
      <c r="AI36" s="124">
        <f>100000000+13675000</f>
        <v>113675000</v>
      </c>
      <c r="AJ36" s="125">
        <v>2.1999999999999999E-2</v>
      </c>
      <c r="AK36" s="93">
        <f t="shared" si="9"/>
        <v>6946.8055555555557</v>
      </c>
      <c r="AN36" s="93">
        <f t="shared" si="10"/>
        <v>0</v>
      </c>
      <c r="AQ36" s="93">
        <f t="shared" si="11"/>
        <v>0</v>
      </c>
      <c r="AT36" s="93">
        <f t="shared" si="12"/>
        <v>0</v>
      </c>
      <c r="AW36" s="93">
        <f t="shared" si="13"/>
        <v>0</v>
      </c>
      <c r="AZ36" s="93">
        <f t="shared" si="14"/>
        <v>0</v>
      </c>
      <c r="BC36" s="93">
        <f t="shared" si="15"/>
        <v>0</v>
      </c>
      <c r="BF36" s="93">
        <f t="shared" si="16"/>
        <v>0</v>
      </c>
      <c r="BI36" s="93">
        <f t="shared" si="17"/>
        <v>0</v>
      </c>
      <c r="BL36" s="93">
        <f t="shared" si="18"/>
        <v>0</v>
      </c>
      <c r="BO36" s="93">
        <f t="shared" si="19"/>
        <v>0</v>
      </c>
      <c r="BR36" s="93">
        <f t="shared" si="20"/>
        <v>0</v>
      </c>
      <c r="BU36" s="93">
        <f t="shared" si="21"/>
        <v>0</v>
      </c>
      <c r="BX36" s="93">
        <f t="shared" si="22"/>
        <v>0</v>
      </c>
      <c r="CA36" s="93">
        <f t="shared" si="23"/>
        <v>0</v>
      </c>
      <c r="CD36" s="93">
        <f t="shared" si="24"/>
        <v>0</v>
      </c>
      <c r="CG36" s="93">
        <f t="shared" si="25"/>
        <v>0</v>
      </c>
      <c r="CJ36" s="93">
        <f t="shared" si="26"/>
        <v>0</v>
      </c>
      <c r="CM36" s="93">
        <f t="shared" si="27"/>
        <v>0</v>
      </c>
      <c r="CP36" s="93">
        <f t="shared" si="28"/>
        <v>0</v>
      </c>
      <c r="CS36" s="93">
        <f t="shared" si="29"/>
        <v>0</v>
      </c>
      <c r="CV36" s="93">
        <f t="shared" si="30"/>
        <v>0</v>
      </c>
      <c r="CY36" s="93">
        <f t="shared" si="31"/>
        <v>0</v>
      </c>
      <c r="DB36" s="93">
        <f t="shared" si="32"/>
        <v>0</v>
      </c>
      <c r="DE36" s="93">
        <f t="shared" si="33"/>
        <v>0</v>
      </c>
      <c r="DH36" s="93">
        <f t="shared" si="34"/>
        <v>0</v>
      </c>
      <c r="DK36" s="93">
        <f t="shared" si="35"/>
        <v>0</v>
      </c>
      <c r="DN36" s="93">
        <f t="shared" si="36"/>
        <v>0</v>
      </c>
      <c r="DQ36" s="93">
        <f t="shared" si="37"/>
        <v>0</v>
      </c>
      <c r="DT36" s="93">
        <f t="shared" si="38"/>
        <v>0</v>
      </c>
      <c r="DW36" s="93">
        <f t="shared" si="39"/>
        <v>0</v>
      </c>
      <c r="DZ36" s="93"/>
      <c r="EA36" s="93"/>
      <c r="EB36" s="126">
        <f t="shared" si="40"/>
        <v>113675000</v>
      </c>
      <c r="EC36" s="126">
        <f t="shared" si="41"/>
        <v>0</v>
      </c>
      <c r="ED36" s="93">
        <f t="shared" si="42"/>
        <v>6946.8055555555557</v>
      </c>
      <c r="EE36" s="94">
        <f t="shared" si="43"/>
        <v>2.1999999999999999E-2</v>
      </c>
      <c r="EG36" s="126">
        <f t="shared" si="44"/>
        <v>0</v>
      </c>
      <c r="EH36" s="93">
        <f t="shared" si="45"/>
        <v>0</v>
      </c>
      <c r="EI36" s="94">
        <f t="shared" si="46"/>
        <v>0</v>
      </c>
      <c r="EJ36" s="94"/>
      <c r="EK36" s="126">
        <f t="shared" si="47"/>
        <v>113675000</v>
      </c>
      <c r="EL36" s="126">
        <f t="shared" si="48"/>
        <v>0</v>
      </c>
      <c r="EM36" s="126">
        <f t="shared" si="49"/>
        <v>6946.8055555555557</v>
      </c>
      <c r="EN36" s="94">
        <f t="shared" si="50"/>
        <v>2.1999999999999999E-2</v>
      </c>
    </row>
    <row r="37" spans="1:144" x14ac:dyDescent="0.25">
      <c r="A37" s="39">
        <f t="shared" si="51"/>
        <v>43735</v>
      </c>
      <c r="D37" s="93">
        <f t="shared" si="0"/>
        <v>0</v>
      </c>
      <c r="G37" s="93">
        <f t="shared" si="1"/>
        <v>0</v>
      </c>
      <c r="J37" s="93">
        <f t="shared" si="2"/>
        <v>0</v>
      </c>
      <c r="M37" s="93">
        <f t="shared" si="3"/>
        <v>0</v>
      </c>
      <c r="P37" s="93">
        <f t="shared" si="4"/>
        <v>0</v>
      </c>
      <c r="S37" s="93">
        <f t="shared" si="5"/>
        <v>0</v>
      </c>
      <c r="V37" s="93">
        <f t="shared" si="6"/>
        <v>0</v>
      </c>
      <c r="Y37" s="93">
        <f t="shared" si="7"/>
        <v>0</v>
      </c>
      <c r="AB37" s="93">
        <f t="shared" si="8"/>
        <v>0</v>
      </c>
      <c r="AE37" s="93">
        <f>(AC37*AD37)/'[12]Input Sheet'!$B$11</f>
        <v>0</v>
      </c>
      <c r="AH37" s="93">
        <f>(AF37*AG37)/'[12]Input Sheet'!$B$11</f>
        <v>0</v>
      </c>
      <c r="AI37" s="124">
        <f>100000000+28875000</f>
        <v>128875000</v>
      </c>
      <c r="AJ37" s="125">
        <v>2.1999999999999999E-2</v>
      </c>
      <c r="AK37" s="93">
        <f t="shared" si="9"/>
        <v>7875.6944444444443</v>
      </c>
      <c r="AN37" s="93">
        <f t="shared" si="10"/>
        <v>0</v>
      </c>
      <c r="AQ37" s="93">
        <f t="shared" si="11"/>
        <v>0</v>
      </c>
      <c r="AT37" s="93">
        <f t="shared" si="12"/>
        <v>0</v>
      </c>
      <c r="AW37" s="93">
        <f t="shared" si="13"/>
        <v>0</v>
      </c>
      <c r="AZ37" s="93">
        <f t="shared" si="14"/>
        <v>0</v>
      </c>
      <c r="BC37" s="93">
        <f t="shared" si="15"/>
        <v>0</v>
      </c>
      <c r="BF37" s="93">
        <f t="shared" si="16"/>
        <v>0</v>
      </c>
      <c r="BI37" s="93">
        <f t="shared" si="17"/>
        <v>0</v>
      </c>
      <c r="BL37" s="93">
        <f t="shared" si="18"/>
        <v>0</v>
      </c>
      <c r="BO37" s="93">
        <f t="shared" si="19"/>
        <v>0</v>
      </c>
      <c r="BR37" s="93">
        <f t="shared" si="20"/>
        <v>0</v>
      </c>
      <c r="BU37" s="93">
        <f t="shared" si="21"/>
        <v>0</v>
      </c>
      <c r="BX37" s="93">
        <f t="shared" si="22"/>
        <v>0</v>
      </c>
      <c r="CA37" s="93">
        <f t="shared" si="23"/>
        <v>0</v>
      </c>
      <c r="CD37" s="93">
        <f t="shared" si="24"/>
        <v>0</v>
      </c>
      <c r="CG37" s="93">
        <f t="shared" si="25"/>
        <v>0</v>
      </c>
      <c r="CJ37" s="93">
        <f t="shared" si="26"/>
        <v>0</v>
      </c>
      <c r="CM37" s="93">
        <f t="shared" si="27"/>
        <v>0</v>
      </c>
      <c r="CP37" s="93">
        <f t="shared" si="28"/>
        <v>0</v>
      </c>
      <c r="CS37" s="93">
        <f t="shared" si="29"/>
        <v>0</v>
      </c>
      <c r="CV37" s="93">
        <f t="shared" si="30"/>
        <v>0</v>
      </c>
      <c r="CY37" s="93">
        <f t="shared" si="31"/>
        <v>0</v>
      </c>
      <c r="DB37" s="93">
        <f t="shared" si="32"/>
        <v>0</v>
      </c>
      <c r="DE37" s="93">
        <f t="shared" si="33"/>
        <v>0</v>
      </c>
      <c r="DH37" s="93">
        <f t="shared" si="34"/>
        <v>0</v>
      </c>
      <c r="DK37" s="93">
        <f t="shared" si="35"/>
        <v>0</v>
      </c>
      <c r="DN37" s="93">
        <f t="shared" si="36"/>
        <v>0</v>
      </c>
      <c r="DQ37" s="93">
        <f t="shared" si="37"/>
        <v>0</v>
      </c>
      <c r="DT37" s="93">
        <f t="shared" si="38"/>
        <v>0</v>
      </c>
      <c r="DW37" s="93">
        <f t="shared" si="39"/>
        <v>0</v>
      </c>
      <c r="DZ37" s="93"/>
      <c r="EA37" s="93"/>
      <c r="EB37" s="126">
        <f t="shared" si="40"/>
        <v>128875000</v>
      </c>
      <c r="EC37" s="126">
        <f t="shared" si="41"/>
        <v>0</v>
      </c>
      <c r="ED37" s="93">
        <f t="shared" si="42"/>
        <v>7875.6944444444443</v>
      </c>
      <c r="EE37" s="94">
        <f t="shared" si="43"/>
        <v>2.1999999999999999E-2</v>
      </c>
      <c r="EG37" s="126">
        <f t="shared" si="44"/>
        <v>0</v>
      </c>
      <c r="EH37" s="93">
        <f t="shared" si="45"/>
        <v>0</v>
      </c>
      <c r="EI37" s="94">
        <f t="shared" si="46"/>
        <v>0</v>
      </c>
      <c r="EJ37" s="94"/>
      <c r="EK37" s="126">
        <f t="shared" si="47"/>
        <v>128875000</v>
      </c>
      <c r="EL37" s="126">
        <f t="shared" si="48"/>
        <v>0</v>
      </c>
      <c r="EM37" s="126">
        <f t="shared" si="49"/>
        <v>7875.6944444444443</v>
      </c>
      <c r="EN37" s="94">
        <f t="shared" si="50"/>
        <v>2.1999999999999999E-2</v>
      </c>
    </row>
    <row r="38" spans="1:144" x14ac:dyDescent="0.25">
      <c r="A38" s="39">
        <f t="shared" si="51"/>
        <v>43736</v>
      </c>
      <c r="D38" s="93">
        <f t="shared" si="0"/>
        <v>0</v>
      </c>
      <c r="G38" s="93">
        <f t="shared" si="1"/>
        <v>0</v>
      </c>
      <c r="J38" s="93">
        <f t="shared" si="2"/>
        <v>0</v>
      </c>
      <c r="M38" s="93">
        <f t="shared" si="3"/>
        <v>0</v>
      </c>
      <c r="P38" s="93">
        <f t="shared" si="4"/>
        <v>0</v>
      </c>
      <c r="S38" s="93">
        <f t="shared" si="5"/>
        <v>0</v>
      </c>
      <c r="V38" s="93">
        <f t="shared" si="6"/>
        <v>0</v>
      </c>
      <c r="Y38" s="93">
        <f t="shared" si="7"/>
        <v>0</v>
      </c>
      <c r="AB38" s="93">
        <f t="shared" si="8"/>
        <v>0</v>
      </c>
      <c r="AE38" s="93">
        <f>(AC38*AD38)/'[12]Input Sheet'!$B$11</f>
        <v>0</v>
      </c>
      <c r="AH38" s="93">
        <f>(AF38*AG38)/'[12]Input Sheet'!$B$11</f>
        <v>0</v>
      </c>
      <c r="AI38" s="124">
        <f>100000000+28875000</f>
        <v>128875000</v>
      </c>
      <c r="AJ38" s="125">
        <v>2.1999999999999999E-2</v>
      </c>
      <c r="AK38" s="93">
        <f t="shared" si="9"/>
        <v>7875.6944444444443</v>
      </c>
      <c r="AN38" s="93">
        <f t="shared" si="10"/>
        <v>0</v>
      </c>
      <c r="AQ38" s="93">
        <f t="shared" si="11"/>
        <v>0</v>
      </c>
      <c r="AT38" s="93">
        <f t="shared" si="12"/>
        <v>0</v>
      </c>
      <c r="AW38" s="93">
        <f t="shared" si="13"/>
        <v>0</v>
      </c>
      <c r="AZ38" s="93">
        <f t="shared" si="14"/>
        <v>0</v>
      </c>
      <c r="BC38" s="93">
        <f t="shared" si="15"/>
        <v>0</v>
      </c>
      <c r="BF38" s="93">
        <f t="shared" si="16"/>
        <v>0</v>
      </c>
      <c r="BI38" s="93">
        <f t="shared" si="17"/>
        <v>0</v>
      </c>
      <c r="BL38" s="93">
        <f t="shared" si="18"/>
        <v>0</v>
      </c>
      <c r="BO38" s="93">
        <f t="shared" si="19"/>
        <v>0</v>
      </c>
      <c r="BR38" s="93">
        <f t="shared" si="20"/>
        <v>0</v>
      </c>
      <c r="BU38" s="93">
        <f t="shared" si="21"/>
        <v>0</v>
      </c>
      <c r="BX38" s="93">
        <f t="shared" si="22"/>
        <v>0</v>
      </c>
      <c r="CA38" s="93">
        <f t="shared" si="23"/>
        <v>0</v>
      </c>
      <c r="CD38" s="93">
        <f t="shared" si="24"/>
        <v>0</v>
      </c>
      <c r="CG38" s="93">
        <f t="shared" si="25"/>
        <v>0</v>
      </c>
      <c r="CJ38" s="93">
        <f t="shared" si="26"/>
        <v>0</v>
      </c>
      <c r="CM38" s="93">
        <f t="shared" si="27"/>
        <v>0</v>
      </c>
      <c r="CP38" s="93">
        <f t="shared" si="28"/>
        <v>0</v>
      </c>
      <c r="CS38" s="93">
        <f t="shared" si="29"/>
        <v>0</v>
      </c>
      <c r="CV38" s="93">
        <f t="shared" si="30"/>
        <v>0</v>
      </c>
      <c r="CY38" s="93">
        <f t="shared" si="31"/>
        <v>0</v>
      </c>
      <c r="DB38" s="93">
        <f t="shared" si="32"/>
        <v>0</v>
      </c>
      <c r="DE38" s="93">
        <f t="shared" si="33"/>
        <v>0</v>
      </c>
      <c r="DH38" s="93">
        <f t="shared" si="34"/>
        <v>0</v>
      </c>
      <c r="DK38" s="93">
        <f t="shared" si="35"/>
        <v>0</v>
      </c>
      <c r="DN38" s="93">
        <f t="shared" si="36"/>
        <v>0</v>
      </c>
      <c r="DQ38" s="93">
        <f t="shared" si="37"/>
        <v>0</v>
      </c>
      <c r="DT38" s="93">
        <f t="shared" si="38"/>
        <v>0</v>
      </c>
      <c r="DW38" s="93">
        <f t="shared" si="39"/>
        <v>0</v>
      </c>
      <c r="DZ38" s="93"/>
      <c r="EA38" s="93"/>
      <c r="EB38" s="126">
        <f t="shared" si="40"/>
        <v>128875000</v>
      </c>
      <c r="EC38" s="126">
        <f t="shared" si="41"/>
        <v>0</v>
      </c>
      <c r="ED38" s="93">
        <f t="shared" si="42"/>
        <v>7875.6944444444443</v>
      </c>
      <c r="EE38" s="94">
        <f t="shared" si="43"/>
        <v>2.1999999999999999E-2</v>
      </c>
      <c r="EG38" s="126">
        <f t="shared" si="44"/>
        <v>0</v>
      </c>
      <c r="EH38" s="93">
        <f t="shared" si="45"/>
        <v>0</v>
      </c>
      <c r="EI38" s="94">
        <f t="shared" si="46"/>
        <v>0</v>
      </c>
      <c r="EJ38" s="94"/>
      <c r="EK38" s="126">
        <f t="shared" si="47"/>
        <v>128875000</v>
      </c>
      <c r="EL38" s="126">
        <f t="shared" si="48"/>
        <v>0</v>
      </c>
      <c r="EM38" s="126">
        <f t="shared" si="49"/>
        <v>7875.6944444444443</v>
      </c>
      <c r="EN38" s="94">
        <f t="shared" si="50"/>
        <v>2.1999999999999999E-2</v>
      </c>
    </row>
    <row r="39" spans="1:144" x14ac:dyDescent="0.25">
      <c r="A39" s="39">
        <f t="shared" si="51"/>
        <v>43737</v>
      </c>
      <c r="D39" s="93">
        <f t="shared" si="0"/>
        <v>0</v>
      </c>
      <c r="G39" s="93">
        <f t="shared" si="1"/>
        <v>0</v>
      </c>
      <c r="J39" s="93">
        <f t="shared" si="2"/>
        <v>0</v>
      </c>
      <c r="M39" s="93">
        <f t="shared" si="3"/>
        <v>0</v>
      </c>
      <c r="P39" s="93">
        <f t="shared" si="4"/>
        <v>0</v>
      </c>
      <c r="S39" s="93">
        <f t="shared" si="5"/>
        <v>0</v>
      </c>
      <c r="V39" s="93">
        <f t="shared" si="6"/>
        <v>0</v>
      </c>
      <c r="Y39" s="93">
        <f t="shared" si="7"/>
        <v>0</v>
      </c>
      <c r="AB39" s="93">
        <f t="shared" si="8"/>
        <v>0</v>
      </c>
      <c r="AE39" s="93">
        <f>(AC39*AD39)/'[12]Input Sheet'!$B$11</f>
        <v>0</v>
      </c>
      <c r="AH39" s="93">
        <f>(AF39*AG39)/'[12]Input Sheet'!$B$11</f>
        <v>0</v>
      </c>
      <c r="AI39" s="124">
        <f>100000000+28875000</f>
        <v>128875000</v>
      </c>
      <c r="AJ39" s="125">
        <v>2.1999999999999999E-2</v>
      </c>
      <c r="AK39" s="93">
        <f t="shared" si="9"/>
        <v>7875.6944444444443</v>
      </c>
      <c r="AN39" s="93">
        <f t="shared" si="10"/>
        <v>0</v>
      </c>
      <c r="AQ39" s="93">
        <f t="shared" si="11"/>
        <v>0</v>
      </c>
      <c r="AT39" s="93">
        <f t="shared" si="12"/>
        <v>0</v>
      </c>
      <c r="AW39" s="93">
        <f t="shared" si="13"/>
        <v>0</v>
      </c>
      <c r="AZ39" s="93">
        <f t="shared" si="14"/>
        <v>0</v>
      </c>
      <c r="BC39" s="93">
        <f t="shared" si="15"/>
        <v>0</v>
      </c>
      <c r="BF39" s="93">
        <f t="shared" si="16"/>
        <v>0</v>
      </c>
      <c r="BI39" s="93">
        <f t="shared" si="17"/>
        <v>0</v>
      </c>
      <c r="BL39" s="93">
        <f t="shared" si="18"/>
        <v>0</v>
      </c>
      <c r="BO39" s="93">
        <f t="shared" si="19"/>
        <v>0</v>
      </c>
      <c r="BR39" s="93">
        <f t="shared" si="20"/>
        <v>0</v>
      </c>
      <c r="BU39" s="93">
        <f t="shared" si="21"/>
        <v>0</v>
      </c>
      <c r="BX39" s="93">
        <f t="shared" si="22"/>
        <v>0</v>
      </c>
      <c r="CA39" s="93">
        <f t="shared" si="23"/>
        <v>0</v>
      </c>
      <c r="CD39" s="93">
        <f t="shared" si="24"/>
        <v>0</v>
      </c>
      <c r="CG39" s="93">
        <f t="shared" si="25"/>
        <v>0</v>
      </c>
      <c r="CJ39" s="93">
        <f t="shared" si="26"/>
        <v>0</v>
      </c>
      <c r="CM39" s="93">
        <f t="shared" si="27"/>
        <v>0</v>
      </c>
      <c r="CP39" s="93">
        <f t="shared" si="28"/>
        <v>0</v>
      </c>
      <c r="CS39" s="93">
        <f t="shared" si="29"/>
        <v>0</v>
      </c>
      <c r="CV39" s="93">
        <f t="shared" si="30"/>
        <v>0</v>
      </c>
      <c r="CY39" s="93">
        <f t="shared" si="31"/>
        <v>0</v>
      </c>
      <c r="DB39" s="93">
        <f t="shared" si="32"/>
        <v>0</v>
      </c>
      <c r="DE39" s="93">
        <f t="shared" si="33"/>
        <v>0</v>
      </c>
      <c r="DH39" s="93">
        <f t="shared" si="34"/>
        <v>0</v>
      </c>
      <c r="DK39" s="93">
        <f t="shared" si="35"/>
        <v>0</v>
      </c>
      <c r="DN39" s="93">
        <f t="shared" si="36"/>
        <v>0</v>
      </c>
      <c r="DQ39" s="93">
        <f t="shared" si="37"/>
        <v>0</v>
      </c>
      <c r="DT39" s="93">
        <f t="shared" si="38"/>
        <v>0</v>
      </c>
      <c r="DW39" s="93">
        <f t="shared" si="39"/>
        <v>0</v>
      </c>
      <c r="DZ39" s="93"/>
      <c r="EA39" s="93"/>
      <c r="EB39" s="126">
        <f t="shared" si="40"/>
        <v>128875000</v>
      </c>
      <c r="EC39" s="126">
        <f t="shared" si="41"/>
        <v>0</v>
      </c>
      <c r="ED39" s="93">
        <f t="shared" si="42"/>
        <v>7875.6944444444443</v>
      </c>
      <c r="EE39" s="94">
        <f t="shared" si="43"/>
        <v>2.1999999999999999E-2</v>
      </c>
      <c r="EG39" s="126">
        <f t="shared" si="44"/>
        <v>0</v>
      </c>
      <c r="EH39" s="93">
        <f t="shared" si="45"/>
        <v>0</v>
      </c>
      <c r="EI39" s="94">
        <f t="shared" si="46"/>
        <v>0</v>
      </c>
      <c r="EJ39" s="94"/>
      <c r="EK39" s="126">
        <f t="shared" si="47"/>
        <v>128875000</v>
      </c>
      <c r="EL39" s="126">
        <f t="shared" si="48"/>
        <v>0</v>
      </c>
      <c r="EM39" s="126">
        <f t="shared" si="49"/>
        <v>7875.6944444444443</v>
      </c>
      <c r="EN39" s="94">
        <f t="shared" si="50"/>
        <v>2.1999999999999999E-2</v>
      </c>
    </row>
    <row r="40" spans="1:144" x14ac:dyDescent="0.25">
      <c r="A40" s="39">
        <f t="shared" si="51"/>
        <v>43738</v>
      </c>
      <c r="D40" s="93">
        <f t="shared" si="0"/>
        <v>0</v>
      </c>
      <c r="G40" s="93">
        <f t="shared" si="1"/>
        <v>0</v>
      </c>
      <c r="J40" s="93">
        <f t="shared" si="2"/>
        <v>0</v>
      </c>
      <c r="M40" s="93">
        <f t="shared" si="3"/>
        <v>0</v>
      </c>
      <c r="P40" s="93">
        <f t="shared" si="4"/>
        <v>0</v>
      </c>
      <c r="S40" s="93">
        <f t="shared" si="5"/>
        <v>0</v>
      </c>
      <c r="V40" s="93">
        <f t="shared" si="6"/>
        <v>0</v>
      </c>
      <c r="Y40" s="93">
        <f t="shared" si="7"/>
        <v>0</v>
      </c>
      <c r="AB40" s="93">
        <f t="shared" si="8"/>
        <v>0</v>
      </c>
      <c r="AE40" s="93">
        <f>(AC40*AD40)/'[12]Input Sheet'!$B$11</f>
        <v>0</v>
      </c>
      <c r="AH40" s="93">
        <f>(AF40*AG40)/'[12]Input Sheet'!$B$11</f>
        <v>0</v>
      </c>
      <c r="AI40" s="124">
        <f>100000000+43825000</f>
        <v>143825000</v>
      </c>
      <c r="AJ40" s="125">
        <v>2.1999999999999999E-2</v>
      </c>
      <c r="AK40" s="93">
        <f t="shared" si="9"/>
        <v>8789.3055555555547</v>
      </c>
      <c r="AN40" s="93">
        <f t="shared" si="10"/>
        <v>0</v>
      </c>
      <c r="AQ40" s="93">
        <f t="shared" si="11"/>
        <v>0</v>
      </c>
      <c r="AT40" s="93">
        <f t="shared" si="12"/>
        <v>0</v>
      </c>
      <c r="AW40" s="93">
        <f t="shared" si="13"/>
        <v>0</v>
      </c>
      <c r="AZ40" s="93">
        <f t="shared" si="14"/>
        <v>0</v>
      </c>
      <c r="BC40" s="93">
        <f t="shared" si="15"/>
        <v>0</v>
      </c>
      <c r="BF40" s="93">
        <f t="shared" si="16"/>
        <v>0</v>
      </c>
      <c r="BI40" s="93">
        <f t="shared" si="17"/>
        <v>0</v>
      </c>
      <c r="BL40" s="93">
        <f t="shared" si="18"/>
        <v>0</v>
      </c>
      <c r="BO40" s="93">
        <f t="shared" si="19"/>
        <v>0</v>
      </c>
      <c r="BR40" s="93">
        <f t="shared" si="20"/>
        <v>0</v>
      </c>
      <c r="BU40" s="93">
        <f t="shared" si="21"/>
        <v>0</v>
      </c>
      <c r="BX40" s="93">
        <f t="shared" si="22"/>
        <v>0</v>
      </c>
      <c r="CA40" s="93">
        <f t="shared" si="23"/>
        <v>0</v>
      </c>
      <c r="CD40" s="93">
        <f t="shared" si="24"/>
        <v>0</v>
      </c>
      <c r="CG40" s="93">
        <f t="shared" si="25"/>
        <v>0</v>
      </c>
      <c r="CJ40" s="93">
        <f t="shared" si="26"/>
        <v>0</v>
      </c>
      <c r="CM40" s="93">
        <f t="shared" si="27"/>
        <v>0</v>
      </c>
      <c r="CP40" s="93">
        <f t="shared" si="28"/>
        <v>0</v>
      </c>
      <c r="CS40" s="93">
        <f t="shared" si="29"/>
        <v>0</v>
      </c>
      <c r="CV40" s="93">
        <f t="shared" si="30"/>
        <v>0</v>
      </c>
      <c r="CY40" s="93">
        <f t="shared" si="31"/>
        <v>0</v>
      </c>
      <c r="DB40" s="93">
        <f t="shared" si="32"/>
        <v>0</v>
      </c>
      <c r="DE40" s="93">
        <f t="shared" si="33"/>
        <v>0</v>
      </c>
      <c r="DH40" s="93">
        <f t="shared" si="34"/>
        <v>0</v>
      </c>
      <c r="DK40" s="93">
        <f t="shared" si="35"/>
        <v>0</v>
      </c>
      <c r="DN40" s="93">
        <f t="shared" si="36"/>
        <v>0</v>
      </c>
      <c r="DQ40" s="93">
        <f t="shared" si="37"/>
        <v>0</v>
      </c>
      <c r="DT40" s="93">
        <f t="shared" si="38"/>
        <v>0</v>
      </c>
      <c r="DW40" s="93">
        <f t="shared" si="39"/>
        <v>0</v>
      </c>
      <c r="DZ40" s="91"/>
      <c r="EA40" s="93"/>
      <c r="EB40" s="126">
        <f t="shared" si="40"/>
        <v>143825000</v>
      </c>
      <c r="EC40" s="126">
        <f t="shared" si="41"/>
        <v>0</v>
      </c>
      <c r="ED40" s="93">
        <f t="shared" si="42"/>
        <v>8789.3055555555547</v>
      </c>
      <c r="EE40" s="94">
        <f t="shared" si="43"/>
        <v>2.1999999999999999E-2</v>
      </c>
      <c r="EG40" s="126">
        <f t="shared" si="44"/>
        <v>0</v>
      </c>
      <c r="EH40" s="93">
        <f t="shared" si="45"/>
        <v>0</v>
      </c>
      <c r="EI40" s="94">
        <f t="shared" si="46"/>
        <v>0</v>
      </c>
      <c r="EJ40" s="94"/>
      <c r="EK40" s="126">
        <f t="shared" si="47"/>
        <v>143825000</v>
      </c>
      <c r="EL40" s="126">
        <f t="shared" si="48"/>
        <v>0</v>
      </c>
      <c r="EM40" s="126">
        <f t="shared" si="49"/>
        <v>8789.3055555555547</v>
      </c>
      <c r="EN40" s="94">
        <f t="shared" si="50"/>
        <v>2.1999999999999999E-2</v>
      </c>
    </row>
    <row r="41" spans="1:144" x14ac:dyDescent="0.25">
      <c r="A41" s="127" t="s">
        <v>88</v>
      </c>
      <c r="D41" s="128">
        <f>SUM(D11:D40)</f>
        <v>0</v>
      </c>
      <c r="G41" s="128">
        <f>SUM(G11:G40)</f>
        <v>0</v>
      </c>
      <c r="J41" s="128">
        <f>SUM(J11:J40)</f>
        <v>0</v>
      </c>
      <c r="M41" s="128">
        <f>SUM(M11:M40)</f>
        <v>0</v>
      </c>
      <c r="P41" s="128">
        <f>SUM(P11:P40)</f>
        <v>0</v>
      </c>
      <c r="S41" s="128">
        <f>SUM(S11:S40)</f>
        <v>0</v>
      </c>
      <c r="V41" s="128">
        <f>SUM(V11:V40)</f>
        <v>0</v>
      </c>
      <c r="Y41" s="128">
        <f>SUM(Y11:Y40)</f>
        <v>0</v>
      </c>
      <c r="AB41" s="128">
        <f>SUM(AB11:AB40)</f>
        <v>0</v>
      </c>
      <c r="AE41" s="128">
        <f>SUM(AE11:AE40)</f>
        <v>0</v>
      </c>
      <c r="AH41" s="128">
        <f>SUM(AH11:AH40)</f>
        <v>0</v>
      </c>
      <c r="AK41" s="128">
        <f>SUM(AK11:AK40)</f>
        <v>90586.84722222219</v>
      </c>
      <c r="AN41" s="128">
        <f>SUM(AN11:AN40)</f>
        <v>0</v>
      </c>
      <c r="AQ41" s="128">
        <f>SUM(AQ11:AQ40)</f>
        <v>0</v>
      </c>
      <c r="AT41" s="128">
        <f>SUM(AT11:AT40)</f>
        <v>0</v>
      </c>
      <c r="AW41" s="128">
        <f>SUM(AW11:AW40)</f>
        <v>0</v>
      </c>
      <c r="AZ41" s="128">
        <f>SUM(AZ11:AZ40)</f>
        <v>0</v>
      </c>
      <c r="BC41" s="128">
        <f>SUM(BC11:BC40)</f>
        <v>0</v>
      </c>
      <c r="BF41" s="128">
        <f>SUM(BF11:BF40)</f>
        <v>0</v>
      </c>
      <c r="BI41" s="128">
        <f>SUM(BI11:BI40)</f>
        <v>0</v>
      </c>
      <c r="BL41" s="128">
        <f>SUM(BL11:BL40)</f>
        <v>0</v>
      </c>
      <c r="BO41" s="128">
        <f>SUM(BO11:BO40)</f>
        <v>0</v>
      </c>
      <c r="BR41" s="128">
        <f>SUM(BR11:BR40)</f>
        <v>0</v>
      </c>
      <c r="BU41" s="128">
        <f>SUM(BU11:BU40)</f>
        <v>0</v>
      </c>
      <c r="BX41" s="128">
        <f>SUM(BX11:BX40)</f>
        <v>0</v>
      </c>
      <c r="CA41" s="128">
        <f>SUM(CA11:CA40)</f>
        <v>0</v>
      </c>
      <c r="CD41" s="128">
        <f>SUM(CD11:CD40)</f>
        <v>0</v>
      </c>
      <c r="CG41" s="128">
        <f>SUM(CG11:CG40)</f>
        <v>0</v>
      </c>
      <c r="CJ41" s="128">
        <f>SUM(CJ11:CJ40)</f>
        <v>0</v>
      </c>
      <c r="CM41" s="128">
        <f>SUM(CM11:CM40)</f>
        <v>0</v>
      </c>
      <c r="CP41" s="128">
        <f>SUM(CP11:CP40)</f>
        <v>0</v>
      </c>
      <c r="CS41" s="128">
        <f>SUM(CS11:CS40)</f>
        <v>0</v>
      </c>
      <c r="CV41" s="128">
        <f>SUM(CV11:CV40)</f>
        <v>0</v>
      </c>
      <c r="CY41" s="128">
        <f>SUM(CY11:CY40)</f>
        <v>0</v>
      </c>
      <c r="DB41" s="128">
        <f>SUM(DB11:DB40)</f>
        <v>0</v>
      </c>
      <c r="DE41" s="128">
        <f>SUM(DE11:DE40)</f>
        <v>0</v>
      </c>
      <c r="DH41" s="128">
        <f>SUM(DH11:DH40)</f>
        <v>0</v>
      </c>
      <c r="DK41" s="128">
        <f>SUM(DK11:DK40)</f>
        <v>0</v>
      </c>
      <c r="DN41" s="128">
        <f>SUM(DN11:DN40)</f>
        <v>0</v>
      </c>
      <c r="DQ41" s="128">
        <f>SUM(DQ11:DQ40)</f>
        <v>0</v>
      </c>
      <c r="DT41" s="128">
        <f>SUM(DT11:DT40)</f>
        <v>0</v>
      </c>
      <c r="DW41" s="128">
        <f>SUM(DW11:DW40)</f>
        <v>0</v>
      </c>
      <c r="DZ41" s="91"/>
      <c r="EA41" s="91"/>
      <c r="EB41" s="93"/>
      <c r="EC41" s="93"/>
      <c r="ED41" s="128">
        <f>SUM(ED11:ED40)</f>
        <v>90586.84722222219</v>
      </c>
      <c r="EE41" s="94"/>
      <c r="EG41" s="93"/>
      <c r="EH41" s="128">
        <f>SUM(EH11:EH40)</f>
        <v>0</v>
      </c>
      <c r="EI41" s="94"/>
      <c r="EJ41" s="94"/>
      <c r="EK41" s="93"/>
      <c r="EL41" s="93"/>
      <c r="EM41" s="128">
        <f>SUM(EM11:EM40)</f>
        <v>90586.84722222219</v>
      </c>
      <c r="EN41" s="94"/>
    </row>
    <row r="43" spans="1:144" x14ac:dyDescent="0.25">
      <c r="EM43" s="129"/>
    </row>
    <row r="45" spans="1:144" x14ac:dyDescent="0.25">
      <c r="EM45" s="93"/>
    </row>
    <row r="47" spans="1:144" x14ac:dyDescent="0.25">
      <c r="EM47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Monthly Cost Tracker 1</vt:lpstr>
      <vt:lpstr>Monthly Cost Tracker 2</vt:lpstr>
      <vt:lpstr>True-Up</vt:lpstr>
      <vt:lpstr>Rate Schedule</vt:lpstr>
      <vt:lpstr>RRR</vt:lpstr>
      <vt:lpstr>SRP</vt:lpstr>
      <vt:lpstr>RAC</vt:lpstr>
      <vt:lpstr>Aug 19 Int</vt:lpstr>
      <vt:lpstr>Sept 19 Int</vt:lpstr>
      <vt:lpstr>Oct 19 Int</vt:lpstr>
      <vt:lpstr>Nov 19 Int</vt:lpstr>
      <vt:lpstr>Dec 19 Int</vt:lpstr>
      <vt:lpstr>Jan 20 Int</vt:lpstr>
      <vt:lpstr>Feb 20 Int</vt:lpstr>
      <vt:lpstr>Mar 20 Int</vt:lpstr>
      <vt:lpstr>Apr 20 Int</vt:lpstr>
      <vt:lpstr>May 20 Int</vt:lpstr>
      <vt:lpstr>June 20 Int</vt:lpstr>
      <vt:lpstr>July 20 Int</vt:lpstr>
      <vt:lpstr>'Rate Schedule'!Print_Area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Best, Geri A</cp:lastModifiedBy>
  <cp:lastPrinted>2020-09-28T20:53:45Z</cp:lastPrinted>
  <dcterms:created xsi:type="dcterms:W3CDTF">2019-08-15T19:17:26Z</dcterms:created>
  <dcterms:modified xsi:type="dcterms:W3CDTF">2020-09-28T20:53:56Z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