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1-12\"/>
    </mc:Choice>
  </mc:AlternateContent>
  <xr:revisionPtr revIDLastSave="0" documentId="8_{757E0E06-E06F-4D2E-B010-4B2989F00C1C}" xr6:coauthVersionLast="46" xr6:coauthVersionMax="46" xr10:uidLastSave="{00000000-0000-0000-0000-000000000000}"/>
  <bookViews>
    <workbookView xWindow="28680" yWindow="-120" windowWidth="29040" windowHeight="15840" xr2:uid="{00000000-000D-0000-FFFF-FFFF00000000}"/>
  </bookViews>
  <sheets>
    <sheet name="tariff tables" sheetId="5" r:id="rId1"/>
    <sheet name="DSIM Cycle Tables" sheetId="20" r:id="rId2"/>
    <sheet name="PPC Cycle 3" sheetId="18" r:id="rId3"/>
    <sheet name="PCR Cycle 2" sheetId="15" r:id="rId4"/>
    <sheet name="PCR Cycle 3" sheetId="22" r:id="rId5"/>
    <sheet name="PTD Cycle 2" sheetId="12" r:id="rId6"/>
    <sheet name="PTD Cycle 3" sheetId="19" r:id="rId7"/>
    <sheet name="TDR Cycle 2" sheetId="16" r:id="rId8"/>
    <sheet name="TDR Cycle 3" sheetId="24" r:id="rId9"/>
    <sheet name="EO Cycle 2" sheetId="8" r:id="rId10"/>
    <sheet name="EO Cycle 3" sheetId="28" r:id="rId11"/>
    <sheet name="EOR Cycle 2" sheetId="23" r:id="rId12"/>
    <sheet name="OA Cycle 2" sheetId="10" r:id="rId13"/>
    <sheet name="OAR Cycle 2" sheetId="1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Print_Area" localSheetId="3">'PCR Cycle 2'!$A$1:$N$64</definedName>
    <definedName name="_xlnm.Print_Area" localSheetId="4">'PCR Cycle 3'!$A$1:$O$64</definedName>
    <definedName name="solver_adj" localSheetId="3" hidden="1">'PCR Cycle 2'!$E$47</definedName>
    <definedName name="solver_adj" localSheetId="4" hidden="1">'PCR Cycle 3'!$F$45</definedName>
    <definedName name="solver_adj" localSheetId="7" hidden="1">'TDR Cycle 2'!#REF!</definedName>
    <definedName name="solver_adj" localSheetId="8" hidden="1">'TDR Cycle 3'!#REF!</definedName>
    <definedName name="solver_cvg" localSheetId="3" hidden="1">0.0001</definedName>
    <definedName name="solver_cvg" localSheetId="4" hidden="1">0.0001</definedName>
    <definedName name="solver_cvg" localSheetId="7" hidden="1">0.0001</definedName>
    <definedName name="solver_cvg" localSheetId="8" hidden="1">0.0001</definedName>
    <definedName name="solver_drv" localSheetId="3" hidden="1">1</definedName>
    <definedName name="solver_drv" localSheetId="4" hidden="1">1</definedName>
    <definedName name="solver_drv" localSheetId="7" hidden="1">2</definedName>
    <definedName name="solver_drv" localSheetId="8" hidden="1">2</definedName>
    <definedName name="solver_eng" localSheetId="3" hidden="1">1</definedName>
    <definedName name="solver_eng" localSheetId="4" hidden="1">1</definedName>
    <definedName name="solver_eng" localSheetId="7" hidden="1">1</definedName>
    <definedName name="solver_eng" localSheetId="8" hidden="1">1</definedName>
    <definedName name="solver_est" localSheetId="3" hidden="1">1</definedName>
    <definedName name="solver_est" localSheetId="4" hidden="1">1</definedName>
    <definedName name="solver_est" localSheetId="7" hidden="1">1</definedName>
    <definedName name="solver_est" localSheetId="8" hidden="1">1</definedName>
    <definedName name="solver_itr" localSheetId="3" hidden="1">2147483647</definedName>
    <definedName name="solver_itr" localSheetId="4" hidden="1">2147483647</definedName>
    <definedName name="solver_itr" localSheetId="7" hidden="1">2147483647</definedName>
    <definedName name="solver_itr" localSheetId="8" hidden="1">2147483647</definedName>
    <definedName name="solver_mip" localSheetId="3" hidden="1">2147483647</definedName>
    <definedName name="solver_mip" localSheetId="4" hidden="1">2147483647</definedName>
    <definedName name="solver_mip" localSheetId="7" hidden="1">2147483647</definedName>
    <definedName name="solver_mip" localSheetId="8" hidden="1">2147483647</definedName>
    <definedName name="solver_mni" localSheetId="3" hidden="1">30</definedName>
    <definedName name="solver_mni" localSheetId="4" hidden="1">30</definedName>
    <definedName name="solver_mni" localSheetId="7" hidden="1">30</definedName>
    <definedName name="solver_mni" localSheetId="8" hidden="1">30</definedName>
    <definedName name="solver_mrt" localSheetId="3" hidden="1">0.075</definedName>
    <definedName name="solver_mrt" localSheetId="4" hidden="1">0.075</definedName>
    <definedName name="solver_mrt" localSheetId="7" hidden="1">0.075</definedName>
    <definedName name="solver_mrt" localSheetId="8" hidden="1">0.075</definedName>
    <definedName name="solver_msl" localSheetId="3" hidden="1">2</definedName>
    <definedName name="solver_msl" localSheetId="4" hidden="1">2</definedName>
    <definedName name="solver_msl" localSheetId="7" hidden="1">2</definedName>
    <definedName name="solver_msl" localSheetId="8" hidden="1">2</definedName>
    <definedName name="solver_neg" localSheetId="3" hidden="1">1</definedName>
    <definedName name="solver_neg" localSheetId="4" hidden="1">1</definedName>
    <definedName name="solver_neg" localSheetId="7" hidden="1">1</definedName>
    <definedName name="solver_neg" localSheetId="8" hidden="1">1</definedName>
    <definedName name="solver_nod" localSheetId="3" hidden="1">2147483647</definedName>
    <definedName name="solver_nod" localSheetId="4" hidden="1">2147483647</definedName>
    <definedName name="solver_nod" localSheetId="7" hidden="1">2147483647</definedName>
    <definedName name="solver_nod" localSheetId="8" hidden="1">2147483647</definedName>
    <definedName name="solver_num" localSheetId="3" hidden="1">0</definedName>
    <definedName name="solver_num" localSheetId="4" hidden="1">0</definedName>
    <definedName name="solver_num" localSheetId="7" hidden="1">0</definedName>
    <definedName name="solver_num" localSheetId="8" hidden="1">0</definedName>
    <definedName name="solver_nwt" localSheetId="3" hidden="1">1</definedName>
    <definedName name="solver_nwt" localSheetId="4" hidden="1">1</definedName>
    <definedName name="solver_nwt" localSheetId="7" hidden="1">1</definedName>
    <definedName name="solver_nwt" localSheetId="8" hidden="1">1</definedName>
    <definedName name="solver_opt" localSheetId="3" hidden="1">'PCR Cycle 2'!$E$52</definedName>
    <definedName name="solver_opt" localSheetId="4" hidden="1">'PCR Cycle 3'!$F$52</definedName>
    <definedName name="solver_opt" localSheetId="7" hidden="1">'TDR Cycle 2'!#REF!</definedName>
    <definedName name="solver_opt" localSheetId="8" hidden="1">'TDR Cycle 3'!#REF!</definedName>
    <definedName name="solver_pre" localSheetId="3" hidden="1">0.000001</definedName>
    <definedName name="solver_pre" localSheetId="4" hidden="1">0.000001</definedName>
    <definedName name="solver_pre" localSheetId="7" hidden="1">0.000001</definedName>
    <definedName name="solver_pre" localSheetId="8" hidden="1">0.000001</definedName>
    <definedName name="solver_rbv" localSheetId="3" hidden="1">1</definedName>
    <definedName name="solver_rbv" localSheetId="4" hidden="1">1</definedName>
    <definedName name="solver_rbv" localSheetId="7" hidden="1">2</definedName>
    <definedName name="solver_rbv" localSheetId="8" hidden="1">2</definedName>
    <definedName name="solver_rlx" localSheetId="3" hidden="1">2</definedName>
    <definedName name="solver_rlx" localSheetId="4" hidden="1">2</definedName>
    <definedName name="solver_rlx" localSheetId="7" hidden="1">2</definedName>
    <definedName name="solver_rlx" localSheetId="8" hidden="1">2</definedName>
    <definedName name="solver_rsd" localSheetId="3" hidden="1">0</definedName>
    <definedName name="solver_rsd" localSheetId="4" hidden="1">0</definedName>
    <definedName name="solver_rsd" localSheetId="7" hidden="1">0</definedName>
    <definedName name="solver_rsd" localSheetId="8" hidden="1">0</definedName>
    <definedName name="solver_scl" localSheetId="3" hidden="1">1</definedName>
    <definedName name="solver_scl" localSheetId="4" hidden="1">1</definedName>
    <definedName name="solver_scl" localSheetId="7" hidden="1">2</definedName>
    <definedName name="solver_scl" localSheetId="8" hidden="1">2</definedName>
    <definedName name="solver_sho" localSheetId="3" hidden="1">2</definedName>
    <definedName name="solver_sho" localSheetId="4" hidden="1">2</definedName>
    <definedName name="solver_sho" localSheetId="7" hidden="1">2</definedName>
    <definedName name="solver_sho" localSheetId="8" hidden="1">2</definedName>
    <definedName name="solver_ssz" localSheetId="3" hidden="1">100</definedName>
    <definedName name="solver_ssz" localSheetId="4" hidden="1">100</definedName>
    <definedName name="solver_ssz" localSheetId="7" hidden="1">100</definedName>
    <definedName name="solver_ssz" localSheetId="8" hidden="1">100</definedName>
    <definedName name="solver_tim" localSheetId="3" hidden="1">2147483647</definedName>
    <definedName name="solver_tim" localSheetId="4" hidden="1">2147483647</definedName>
    <definedName name="solver_tim" localSheetId="7" hidden="1">2147483647</definedName>
    <definedName name="solver_tim" localSheetId="8" hidden="1">2147483647</definedName>
    <definedName name="solver_tol" localSheetId="3" hidden="1">0.01</definedName>
    <definedName name="solver_tol" localSheetId="4" hidden="1">0.01</definedName>
    <definedName name="solver_tol" localSheetId="7" hidden="1">0.01</definedName>
    <definedName name="solver_tol" localSheetId="8" hidden="1">0.01</definedName>
    <definedName name="solver_typ" localSheetId="3" hidden="1">3</definedName>
    <definedName name="solver_typ" localSheetId="4" hidden="1">3</definedName>
    <definedName name="solver_typ" localSheetId="7" hidden="1">3</definedName>
    <definedName name="solver_typ" localSheetId="8" hidden="1">3</definedName>
    <definedName name="solver_val" localSheetId="3" hidden="1">0</definedName>
    <definedName name="solver_val" localSheetId="4" hidden="1">0</definedName>
    <definedName name="solver_val" localSheetId="7" hidden="1">23888.44</definedName>
    <definedName name="solver_val" localSheetId="8" hidden="1">23888.44</definedName>
    <definedName name="solver_ver" localSheetId="3" hidden="1">3</definedName>
    <definedName name="solver_ver" localSheetId="4" hidden="1">3</definedName>
    <definedName name="solver_ver" localSheetId="7" hidden="1">3</definedName>
    <definedName name="solver_ver" localSheetId="8"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4" i="8" l="1"/>
  <c r="E56" i="8"/>
  <c r="E55" i="8" l="1"/>
  <c r="E50" i="8" l="1"/>
  <c r="C51" i="8" l="1"/>
  <c r="B51" i="8"/>
  <c r="B52" i="8" s="1"/>
  <c r="B57" i="8"/>
  <c r="F56" i="8"/>
  <c r="G56" i="8" s="1"/>
  <c r="F55" i="8"/>
  <c r="G55" i="8" s="1"/>
  <c r="E57" i="8"/>
  <c r="D57" i="8"/>
  <c r="F54" i="8"/>
  <c r="G54" i="8" s="1"/>
  <c r="D52" i="8"/>
  <c r="D51" i="8"/>
  <c r="G51" i="8" l="1"/>
  <c r="F57" i="8"/>
  <c r="G57" i="8"/>
  <c r="E51" i="8"/>
  <c r="E52" i="8" s="1"/>
  <c r="C57" i="8"/>
  <c r="F50" i="8"/>
  <c r="G50" i="8" s="1"/>
  <c r="F51" i="8" l="1"/>
  <c r="F52" i="8" s="1"/>
  <c r="C52" i="8"/>
  <c r="G52" i="8"/>
  <c r="C8" i="18" l="1"/>
  <c r="C7" i="18"/>
  <c r="C6" i="18"/>
  <c r="C5" i="18"/>
  <c r="L17" i="22"/>
  <c r="L16" i="22"/>
  <c r="L15" i="22"/>
  <c r="L14" i="22"/>
  <c r="K17" i="22"/>
  <c r="K16" i="22"/>
  <c r="K15" i="22"/>
  <c r="K14" i="22"/>
  <c r="K22" i="24" l="1"/>
  <c r="K28" i="24" l="1"/>
  <c r="L22" i="24"/>
  <c r="K21" i="24" l="1"/>
  <c r="L28" i="24"/>
  <c r="K23" i="24"/>
  <c r="L21" i="24" l="1"/>
  <c r="K29" i="24"/>
  <c r="L23" i="24"/>
  <c r="K27" i="24" l="1"/>
  <c r="L27" i="24"/>
  <c r="K24" i="24"/>
  <c r="L29" i="24"/>
  <c r="L24" i="24" l="1"/>
  <c r="K30" i="24"/>
  <c r="L30" i="24" l="1"/>
  <c r="B7" i="19" l="1"/>
  <c r="C7" i="19" l="1"/>
  <c r="B6" i="19" l="1"/>
  <c r="B8" i="19"/>
  <c r="C6" i="19" l="1"/>
  <c r="C8" i="19"/>
  <c r="B9" i="19"/>
  <c r="C9" i="19" l="1"/>
  <c r="G19" i="13" l="1"/>
  <c r="G18" i="13"/>
  <c r="K10" i="15" l="1"/>
  <c r="K9" i="15"/>
  <c r="K8" i="15"/>
  <c r="G38" i="13" l="1"/>
  <c r="G37" i="13"/>
  <c r="G23" i="13" l="1"/>
  <c r="G22" i="13"/>
  <c r="E21" i="23" l="1"/>
  <c r="E20" i="23"/>
  <c r="E19" i="23"/>
  <c r="E18" i="23"/>
  <c r="F21" i="23"/>
  <c r="F20" i="23"/>
  <c r="F19" i="23"/>
  <c r="F18" i="23"/>
  <c r="G21" i="23"/>
  <c r="G20" i="23"/>
  <c r="G19" i="23"/>
  <c r="G18" i="23"/>
  <c r="H21" i="23"/>
  <c r="H20" i="23"/>
  <c r="H19" i="23"/>
  <c r="H18" i="23"/>
  <c r="I21" i="23"/>
  <c r="I20" i="23"/>
  <c r="I19" i="23"/>
  <c r="I18" i="23"/>
  <c r="D21" i="23"/>
  <c r="D20" i="23"/>
  <c r="D19" i="23"/>
  <c r="D18" i="23"/>
  <c r="J18" i="24"/>
  <c r="J17" i="24"/>
  <c r="J16" i="24"/>
  <c r="J15" i="24"/>
  <c r="I18" i="24"/>
  <c r="I17" i="24"/>
  <c r="I16" i="24"/>
  <c r="I15" i="24"/>
  <c r="H18" i="24"/>
  <c r="H17" i="24"/>
  <c r="H16" i="24"/>
  <c r="H15" i="24"/>
  <c r="G18" i="24"/>
  <c r="G17" i="24"/>
  <c r="G16" i="24"/>
  <c r="G15" i="24"/>
  <c r="F18" i="24"/>
  <c r="F17" i="24"/>
  <c r="F16" i="24"/>
  <c r="F15" i="24"/>
  <c r="E18" i="24"/>
  <c r="E17" i="24"/>
  <c r="E16" i="24"/>
  <c r="E15" i="24"/>
  <c r="E24" i="24" l="1"/>
  <c r="E23" i="24"/>
  <c r="E21" i="24" l="1"/>
  <c r="F23" i="24"/>
  <c r="F21" i="24"/>
  <c r="F24" i="24"/>
  <c r="E30" i="24"/>
  <c r="E27" i="24"/>
  <c r="E22" i="24" l="1"/>
  <c r="E29" i="24"/>
  <c r="G23" i="24"/>
  <c r="G21" i="24"/>
  <c r="G24" i="24"/>
  <c r="F29" i="24"/>
  <c r="F27" i="24"/>
  <c r="F22" i="24" l="1"/>
  <c r="F30" i="24"/>
  <c r="H24" i="24"/>
  <c r="H21" i="24"/>
  <c r="G30" i="24"/>
  <c r="H23" i="24"/>
  <c r="G29" i="24"/>
  <c r="G27" i="24"/>
  <c r="E28" i="24"/>
  <c r="G22" i="24" l="1"/>
  <c r="I24" i="24"/>
  <c r="H30" i="24"/>
  <c r="I21" i="24"/>
  <c r="H29" i="24"/>
  <c r="I23" i="24"/>
  <c r="H27" i="24"/>
  <c r="H22" i="24" l="1"/>
  <c r="F28" i="24"/>
  <c r="I30" i="24"/>
  <c r="J21" i="24"/>
  <c r="I29" i="24"/>
  <c r="J24" i="24"/>
  <c r="J23" i="24"/>
  <c r="I22" i="24" l="1"/>
  <c r="G28" i="24"/>
  <c r="J30" i="24"/>
  <c r="J29" i="24"/>
  <c r="J22" i="24" l="1"/>
  <c r="I27" i="24"/>
  <c r="H28" i="24"/>
  <c r="J27" i="24"/>
  <c r="I28" i="24" l="1"/>
  <c r="J28" i="24" l="1"/>
  <c r="F21" i="16" l="1"/>
  <c r="F20" i="16"/>
  <c r="F19" i="16"/>
  <c r="F18" i="16"/>
  <c r="G21" i="16"/>
  <c r="G20" i="16"/>
  <c r="G19" i="16"/>
  <c r="G18" i="16"/>
  <c r="H21" i="16"/>
  <c r="H20" i="16"/>
  <c r="H19" i="16"/>
  <c r="H18" i="16"/>
  <c r="I21" i="16"/>
  <c r="I20" i="16"/>
  <c r="I19" i="16"/>
  <c r="I18" i="16"/>
  <c r="J21" i="16"/>
  <c r="J20" i="16"/>
  <c r="J19" i="16"/>
  <c r="J18" i="16"/>
  <c r="E21" i="16"/>
  <c r="E20" i="16"/>
  <c r="E19" i="16"/>
  <c r="E18" i="16"/>
  <c r="J29" i="22" l="1"/>
  <c r="J28" i="22"/>
  <c r="J27" i="22"/>
  <c r="J26" i="22"/>
  <c r="I29" i="22"/>
  <c r="I28" i="22"/>
  <c r="I27" i="22"/>
  <c r="I26" i="22"/>
  <c r="H29" i="22"/>
  <c r="H28" i="22"/>
  <c r="H27" i="22"/>
  <c r="H26" i="22"/>
  <c r="G29" i="22"/>
  <c r="G28" i="22"/>
  <c r="G27" i="22"/>
  <c r="G26" i="22"/>
  <c r="F29" i="22"/>
  <c r="F28" i="22"/>
  <c r="F27" i="22"/>
  <c r="F26" i="22"/>
  <c r="E29" i="22"/>
  <c r="E28" i="22"/>
  <c r="E27" i="22"/>
  <c r="E26" i="22"/>
  <c r="I47" i="15" l="1"/>
  <c r="E29" i="15" l="1"/>
  <c r="E28" i="15"/>
  <c r="E27" i="15"/>
  <c r="E26" i="15"/>
  <c r="F29" i="15"/>
  <c r="F28" i="15"/>
  <c r="F27" i="15"/>
  <c r="F26" i="15"/>
  <c r="G29" i="15"/>
  <c r="G28" i="15"/>
  <c r="G27" i="15"/>
  <c r="G26" i="15"/>
  <c r="H29" i="15"/>
  <c r="H28" i="15"/>
  <c r="H27" i="15"/>
  <c r="H26" i="15"/>
  <c r="I29" i="15"/>
  <c r="I28" i="15"/>
  <c r="I27" i="15"/>
  <c r="I26" i="15"/>
  <c r="D29" i="15"/>
  <c r="D28" i="15"/>
  <c r="D27" i="15"/>
  <c r="D26" i="15"/>
  <c r="I35" i="15"/>
  <c r="I34" i="15"/>
  <c r="I33" i="15"/>
  <c r="I32" i="15"/>
  <c r="H35" i="15"/>
  <c r="H34" i="15"/>
  <c r="H33" i="15"/>
  <c r="H32" i="15"/>
  <c r="G35" i="15"/>
  <c r="G34" i="15"/>
  <c r="G33" i="15"/>
  <c r="G32" i="15"/>
  <c r="F35" i="15"/>
  <c r="F34" i="15"/>
  <c r="F33" i="15"/>
  <c r="F32" i="15"/>
  <c r="E35" i="15"/>
  <c r="E34" i="15"/>
  <c r="E33" i="15"/>
  <c r="E32" i="15"/>
  <c r="D35" i="15"/>
  <c r="D34" i="15"/>
  <c r="D33" i="15"/>
  <c r="D32" i="15"/>
  <c r="J17" i="22" l="1"/>
  <c r="J16" i="22"/>
  <c r="J15" i="22"/>
  <c r="J14" i="22"/>
  <c r="H47" i="15" l="1"/>
  <c r="G47" i="15"/>
  <c r="F47" i="15"/>
  <c r="E47" i="15"/>
  <c r="D47" i="15"/>
  <c r="D18" i="28" l="1"/>
  <c r="D22" i="28" l="1"/>
  <c r="D24" i="28"/>
  <c r="D23" i="28"/>
  <c r="C24" i="28" l="1"/>
  <c r="C23" i="28"/>
  <c r="C18" i="28" l="1"/>
  <c r="C22" i="28" l="1"/>
  <c r="E22" i="28" l="1"/>
  <c r="E24" i="28"/>
  <c r="E18" i="28" l="1"/>
  <c r="E23" i="28" l="1"/>
  <c r="E19" i="28" l="1"/>
  <c r="D19" i="28"/>
  <c r="C19" i="28"/>
  <c r="B18" i="28" l="1"/>
  <c r="B24" i="28" l="1"/>
  <c r="B23" i="28"/>
  <c r="B22" i="28" l="1"/>
  <c r="B19" i="28" s="1"/>
  <c r="B47" i="28"/>
  <c r="F46" i="28"/>
  <c r="G46" i="28" s="1"/>
  <c r="E47" i="28"/>
  <c r="D47" i="28"/>
  <c r="F44" i="28"/>
  <c r="D42" i="28"/>
  <c r="B42" i="28"/>
  <c r="E36" i="28"/>
  <c r="D36" i="28"/>
  <c r="F35" i="28"/>
  <c r="G35" i="28" s="1"/>
  <c r="F34" i="28"/>
  <c r="G34" i="28" s="1"/>
  <c r="F33" i="28"/>
  <c r="G33" i="28" s="1"/>
  <c r="C36" i="28"/>
  <c r="B36" i="28"/>
  <c r="E31" i="28"/>
  <c r="D31" i="28"/>
  <c r="F30" i="28"/>
  <c r="G30" i="28" s="1"/>
  <c r="C31" i="28"/>
  <c r="B31" i="28"/>
  <c r="E13" i="28"/>
  <c r="D13" i="28"/>
  <c r="C12" i="28"/>
  <c r="B12" i="28"/>
  <c r="E25" i="28"/>
  <c r="D25" i="28"/>
  <c r="B25" i="28"/>
  <c r="D8" i="28"/>
  <c r="D20" i="28"/>
  <c r="C7" i="28"/>
  <c r="B7" i="28"/>
  <c r="B13" i="28"/>
  <c r="E12" i="28"/>
  <c r="D12" i="28"/>
  <c r="E11" i="28"/>
  <c r="D11" i="28"/>
  <c r="C11" i="28"/>
  <c r="B11" i="28"/>
  <c r="E7" i="28"/>
  <c r="D7" i="28"/>
  <c r="A2" i="28"/>
  <c r="A1" i="28"/>
  <c r="L29" i="15"/>
  <c r="K29" i="15"/>
  <c r="J29" i="15"/>
  <c r="L28" i="15"/>
  <c r="K28" i="15"/>
  <c r="J28" i="15"/>
  <c r="L27" i="15"/>
  <c r="K27" i="15"/>
  <c r="J27" i="15"/>
  <c r="L26" i="15"/>
  <c r="K26" i="15"/>
  <c r="J26" i="15"/>
  <c r="E14" i="28" l="1"/>
  <c r="F11" i="28"/>
  <c r="D14" i="28"/>
  <c r="D9" i="28"/>
  <c r="C8" i="28"/>
  <c r="C9" i="28" s="1"/>
  <c r="F36" i="28"/>
  <c r="F7" i="28"/>
  <c r="G36" i="28"/>
  <c r="G44" i="28"/>
  <c r="F41" i="28"/>
  <c r="G41" i="28" s="1"/>
  <c r="F12" i="28"/>
  <c r="C42" i="28"/>
  <c r="F19" i="28"/>
  <c r="G19" i="28" s="1"/>
  <c r="B14" i="28"/>
  <c r="E42" i="28"/>
  <c r="F18" i="28"/>
  <c r="G18" i="28" s="1"/>
  <c r="B20" i="28"/>
  <c r="F23" i="28"/>
  <c r="G23" i="28" s="1"/>
  <c r="F45" i="28"/>
  <c r="G45" i="28" s="1"/>
  <c r="C47" i="28"/>
  <c r="C13" i="28"/>
  <c r="F13" i="28" s="1"/>
  <c r="C20" i="28"/>
  <c r="C25" i="28"/>
  <c r="F24" i="28"/>
  <c r="G24" i="28" s="1"/>
  <c r="F22" i="28"/>
  <c r="G22" i="28" s="1"/>
  <c r="F29" i="28"/>
  <c r="B8" i="28"/>
  <c r="B9" i="28" s="1"/>
  <c r="F40" i="28"/>
  <c r="E33" i="16"/>
  <c r="E31" i="16"/>
  <c r="E32" i="16"/>
  <c r="E26" i="16"/>
  <c r="E25" i="16"/>
  <c r="E27" i="16"/>
  <c r="E24" i="16"/>
  <c r="G13" i="28" l="1"/>
  <c r="G8" i="28"/>
  <c r="F14" i="28"/>
  <c r="C14" i="28"/>
  <c r="G12" i="28"/>
  <c r="F25" i="28"/>
  <c r="F20" i="28"/>
  <c r="E20" i="28"/>
  <c r="E8" i="28"/>
  <c r="E9" i="28" s="1"/>
  <c r="F47" i="28"/>
  <c r="G29" i="28"/>
  <c r="G31" i="28" s="1"/>
  <c r="F31" i="28"/>
  <c r="G40" i="28"/>
  <c r="G42" i="28" s="1"/>
  <c r="F42" i="28"/>
  <c r="G47" i="28"/>
  <c r="F32" i="16"/>
  <c r="F26" i="16"/>
  <c r="F31" i="16"/>
  <c r="F25" i="16"/>
  <c r="F33" i="16"/>
  <c r="F27" i="16"/>
  <c r="F24" i="16"/>
  <c r="F8" i="28" l="1"/>
  <c r="F9" i="28" s="1"/>
  <c r="G20" i="28"/>
  <c r="G7" i="28"/>
  <c r="G11" i="28"/>
  <c r="G25" i="28"/>
  <c r="G27" i="16"/>
  <c r="G31" i="16"/>
  <c r="G24" i="16"/>
  <c r="G26" i="16"/>
  <c r="G32" i="16"/>
  <c r="G25" i="16"/>
  <c r="G33" i="16"/>
  <c r="E30" i="16"/>
  <c r="H32" i="16"/>
  <c r="H26" i="16"/>
  <c r="H31" i="16"/>
  <c r="H25" i="16"/>
  <c r="H33" i="16"/>
  <c r="H27" i="16"/>
  <c r="H24" i="16"/>
  <c r="G14" i="28" l="1"/>
  <c r="G9" i="28"/>
  <c r="F30" i="16"/>
  <c r="H30" i="16"/>
  <c r="I33" i="16"/>
  <c r="I27" i="16"/>
  <c r="I31" i="16"/>
  <c r="I25" i="16"/>
  <c r="I32" i="16"/>
  <c r="I24" i="16"/>
  <c r="I26" i="16" l="1"/>
  <c r="G30" i="16"/>
  <c r="I30" i="16"/>
  <c r="J33" i="16"/>
  <c r="J27" i="16"/>
  <c r="J31" i="16"/>
  <c r="J25" i="16"/>
  <c r="J32" i="16"/>
  <c r="J26" i="16"/>
  <c r="J24" i="16"/>
  <c r="L31" i="16" l="1"/>
  <c r="J30" i="16"/>
  <c r="L33" i="16"/>
  <c r="L27" i="16"/>
  <c r="K33" i="16"/>
  <c r="K27" i="16"/>
  <c r="K31" i="16"/>
  <c r="L32" i="16"/>
  <c r="L26" i="16"/>
  <c r="K32" i="16"/>
  <c r="L25" i="16"/>
  <c r="K24" i="16"/>
  <c r="L24" i="16"/>
  <c r="K26" i="16" l="1"/>
  <c r="K25" i="16"/>
  <c r="K30" i="16"/>
  <c r="L30" i="16"/>
  <c r="C10" i="12" l="1"/>
  <c r="C12" i="12"/>
  <c r="B12" i="12"/>
  <c r="B10" i="12"/>
  <c r="B11" i="12"/>
  <c r="C11" i="12" l="1"/>
  <c r="B6" i="12"/>
  <c r="C6" i="12" l="1"/>
  <c r="I17" i="22" l="1"/>
  <c r="I16" i="22"/>
  <c r="I15" i="22"/>
  <c r="I14" i="22"/>
  <c r="H14" i="22" l="1"/>
  <c r="H16" i="22" l="1"/>
  <c r="H15" i="22" l="1"/>
  <c r="H17" i="22" l="1"/>
  <c r="G14" i="22" l="1"/>
  <c r="G16" i="22" l="1"/>
  <c r="G15" i="22" l="1"/>
  <c r="G17" i="22" l="1"/>
  <c r="F14" i="22" l="1"/>
  <c r="F16" i="22" l="1"/>
  <c r="F15" i="22" l="1"/>
  <c r="F17" i="22" l="1"/>
  <c r="E14" i="22" l="1"/>
  <c r="E16" i="22" l="1"/>
  <c r="E15" i="22" l="1"/>
  <c r="E17" i="22" l="1"/>
  <c r="B8" i="18" l="1"/>
  <c r="B7" i="18"/>
  <c r="B6" i="18"/>
  <c r="B5" i="18"/>
  <c r="D37" i="22" l="1"/>
  <c r="D36" i="22"/>
  <c r="D35" i="22"/>
  <c r="D34" i="22"/>
  <c r="E10" i="10" l="1"/>
  <c r="D10" i="10"/>
  <c r="E11" i="10" l="1"/>
  <c r="D11" i="10"/>
  <c r="E29" i="13" l="1"/>
  <c r="C29" i="8" l="1"/>
  <c r="D29" i="8" l="1"/>
  <c r="D34" i="8"/>
  <c r="C34" i="8"/>
  <c r="C35" i="8"/>
  <c r="D35" i="8" l="1"/>
  <c r="C33" i="8" l="1"/>
  <c r="C30" i="8" s="1"/>
  <c r="D33" i="8" l="1"/>
  <c r="D30" i="8" s="1"/>
  <c r="C22" i="8" l="1"/>
  <c r="C24" i="8"/>
  <c r="C23" i="8"/>
  <c r="C19" i="8" l="1"/>
  <c r="C18" i="8"/>
  <c r="D22" i="8" l="1"/>
  <c r="D24" i="8"/>
  <c r="D23" i="8"/>
  <c r="D19" i="8" l="1"/>
  <c r="D18" i="8"/>
  <c r="E24" i="8" l="1"/>
  <c r="E23" i="8"/>
  <c r="E22" i="8"/>
  <c r="E19" i="8" l="1"/>
  <c r="E18" i="8"/>
  <c r="E33" i="8" l="1"/>
  <c r="E34" i="8"/>
  <c r="E35" i="8" l="1"/>
  <c r="E30" i="8" l="1"/>
  <c r="E29" i="8" l="1"/>
  <c r="B42" i="8" l="1"/>
  <c r="B47" i="8" l="1"/>
  <c r="D40" i="8" l="1"/>
  <c r="C40" i="8"/>
  <c r="C46" i="8"/>
  <c r="C45" i="8"/>
  <c r="D45" i="8" l="1"/>
  <c r="D46" i="8" l="1"/>
  <c r="C44" i="8" l="1"/>
  <c r="D44" i="8" l="1"/>
  <c r="D41" i="8" l="1"/>
  <c r="D42" i="8" s="1"/>
  <c r="D47" i="8"/>
  <c r="C41" i="8"/>
  <c r="C47" i="8"/>
  <c r="C42" i="8" l="1"/>
  <c r="E44" i="8" l="1"/>
  <c r="F44" i="8" l="1"/>
  <c r="E45" i="8"/>
  <c r="G44" i="8" l="1"/>
  <c r="E46" i="8"/>
  <c r="F46" i="8" l="1"/>
  <c r="G46" i="8" s="1"/>
  <c r="E40" i="8"/>
  <c r="F40" i="8" l="1"/>
  <c r="F45" i="8" l="1"/>
  <c r="E47" i="8"/>
  <c r="E41" i="8"/>
  <c r="G40" i="8"/>
  <c r="F41" i="8" l="1"/>
  <c r="E42" i="8"/>
  <c r="G45" i="8"/>
  <c r="F47" i="8"/>
  <c r="G47" i="8" l="1"/>
  <c r="G41" i="8"/>
  <c r="F42" i="8"/>
  <c r="G42" i="8" l="1"/>
  <c r="J23" i="22" l="1"/>
  <c r="J22" i="22"/>
  <c r="J21" i="22"/>
  <c r="J20" i="22"/>
  <c r="I23" i="22"/>
  <c r="I22" i="22"/>
  <c r="I21" i="22"/>
  <c r="I20" i="22"/>
  <c r="H23" i="22"/>
  <c r="H22" i="22"/>
  <c r="H21" i="22"/>
  <c r="H20" i="22"/>
  <c r="G23" i="22"/>
  <c r="G22" i="22"/>
  <c r="G21" i="22"/>
  <c r="G20" i="22"/>
  <c r="F23" i="22"/>
  <c r="F22" i="22"/>
  <c r="F21" i="22"/>
  <c r="F20" i="22"/>
  <c r="E23" i="22"/>
  <c r="E22" i="22"/>
  <c r="E21" i="22"/>
  <c r="E20" i="22"/>
  <c r="C15" i="5" l="1"/>
  <c r="C14" i="5"/>
  <c r="C13" i="5"/>
  <c r="C12" i="5"/>
  <c r="J8" i="13"/>
  <c r="L8" i="16"/>
  <c r="J10" i="23"/>
  <c r="E14" i="10"/>
  <c r="E13" i="10"/>
  <c r="E15" i="10" l="1"/>
  <c r="J9" i="13"/>
  <c r="J10" i="13"/>
  <c r="L9" i="16"/>
  <c r="L10" i="16"/>
  <c r="J8" i="23"/>
  <c r="J9" i="23"/>
  <c r="A1" i="13" l="1"/>
  <c r="A2" i="10"/>
  <c r="A1" i="10"/>
  <c r="A1" i="23"/>
  <c r="A2" i="8"/>
  <c r="A1" i="8"/>
  <c r="A1" i="24"/>
  <c r="A1" i="16"/>
  <c r="A1" i="19"/>
  <c r="A1" i="12"/>
  <c r="A1" i="22"/>
  <c r="A1" i="15"/>
  <c r="A1" i="5"/>
  <c r="A2" i="20" s="1"/>
  <c r="B35" i="8" l="1"/>
  <c r="B34" i="8"/>
  <c r="B33" i="8"/>
  <c r="B30" i="8"/>
  <c r="B29" i="8"/>
  <c r="B24" i="8"/>
  <c r="B13" i="8" s="1"/>
  <c r="B23" i="8"/>
  <c r="B12" i="8" s="1"/>
  <c r="B22" i="8"/>
  <c r="B11" i="8" s="1"/>
  <c r="B19" i="8"/>
  <c r="B18" i="8"/>
  <c r="B7" i="8" l="1"/>
  <c r="B8" i="8"/>
  <c r="C12" i="8"/>
  <c r="C13" i="8"/>
  <c r="C11" i="8"/>
  <c r="C8" i="8"/>
  <c r="C7" i="8" l="1"/>
  <c r="D13" i="8" l="1"/>
  <c r="D12" i="8"/>
  <c r="D11" i="8"/>
  <c r="D8" i="8"/>
  <c r="D7" i="8" l="1"/>
  <c r="E11" i="8" l="1"/>
  <c r="E12" i="8" l="1"/>
  <c r="E13" i="8"/>
  <c r="E8" i="8" l="1"/>
  <c r="E7" i="8"/>
  <c r="B31" i="8" l="1"/>
  <c r="B9" i="8" l="1"/>
  <c r="A2" i="12" l="1"/>
  <c r="E6" i="18" l="1"/>
  <c r="E7" i="18" l="1"/>
  <c r="E8" i="18"/>
  <c r="G5" i="23" l="1"/>
  <c r="B52" i="23" l="1"/>
  <c r="B55" i="24"/>
  <c r="B54" i="22"/>
  <c r="G7" i="5" l="1"/>
  <c r="G6" i="5"/>
  <c r="G5" i="5"/>
  <c r="G4" i="5"/>
  <c r="Z12" i="5" l="1"/>
  <c r="Z13" i="5"/>
  <c r="Z14" i="5"/>
  <c r="Z15" i="5"/>
  <c r="S6" i="5"/>
  <c r="S7" i="5"/>
  <c r="S5" i="5"/>
  <c r="B9" i="18"/>
  <c r="D39" i="16" l="1"/>
  <c r="C39" i="16"/>
  <c r="E25" i="8" l="1"/>
  <c r="B25" i="8"/>
  <c r="D25" i="8"/>
  <c r="E20" i="8"/>
  <c r="F23" i="8"/>
  <c r="F19" i="8"/>
  <c r="G19" i="8" s="1"/>
  <c r="B20" i="8"/>
  <c r="C20" i="8"/>
  <c r="F22" i="8"/>
  <c r="D20" i="8"/>
  <c r="C25" i="8"/>
  <c r="F24" i="8"/>
  <c r="F18" i="8"/>
  <c r="G18" i="8" l="1"/>
  <c r="G23" i="8"/>
  <c r="G24" i="8"/>
  <c r="G22" i="8"/>
  <c r="F25" i="8"/>
  <c r="F20" i="8"/>
  <c r="G20" i="8" l="1"/>
  <c r="G25" i="8"/>
  <c r="G5" i="16" l="1"/>
  <c r="I6" i="24" l="1"/>
  <c r="I5" i="24"/>
  <c r="C38" i="24" l="1"/>
  <c r="C44" i="24" s="1"/>
  <c r="C37" i="24"/>
  <c r="C43" i="24" s="1"/>
  <c r="C36" i="24"/>
  <c r="C42" i="24" s="1"/>
  <c r="C35" i="24"/>
  <c r="F15" i="16" l="1"/>
  <c r="H15" i="16" l="1"/>
  <c r="G15" i="16"/>
  <c r="I15" i="16" l="1"/>
  <c r="J15" i="16" l="1"/>
  <c r="K15" i="16" l="1"/>
  <c r="L15" i="16" l="1"/>
  <c r="N26" i="16" l="1"/>
  <c r="N25" i="16"/>
  <c r="J39" i="16" l="1"/>
  <c r="I39" i="16"/>
  <c r="H39" i="16"/>
  <c r="L34" i="15" l="1"/>
  <c r="L22" i="22"/>
  <c r="L28" i="22" s="1"/>
  <c r="L33" i="15"/>
  <c r="K33" i="15"/>
  <c r="L20" i="22"/>
  <c r="K21" i="22"/>
  <c r="K27" i="22" s="1"/>
  <c r="M21" i="22" l="1"/>
  <c r="M27" i="22" s="1"/>
  <c r="J33" i="15"/>
  <c r="L21" i="22"/>
  <c r="L27" i="22" s="1"/>
  <c r="J20" i="23"/>
  <c r="K17" i="24"/>
  <c r="K20" i="16"/>
  <c r="J21" i="23"/>
  <c r="K18" i="24"/>
  <c r="K21" i="16"/>
  <c r="K21" i="23"/>
  <c r="L18" i="24"/>
  <c r="L21" i="16"/>
  <c r="K34" i="15"/>
  <c r="K22" i="22"/>
  <c r="K28" i="22" s="1"/>
  <c r="L18" i="13"/>
  <c r="L18" i="23"/>
  <c r="M15" i="24"/>
  <c r="M35" i="24" s="1"/>
  <c r="M18" i="16"/>
  <c r="L20" i="23"/>
  <c r="M17" i="24"/>
  <c r="M37" i="24" s="1"/>
  <c r="M20" i="16"/>
  <c r="J34" i="15"/>
  <c r="J18" i="13"/>
  <c r="J18" i="23"/>
  <c r="K15" i="24"/>
  <c r="K18" i="16"/>
  <c r="K20" i="22"/>
  <c r="M22" i="22"/>
  <c r="M28" i="22" s="1"/>
  <c r="K23" i="22"/>
  <c r="K18" i="13"/>
  <c r="K18" i="23"/>
  <c r="L15" i="24"/>
  <c r="L18" i="16"/>
  <c r="L21" i="23"/>
  <c r="M18" i="24"/>
  <c r="M38" i="24" s="1"/>
  <c r="M21" i="16"/>
  <c r="K19" i="13"/>
  <c r="K19" i="23"/>
  <c r="L16" i="24"/>
  <c r="L19" i="16"/>
  <c r="L19" i="13"/>
  <c r="L19" i="23"/>
  <c r="M16" i="24"/>
  <c r="M36" i="24" s="1"/>
  <c r="M19" i="16"/>
  <c r="J19" i="13"/>
  <c r="J19" i="23"/>
  <c r="K16" i="24"/>
  <c r="K19" i="16"/>
  <c r="M20" i="22"/>
  <c r="L23" i="22"/>
  <c r="K20" i="23"/>
  <c r="L17" i="24"/>
  <c r="L20" i="16"/>
  <c r="M23" i="22"/>
  <c r="E5" i="16" l="1"/>
  <c r="D5" i="23"/>
  <c r="M39" i="16"/>
  <c r="E5" i="24"/>
  <c r="L39" i="16"/>
  <c r="K39" i="16"/>
  <c r="E6" i="24"/>
  <c r="I6" i="22" l="1"/>
  <c r="F6" i="22"/>
  <c r="E6" i="22"/>
  <c r="I5" i="22"/>
  <c r="F5" i="22"/>
  <c r="E5" i="22"/>
  <c r="M36" i="22" l="1"/>
  <c r="I36" i="22"/>
  <c r="H36" i="22"/>
  <c r="G36" i="22"/>
  <c r="F36" i="22"/>
  <c r="E36" i="22"/>
  <c r="C36" i="22"/>
  <c r="C42" i="22" s="1"/>
  <c r="D42" i="22" s="1"/>
  <c r="M35" i="22"/>
  <c r="I35" i="22"/>
  <c r="H35" i="22"/>
  <c r="G35" i="22"/>
  <c r="F35" i="22"/>
  <c r="E35" i="22"/>
  <c r="C35" i="22"/>
  <c r="C41" i="22" s="1"/>
  <c r="D41" i="22" s="1"/>
  <c r="E41" i="22" l="1"/>
  <c r="E42" i="22"/>
  <c r="L34" i="23"/>
  <c r="C34" i="23"/>
  <c r="C40" i="23" s="1"/>
  <c r="L33" i="23"/>
  <c r="C33" i="23"/>
  <c r="C39" i="23" s="1"/>
  <c r="C13" i="13"/>
  <c r="B13" i="13"/>
  <c r="C13" i="23"/>
  <c r="B13" i="23"/>
  <c r="C10" i="24"/>
  <c r="B10" i="24"/>
  <c r="C13" i="16"/>
  <c r="B13" i="16"/>
  <c r="C10" i="22"/>
  <c r="B10" i="22"/>
  <c r="J47" i="15" l="1"/>
  <c r="K47" i="15" s="1"/>
  <c r="G39" i="16" l="1"/>
  <c r="F39" i="16"/>
  <c r="E39" i="16"/>
  <c r="E15" i="16" l="1"/>
  <c r="N27" i="16" l="1"/>
  <c r="F5" i="16" s="1"/>
  <c r="C55" i="24" l="1"/>
  <c r="C41" i="24"/>
  <c r="E11" i="24"/>
  <c r="F11" i="24" s="1"/>
  <c r="G11" i="24" s="1"/>
  <c r="H11" i="24" s="1"/>
  <c r="I11" i="24" s="1"/>
  <c r="J11" i="24" s="1"/>
  <c r="K11" i="24" s="1"/>
  <c r="L11" i="24" s="1"/>
  <c r="M11" i="24" s="1"/>
  <c r="I7" i="24"/>
  <c r="I4" i="24"/>
  <c r="I8" i="24" l="1"/>
  <c r="E7" i="24"/>
  <c r="E4" i="24"/>
  <c r="E8" i="24" l="1"/>
  <c r="D14" i="13" l="1"/>
  <c r="D14" i="23"/>
  <c r="E14" i="23" s="1"/>
  <c r="F14" i="23" s="1"/>
  <c r="G14" i="23" s="1"/>
  <c r="H14" i="23" s="1"/>
  <c r="I14" i="23" s="1"/>
  <c r="J14" i="23" s="1"/>
  <c r="K14" i="23" s="1"/>
  <c r="L14" i="23" s="1"/>
  <c r="E14" i="16"/>
  <c r="E11" i="22"/>
  <c r="E14" i="15"/>
  <c r="F14" i="15" s="1"/>
  <c r="G14" i="15" s="1"/>
  <c r="H14" i="15" s="1"/>
  <c r="I14" i="15" s="1"/>
  <c r="J14" i="15" s="1"/>
  <c r="K14" i="15" s="1"/>
  <c r="L14" i="15" s="1"/>
  <c r="M11" i="22" s="1"/>
  <c r="C52" i="23"/>
  <c r="C35" i="23"/>
  <c r="C41" i="23" s="1"/>
  <c r="C32" i="23"/>
  <c r="C38" i="23" s="1"/>
  <c r="L35" i="23"/>
  <c r="L32" i="23"/>
  <c r="G4" i="23"/>
  <c r="G6" i="23" s="1"/>
  <c r="C38" i="16"/>
  <c r="C54" i="22"/>
  <c r="M52" i="22"/>
  <c r="M29" i="22"/>
  <c r="L29" i="22"/>
  <c r="K29" i="22"/>
  <c r="M26" i="22"/>
  <c r="L26" i="22"/>
  <c r="K26" i="22"/>
  <c r="C37" i="22"/>
  <c r="C43" i="22" s="1"/>
  <c r="D43" i="22" s="1"/>
  <c r="H37" i="22"/>
  <c r="G37" i="22"/>
  <c r="G34" i="22"/>
  <c r="F34" i="22"/>
  <c r="I7" i="22"/>
  <c r="I4" i="22"/>
  <c r="I8" i="22" l="1"/>
  <c r="M34" i="22"/>
  <c r="H34" i="22"/>
  <c r="I34" i="22"/>
  <c r="F37" i="22"/>
  <c r="I37" i="22"/>
  <c r="J11" i="23"/>
  <c r="F4" i="22"/>
  <c r="M37" i="22"/>
  <c r="F7" i="22"/>
  <c r="D4" i="23"/>
  <c r="F11" i="22"/>
  <c r="H11" i="22"/>
  <c r="G11" i="22"/>
  <c r="I11" i="22"/>
  <c r="J11" i="22"/>
  <c r="K11" i="22"/>
  <c r="L11" i="22"/>
  <c r="E37" i="22"/>
  <c r="E43" i="22" s="1"/>
  <c r="E7" i="22"/>
  <c r="E4" i="22"/>
  <c r="C34" i="22"/>
  <c r="C40" i="22" s="1"/>
  <c r="D40" i="22" s="1"/>
  <c r="E34" i="22"/>
  <c r="E40" i="22" l="1"/>
  <c r="D6" i="23"/>
  <c r="F8" i="22"/>
  <c r="E8" i="22"/>
  <c r="A2" i="19" l="1"/>
  <c r="Z23" i="5" l="1"/>
  <c r="AA23" i="5"/>
  <c r="AA15" i="5"/>
  <c r="AA22" i="5"/>
  <c r="AA14" i="5"/>
  <c r="Z22" i="5"/>
  <c r="E16" i="20" l="1"/>
  <c r="E15" i="20"/>
  <c r="D16" i="20"/>
  <c r="AA13" i="5"/>
  <c r="Z21" i="5"/>
  <c r="AA21" i="5"/>
  <c r="D15" i="20"/>
  <c r="J11" i="13"/>
  <c r="E16" i="10" l="1"/>
  <c r="D14" i="20"/>
  <c r="E14" i="20"/>
  <c r="K11" i="15"/>
  <c r="L11" i="16"/>
  <c r="B13" i="12" l="1"/>
  <c r="B7" i="12" s="1"/>
  <c r="T15" i="5"/>
  <c r="T14" i="5"/>
  <c r="T13" i="5"/>
  <c r="C13" i="12" l="1"/>
  <c r="C7" i="12" s="1"/>
  <c r="F8" i="10" l="1"/>
  <c r="D38" i="16" l="1"/>
  <c r="D15" i="16"/>
  <c r="B52" i="16" l="1"/>
  <c r="B54" i="15"/>
  <c r="C10" i="10" l="1"/>
  <c r="C42" i="13" l="1"/>
  <c r="F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G6" i="13" l="1"/>
  <c r="D33" i="13"/>
  <c r="D32" i="13"/>
  <c r="I29" i="13"/>
  <c r="E5" i="13"/>
  <c r="E4" i="13"/>
  <c r="G29" i="13"/>
  <c r="H15" i="13"/>
  <c r="E6" i="13" l="1"/>
  <c r="L29" i="13" l="1"/>
  <c r="L28" i="13"/>
  <c r="K28" i="13"/>
  <c r="K29" i="13"/>
  <c r="J28" i="13" l="1"/>
  <c r="D4" i="13"/>
  <c r="J29" i="13"/>
  <c r="D5" i="13"/>
  <c r="F5" i="13" s="1"/>
  <c r="D6" i="13" l="1"/>
  <c r="F4" i="13"/>
  <c r="F6" i="13" l="1"/>
  <c r="C23" i="15" l="1"/>
  <c r="C41" i="15" s="1"/>
  <c r="C22" i="15"/>
  <c r="H46" i="24" l="1"/>
  <c r="G35" i="13"/>
  <c r="G43" i="23"/>
  <c r="H45" i="16"/>
  <c r="H45" i="22"/>
  <c r="E46" i="24"/>
  <c r="D35" i="13"/>
  <c r="E45" i="16"/>
  <c r="D43" i="23"/>
  <c r="E45" i="22"/>
  <c r="F46" i="24"/>
  <c r="E35" i="13"/>
  <c r="E43" i="23"/>
  <c r="F45" i="16"/>
  <c r="F45" i="22"/>
  <c r="G46" i="24"/>
  <c r="F35" i="13"/>
  <c r="F43" i="23"/>
  <c r="G45" i="16"/>
  <c r="G45" i="22"/>
  <c r="I46" i="24"/>
  <c r="H35" i="13"/>
  <c r="H43" i="23"/>
  <c r="I45" i="16"/>
  <c r="I45" i="22"/>
  <c r="E49" i="22" l="1"/>
  <c r="E48" i="22"/>
  <c r="E50" i="22"/>
  <c r="E47" i="22"/>
  <c r="D38" i="13"/>
  <c r="D37" i="13"/>
  <c r="J46" i="24"/>
  <c r="I43" i="23"/>
  <c r="J45" i="16"/>
  <c r="I35" i="13"/>
  <c r="J45" i="22"/>
  <c r="C52" i="16"/>
  <c r="D52" i="16" s="1"/>
  <c r="E54" i="22" l="1"/>
  <c r="E51" i="22" s="1"/>
  <c r="F42" i="22"/>
  <c r="F49" i="22"/>
  <c r="F41" i="22"/>
  <c r="F48" i="22"/>
  <c r="F47" i="22"/>
  <c r="E52" i="22"/>
  <c r="F40" i="22"/>
  <c r="E37" i="13"/>
  <c r="E32" i="13"/>
  <c r="D40" i="13"/>
  <c r="D42" i="13"/>
  <c r="D39" i="13" s="1"/>
  <c r="F50" i="22"/>
  <c r="F43" i="22"/>
  <c r="E33" i="13"/>
  <c r="E38" i="13"/>
  <c r="L35" i="15"/>
  <c r="K35" i="15"/>
  <c r="J35" i="15"/>
  <c r="L32" i="15"/>
  <c r="K32" i="15"/>
  <c r="J32" i="15"/>
  <c r="F54" i="22" l="1"/>
  <c r="F51" i="22" s="1"/>
  <c r="G42" i="22"/>
  <c r="G41" i="22"/>
  <c r="G48" i="22"/>
  <c r="G49" i="22"/>
  <c r="G47" i="22"/>
  <c r="G40" i="22"/>
  <c r="F52" i="22"/>
  <c r="F33" i="13"/>
  <c r="F38" i="13"/>
  <c r="F32" i="13"/>
  <c r="F37" i="13"/>
  <c r="G43" i="22"/>
  <c r="G50" i="22"/>
  <c r="E40" i="13"/>
  <c r="E42" i="13"/>
  <c r="E39" i="13" s="1"/>
  <c r="H49" i="22" l="1"/>
  <c r="G54" i="22"/>
  <c r="G51" i="22" s="1"/>
  <c r="H42" i="22"/>
  <c r="H41" i="22"/>
  <c r="H48" i="22"/>
  <c r="H50" i="22"/>
  <c r="H43" i="22"/>
  <c r="H40" i="22"/>
  <c r="H47" i="22"/>
  <c r="G33" i="13"/>
  <c r="G52" i="22"/>
  <c r="G32" i="13"/>
  <c r="F42" i="13"/>
  <c r="F39" i="13" s="1"/>
  <c r="F40" i="13"/>
  <c r="H54" i="22" l="1"/>
  <c r="H51" i="22" s="1"/>
  <c r="I48" i="22"/>
  <c r="I41" i="22"/>
  <c r="I42" i="22"/>
  <c r="I49" i="22"/>
  <c r="H33" i="13"/>
  <c r="H38" i="13"/>
  <c r="I40" i="22"/>
  <c r="I47" i="22"/>
  <c r="G40" i="13"/>
  <c r="G42" i="13"/>
  <c r="G39" i="13" s="1"/>
  <c r="H37" i="13"/>
  <c r="H32" i="13"/>
  <c r="H52" i="22"/>
  <c r="I50" i="22"/>
  <c r="I43" i="22"/>
  <c r="C43" i="16"/>
  <c r="D43" i="16" s="1"/>
  <c r="C42" i="16"/>
  <c r="D42" i="16" s="1"/>
  <c r="M38" i="16"/>
  <c r="F14" i="16"/>
  <c r="G14" i="16" s="1"/>
  <c r="H14" i="16" s="1"/>
  <c r="I14" i="16" s="1"/>
  <c r="J14" i="16" s="1"/>
  <c r="K14" i="16" s="1"/>
  <c r="L14" i="16" s="1"/>
  <c r="M14" i="16" s="1"/>
  <c r="I5" i="16"/>
  <c r="I4" i="16"/>
  <c r="C54" i="15"/>
  <c r="L52" i="15"/>
  <c r="C45" i="15"/>
  <c r="C40" i="15"/>
  <c r="C44" i="15" s="1"/>
  <c r="L23" i="15"/>
  <c r="L41" i="15" s="1"/>
  <c r="L22" i="15"/>
  <c r="H5" i="15"/>
  <c r="H4" i="15"/>
  <c r="I54" i="22" l="1"/>
  <c r="I51" i="22" s="1"/>
  <c r="I52" i="22"/>
  <c r="K46" i="24"/>
  <c r="J43" i="23"/>
  <c r="K45" i="16"/>
  <c r="J35" i="13"/>
  <c r="K45" i="22"/>
  <c r="I32" i="13"/>
  <c r="I37" i="13"/>
  <c r="H40" i="13"/>
  <c r="H42" i="13"/>
  <c r="H39" i="13" s="1"/>
  <c r="I33" i="13"/>
  <c r="I38" i="13"/>
  <c r="H6" i="15"/>
  <c r="I6" i="16"/>
  <c r="L40" i="15"/>
  <c r="E4" i="16"/>
  <c r="J38" i="13" l="1"/>
  <c r="J33" i="13"/>
  <c r="I42" i="13"/>
  <c r="I39" i="13" s="1"/>
  <c r="I40" i="13"/>
  <c r="J32" i="13"/>
  <c r="J37" i="13"/>
  <c r="E6" i="16"/>
  <c r="K33" i="13" l="1"/>
  <c r="J42" i="13"/>
  <c r="J39" i="13" s="1"/>
  <c r="K32" i="13"/>
  <c r="J40" i="13"/>
  <c r="L46" i="24" l="1"/>
  <c r="K43" i="23"/>
  <c r="K35" i="13"/>
  <c r="K37" i="13" s="1"/>
  <c r="L45" i="22"/>
  <c r="L45" i="16"/>
  <c r="K38" i="13" l="1"/>
  <c r="L33" i="13" s="1"/>
  <c r="H4" i="13"/>
  <c r="L32" i="13"/>
  <c r="L37" i="13"/>
  <c r="K40" i="13" l="1"/>
  <c r="H5" i="13"/>
  <c r="I5" i="13" s="1"/>
  <c r="I9" i="13" s="1"/>
  <c r="K42" i="13"/>
  <c r="K39" i="13" s="1"/>
  <c r="L38" i="13"/>
  <c r="L40" i="13" s="1"/>
  <c r="I4" i="13"/>
  <c r="L42" i="13" l="1"/>
  <c r="L39" i="13" s="1"/>
  <c r="J5" i="13"/>
  <c r="I8" i="13"/>
  <c r="V21" i="5" s="1"/>
  <c r="I10" i="13"/>
  <c r="F23" i="5" s="1"/>
  <c r="H6" i="13"/>
  <c r="F22" i="5"/>
  <c r="V22" i="5"/>
  <c r="I6" i="13"/>
  <c r="F20" i="5"/>
  <c r="J4" i="13"/>
  <c r="V23" i="5" l="1"/>
  <c r="F21" i="5"/>
  <c r="I11" i="13"/>
  <c r="AA20" i="5" l="1"/>
  <c r="AA12" i="5"/>
  <c r="Z20" i="5"/>
  <c r="V20" i="5"/>
  <c r="E13" i="20" l="1"/>
  <c r="D13" i="20"/>
  <c r="F9" i="10" l="1"/>
  <c r="V12" i="5"/>
  <c r="E5" i="20" s="1"/>
  <c r="E21" i="20" s="1"/>
  <c r="D15" i="10" l="1"/>
  <c r="D13" i="10"/>
  <c r="D14" i="10"/>
  <c r="F12" i="5"/>
  <c r="F10" i="10"/>
  <c r="F11" i="10" s="1"/>
  <c r="V14" i="5" l="1"/>
  <c r="E7" i="20" s="1"/>
  <c r="E23" i="20" s="1"/>
  <c r="F14" i="5"/>
  <c r="F13" i="5"/>
  <c r="D16" i="10"/>
  <c r="V13" i="5"/>
  <c r="E6" i="20" s="1"/>
  <c r="E22" i="20" s="1"/>
  <c r="F15" i="5"/>
  <c r="V15" i="5"/>
  <c r="E8" i="20" s="1"/>
  <c r="E24" i="20" s="1"/>
  <c r="F4" i="5"/>
  <c r="M4" i="5"/>
  <c r="M7" i="5" l="1"/>
  <c r="E29" i="20" s="1"/>
  <c r="F7" i="5"/>
  <c r="F5" i="5"/>
  <c r="M5" i="5"/>
  <c r="F6" i="5"/>
  <c r="M6" i="5"/>
  <c r="E28" i="20" s="1"/>
  <c r="E26" i="20"/>
  <c r="K23" i="15"/>
  <c r="K41" i="15" s="1"/>
  <c r="R6" i="5" l="1"/>
  <c r="R5" i="5"/>
  <c r="R7" i="5"/>
  <c r="E27" i="20"/>
  <c r="J22" i="15"/>
  <c r="J40" i="15" l="1"/>
  <c r="K22" i="15" l="1"/>
  <c r="K40" i="15" l="1"/>
  <c r="J23" i="15" l="1"/>
  <c r="J41" i="15" s="1"/>
  <c r="K38" i="16" l="1"/>
  <c r="L38" i="16" l="1"/>
  <c r="T12" i="5" l="1"/>
  <c r="B8" i="12" l="1"/>
  <c r="C8" i="12" l="1"/>
  <c r="E38" i="16" l="1"/>
  <c r="F38" i="16" l="1"/>
  <c r="E47" i="16"/>
  <c r="E42" i="16"/>
  <c r="F47" i="16" l="1"/>
  <c r="F42" i="16"/>
  <c r="G38" i="16"/>
  <c r="E48" i="16"/>
  <c r="E52" i="16" s="1"/>
  <c r="E43" i="16"/>
  <c r="E49" i="16" l="1"/>
  <c r="E50" i="16"/>
  <c r="H38" i="16"/>
  <c r="G42" i="16"/>
  <c r="G47" i="16"/>
  <c r="F48" i="16"/>
  <c r="F52" i="16" s="1"/>
  <c r="F43" i="16"/>
  <c r="N24" i="16"/>
  <c r="F4" i="16" s="1"/>
  <c r="F49" i="16" l="1"/>
  <c r="H47" i="16"/>
  <c r="H42" i="16"/>
  <c r="F6" i="16"/>
  <c r="I38" i="16"/>
  <c r="F50" i="16"/>
  <c r="G48" i="16"/>
  <c r="G50" i="16" s="1"/>
  <c r="G43" i="16"/>
  <c r="G52" i="16" l="1"/>
  <c r="G49" i="16" s="1"/>
  <c r="H43" i="16"/>
  <c r="H48" i="16"/>
  <c r="H50" i="16" s="1"/>
  <c r="J38" i="16"/>
  <c r="I47" i="16"/>
  <c r="I42" i="16"/>
  <c r="G4" i="16"/>
  <c r="H4" i="16" l="1"/>
  <c r="I48" i="16"/>
  <c r="I50" i="16" s="1"/>
  <c r="I43" i="16"/>
  <c r="H52" i="16"/>
  <c r="H49" i="16" s="1"/>
  <c r="H5" i="16"/>
  <c r="J42" i="16"/>
  <c r="J47" i="16"/>
  <c r="G6" i="16" l="1"/>
  <c r="J43" i="16"/>
  <c r="J48" i="16"/>
  <c r="J50" i="16" s="1"/>
  <c r="I52" i="16"/>
  <c r="I49" i="16" s="1"/>
  <c r="K47" i="16"/>
  <c r="K42" i="16"/>
  <c r="H6" i="16"/>
  <c r="J52" i="16" l="1"/>
  <c r="J49" i="16" s="1"/>
  <c r="L42" i="16"/>
  <c r="L47" i="16"/>
  <c r="J4" i="16" s="1"/>
  <c r="K43" i="16"/>
  <c r="K48" i="16"/>
  <c r="K52" i="16" l="1"/>
  <c r="L48" i="16"/>
  <c r="J5" i="16" s="1"/>
  <c r="L43" i="16"/>
  <c r="K4" i="16"/>
  <c r="K50" i="16"/>
  <c r="M47" i="16"/>
  <c r="M42" i="16"/>
  <c r="K5" i="16" l="1"/>
  <c r="L4" i="16"/>
  <c r="T20" i="5"/>
  <c r="J6" i="16"/>
  <c r="M43" i="16"/>
  <c r="M48" i="16"/>
  <c r="K49" i="16"/>
  <c r="L52" i="16"/>
  <c r="L50" i="16"/>
  <c r="C5" i="20" l="1"/>
  <c r="L5" i="16"/>
  <c r="K6" i="16"/>
  <c r="K8" i="16"/>
  <c r="T21" i="5" s="1"/>
  <c r="K9" i="16"/>
  <c r="T22" i="5" s="1"/>
  <c r="K10" i="16"/>
  <c r="T23" i="5" s="1"/>
  <c r="L49" i="16"/>
  <c r="M52" i="16"/>
  <c r="M49" i="16" s="1"/>
  <c r="M50" i="16"/>
  <c r="K11" i="16" l="1"/>
  <c r="C7" i="20" l="1"/>
  <c r="C6" i="20"/>
  <c r="C8" i="20"/>
  <c r="E5" i="15" l="1"/>
  <c r="E4" i="15" l="1"/>
  <c r="E6" i="15" s="1"/>
  <c r="D5" i="15" l="1"/>
  <c r="D4" i="15" l="1"/>
  <c r="D6" i="15" l="1"/>
  <c r="J37" i="22" l="1"/>
  <c r="J36" i="22" l="1"/>
  <c r="J43" i="22"/>
  <c r="J50" i="22"/>
  <c r="J34" i="22"/>
  <c r="J47" i="22" l="1"/>
  <c r="J40" i="22"/>
  <c r="J42" i="22"/>
  <c r="J49" i="22"/>
  <c r="J35" i="22" l="1"/>
  <c r="J48" i="22" l="1"/>
  <c r="J41" i="22"/>
  <c r="J52" i="22" l="1"/>
  <c r="J54" i="22"/>
  <c r="J51" i="22" s="1"/>
  <c r="F23" i="15" l="1"/>
  <c r="F41" i="15" s="1"/>
  <c r="D23" i="15"/>
  <c r="D41" i="15" s="1"/>
  <c r="G23" i="15"/>
  <c r="G41" i="15" s="1"/>
  <c r="D22" i="15"/>
  <c r="E23" i="15"/>
  <c r="E41" i="15" s="1"/>
  <c r="I22" i="15"/>
  <c r="I40" i="15" s="1"/>
  <c r="H22" i="15"/>
  <c r="H40" i="15" s="1"/>
  <c r="G22" i="15"/>
  <c r="G40" i="15" s="1"/>
  <c r="I23" i="15"/>
  <c r="I41" i="15" s="1"/>
  <c r="F22" i="15"/>
  <c r="F40" i="15" s="1"/>
  <c r="H23" i="15"/>
  <c r="H41" i="15" s="1"/>
  <c r="E22" i="15"/>
  <c r="E40" i="15" s="1"/>
  <c r="D45" i="15" l="1"/>
  <c r="D50" i="15"/>
  <c r="F5" i="15"/>
  <c r="G5" i="15" s="1"/>
  <c r="D40" i="15"/>
  <c r="F4" i="15"/>
  <c r="F6" i="15" l="1"/>
  <c r="G4" i="15"/>
  <c r="D49" i="15"/>
  <c r="D44" i="15"/>
  <c r="E50" i="15"/>
  <c r="E45" i="15"/>
  <c r="F45" i="15" l="1"/>
  <c r="F50" i="15"/>
  <c r="E44" i="15"/>
  <c r="E49" i="15"/>
  <c r="G6" i="15"/>
  <c r="D52" i="15"/>
  <c r="D54" i="15"/>
  <c r="D51" i="15" s="1"/>
  <c r="E52" i="15" l="1"/>
  <c r="E54" i="15"/>
  <c r="E51" i="15" s="1"/>
  <c r="F49" i="15"/>
  <c r="F44" i="15"/>
  <c r="G45" i="15"/>
  <c r="G50" i="15"/>
  <c r="H45" i="15" l="1"/>
  <c r="H50" i="15"/>
  <c r="F52" i="15"/>
  <c r="F54" i="15"/>
  <c r="F51" i="15" s="1"/>
  <c r="G44" i="15"/>
  <c r="G49" i="15"/>
  <c r="H44" i="15" l="1"/>
  <c r="H49" i="15"/>
  <c r="G52" i="15"/>
  <c r="G54" i="15"/>
  <c r="G51" i="15" s="1"/>
  <c r="I50" i="15"/>
  <c r="I45" i="15"/>
  <c r="J45" i="15" l="1"/>
  <c r="J50" i="15"/>
  <c r="H52" i="15"/>
  <c r="H54" i="15"/>
  <c r="H51" i="15" s="1"/>
  <c r="I44" i="15"/>
  <c r="I49" i="15"/>
  <c r="J44" i="15" l="1"/>
  <c r="J49" i="15"/>
  <c r="I52" i="15"/>
  <c r="I54" i="15"/>
  <c r="I51" i="15" s="1"/>
  <c r="K50" i="15"/>
  <c r="I5" i="15" s="1"/>
  <c r="J5" i="15" s="1"/>
  <c r="K45" i="15"/>
  <c r="J9" i="15" l="1"/>
  <c r="S22" i="5" s="1"/>
  <c r="J10" i="15"/>
  <c r="S23" i="5" s="1"/>
  <c r="J8" i="15"/>
  <c r="S21" i="5" s="1"/>
  <c r="L45" i="15"/>
  <c r="K5" i="15" s="1"/>
  <c r="J52" i="15"/>
  <c r="J54" i="15"/>
  <c r="J51" i="15" s="1"/>
  <c r="K49" i="15"/>
  <c r="K44" i="15"/>
  <c r="J11" i="15" l="1"/>
  <c r="K52" i="15"/>
  <c r="K54" i="15"/>
  <c r="L54" i="15" s="1"/>
  <c r="I4" i="15"/>
  <c r="L44" i="15"/>
  <c r="B7" i="20" l="1"/>
  <c r="L51" i="15"/>
  <c r="B8" i="20"/>
  <c r="I6" i="15"/>
  <c r="J4" i="15"/>
  <c r="S20" i="5" s="1"/>
  <c r="K51" i="15"/>
  <c r="B6" i="20"/>
  <c r="J6" i="15" l="1"/>
  <c r="K4" i="15"/>
  <c r="B5" i="20" l="1"/>
  <c r="L34" i="22" l="1"/>
  <c r="K34" i="22"/>
  <c r="G4" i="22"/>
  <c r="L37" i="22"/>
  <c r="L36" i="22"/>
  <c r="X15" i="5" l="1"/>
  <c r="H4" i="22"/>
  <c r="K37" i="22"/>
  <c r="G7" i="22"/>
  <c r="H7" i="22" s="1"/>
  <c r="K36" i="22"/>
  <c r="G6" i="22"/>
  <c r="H6" i="22" s="1"/>
  <c r="K40" i="22"/>
  <c r="K47" i="22"/>
  <c r="X12" i="5" l="1"/>
  <c r="X14" i="5"/>
  <c r="K50" i="22"/>
  <c r="K43" i="22"/>
  <c r="L40" i="22"/>
  <c r="L47" i="22"/>
  <c r="K49" i="22"/>
  <c r="K42" i="22"/>
  <c r="L43" i="22" l="1"/>
  <c r="L50" i="22"/>
  <c r="J4" i="22"/>
  <c r="L35" i="22"/>
  <c r="M40" i="22"/>
  <c r="K35" i="22"/>
  <c r="G5" i="22"/>
  <c r="L49" i="22"/>
  <c r="L42" i="22"/>
  <c r="J7" i="22" l="1"/>
  <c r="K7" i="22" s="1"/>
  <c r="X23" i="5" s="1"/>
  <c r="M42" i="22"/>
  <c r="H5" i="22"/>
  <c r="G8" i="22"/>
  <c r="K4" i="22"/>
  <c r="X20" i="5" s="1"/>
  <c r="M43" i="22"/>
  <c r="J6" i="22"/>
  <c r="K6" i="22" s="1"/>
  <c r="K41" i="22"/>
  <c r="K48" i="22"/>
  <c r="X13" i="5"/>
  <c r="C9" i="18"/>
  <c r="L7" i="22" l="1"/>
  <c r="C23" i="5"/>
  <c r="L4" i="22"/>
  <c r="C20" i="5"/>
  <c r="H8" i="22"/>
  <c r="K52" i="22"/>
  <c r="K54" i="22"/>
  <c r="K51" i="22" s="1"/>
  <c r="L41" i="22"/>
  <c r="L48" i="22"/>
  <c r="L6" i="22"/>
  <c r="X22" i="5"/>
  <c r="C22" i="5"/>
  <c r="J6" i="5" s="1"/>
  <c r="B16" i="20"/>
  <c r="B24" i="20" s="1"/>
  <c r="J4" i="5" l="1"/>
  <c r="J7" i="5"/>
  <c r="S28" i="5" s="1"/>
  <c r="C7" i="5"/>
  <c r="J5" i="22"/>
  <c r="L52" i="22"/>
  <c r="L54" i="22"/>
  <c r="M54" i="22" s="1"/>
  <c r="M41" i="22"/>
  <c r="B13" i="20"/>
  <c r="B21" i="20" s="1"/>
  <c r="S27" i="5"/>
  <c r="C6" i="5"/>
  <c r="C4" i="5"/>
  <c r="B15" i="20"/>
  <c r="B23" i="20" s="1"/>
  <c r="S25" i="5" l="1"/>
  <c r="B29" i="20"/>
  <c r="B26" i="20"/>
  <c r="B28" i="20"/>
  <c r="M51" i="22"/>
  <c r="L51" i="22"/>
  <c r="J8" i="22"/>
  <c r="K5" i="22"/>
  <c r="L5" i="22" l="1"/>
  <c r="X21" i="5"/>
  <c r="C21" i="5"/>
  <c r="K8" i="22"/>
  <c r="C5" i="5" l="1"/>
  <c r="J5" i="5"/>
  <c r="B14" i="20"/>
  <c r="B22" i="20" s="1"/>
  <c r="O5" i="5" l="1"/>
  <c r="O7" i="5"/>
  <c r="O6" i="5"/>
  <c r="S26" i="5"/>
  <c r="B27" i="20"/>
  <c r="K37" i="24" l="1"/>
  <c r="K38" i="24"/>
  <c r="L38" i="24"/>
  <c r="L37" i="24"/>
  <c r="L35" i="24" l="1"/>
  <c r="K35" i="24"/>
  <c r="K36" i="24" l="1"/>
  <c r="K12" i="24"/>
  <c r="L36" i="24" l="1"/>
  <c r="L12" i="24"/>
  <c r="B10" i="19" l="1"/>
  <c r="Y14" i="5" l="1"/>
  <c r="Y12" i="5"/>
  <c r="D12" i="5"/>
  <c r="Y15" i="5"/>
  <c r="D15" i="5"/>
  <c r="D14" i="5" l="1"/>
  <c r="D13" i="5" l="1"/>
  <c r="Y13" i="5"/>
  <c r="C10" i="19"/>
  <c r="B36" i="8" l="1"/>
  <c r="B14" i="8" l="1"/>
  <c r="C31" i="8" l="1"/>
  <c r="C36" i="8"/>
  <c r="D14" i="8" l="1"/>
  <c r="D36" i="8"/>
  <c r="C14" i="8"/>
  <c r="C9" i="8"/>
  <c r="D9" i="8"/>
  <c r="D31" i="8"/>
  <c r="F33" i="8" l="1"/>
  <c r="F12" i="8"/>
  <c r="F34" i="8"/>
  <c r="E36" i="8"/>
  <c r="H26" i="23" l="1"/>
  <c r="I26" i="23"/>
  <c r="K26" i="23"/>
  <c r="J26" i="23"/>
  <c r="K25" i="23"/>
  <c r="J25" i="23"/>
  <c r="I25" i="23"/>
  <c r="H25" i="23"/>
  <c r="F26" i="23"/>
  <c r="F34" i="23" s="1"/>
  <c r="E26" i="23"/>
  <c r="E34" i="23" s="1"/>
  <c r="D26" i="23"/>
  <c r="D34" i="23" s="1"/>
  <c r="G26" i="23"/>
  <c r="G33" i="8"/>
  <c r="G11" i="8" s="1"/>
  <c r="E13" i="5" s="1"/>
  <c r="D25" i="23"/>
  <c r="D33" i="23" s="1"/>
  <c r="F25" i="23"/>
  <c r="F33" i="23" s="1"/>
  <c r="G25" i="23"/>
  <c r="E25" i="23"/>
  <c r="E33" i="23" s="1"/>
  <c r="G34" i="8"/>
  <c r="G12" i="8" s="1"/>
  <c r="E14" i="5" s="1"/>
  <c r="F13" i="8"/>
  <c r="F35" i="8"/>
  <c r="F11" i="8"/>
  <c r="I27" i="23" l="1"/>
  <c r="K27" i="23"/>
  <c r="J27" i="23"/>
  <c r="H27" i="23"/>
  <c r="G27" i="23"/>
  <c r="F27" i="23"/>
  <c r="F35" i="23" s="1"/>
  <c r="E27" i="23"/>
  <c r="E35" i="23" s="1"/>
  <c r="D27" i="23"/>
  <c r="D35" i="23" s="1"/>
  <c r="D40" i="23"/>
  <c r="D47" i="23"/>
  <c r="D39" i="23"/>
  <c r="D46" i="23"/>
  <c r="I33" i="23"/>
  <c r="H33" i="23"/>
  <c r="K33" i="23"/>
  <c r="J33" i="23"/>
  <c r="K34" i="23"/>
  <c r="G34" i="23"/>
  <c r="H34" i="23"/>
  <c r="I34" i="23"/>
  <c r="G33" i="23"/>
  <c r="G35" i="8"/>
  <c r="G13" i="8" s="1"/>
  <c r="E15" i="5" s="1"/>
  <c r="E14" i="8"/>
  <c r="F14" i="8"/>
  <c r="U13" i="5"/>
  <c r="F36" i="8"/>
  <c r="D41" i="23" l="1"/>
  <c r="D48" i="23"/>
  <c r="E39" i="23"/>
  <c r="E46" i="23"/>
  <c r="E47" i="23"/>
  <c r="E40" i="23"/>
  <c r="U14" i="5"/>
  <c r="K35" i="23"/>
  <c r="H35" i="23"/>
  <c r="G35" i="23"/>
  <c r="I35" i="23"/>
  <c r="G36" i="8"/>
  <c r="J34" i="23"/>
  <c r="U15" i="5"/>
  <c r="G14" i="8"/>
  <c r="F47" i="23" l="1"/>
  <c r="F40" i="23"/>
  <c r="F39" i="23"/>
  <c r="F46" i="23"/>
  <c r="E48" i="23"/>
  <c r="E41" i="23"/>
  <c r="J35" i="23"/>
  <c r="E5" i="23"/>
  <c r="F5" i="23" s="1"/>
  <c r="E31" i="8"/>
  <c r="F29" i="8"/>
  <c r="F8" i="8"/>
  <c r="F30" i="8"/>
  <c r="K24" i="23" l="1"/>
  <c r="I24" i="23"/>
  <c r="J24" i="23"/>
  <c r="H24" i="23"/>
  <c r="G39" i="23"/>
  <c r="G46" i="23"/>
  <c r="G40" i="23"/>
  <c r="G47" i="23"/>
  <c r="F41" i="23"/>
  <c r="F48" i="23"/>
  <c r="G29" i="8"/>
  <c r="G7" i="8" s="1"/>
  <c r="E12" i="5" s="1"/>
  <c r="E24" i="23"/>
  <c r="G24" i="23"/>
  <c r="F24" i="23"/>
  <c r="D24" i="23"/>
  <c r="G30" i="8"/>
  <c r="G8" i="8" s="1"/>
  <c r="F31" i="8"/>
  <c r="E9" i="8"/>
  <c r="F7" i="8"/>
  <c r="F9" i="8" s="1"/>
  <c r="E15" i="23" l="1"/>
  <c r="E32" i="23"/>
  <c r="G48" i="23"/>
  <c r="G41" i="23"/>
  <c r="H15" i="23"/>
  <c r="D32" i="23"/>
  <c r="D15" i="23"/>
  <c r="H47" i="23"/>
  <c r="H40" i="23"/>
  <c r="K15" i="23"/>
  <c r="F32" i="23"/>
  <c r="F15" i="23"/>
  <c r="J15" i="23"/>
  <c r="I32" i="23"/>
  <c r="H46" i="23"/>
  <c r="H39" i="23"/>
  <c r="G15" i="23"/>
  <c r="G32" i="23"/>
  <c r="U12" i="5"/>
  <c r="G31" i="8"/>
  <c r="J32" i="23" l="1"/>
  <c r="H41" i="23"/>
  <c r="H48" i="23"/>
  <c r="H32" i="23"/>
  <c r="I15" i="23"/>
  <c r="E4" i="23"/>
  <c r="E6" i="23" s="1"/>
  <c r="I39" i="23"/>
  <c r="I46" i="23"/>
  <c r="D38" i="23"/>
  <c r="D45" i="23"/>
  <c r="D50" i="23" s="1"/>
  <c r="K32" i="23"/>
  <c r="I40" i="23"/>
  <c r="I47" i="23"/>
  <c r="G9" i="8"/>
  <c r="J39" i="23" l="1"/>
  <c r="J46" i="23"/>
  <c r="F4" i="23"/>
  <c r="F6" i="23" s="1"/>
  <c r="J40" i="23"/>
  <c r="J47" i="23"/>
  <c r="D52" i="23"/>
  <c r="D49" i="23" s="1"/>
  <c r="E45" i="23"/>
  <c r="E38" i="23"/>
  <c r="I48" i="23"/>
  <c r="I41" i="23"/>
  <c r="F45" i="23" l="1"/>
  <c r="F38" i="23"/>
  <c r="E50" i="23"/>
  <c r="E52" i="23"/>
  <c r="E49" i="23" s="1"/>
  <c r="K47" i="23"/>
  <c r="K40" i="23"/>
  <c r="J41" i="23"/>
  <c r="J48" i="23"/>
  <c r="K39" i="23"/>
  <c r="K46" i="23"/>
  <c r="K41" i="23" l="1"/>
  <c r="K48" i="23"/>
  <c r="H5" i="23" s="1"/>
  <c r="I5" i="23" s="1"/>
  <c r="G45" i="23"/>
  <c r="G38" i="23"/>
  <c r="L40" i="23"/>
  <c r="L47" i="23"/>
  <c r="L39" i="23"/>
  <c r="L46" i="23"/>
  <c r="F50" i="23"/>
  <c r="F52" i="23"/>
  <c r="F49" i="23" s="1"/>
  <c r="E38" i="24"/>
  <c r="E37" i="24"/>
  <c r="H38" i="23" l="1"/>
  <c r="H45" i="23"/>
  <c r="G50" i="23"/>
  <c r="G52" i="23"/>
  <c r="G49" i="23" s="1"/>
  <c r="I8" i="23"/>
  <c r="U21" i="5" s="1"/>
  <c r="I10" i="23"/>
  <c r="U23" i="5" s="1"/>
  <c r="I9" i="23"/>
  <c r="U22" i="5" s="1"/>
  <c r="L41" i="23"/>
  <c r="J5" i="23" s="1"/>
  <c r="L48" i="23"/>
  <c r="D37" i="24"/>
  <c r="D43" i="24" s="1"/>
  <c r="D35" i="24"/>
  <c r="D41" i="24" s="1"/>
  <c r="F38" i="24"/>
  <c r="F37" i="24"/>
  <c r="E22" i="5" l="1"/>
  <c r="E21" i="5"/>
  <c r="I11" i="23"/>
  <c r="E23" i="5"/>
  <c r="H50" i="23"/>
  <c r="H52" i="23"/>
  <c r="H49" i="23" s="1"/>
  <c r="I45" i="23"/>
  <c r="I38" i="23"/>
  <c r="E35" i="24"/>
  <c r="E41" i="24" s="1"/>
  <c r="D38" i="24"/>
  <c r="D44" i="24" s="1"/>
  <c r="E43" i="24"/>
  <c r="E50" i="24"/>
  <c r="F35" i="24"/>
  <c r="G37" i="24"/>
  <c r="E36" i="24"/>
  <c r="G38" i="24"/>
  <c r="D8" i="20" l="1"/>
  <c r="L7" i="5"/>
  <c r="U28" i="5" s="1"/>
  <c r="E7" i="5"/>
  <c r="D6" i="20"/>
  <c r="J38" i="23"/>
  <c r="J45" i="23"/>
  <c r="L5" i="5"/>
  <c r="U26" i="5" s="1"/>
  <c r="E5" i="5"/>
  <c r="D7" i="20"/>
  <c r="I50" i="23"/>
  <c r="I52" i="23"/>
  <c r="I49" i="23" s="1"/>
  <c r="E6" i="5"/>
  <c r="L6" i="5"/>
  <c r="U27" i="5" s="1"/>
  <c r="E48" i="24"/>
  <c r="F48" i="24" s="1"/>
  <c r="E12" i="24"/>
  <c r="E44" i="24"/>
  <c r="E51" i="24"/>
  <c r="D36" i="24"/>
  <c r="D42" i="24" s="1"/>
  <c r="D55" i="24"/>
  <c r="G35" i="24"/>
  <c r="F50" i="24"/>
  <c r="F43" i="24"/>
  <c r="H37" i="24"/>
  <c r="H38" i="24"/>
  <c r="Q5" i="5" l="1"/>
  <c r="F6" i="20"/>
  <c r="D22" i="20"/>
  <c r="D27" i="20" s="1"/>
  <c r="D23" i="20"/>
  <c r="D28" i="20" s="1"/>
  <c r="F7" i="20"/>
  <c r="Q7" i="5"/>
  <c r="K45" i="23"/>
  <c r="H4" i="23" s="1"/>
  <c r="K38" i="23"/>
  <c r="Q6" i="5"/>
  <c r="F8" i="20"/>
  <c r="D24" i="20"/>
  <c r="D29" i="20" s="1"/>
  <c r="J50" i="23"/>
  <c r="J52" i="23"/>
  <c r="J49" i="23" s="1"/>
  <c r="F44" i="24"/>
  <c r="F41" i="24"/>
  <c r="G48" i="24" s="1"/>
  <c r="F36" i="24"/>
  <c r="F12" i="24"/>
  <c r="G50" i="24"/>
  <c r="G43" i="24"/>
  <c r="F51" i="24"/>
  <c r="E42" i="24"/>
  <c r="E49" i="24"/>
  <c r="E53" i="24" s="1"/>
  <c r="N23" i="24"/>
  <c r="F6" i="24" s="1"/>
  <c r="N24" i="24"/>
  <c r="F7" i="24" s="1"/>
  <c r="N21" i="24"/>
  <c r="F4" i="24" s="1"/>
  <c r="I38" i="24"/>
  <c r="I4" i="23" l="1"/>
  <c r="H6" i="23"/>
  <c r="L38" i="23"/>
  <c r="L45" i="23"/>
  <c r="K52" i="23"/>
  <c r="K49" i="23" s="1"/>
  <c r="K50" i="23"/>
  <c r="G44" i="24"/>
  <c r="G41" i="24"/>
  <c r="G51" i="24"/>
  <c r="I35" i="24"/>
  <c r="H35" i="24"/>
  <c r="F49" i="24"/>
  <c r="F53" i="24" s="1"/>
  <c r="F42" i="24"/>
  <c r="G36" i="24"/>
  <c r="G12" i="24"/>
  <c r="H43" i="24"/>
  <c r="H50" i="24"/>
  <c r="E55" i="24"/>
  <c r="E52" i="24" s="1"/>
  <c r="J38" i="24"/>
  <c r="J37" i="24"/>
  <c r="N22" i="24"/>
  <c r="F5" i="24" s="1"/>
  <c r="F8" i="24" s="1"/>
  <c r="H36" i="24"/>
  <c r="L50" i="23" l="1"/>
  <c r="L52" i="23"/>
  <c r="L49" i="23" s="1"/>
  <c r="J4" i="23"/>
  <c r="I6" i="23"/>
  <c r="E20" i="5"/>
  <c r="U20" i="5"/>
  <c r="H48" i="24"/>
  <c r="H51" i="24"/>
  <c r="H44" i="24"/>
  <c r="H41" i="24"/>
  <c r="J35" i="24"/>
  <c r="G4" i="24"/>
  <c r="H12" i="24"/>
  <c r="G7" i="24"/>
  <c r="H7" i="24" s="1"/>
  <c r="G42" i="24"/>
  <c r="G49" i="24"/>
  <c r="G53" i="24" s="1"/>
  <c r="I37" i="24"/>
  <c r="I43" i="24" s="1"/>
  <c r="G6" i="24"/>
  <c r="H6" i="24" s="1"/>
  <c r="F55" i="24"/>
  <c r="F52" i="24" s="1"/>
  <c r="D5" i="20" l="1"/>
  <c r="L4" i="5"/>
  <c r="U25" i="5" s="1"/>
  <c r="E4" i="5"/>
  <c r="I44" i="24"/>
  <c r="I51" i="24"/>
  <c r="I48" i="24"/>
  <c r="I41" i="24"/>
  <c r="H4" i="24"/>
  <c r="H42" i="24"/>
  <c r="H49" i="24"/>
  <c r="H53" i="24" s="1"/>
  <c r="G55" i="24"/>
  <c r="G52" i="24" s="1"/>
  <c r="I36" i="24"/>
  <c r="I12" i="24"/>
  <c r="I50" i="24"/>
  <c r="J43" i="24" s="1"/>
  <c r="D21" i="20" l="1"/>
  <c r="D26" i="20" s="1"/>
  <c r="F5" i="20"/>
  <c r="J51" i="24"/>
  <c r="J44" i="24"/>
  <c r="J48" i="24"/>
  <c r="J41" i="24"/>
  <c r="J36" i="24"/>
  <c r="J12" i="24"/>
  <c r="H55" i="24"/>
  <c r="H52" i="24" s="1"/>
  <c r="I49" i="24"/>
  <c r="I53" i="24" s="1"/>
  <c r="I42" i="24"/>
  <c r="J50" i="24"/>
  <c r="K50" i="24" s="1"/>
  <c r="G5" i="24"/>
  <c r="K44" i="24" l="1"/>
  <c r="K51" i="24"/>
  <c r="K41" i="24"/>
  <c r="K48" i="24"/>
  <c r="K43" i="24"/>
  <c r="L43" i="24" s="1"/>
  <c r="H5" i="24"/>
  <c r="G8" i="24"/>
  <c r="I55" i="24"/>
  <c r="I52" i="24" s="1"/>
  <c r="J49" i="24"/>
  <c r="J53" i="24" s="1"/>
  <c r="J42" i="24"/>
  <c r="L44" i="24" l="1"/>
  <c r="L51" i="24"/>
  <c r="J7" i="24" s="1"/>
  <c r="K7" i="24" s="1"/>
  <c r="Y23" i="5" s="1"/>
  <c r="L48" i="24"/>
  <c r="L41" i="24"/>
  <c r="L50" i="24"/>
  <c r="J6" i="24" s="1"/>
  <c r="K6" i="24" s="1"/>
  <c r="D22" i="5" s="1"/>
  <c r="K6" i="5" s="1"/>
  <c r="H8" i="24"/>
  <c r="K49" i="24"/>
  <c r="K42" i="24"/>
  <c r="J55" i="24"/>
  <c r="J52" i="24" s="1"/>
  <c r="M41" i="24" l="1"/>
  <c r="D23" i="5"/>
  <c r="M51" i="24"/>
  <c r="M44" i="24"/>
  <c r="L7" i="24" s="1"/>
  <c r="M48" i="24"/>
  <c r="J4" i="24"/>
  <c r="K4" i="24" s="1"/>
  <c r="Y20" i="5" s="1"/>
  <c r="Y22" i="5"/>
  <c r="C15" i="20" s="1"/>
  <c r="M43" i="24"/>
  <c r="L6" i="24" s="1"/>
  <c r="C16" i="20"/>
  <c r="AB15" i="5"/>
  <c r="K55" i="24"/>
  <c r="K53" i="24"/>
  <c r="L42" i="24"/>
  <c r="L49" i="24"/>
  <c r="D6" i="5"/>
  <c r="H6" i="5" s="1"/>
  <c r="K7" i="5" l="1"/>
  <c r="T28" i="5" s="1"/>
  <c r="D7" i="5"/>
  <c r="H7" i="5" s="1"/>
  <c r="T27" i="5"/>
  <c r="M53" i="24"/>
  <c r="AB14" i="5"/>
  <c r="L4" i="24"/>
  <c r="D20" i="5"/>
  <c r="C13" i="20"/>
  <c r="AB12" i="5"/>
  <c r="J5" i="24"/>
  <c r="L53" i="24"/>
  <c r="M42" i="24"/>
  <c r="F16" i="20"/>
  <c r="C24" i="20"/>
  <c r="C23" i="20"/>
  <c r="F15" i="20"/>
  <c r="K52" i="24"/>
  <c r="L55" i="24"/>
  <c r="K4" i="5" l="1"/>
  <c r="T25" i="5" s="1"/>
  <c r="D4" i="5"/>
  <c r="H4" i="5" s="1"/>
  <c r="N7" i="5"/>
  <c r="N6" i="5"/>
  <c r="J8" i="24"/>
  <c r="K5" i="24"/>
  <c r="L52" i="24"/>
  <c r="M55" i="24"/>
  <c r="M52" i="24" s="1"/>
  <c r="C29" i="20"/>
  <c r="F24" i="20"/>
  <c r="G24" i="20" s="1"/>
  <c r="F13" i="20"/>
  <c r="C21" i="20"/>
  <c r="C28" i="20"/>
  <c r="F23" i="20"/>
  <c r="G23" i="20" s="1"/>
  <c r="N4" i="5" l="1"/>
  <c r="C26" i="20"/>
  <c r="F21" i="20"/>
  <c r="G21" i="20" s="1"/>
  <c r="K8" i="24"/>
  <c r="D21" i="5"/>
  <c r="L5" i="24"/>
  <c r="Y21" i="5"/>
  <c r="C14" i="20" l="1"/>
  <c r="AB13" i="5"/>
  <c r="D5" i="5"/>
  <c r="K5" i="5"/>
  <c r="T26" i="5" s="1"/>
  <c r="P5" i="5" l="1"/>
  <c r="P6" i="5"/>
  <c r="P7" i="5"/>
  <c r="H5" i="5"/>
  <c r="F14" i="20"/>
  <c r="C22" i="20"/>
  <c r="C27" i="20" l="1"/>
  <c r="F22" i="20"/>
  <c r="G22" i="20" s="1"/>
  <c r="N5" i="5"/>
</calcChain>
</file>

<file path=xl/sharedStrings.xml><?xml version="1.0" encoding="utf-8"?>
<sst xmlns="http://schemas.openxmlformats.org/spreadsheetml/2006/main" count="611" uniqueCount="213">
  <si>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</si>
  <si>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</si>
  <si>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</si>
  <si>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</si>
  <si>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</si>
  <si>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</si>
  <si>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</si>
  <si>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</si>
  <si>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</si>
  <si>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</si>
  <si>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</si>
  <si>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</si>
  <si>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</si>
  <si>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</si>
  <si>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</si>
  <si>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</si>
  <si>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</si>
  <si>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</si>
  <si>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</si>
  <si>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</si>
  <si>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</si>
  <si>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</si>
  <si>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</si>
  <si>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</si>
  <si>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</si>
  <si>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</si>
  <si>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</si>
  <si>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</si>
  <si>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</si>
  <si>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</si>
  <si>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</si>
  <si>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</si>
  <si>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</si>
  <si>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</si>
  <si>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</si>
  <si>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</si>
  <si>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</si>
  <si>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</si>
  <si>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</si>
  <si>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</si>
  <si>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</si>
  <si>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</si>
  <si>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</si>
  <si>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</si>
  <si>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</si>
  <si>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</si>
  <si>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</si>
  <si>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</si>
  <si>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</si>
  <si>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</si>
  <si>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</si>
  <si>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</si>
  <si>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</si>
  <si>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</si>
  <si>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</si>
  <si>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</si>
  <si>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</si>
  <si>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</si>
  <si>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</si>
  <si>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</si>
  <si>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</si>
  <si>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</si>
  <si>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</si>
  <si>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</si>
  <si>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</si>
  <si>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</si>
  <si>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</si>
  <si>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</si>
  <si>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</si>
  <si>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</si>
  <si>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</si>
  <si>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</si>
  <si>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</si>
  <si>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</si>
  <si>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</si>
  <si>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</si>
  <si>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</si>
  <si>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</si>
  <si>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</si>
  <si>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</si>
  <si>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</si>
  <si>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</si>
  <si>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</si>
  <si>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</si>
  <si>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</si>
  <si>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</si>
  <si>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</si>
  <si>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</si>
  <si>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</si>
  <si>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</si>
  <si>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</si>
  <si>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</si>
  <si>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</si>
  <si>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Res/Non-Res Allocation</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</si>
  <si>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</si>
  <si>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</si>
  <si>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</si>
  <si>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</si>
  <si>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</si>
  <si>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</si>
  <si>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</si>
  <si>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</si>
  <si>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</si>
  <si>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</si>
  <si>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</si>
  <si>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</si>
  <si>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</si>
  <si>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</si>
  <si>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</si>
  <si>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</si>
  <si>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</si>
  <si>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</si>
  <si>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</si>
  <si>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</si>
  <si>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</si>
  <si>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</si>
  <si>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</si>
  <si>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</si>
  <si>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</si>
  <si>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</si>
  <si>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</si>
  <si>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</si>
  <si>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</si>
  <si>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</si>
  <si>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</si>
  <si>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</si>
  <si>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</si>
  <si>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</si>
  <si>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</si>
  <si>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</si>
  <si>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</si>
  <si>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</si>
  <si>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</si>
  <si>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</si>
  <si>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</si>
  <si>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</si>
  <si>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</si>
  <si>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</si>
  <si>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</si>
  <si>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</si>
  <si>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</si>
  <si>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</si>
  <si>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</si>
  <si>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</si>
  <si>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</si>
  <si>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</si>
  <si>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</si>
  <si>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</si>
  <si>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</si>
  <si>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</si>
  <si>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</si>
  <si>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</si>
  <si>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</si>
  <si>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</si>
  <si>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LGS</t>
  </si>
  <si>
    <t>LPS</t>
  </si>
  <si>
    <t>5. Monthly Short-Term Borrowing Rate - Source: None</t>
  </si>
  <si>
    <t>7. Cycle 2 kWh Participation - Source: None</t>
  </si>
  <si>
    <t>1. Forecasted kWh by Residential/Non-Residential (Reduced for Opt-Out) - Source: Billed kWh Budget Missouri West 2020-2022.xlsx</t>
  </si>
  <si>
    <t>Cycle 2 - Total</t>
  </si>
  <si>
    <t>1. Total Earnings Opportunity - Source: Missouri West EO Calculation PY1-PY3 v2.xlsx, Missouri West EO Calculation PY4.xlsx</t>
  </si>
  <si>
    <t>5. Total Earnings Opportunity plus Carrying Costs - Source: Sum of Columns 1. through 4.</t>
  </si>
  <si>
    <t>2. Actual monthly kWh billed sales by Residential/Non-Residential (reduced for opt-out) - Source: Missouri West MEEIA 2020-2021 Revenue Analysis.xlsx
    Forecasted monthly kWh billed sales by Residential/Non-Residential (reduced for opt-out) - Source: Billed kWh Budget Missouri West 2020-2022.xlsx</t>
  </si>
  <si>
    <t>3. Actual monthly billed revenues by Residential/Non-Residential (program cost revenues only) - Missouri West MEEIA 2020-2021 Revenue Analysis.xlsx
    Forecasted monthly billed revenues by Residential/Non-Residential (program cost revenues only) - Source: calculated = Forecasted billed kWh sales X tariff rate</t>
  </si>
  <si>
    <t>5. Monthly Short-Term Borrowing Rate - Source: Missouri West Short-Term Borrowing Rate November 2020 - April 2021.xlsx</t>
  </si>
  <si>
    <t>7. Cycle 2 kWh Participation - Source: Missouri West Cycle 2 TD Calc 042021 05062021.xlsx</t>
  </si>
  <si>
    <t>2. Actual monthly billed revenues by Residential/Non-Residential (TD revenues only) - Missouri West MEEIA 2020-2021 Revenue Analysis.xlsx
Forecasted monthly billed revenues by Residential/Non-Residential (TD revenues only) - Source: calculated = Forecasted billed kWh sales X tariff rate</t>
  </si>
  <si>
    <t>2. Actual monthly billed revenues by Residential/Non-Residential (EO revenues only) - Missouri West MEEIA 2020-2021 Revenue Analysis.xlsx
Forecasted monthly billed revenues by Residential/Non-Residential (EO revenues only) - Source: calculated = Forecasted billed kWh sales X tariff rate</t>
  </si>
  <si>
    <t>1.  Actual monthly EO - Source: Sum of Line 3.
    Forecasted monthly EO - Source: Sum of Line 3.</t>
  </si>
  <si>
    <t>3. Actual/Forecasted EO Amortization - Source:  EO Cycle 2 tab column G divided by remaining months on EO Cycle 2 tab line 6.</t>
  </si>
  <si>
    <t>Projections for Cycle 3 January - December 2022 DSIM</t>
  </si>
  <si>
    <t>Cumulative Over/Under Carryover From 06/01/2021 Filing</t>
  </si>
  <si>
    <t>Reverse May 2021 - July 2021  Forecast From 06/01/2021 Filing</t>
  </si>
  <si>
    <t>1. Forecasted Residential/Non-Residential kWh savings  - Source: Missouri West Cycle 2 Monthly TD Calc 102021 11052021.xlsx</t>
  </si>
  <si>
    <t>2. Forecasted Throughput Disincentive - Source: Missouri West Cycle 2 Monthly TD Calc 102021 11052021.xlsx</t>
  </si>
  <si>
    <t>Cycle 3 Earnings Opportunity (EO) Calculation</t>
  </si>
  <si>
    <t>Cycle 3 - Total</t>
  </si>
  <si>
    <t>Cycle 3 - Program Year 2 (including EO TD Adjustments ?? to ??)</t>
  </si>
  <si>
    <t>6. Amortization Over 12 Month Recovery Period</t>
  </si>
  <si>
    <t>Cycle 3 - EO TD Adjustments ??</t>
  </si>
  <si>
    <t>2. EO TD Ex Post Gross Adjustment -  Source: Missouri West Cycle 3 PY1 EO TD Adj Calc.xlsx</t>
  </si>
  <si>
    <t>1. Total Earnings Opportunity - Source: Missouri West EO Calculated Cycle 3 PY1.xlsx</t>
  </si>
  <si>
    <t>3. EO TD NTG Adjustment -  Source: Missouri West Cycle 3 PY1 EO TD Adj Calc.xlsx</t>
  </si>
  <si>
    <t>4. Carrying Costs @ AFUDC Rate -  Source: Missouri West Cycle 3 PY1 EO TD Adj Calc.xlsx</t>
  </si>
  <si>
    <t>6. Amortization Over 24 Month Recovery Period - Source: Column 5  PY 1 divided by 12 times 11 months remaining recovery</t>
  </si>
  <si>
    <t>1. &amp; 3. Actual monthly Ordered Adjustments - Source: Ordered Adjustment - MO West.xlsx</t>
  </si>
  <si>
    <t>2. Actual monthly billed revenues by Residential/Non-Residential (program cost revenues only) - Source: Missouri West MEEIA 2020-2021 Revenue Analysis.xlsx
Forecasted monthly billed revenues by Residential/Non-Residential (program cost revenues only) - Source: calculated = Forecasted billed kWh sales X tariff rate</t>
  </si>
  <si>
    <t>1. Ordered Adjustment - Source: None</t>
  </si>
  <si>
    <t>4. Total monthly interest - Source: MO West Ordered Adjustment Carrying Cost Calculation.xlsx</t>
  </si>
  <si>
    <t>2. Carrying Costs on OA - Source: None</t>
  </si>
  <si>
    <t>2. Forecasted program costs by allocation bucket (Residential, Non-Residential, Income-Eligible, Common/General) - Source: MEEIA Cycle 3 Forecast MO West 102021 11152021.xlsx</t>
  </si>
  <si>
    <t>1. Actual monthly program costs by allocation bucket Residential, Non-Residential, Income-Eligible, Common/General) - Source: None
    Forecasted monthly program costs by allocation bucket - Source: None</t>
  </si>
  <si>
    <t>7. Cycle 2 kWh Participation - Source: Missouri West Cycle 2 TD Calc 102021 11052021.xlsx</t>
  </si>
  <si>
    <t>5. Monthly Short-Term Borrowing Rate - Source: Missouri West Short-Term Borrowing Rate May - October 2021.xlsx</t>
  </si>
  <si>
    <t>1. &amp; 4. Actual monthly TD - Source: Missouri West Cycle 2 TD Calc 102021 11052021.xlsx
    Forecasted monthly TD - Source: Missouri West Cycle 2 TD Calc 102021 11052021.xlsx</t>
  </si>
  <si>
    <t>3. Actual kWh Sales Impact - Source:  Missouri West Cycle 2 TD Calc 102021 11052021.xlsx
    Forecasted kWh Sales Impact - Source: Missouri West Cycle 2 TD Calc 102021 11052021.xlsx</t>
  </si>
  <si>
    <t>6. Monthly Short-Term Borrowing Rate - Source: Missouri West Short-Term Borrowing Rate May - October 2021.xlsx</t>
  </si>
  <si>
    <t>8. Cycle 2 kWh Participation - Source: Missouri West Cycle 2 TD Calc 102021 11052021.xlsx</t>
  </si>
  <si>
    <t>1. &amp; 4. Actual monthly TD - Source: Missouri West Cycle 3 TD Calc 102021 11052021.xlsx
    Forecasted monthly TD - Source: MEEIA Cycle 3 Forecast MO West 102021 11152021.xlsx</t>
  </si>
  <si>
    <t>2. Forecasted Throughput Disincentive - Source: MEEIA Cycle 3 Forecast MO West 102021 11152021.xlsx</t>
  </si>
  <si>
    <t>1. Forecasted Residential/Non-Residential kWh savings  - Source: MEEIA Cycle 3 Forecast MO West 102021 11152021.xlsx</t>
  </si>
  <si>
    <t>1. Actual monthly program costs by allocation bucket Residential, Non-Residential, Income-Eligible, Common/General) - Source: 05 2021 MO West Spend Allocations Worksheet.xlsx, 06 2021 MO West Spend Allocations Worksheet.xlsx, 07 2021 MO West Spend Allocations Worksheet.xlsx, 08 2021 MO West Spend Allocations Worksheet.xlsx, 09 2021 MO West Spend Allocations Worksheet.xlsx, 10 2021 MO West Spend Allocations Worksheet.xlsx
    Forecasted monthly program costs by allocation bucket - Source: MEEIA Cycle 3 Forecast MO West 102021 11152021.xlsx</t>
  </si>
  <si>
    <t>3. Actual monthly TD - Source: Missouri West Cycle 3 TD Calc 102021 11052021.xlsx
    Forecasted monthly TD - Source: MEEIA Cycle 3 Forecast MO West 102021 11152021.xlsx</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</si>
  <si>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</si>
  <si>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</si>
  <si>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</si>
  <si>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3 - Program Year 1 (including EO TD Adjustments through October 2021) (Amortize February 2022-January 2023)</t>
  </si>
  <si>
    <t>2. EO TD Ex Post Gross Adjustment -  Source: TD Model Missouri West PY1-3 102021.xlsx, TD Model Missouri West PY4 102021.xlsx</t>
  </si>
  <si>
    <t>3. EO TD NTG Adjustment -  Source: TD Model Missouri West PY1-3 102021.xlsx, TD Model Missouri West PY4 102021.xlsx</t>
  </si>
  <si>
    <t>4. Carrying Costs @ AFUDC Rate -  Source: TD Model Missouri West PY1-3 102021.xlsx, TD Model Missouri West PY4 102021.xlsx</t>
  </si>
  <si>
    <t>6. Amortization Over 24 Month Recovery Period - Source: Column 5  PY 1 - 3 divided by 24 times 2 months remaining recovery, PY 4 Column 5 divided by 24 times 12, EO TD Adjustments Column 5 divided by 24 times 12</t>
  </si>
  <si>
    <t>Cycle 2 - EO TD Adjustments Carrying Costs May - October 2021 (Amortize February 2022-January 2024)</t>
  </si>
  <si>
    <t>Evergy Missouri West, Inc. - DSIM Rider Update Filed 12/02/2021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</si>
</sst>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0.0%"/>
    <numFmt numFmtId="178" formatCode="_(&quot;$&quot;* #,##0.000_);_(&quot;$&quot;* \(#,##0.000\);_(&quot;$&quot;* &quot;-&quot;??_);_(@_)"/>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17">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0" fontId="7" fillId="0" borderId="0" xfId="8" applyAlignment="1">
      <alignment horizontal="right"/>
    </xf>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72" fontId="30" fillId="0" borderId="4" xfId="0" applyNumberFormat="1" applyFont="1" applyBorder="1" applyAlignment="1">
      <alignment horizontal="center"/>
    </xf>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10" fontId="8" fillId="0" borderId="0" xfId="0" applyNumberFormat="1" applyFont="1" applyAlignment="1">
      <alignment horizontal="center" wrapText="1"/>
    </xf>
    <xf numFmtId="44" fontId="33" fillId="0" borderId="0" xfId="1" applyNumberFormat="1" applyFont="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0" fontId="8" fillId="0" borderId="0" xfId="0" applyFont="1" applyFill="1" applyAlignment="1">
      <alignment horizontal="left" vertical="center" wrapText="1"/>
    </xf>
    <xf numFmtId="170" fontId="36" fillId="0" borderId="5" xfId="0" applyNumberFormat="1" applyFont="1" applyFill="1" applyBorder="1" applyAlignment="1">
      <alignment vertical="center"/>
    </xf>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6" fontId="0" fillId="0" borderId="0" xfId="1" applyNumberFormat="1" applyFont="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0" fontId="8" fillId="0" borderId="79" xfId="0" applyFont="1" applyBorder="1" applyAlignment="1">
      <alignment horizontal="center" wrapText="1"/>
    </xf>
    <xf numFmtId="41" fontId="5" fillId="5" borderId="80" xfId="6" applyNumberFormat="1" applyBorder="1"/>
    <xf numFmtId="167" fontId="14" fillId="7" borderId="81" xfId="13" applyNumberFormat="1" applyBorder="1"/>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36" fillId="0" borderId="6" xfId="0" applyNumberFormat="1" applyFont="1" applyFill="1" applyBorder="1" applyAlignment="1">
      <alignment vertical="center"/>
    </xf>
    <xf numFmtId="170" fontId="38" fillId="0" borderId="0" xfId="0" applyNumberFormat="1" applyFont="1" applyFill="1" applyAlignment="1"/>
    <xf numFmtId="170" fontId="36" fillId="0" borderId="3" xfId="0" applyNumberFormat="1" applyFont="1" applyFill="1" applyBorder="1" applyAlignment="1">
      <alignment vertical="center"/>
    </xf>
    <xf numFmtId="0" fontId="38" fillId="0" borderId="0" xfId="0" applyFont="1"/>
    <xf numFmtId="170" fontId="38" fillId="0" borderId="0" xfId="0" applyNumberFormat="1" applyFont="1"/>
    <xf numFmtId="178" fontId="13" fillId="7" borderId="17" xfId="12" applyNumberFormat="1"/>
    <xf numFmtId="165" fontId="7" fillId="0" borderId="9" xfId="8" applyNumberFormat="1" applyBorder="1"/>
    <xf numFmtId="165" fontId="5" fillId="0" borderId="9" xfId="2" applyNumberFormat="1" applyFont="1" applyFill="1" applyBorder="1"/>
    <xf numFmtId="165" fontId="6" fillId="6" borderId="51" xfId="7" applyNumberFormat="1" applyBorder="1"/>
    <xf numFmtId="172" fontId="40" fillId="0" borderId="6" xfId="0" applyNumberFormat="1" applyFont="1" applyFill="1" applyBorder="1" applyAlignment="1">
      <alignment horizontal="right"/>
    </xf>
    <xf numFmtId="172" fontId="40" fillId="0" borderId="6" xfId="0" applyNumberFormat="1" applyFont="1" applyBorder="1" applyAlignment="1">
      <alignment horizontal="right"/>
    </xf>
    <xf numFmtId="170" fontId="40" fillId="0" borderId="4" xfId="0" applyNumberFormat="1" applyFont="1" applyFill="1" applyBorder="1" applyAlignment="1">
      <alignment vertical="center"/>
    </xf>
    <xf numFmtId="0" fontId="9" fillId="0" borderId="0" xfId="0" applyFont="1" applyAlignment="1">
      <alignment horizontal="center" wrapText="1"/>
    </xf>
    <xf numFmtId="0" fontId="8" fillId="0" borderId="0" xfId="0" applyFont="1" applyFill="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wrapText="1"/>
    </xf>
    <xf numFmtId="0" fontId="8" fillId="0" borderId="0" xfId="0" applyFont="1" applyFill="1" applyAlignment="1">
      <alignment horizontal="left"/>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38" borderId="19" xfId="0" applyFont="1" applyFill="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sharedStrings" Target="sharedStrings.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Billed%20kWh%20Budget%20Missouri%20West%2020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09%202021%20MO%20West%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10%202021%20MO%20West%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issouri%20West%20Cycle%203%20Monthly%20TD%20Calc%20102021%201105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issouri%20West%20EO%20Calculation%20PY1-PY3%20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TD%20Model%20Missouri%20West%20PY1-3%2010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issouri%20West%20EO%20Calculation%20PY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TD%20Model%20Missouri%20West%20PY4%2010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TD%20Model%20Missouri%20West%20PY1-3%20102021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TD%20Model%20Missouri%20West%20PY4%20102021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issouri%20West%20EO%20Calculated%20Cycle%203%20PY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EEIA%20Cycle%203%20Forecast%20MO%20West%20102021%201115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issouri%20West%20Cycle%203%20PY1%20EO%20TD%20Adj%20Cal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OA%20Adjustment%20-%20MO%20Wes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O%20West%20Ordered%20Adjustment%20Carrying%20Cost%20Calcul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issouri%20West%20Cycle%202%20Monthly%20TD%20Calc%20102021%201105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issouri%20West%20MEEIA%202021%20Revenue%20Analysi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Missouri%20West%20Short-Term%20Borrowing%20Rate%20May%20-%20October%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05%202021%20MO%20West%20Spend%20Allocations%20Workshee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06%202021%20MO%20West%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07%202021%20MO%20West%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11201%20Filing\08%202021%20MO%20West%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5">
          <cell r="O25">
            <v>223399953</v>
          </cell>
          <cell r="P25">
            <v>309715994</v>
          </cell>
          <cell r="Q25">
            <v>389443511</v>
          </cell>
        </row>
        <row r="26">
          <cell r="O26">
            <v>89874848</v>
          </cell>
          <cell r="P26">
            <v>92294683</v>
          </cell>
          <cell r="Q26">
            <v>95990283</v>
          </cell>
        </row>
        <row r="27">
          <cell r="O27">
            <v>89507591</v>
          </cell>
          <cell r="P27">
            <v>91917539</v>
          </cell>
          <cell r="Q27">
            <v>95598037</v>
          </cell>
        </row>
        <row r="28">
          <cell r="O28">
            <v>63156014</v>
          </cell>
          <cell r="P28">
            <v>64856458</v>
          </cell>
          <cell r="Q28">
            <v>67453395</v>
          </cell>
        </row>
        <row r="34">
          <cell r="F34">
            <v>1707925999</v>
          </cell>
          <cell r="G34">
            <v>1856867326</v>
          </cell>
        </row>
        <row r="35">
          <cell r="F35">
            <v>570166281</v>
          </cell>
          <cell r="G35">
            <v>587594589</v>
          </cell>
        </row>
        <row r="36">
          <cell r="F36">
            <v>567836404</v>
          </cell>
          <cell r="G36">
            <v>585193494</v>
          </cell>
        </row>
        <row r="37">
          <cell r="F37">
            <v>400661923</v>
          </cell>
          <cell r="G37">
            <v>412908982</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92021 10062021"/>
      <sheetName val="Input"/>
      <sheetName val="Program Descriptions"/>
    </sheetNames>
    <sheetDataSet>
      <sheetData sheetId="0">
        <row r="27">
          <cell r="N27">
            <v>923571.02999999991</v>
          </cell>
          <cell r="O27">
            <v>171455.98</v>
          </cell>
          <cell r="Q27">
            <v>597805.53</v>
          </cell>
          <cell r="R27">
            <v>103909.70999999999</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02021 11052021"/>
      <sheetName val="Input"/>
      <sheetName val="Program Descriptions"/>
    </sheetNames>
    <sheetDataSet>
      <sheetData sheetId="0">
        <row r="27">
          <cell r="N27">
            <v>827376.08</v>
          </cell>
          <cell r="O27">
            <v>103111.95999999999</v>
          </cell>
          <cell r="Q27">
            <v>186409.51</v>
          </cell>
          <cell r="R27">
            <v>54310.419999999984</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U460">
            <v>5130519.2597398022</v>
          </cell>
          <cell r="V460">
            <v>5104345.3737871926</v>
          </cell>
          <cell r="W460">
            <v>6449855.2234592149</v>
          </cell>
          <cell r="X460">
            <v>6927699.357277967</v>
          </cell>
          <cell r="Y460">
            <v>6255864.6355466619</v>
          </cell>
          <cell r="Z460">
            <v>6640270.6415015422</v>
          </cell>
        </row>
        <row r="461">
          <cell r="U461">
            <v>714699.77902094228</v>
          </cell>
          <cell r="V461">
            <v>706432.81682545121</v>
          </cell>
          <cell r="W461">
            <v>772460.97647978913</v>
          </cell>
          <cell r="X461">
            <v>831543.72373137367</v>
          </cell>
          <cell r="Y461">
            <v>791264.56190521515</v>
          </cell>
          <cell r="Z461">
            <v>883679.47133778059</v>
          </cell>
        </row>
        <row r="463">
          <cell r="U463">
            <v>752865.67450834368</v>
          </cell>
          <cell r="V463">
            <v>819775.770358457</v>
          </cell>
          <cell r="W463">
            <v>1024827.603648814</v>
          </cell>
          <cell r="X463">
            <v>1163084.0266808462</v>
          </cell>
          <cell r="Y463">
            <v>1208312.8617681235</v>
          </cell>
          <cell r="Z463">
            <v>1421435.224553542</v>
          </cell>
        </row>
        <row r="464">
          <cell r="U464">
            <v>578191.54920025263</v>
          </cell>
          <cell r="V464">
            <v>596809.34536830254</v>
          </cell>
          <cell r="W464">
            <v>620117.16768313153</v>
          </cell>
          <cell r="X464">
            <v>654975.41987988167</v>
          </cell>
          <cell r="Y464">
            <v>634196.01664871292</v>
          </cell>
          <cell r="Z464">
            <v>683475.51351457241</v>
          </cell>
        </row>
        <row r="562">
          <cell r="U562">
            <v>256054.86000000002</v>
          </cell>
          <cell r="V562">
            <v>420491.17000000004</v>
          </cell>
          <cell r="W562">
            <v>542735.53</v>
          </cell>
          <cell r="X562">
            <v>584928.46</v>
          </cell>
          <cell r="Y562">
            <v>518401.73</v>
          </cell>
          <cell r="Z562">
            <v>316805.10000000003</v>
          </cell>
        </row>
        <row r="563">
          <cell r="U563">
            <v>32395.559999999998</v>
          </cell>
          <cell r="V563">
            <v>50595.06</v>
          </cell>
          <cell r="W563">
            <v>54396.049999999996</v>
          </cell>
          <cell r="X563">
            <v>58731.09</v>
          </cell>
          <cell r="Y563">
            <v>56192.530000000006</v>
          </cell>
          <cell r="Z563">
            <v>39728.82</v>
          </cell>
        </row>
        <row r="565">
          <cell r="U565">
            <v>23104.29</v>
          </cell>
          <cell r="V565">
            <v>30159.58</v>
          </cell>
          <cell r="W565">
            <v>36241.74</v>
          </cell>
          <cell r="X565">
            <v>41551.549999999996</v>
          </cell>
          <cell r="Y565">
            <v>43631.16</v>
          </cell>
          <cell r="Z565">
            <v>41586.759999999995</v>
          </cell>
        </row>
        <row r="566">
          <cell r="U566">
            <v>7327.0199999999995</v>
          </cell>
          <cell r="V566">
            <v>9623.2999999999993</v>
          </cell>
          <cell r="W566">
            <v>10044.209999999999</v>
          </cell>
          <cell r="X566">
            <v>10637.89</v>
          </cell>
          <cell r="Y566">
            <v>10640.49</v>
          </cell>
          <cell r="Z566">
            <v>8532.49</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5181939.6500000004</v>
          </cell>
          <cell r="T18">
            <v>5060008.6900000004</v>
          </cell>
          <cell r="W18">
            <v>1943830.0499999998</v>
          </cell>
          <cell r="Y18">
            <v>2196160.9099999997</v>
          </cell>
          <cell r="Z18">
            <v>920017.71000000008</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EM&amp;V Inputs"/>
      <sheetName val="kW Actuals (Gross)"/>
    </sheetNames>
    <sheetDataSet>
      <sheetData sheetId="0" refreshError="1"/>
      <sheetData sheetId="1" refreshError="1"/>
      <sheetData sheetId="2">
        <row r="370">
          <cell r="AL370">
            <v>-722286.32999999984</v>
          </cell>
          <cell r="BE370">
            <v>-925665.90999999992</v>
          </cell>
          <cell r="BS370">
            <v>-501622.58999999991</v>
          </cell>
          <cell r="CD370">
            <v>-475790.98</v>
          </cell>
        </row>
        <row r="371">
          <cell r="AL371">
            <v>62654.269999999968</v>
          </cell>
          <cell r="BE371">
            <v>97800.22000000003</v>
          </cell>
          <cell r="BS371">
            <v>68174.790000000008</v>
          </cell>
          <cell r="CD371">
            <v>55453.740000000013</v>
          </cell>
        </row>
        <row r="373">
          <cell r="AL373">
            <v>122990.04999999997</v>
          </cell>
          <cell r="BE373">
            <v>137525.56000000003</v>
          </cell>
          <cell r="BS373">
            <v>97159.740000000034</v>
          </cell>
          <cell r="CD373">
            <v>78391.820000000022</v>
          </cell>
        </row>
        <row r="374">
          <cell r="AL374">
            <v>8441.0300000000061</v>
          </cell>
          <cell r="BE374">
            <v>13480.959999999997</v>
          </cell>
          <cell r="BS374">
            <v>9530.5999999999967</v>
          </cell>
          <cell r="CD374">
            <v>7715.4</v>
          </cell>
        </row>
      </sheetData>
      <sheetData sheetId="3">
        <row r="384">
          <cell r="AL384">
            <v>574414.55000000005</v>
          </cell>
          <cell r="BE384">
            <v>-742448.70000000007</v>
          </cell>
          <cell r="BS384">
            <v>-502875.4</v>
          </cell>
          <cell r="CD384">
            <v>-411835.76000000007</v>
          </cell>
        </row>
        <row r="385">
          <cell r="AL385">
            <v>289519.26000000007</v>
          </cell>
          <cell r="BE385">
            <v>-190303.54000000007</v>
          </cell>
          <cell r="BS385">
            <v>-129086.91000000005</v>
          </cell>
          <cell r="CD385">
            <v>-106679.1</v>
          </cell>
        </row>
        <row r="387">
          <cell r="AL387">
            <v>233118.96000000005</v>
          </cell>
          <cell r="BE387">
            <v>-142627.82999999999</v>
          </cell>
          <cell r="BS387">
            <v>-101888.86000000002</v>
          </cell>
          <cell r="CD387">
            <v>-81685.770000000019</v>
          </cell>
        </row>
        <row r="388">
          <cell r="AL388">
            <v>39682.919999999976</v>
          </cell>
          <cell r="BE388">
            <v>-22699.809999999994</v>
          </cell>
          <cell r="BS388">
            <v>-16566.279999999995</v>
          </cell>
          <cell r="CD388">
            <v>-13153.759999999998</v>
          </cell>
        </row>
      </sheetData>
      <sheetData sheetId="4" refreshError="1"/>
      <sheetData sheetId="5">
        <row r="63">
          <cell r="AL63">
            <v>2229.4899999999998</v>
          </cell>
          <cell r="BE63">
            <v>-48233.87</v>
          </cell>
          <cell r="BK63">
            <v>-23257.07</v>
          </cell>
        </row>
        <row r="64">
          <cell r="AL64">
            <v>9487.8299999999981</v>
          </cell>
          <cell r="BE64">
            <v>16083.199999999999</v>
          </cell>
          <cell r="BK64">
            <v>1530.75</v>
          </cell>
        </row>
        <row r="66">
          <cell r="AL66">
            <v>9593.3099999999977</v>
          </cell>
          <cell r="BE66">
            <v>18434.950000000004</v>
          </cell>
          <cell r="BK66">
            <v>2747.2700000000004</v>
          </cell>
        </row>
        <row r="67">
          <cell r="AL67">
            <v>1337.2200000000003</v>
          </cell>
          <cell r="BE67">
            <v>2282.4499999999998</v>
          </cell>
          <cell r="BK67">
            <v>249.56000000000003</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1398635.9100000001</v>
          </cell>
          <cell r="T18">
            <v>1081480.3199999998</v>
          </cell>
          <cell r="W18">
            <v>456620.65</v>
          </cell>
          <cell r="Y18">
            <v>487216.32</v>
          </cell>
          <cell r="Z18">
            <v>137643.35</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EM&amp;V Inputs"/>
      <sheetName val="kW Actuals (Gross)"/>
    </sheetNames>
    <sheetDataSet>
      <sheetData sheetId="0" refreshError="1"/>
      <sheetData sheetId="1" refreshError="1"/>
      <sheetData sheetId="2">
        <row r="370">
          <cell r="BE370">
            <v>269103.8600000001</v>
          </cell>
          <cell r="BS370">
            <v>357077.41000000003</v>
          </cell>
          <cell r="CD370">
            <v>287595.16000000003</v>
          </cell>
        </row>
        <row r="371">
          <cell r="BE371">
            <v>34433.140000000014</v>
          </cell>
          <cell r="BS371">
            <v>38305.360000000022</v>
          </cell>
          <cell r="CD371">
            <v>31944.280000000013</v>
          </cell>
        </row>
        <row r="373">
          <cell r="BE373">
            <v>12418.56</v>
          </cell>
          <cell r="BS373">
            <v>13981.689999999995</v>
          </cell>
          <cell r="CD373">
            <v>11316.46</v>
          </cell>
        </row>
        <row r="374">
          <cell r="BE374">
            <v>879.93000000000166</v>
          </cell>
          <cell r="BS374">
            <v>660.39000000000124</v>
          </cell>
          <cell r="CD374">
            <v>526.54000000000178</v>
          </cell>
        </row>
      </sheetData>
      <sheetData sheetId="3">
        <row r="384">
          <cell r="BE384">
            <v>6347.9600000000064</v>
          </cell>
          <cell r="BS384">
            <v>-135883.22999999998</v>
          </cell>
          <cell r="CD384">
            <v>-108354.64999999997</v>
          </cell>
        </row>
        <row r="385">
          <cell r="BE385">
            <v>32265.51</v>
          </cell>
          <cell r="BS385">
            <v>36285.759999999995</v>
          </cell>
          <cell r="CD385">
            <v>30292.95</v>
          </cell>
        </row>
        <row r="387">
          <cell r="BE387">
            <v>-350.19999999999027</v>
          </cell>
          <cell r="BS387">
            <v>-3922.2199999999793</v>
          </cell>
          <cell r="CD387">
            <v>-2936.9499999999898</v>
          </cell>
        </row>
        <row r="388">
          <cell r="BE388">
            <v>1230.5099999999979</v>
          </cell>
          <cell r="BS388">
            <v>1213.9799999999987</v>
          </cell>
          <cell r="CD388">
            <v>1032.0599999999977</v>
          </cell>
        </row>
      </sheetData>
      <sheetData sheetId="4" refreshError="1"/>
      <sheetData sheetId="5">
        <row r="63">
          <cell r="BE63">
            <v>5812.1900000000005</v>
          </cell>
          <cell r="BK63">
            <v>3865.7400000000002</v>
          </cell>
        </row>
        <row r="64">
          <cell r="BE64">
            <v>904.36</v>
          </cell>
          <cell r="BK64">
            <v>959.68999999999994</v>
          </cell>
        </row>
        <row r="66">
          <cell r="BE66">
            <v>241.7</v>
          </cell>
          <cell r="BK66">
            <v>168.43</v>
          </cell>
        </row>
        <row r="67">
          <cell r="BE67">
            <v>44.26</v>
          </cell>
          <cell r="BK67">
            <v>29.639999999999997</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EM&amp;V Inputs"/>
      <sheetName val="kW Actuals (Gross)"/>
    </sheetNames>
    <sheetDataSet>
      <sheetData sheetId="0" refreshError="1"/>
      <sheetData sheetId="1" refreshError="1"/>
      <sheetData sheetId="2" refreshError="1"/>
      <sheetData sheetId="3" refreshError="1"/>
      <sheetData sheetId="4" refreshError="1"/>
      <sheetData sheetId="5">
        <row r="55">
          <cell r="BL55">
            <v>-1995.98</v>
          </cell>
          <cell r="BM55">
            <v>-1957.65</v>
          </cell>
          <cell r="BN55">
            <v>-2110.5</v>
          </cell>
          <cell r="BO55">
            <v>-2388.31</v>
          </cell>
          <cell r="BP55">
            <v>-2521.9899999999998</v>
          </cell>
          <cell r="BQ55">
            <v>-2668.34</v>
          </cell>
        </row>
        <row r="56">
          <cell r="BL56">
            <v>81.38</v>
          </cell>
          <cell r="BM56">
            <v>63.61</v>
          </cell>
          <cell r="BN56">
            <v>46.46</v>
          </cell>
          <cell r="BO56">
            <v>28.09</v>
          </cell>
          <cell r="BP56">
            <v>9.7100000000000009</v>
          </cell>
          <cell r="BQ56">
            <v>-8.8000000000000007</v>
          </cell>
        </row>
        <row r="58">
          <cell r="BL58">
            <v>189.98</v>
          </cell>
          <cell r="BM58">
            <v>170.11</v>
          </cell>
          <cell r="BN58">
            <v>159.05000000000001</v>
          </cell>
          <cell r="BO58">
            <v>152.5</v>
          </cell>
          <cell r="BP58">
            <v>140</v>
          </cell>
          <cell r="BQ58">
            <v>129.97</v>
          </cell>
        </row>
        <row r="59">
          <cell r="BL59">
            <v>13.92</v>
          </cell>
          <cell r="BM59">
            <v>11.52</v>
          </cell>
          <cell r="BN59">
            <v>9.73</v>
          </cell>
          <cell r="BO59">
            <v>8.0500000000000007</v>
          </cell>
          <cell r="BP59">
            <v>6.12</v>
          </cell>
          <cell r="BQ59">
            <v>3.98</v>
          </cell>
        </row>
        <row r="81">
          <cell r="BJ81">
            <v>109.26999999999998</v>
          </cell>
          <cell r="BK81">
            <v>256.23</v>
          </cell>
        </row>
        <row r="82">
          <cell r="BJ82">
            <v>5.519999999999996</v>
          </cell>
          <cell r="BK82">
            <v>12.930000000000007</v>
          </cell>
        </row>
        <row r="84">
          <cell r="BJ84">
            <v>-0.34000000000000341</v>
          </cell>
          <cell r="BK84">
            <v>-0.80999999999997385</v>
          </cell>
        </row>
        <row r="85">
          <cell r="BJ85">
            <v>0.5600000000000005</v>
          </cell>
          <cell r="BK85">
            <v>1.3100000000000005</v>
          </cell>
        </row>
      </sheetData>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EM&amp;V Inputs"/>
      <sheetName val="kW Actuals (Gross)"/>
    </sheetNames>
    <sheetDataSet>
      <sheetData sheetId="0" refreshError="1"/>
      <sheetData sheetId="1" refreshError="1"/>
      <sheetData sheetId="2" refreshError="1"/>
      <sheetData sheetId="3" refreshError="1"/>
      <sheetData sheetId="4" refreshError="1"/>
      <sheetData sheetId="5">
        <row r="55">
          <cell r="BL55">
            <v>360.96</v>
          </cell>
          <cell r="BM55">
            <v>355.07</v>
          </cell>
          <cell r="BN55">
            <v>374.05</v>
          </cell>
          <cell r="BO55">
            <v>411.83</v>
          </cell>
          <cell r="BP55">
            <v>430.83</v>
          </cell>
          <cell r="BQ55">
            <v>461.07</v>
          </cell>
        </row>
        <row r="56">
          <cell r="BL56">
            <v>91.83</v>
          </cell>
          <cell r="BM56">
            <v>91.85</v>
          </cell>
          <cell r="BN56">
            <v>98.97</v>
          </cell>
          <cell r="BO56">
            <v>111.14</v>
          </cell>
          <cell r="BP56">
            <v>121.3</v>
          </cell>
          <cell r="BQ56">
            <v>134.94</v>
          </cell>
        </row>
        <row r="58">
          <cell r="BL58">
            <v>15.81</v>
          </cell>
          <cell r="BM58">
            <v>15.68</v>
          </cell>
          <cell r="BN58">
            <v>16.649999999999999</v>
          </cell>
          <cell r="BO58">
            <v>18.41</v>
          </cell>
          <cell r="BP58">
            <v>19.78</v>
          </cell>
          <cell r="BQ58">
            <v>21.73</v>
          </cell>
        </row>
        <row r="59">
          <cell r="BL59">
            <v>2.77</v>
          </cell>
          <cell r="BM59">
            <v>2.75</v>
          </cell>
          <cell r="BN59">
            <v>2.94</v>
          </cell>
          <cell r="BO59">
            <v>3.27</v>
          </cell>
          <cell r="BP59">
            <v>3.53</v>
          </cell>
          <cell r="BQ59">
            <v>3.89</v>
          </cell>
        </row>
        <row r="73">
          <cell r="BJ73">
            <v>-19.949999999999989</v>
          </cell>
          <cell r="BK73">
            <v>-46.770000000000039</v>
          </cell>
        </row>
        <row r="74">
          <cell r="BJ74">
            <v>-5.7000000000000028</v>
          </cell>
          <cell r="BK74">
            <v>-13.36</v>
          </cell>
        </row>
        <row r="76">
          <cell r="BJ76">
            <v>-0.89000000000000057</v>
          </cell>
          <cell r="BK76">
            <v>-2.0799999999999983</v>
          </cell>
        </row>
        <row r="77">
          <cell r="BJ77">
            <v>-0.16000000000000014</v>
          </cell>
          <cell r="BK77">
            <v>-0.37999999999999989</v>
          </cell>
        </row>
      </sheetData>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 Final EM&amp;V"/>
      <sheetName val="Tariff Table"/>
      <sheetName val="EMV Results"/>
    </sheetNames>
    <sheetDataSet>
      <sheetData sheetId="0">
        <row r="20">
          <cell r="R20">
            <v>1600473.2590000001</v>
          </cell>
          <cell r="V20">
            <v>310910.24</v>
          </cell>
          <cell r="X20">
            <v>318131.55000000005</v>
          </cell>
          <cell r="Y20">
            <v>264768.76</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Program Costs"/>
      <sheetName val="Compare to Prior DSIM"/>
      <sheetName val="Summary"/>
      <sheetName val="Monthly TD Calc"/>
      <sheetName val="EO Ex Post TD Calc"/>
      <sheetName val="EO NTG TD Calc"/>
      <sheetName val="EMV Results"/>
      <sheetName val="Monthly kWh-kW"/>
      <sheetName val="ICF SOW Amdt 2"/>
      <sheetName val="TRC SOW Amdt 1"/>
      <sheetName val="MO West EO Matrix @Meter"/>
      <sheetName val="MO West EO Table"/>
      <sheetName val="PAYS"/>
      <sheetName val="Mktg Forecast"/>
      <sheetName val="MEEIA Labor Alloc"/>
      <sheetName val="Other Admin"/>
      <sheetName val="EMV Costs"/>
      <sheetName val="Implementer Contract Rates"/>
      <sheetName val="Billed kWh Sales"/>
      <sheetName val="DSIM Revenue"/>
    </sheetNames>
    <sheetDataSet>
      <sheetData sheetId="0">
        <row r="1">
          <cell r="U1">
            <v>2019</v>
          </cell>
        </row>
      </sheetData>
      <sheetData sheetId="1" refreshError="1"/>
      <sheetData sheetId="2">
        <row r="290">
          <cell r="AD290">
            <v>1172413.6599999999</v>
          </cell>
          <cell r="AE290">
            <v>793664.61</v>
          </cell>
          <cell r="AF290">
            <v>601622.51</v>
          </cell>
          <cell r="AG290">
            <v>605424.30000000005</v>
          </cell>
          <cell r="AH290">
            <v>623974.15999999992</v>
          </cell>
          <cell r="AI290">
            <v>758154.8899999999</v>
          </cell>
          <cell r="AJ290">
            <v>1332432.44</v>
          </cell>
          <cell r="AK290">
            <v>1409646.8699999999</v>
          </cell>
          <cell r="AL290">
            <v>1211721.06</v>
          </cell>
          <cell r="AM290">
            <v>1063963.0799999998</v>
          </cell>
          <cell r="AN290">
            <v>943176.09999999986</v>
          </cell>
          <cell r="AO290">
            <v>1056976.72</v>
          </cell>
          <cell r="AP290">
            <v>1058665.6099999999</v>
          </cell>
          <cell r="AQ290">
            <v>640380.62000000011</v>
          </cell>
        </row>
        <row r="291">
          <cell r="AD291">
            <v>180775.06000000003</v>
          </cell>
          <cell r="AE291">
            <v>193158.48</v>
          </cell>
          <cell r="AF291">
            <v>147198.73000000001</v>
          </cell>
          <cell r="AG291">
            <v>136187.05000000002</v>
          </cell>
          <cell r="AH291">
            <v>136929.88</v>
          </cell>
          <cell r="AI291">
            <v>216666.84</v>
          </cell>
          <cell r="AJ291">
            <v>182123.78999999998</v>
          </cell>
          <cell r="AK291">
            <v>331738.56000000006</v>
          </cell>
          <cell r="AL291">
            <v>305831.37</v>
          </cell>
          <cell r="AM291">
            <v>244132.30000000002</v>
          </cell>
          <cell r="AN291">
            <v>263502.99</v>
          </cell>
          <cell r="AO291">
            <v>207730.59999999998</v>
          </cell>
          <cell r="AP291">
            <v>188146.57999999996</v>
          </cell>
          <cell r="AQ291">
            <v>203760.35000000003</v>
          </cell>
        </row>
        <row r="293">
          <cell r="AD293">
            <v>262377.59999999998</v>
          </cell>
          <cell r="AE293">
            <v>294272.43</v>
          </cell>
          <cell r="AF293">
            <v>221900.91</v>
          </cell>
          <cell r="AG293">
            <v>204686.38</v>
          </cell>
          <cell r="AH293">
            <v>208723.65999999997</v>
          </cell>
          <cell r="AI293">
            <v>327239.52000000008</v>
          </cell>
          <cell r="AJ293">
            <v>275024.82</v>
          </cell>
          <cell r="AK293">
            <v>501180.01</v>
          </cell>
          <cell r="AL293">
            <v>463933.13</v>
          </cell>
          <cell r="AM293">
            <v>369762.44000000006</v>
          </cell>
          <cell r="AN293">
            <v>408552.06000000006</v>
          </cell>
          <cell r="AO293">
            <v>302140.63</v>
          </cell>
          <cell r="AP293">
            <v>272583.49000000005</v>
          </cell>
          <cell r="AQ293">
            <v>315369.32999999996</v>
          </cell>
        </row>
        <row r="294">
          <cell r="AD294">
            <v>197001.85</v>
          </cell>
          <cell r="AE294">
            <v>221367.52</v>
          </cell>
          <cell r="AF294">
            <v>166990.42000000001</v>
          </cell>
          <cell r="AG294">
            <v>154121.94999999998</v>
          </cell>
          <cell r="AH294">
            <v>155952.92000000001</v>
          </cell>
          <cell r="AI294">
            <v>247809.95000000004</v>
          </cell>
          <cell r="AJ294">
            <v>207642.57</v>
          </cell>
          <cell r="AK294">
            <v>381617.77</v>
          </cell>
          <cell r="AL294">
            <v>352135.66</v>
          </cell>
          <cell r="AM294">
            <v>280178.75999999995</v>
          </cell>
          <cell r="AN294">
            <v>306778.78000000003</v>
          </cell>
          <cell r="AO294">
            <v>227816.14</v>
          </cell>
          <cell r="AP294">
            <v>205207.22000000003</v>
          </cell>
          <cell r="AQ294">
            <v>235898.91999999998</v>
          </cell>
        </row>
      </sheetData>
      <sheetData sheetId="3" refreshError="1"/>
      <sheetData sheetId="4" refreshError="1"/>
      <sheetData sheetId="5">
        <row r="461">
          <cell r="AA461">
            <v>6050282.7732116552</v>
          </cell>
          <cell r="AB461">
            <v>7505593.8632202586</v>
          </cell>
          <cell r="AC461">
            <v>8171874.9349604025</v>
          </cell>
          <cell r="AD461">
            <v>7920538.9450349333</v>
          </cell>
          <cell r="AE461">
            <v>7700405.4133574301</v>
          </cell>
          <cell r="AF461">
            <v>7656056.5281957397</v>
          </cell>
          <cell r="AG461">
            <v>7857391.9258892871</v>
          </cell>
          <cell r="AH461">
            <v>7589818.4225997794</v>
          </cell>
          <cell r="AI461">
            <v>9560690.2644150797</v>
          </cell>
          <cell r="AJ461">
            <v>9675307.2810627967</v>
          </cell>
          <cell r="AK461">
            <v>8400932.3451109435</v>
          </cell>
          <cell r="AL461">
            <v>8832310.4291472789</v>
          </cell>
          <cell r="AM461">
            <v>8651680.3305643294</v>
          </cell>
          <cell r="AN461">
            <v>10618912.161688516</v>
          </cell>
        </row>
        <row r="462">
          <cell r="AA462">
            <v>923931.09326427255</v>
          </cell>
          <cell r="AB462">
            <v>1052186.7654856148</v>
          </cell>
          <cell r="AC462">
            <v>1176853.5027268138</v>
          </cell>
          <cell r="AD462">
            <v>1079731.8629220254</v>
          </cell>
          <cell r="AE462">
            <v>1218833.0307243019</v>
          </cell>
          <cell r="AF462">
            <v>1291101.5285309269</v>
          </cell>
          <cell r="AG462">
            <v>1485416.3508458857</v>
          </cell>
          <cell r="AH462">
            <v>1456887.3638242763</v>
          </cell>
          <cell r="AI462">
            <v>1549336.275660231</v>
          </cell>
          <cell r="AJ462">
            <v>1611810.9266593934</v>
          </cell>
          <cell r="AK462">
            <v>1618547.8901703211</v>
          </cell>
          <cell r="AL462">
            <v>1859534.6106941339</v>
          </cell>
          <cell r="AM462">
            <v>1800529.9330062929</v>
          </cell>
          <cell r="AN462">
            <v>1924202.4572648862</v>
          </cell>
        </row>
        <row r="464">
          <cell r="AA464">
            <v>1465815.4262001989</v>
          </cell>
          <cell r="AB464">
            <v>1663139.9673840371</v>
          </cell>
          <cell r="AC464">
            <v>1856874.0213925096</v>
          </cell>
          <cell r="AD464">
            <v>1698400.6926554989</v>
          </cell>
          <cell r="AE464">
            <v>1920782.9880170918</v>
          </cell>
          <cell r="AF464">
            <v>2026930.7102570692</v>
          </cell>
          <cell r="AG464">
            <v>2324782.7471566903</v>
          </cell>
          <cell r="AH464">
            <v>2277634.7214607997</v>
          </cell>
          <cell r="AI464">
            <v>2394634.8108426984</v>
          </cell>
          <cell r="AJ464">
            <v>2494644.4641633532</v>
          </cell>
          <cell r="AK464">
            <v>2524847.6140757049</v>
          </cell>
          <cell r="AL464">
            <v>2900941.6126683909</v>
          </cell>
          <cell r="AM464">
            <v>2806689.6448866311</v>
          </cell>
          <cell r="AN464">
            <v>2996979.0783174019</v>
          </cell>
        </row>
        <row r="465">
          <cell r="AA465">
            <v>726047.4259070257</v>
          </cell>
          <cell r="AB465">
            <v>875013.18346664426</v>
          </cell>
          <cell r="AC465">
            <v>1002091.4550817468</v>
          </cell>
          <cell r="AD465">
            <v>920871.18030455441</v>
          </cell>
          <cell r="AE465">
            <v>1050219.9470758603</v>
          </cell>
          <cell r="AF465">
            <v>1152297.7249459212</v>
          </cell>
          <cell r="AG465">
            <v>1360447.052027062</v>
          </cell>
          <cell r="AH465">
            <v>1343020.5322729319</v>
          </cell>
          <cell r="AI465">
            <v>1421882.778017249</v>
          </cell>
          <cell r="AJ465">
            <v>1490426.2991468944</v>
          </cell>
          <cell r="AK465">
            <v>1542177.2383318597</v>
          </cell>
          <cell r="AL465">
            <v>1801547.2535654339</v>
          </cell>
          <cell r="AM465">
            <v>1752155.8849983355</v>
          </cell>
          <cell r="AN465">
            <v>1895746.2768650244</v>
          </cell>
        </row>
        <row r="563">
          <cell r="AA563">
            <v>291084.90000000008</v>
          </cell>
          <cell r="AB563">
            <v>333020.72000000003</v>
          </cell>
          <cell r="AC563">
            <v>328510.44999999995</v>
          </cell>
          <cell r="AD563">
            <v>340704.36</v>
          </cell>
          <cell r="AE563">
            <v>346876.67999999993</v>
          </cell>
          <cell r="AF563">
            <v>346109.73000000004</v>
          </cell>
          <cell r="AG563">
            <v>383218.68000000005</v>
          </cell>
          <cell r="AH563">
            <v>613556.43000000005</v>
          </cell>
          <cell r="AI563">
            <v>794174.46</v>
          </cell>
          <cell r="AJ563">
            <v>803748.12</v>
          </cell>
          <cell r="AK563">
            <v>683081.65999999992</v>
          </cell>
          <cell r="AL563">
            <v>413484.03</v>
          </cell>
          <cell r="AM563">
            <v>412661.01</v>
          </cell>
          <cell r="AN563">
            <v>467245.36999999994</v>
          </cell>
        </row>
        <row r="564">
          <cell r="AA564">
            <v>41774.67</v>
          </cell>
          <cell r="AB564">
            <v>42948.920000000006</v>
          </cell>
          <cell r="AC564">
            <v>47348.529999999992</v>
          </cell>
          <cell r="AD564">
            <v>43734.33</v>
          </cell>
          <cell r="AE564">
            <v>49769.789999999994</v>
          </cell>
          <cell r="AF564">
            <v>57341.54</v>
          </cell>
          <cell r="AG564">
            <v>66718.75</v>
          </cell>
          <cell r="AH564">
            <v>103396.01</v>
          </cell>
          <cell r="AI564">
            <v>108204.26999999999</v>
          </cell>
          <cell r="AJ564">
            <v>112967.46</v>
          </cell>
          <cell r="AK564">
            <v>113802.59</v>
          </cell>
          <cell r="AL564">
            <v>82573.88</v>
          </cell>
          <cell r="AM564">
            <v>80540.06</v>
          </cell>
          <cell r="AN564">
            <v>77977.81</v>
          </cell>
        </row>
        <row r="566">
          <cell r="AA566">
            <v>44033.27</v>
          </cell>
          <cell r="AB566">
            <v>47429.74</v>
          </cell>
          <cell r="AC566">
            <v>50372.55</v>
          </cell>
          <cell r="AD566">
            <v>48722.81</v>
          </cell>
          <cell r="AE566">
            <v>55694.159999999996</v>
          </cell>
          <cell r="AF566">
            <v>58128.6</v>
          </cell>
          <cell r="AG566">
            <v>70166.070000000007</v>
          </cell>
          <cell r="AH566">
            <v>82210.200000000012</v>
          </cell>
          <cell r="AI566">
            <v>83748.02</v>
          </cell>
          <cell r="AJ566">
            <v>88462.48000000001</v>
          </cell>
          <cell r="AK566">
            <v>90472.25</v>
          </cell>
          <cell r="AL566">
            <v>84197.440000000002</v>
          </cell>
          <cell r="AM566">
            <v>83805.670000000013</v>
          </cell>
          <cell r="AN566">
            <v>85231.38</v>
          </cell>
        </row>
        <row r="567">
          <cell r="AA567">
            <v>9125.19</v>
          </cell>
          <cell r="AB567">
            <v>11282.24</v>
          </cell>
          <cell r="AC567">
            <v>12647.82</v>
          </cell>
          <cell r="AD567">
            <v>11514.81</v>
          </cell>
          <cell r="AE567">
            <v>13369.99</v>
          </cell>
          <cell r="AF567">
            <v>13800.15</v>
          </cell>
          <cell r="AG567">
            <v>17017.310000000001</v>
          </cell>
          <cell r="AH567">
            <v>21386.55</v>
          </cell>
          <cell r="AI567">
            <v>22758.92</v>
          </cell>
          <cell r="AJ567">
            <v>24032.22</v>
          </cell>
          <cell r="AK567">
            <v>25174.639999999999</v>
          </cell>
          <cell r="AL567">
            <v>21694.81</v>
          </cell>
          <cell r="AM567">
            <v>21387.200000000001</v>
          </cell>
          <cell r="AN567">
            <v>24178.75</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refreshError="1"/>
      <sheetData sheetId="1" refreshError="1"/>
      <sheetData sheetId="2" refreshError="1"/>
      <sheetData sheetId="3" refreshError="1"/>
      <sheetData sheetId="4">
        <row r="571">
          <cell r="E571">
            <v>20417.009999999995</v>
          </cell>
          <cell r="F571">
            <v>26427.869999999995</v>
          </cell>
          <cell r="G571">
            <v>25762.399999999994</v>
          </cell>
          <cell r="H571">
            <v>25475.879999999976</v>
          </cell>
          <cell r="I571">
            <v>25719.17</v>
          </cell>
          <cell r="J571">
            <v>41841.229999999981</v>
          </cell>
          <cell r="K571">
            <v>43382.389999999985</v>
          </cell>
          <cell r="L571">
            <v>59447.949999999953</v>
          </cell>
          <cell r="M571">
            <v>63195.650000000081</v>
          </cell>
          <cell r="N571">
            <v>31780.369999999995</v>
          </cell>
          <cell r="O571">
            <v>32268.829999999958</v>
          </cell>
          <cell r="P571">
            <v>35300.74000000002</v>
          </cell>
          <cell r="Q571">
            <v>13388.950000000012</v>
          </cell>
          <cell r="R571">
            <v>12882.320000000007</v>
          </cell>
          <cell r="S571">
            <v>12528.659999999989</v>
          </cell>
          <cell r="T571">
            <v>12194.229999999996</v>
          </cell>
          <cell r="U571">
            <v>13551.040000000008</v>
          </cell>
          <cell r="V571">
            <v>15902.689999999973</v>
          </cell>
          <cell r="W571">
            <v>16082.380000000005</v>
          </cell>
          <cell r="X571">
            <v>16628.290000000008</v>
          </cell>
          <cell r="Y571">
            <v>18457.01999999999</v>
          </cell>
          <cell r="Z571">
            <v>12601.330000000002</v>
          </cell>
        </row>
        <row r="572">
          <cell r="E572">
            <v>0</v>
          </cell>
          <cell r="F572">
            <v>0</v>
          </cell>
          <cell r="G572">
            <v>39.70999999999998</v>
          </cell>
          <cell r="H572">
            <v>130.26000000000022</v>
          </cell>
          <cell r="I572">
            <v>216.1899999999996</v>
          </cell>
          <cell r="J572">
            <v>411.05999999999949</v>
          </cell>
          <cell r="K572">
            <v>1101.5800000000017</v>
          </cell>
          <cell r="L572">
            <v>1355.6599999999999</v>
          </cell>
          <cell r="M572">
            <v>1039.7599999999984</v>
          </cell>
          <cell r="N572">
            <v>902.48000000000138</v>
          </cell>
          <cell r="O572">
            <v>1030.7699999999968</v>
          </cell>
          <cell r="P572">
            <v>1303.760000000002</v>
          </cell>
          <cell r="Q572">
            <v>1672.4700000000012</v>
          </cell>
          <cell r="R572">
            <v>1521.3499999999985</v>
          </cell>
          <cell r="S572">
            <v>1697</v>
          </cell>
          <cell r="T572">
            <v>1761.9300000000003</v>
          </cell>
          <cell r="U572">
            <v>1875.8300000000017</v>
          </cell>
          <cell r="V572">
            <v>2826.2700000000041</v>
          </cell>
          <cell r="W572">
            <v>4160.1399999999994</v>
          </cell>
          <cell r="X572">
            <v>4064.8399999999965</v>
          </cell>
          <cell r="Y572">
            <v>2726.6600000000108</v>
          </cell>
          <cell r="Z572">
            <v>1853.9300000000039</v>
          </cell>
        </row>
        <row r="574">
          <cell r="E574">
            <v>0</v>
          </cell>
          <cell r="F574">
            <v>0</v>
          </cell>
          <cell r="G574">
            <v>21.79000000000002</v>
          </cell>
          <cell r="H574">
            <v>131.46000000000026</v>
          </cell>
          <cell r="I574">
            <v>265.22000000000025</v>
          </cell>
          <cell r="J574">
            <v>318.80000000000018</v>
          </cell>
          <cell r="K574">
            <v>379.60000000000036</v>
          </cell>
          <cell r="L574">
            <v>563.39999999999964</v>
          </cell>
          <cell r="M574">
            <v>690.21999999999935</v>
          </cell>
          <cell r="N574">
            <v>710.29000000000087</v>
          </cell>
          <cell r="O574">
            <v>747.90999999999985</v>
          </cell>
          <cell r="P574">
            <v>815.53999999999905</v>
          </cell>
          <cell r="Q574">
            <v>905.54000000000087</v>
          </cell>
          <cell r="R574">
            <v>866.09000000000196</v>
          </cell>
          <cell r="S574">
            <v>967.59999999999854</v>
          </cell>
          <cell r="T574">
            <v>911.14000000000124</v>
          </cell>
          <cell r="U574">
            <v>1009.9300000000003</v>
          </cell>
          <cell r="V574">
            <v>1135.0700000000033</v>
          </cell>
          <cell r="W574">
            <v>1122.9399999999987</v>
          </cell>
          <cell r="X574">
            <v>1158.5</v>
          </cell>
          <cell r="Y574">
            <v>1091.7099999999991</v>
          </cell>
          <cell r="Z574">
            <v>966.81999999999971</v>
          </cell>
        </row>
        <row r="575">
          <cell r="E575">
            <v>0</v>
          </cell>
          <cell r="F575">
            <v>0</v>
          </cell>
          <cell r="G575">
            <v>0</v>
          </cell>
          <cell r="H575">
            <v>-3.6100000000000136</v>
          </cell>
          <cell r="I575">
            <v>14.779999999999973</v>
          </cell>
          <cell r="J575">
            <v>52.480000000000018</v>
          </cell>
          <cell r="K575">
            <v>63.8900000000001</v>
          </cell>
          <cell r="L575">
            <v>78.479999999999791</v>
          </cell>
          <cell r="M575">
            <v>86.590000000000146</v>
          </cell>
          <cell r="N575">
            <v>95.920000000000982</v>
          </cell>
          <cell r="O575">
            <v>119.86999999999989</v>
          </cell>
          <cell r="P575">
            <v>143.69000000000051</v>
          </cell>
          <cell r="Q575">
            <v>160.54999999999927</v>
          </cell>
          <cell r="R575">
            <v>143.18000000000029</v>
          </cell>
          <cell r="S575">
            <v>160.16000000000076</v>
          </cell>
          <cell r="T575">
            <v>143.22000000000025</v>
          </cell>
          <cell r="U575">
            <v>158.33999999999924</v>
          </cell>
          <cell r="V575">
            <v>182.97000000000116</v>
          </cell>
          <cell r="W575">
            <v>186.25000000000182</v>
          </cell>
          <cell r="X575">
            <v>189.64000000000124</v>
          </cell>
          <cell r="Y575">
            <v>180.03000000000065</v>
          </cell>
          <cell r="Z575">
            <v>150.05999999999949</v>
          </cell>
        </row>
      </sheetData>
      <sheetData sheetId="5">
        <row r="436">
          <cell r="E436">
            <v>0</v>
          </cell>
          <cell r="F436">
            <v>-548.9600000000064</v>
          </cell>
          <cell r="G436">
            <v>-1984.6900000000023</v>
          </cell>
          <cell r="H436">
            <v>-3620.7999999999884</v>
          </cell>
          <cell r="I436">
            <v>-6432.4400000000023</v>
          </cell>
          <cell r="J436">
            <v>-13309.329999999987</v>
          </cell>
          <cell r="K436">
            <v>-19322.069999999978</v>
          </cell>
          <cell r="L436">
            <v>-23382.190000000002</v>
          </cell>
          <cell r="M436">
            <v>-27168.590000000026</v>
          </cell>
          <cell r="N436">
            <v>-20964.75</v>
          </cell>
          <cell r="O436">
            <v>-24073.289999999979</v>
          </cell>
          <cell r="P436">
            <v>-31950.319999999978</v>
          </cell>
          <cell r="Q436">
            <v>-31073.87000000001</v>
          </cell>
          <cell r="R436">
            <v>-29844.37000000001</v>
          </cell>
          <cell r="S436">
            <v>-30065.810000000012</v>
          </cell>
          <cell r="T436">
            <v>-29138.509999999995</v>
          </cell>
          <cell r="U436">
            <v>-32975.600000000006</v>
          </cell>
          <cell r="V436">
            <v>-45276.329999999987</v>
          </cell>
          <cell r="W436">
            <v>-48702.25</v>
          </cell>
          <cell r="X436">
            <v>-48386.34</v>
          </cell>
          <cell r="Y436">
            <v>-47116.179999999993</v>
          </cell>
          <cell r="Z436">
            <v>-30455.539999999994</v>
          </cell>
        </row>
        <row r="437">
          <cell r="E437">
            <v>0</v>
          </cell>
          <cell r="F437">
            <v>0</v>
          </cell>
          <cell r="G437">
            <v>-9.9999999999909051E-3</v>
          </cell>
          <cell r="H437">
            <v>-138.95000000000027</v>
          </cell>
          <cell r="I437">
            <v>-301.80999999999949</v>
          </cell>
          <cell r="J437">
            <v>-468.01999999999862</v>
          </cell>
          <cell r="K437">
            <v>-483.04999999999927</v>
          </cell>
          <cell r="L437">
            <v>-504.46999999999753</v>
          </cell>
          <cell r="M437">
            <v>-504.92000000000189</v>
          </cell>
          <cell r="N437">
            <v>-365.14999999999964</v>
          </cell>
          <cell r="O437">
            <v>-350.93000000000029</v>
          </cell>
          <cell r="P437">
            <v>-339.45000000000073</v>
          </cell>
          <cell r="Q437">
            <v>-371.04000000000087</v>
          </cell>
          <cell r="R437">
            <v>-337.18999999999505</v>
          </cell>
          <cell r="S437">
            <v>-375.75</v>
          </cell>
          <cell r="T437">
            <v>-392.68999999999869</v>
          </cell>
          <cell r="U437">
            <v>-415.60000000000218</v>
          </cell>
          <cell r="V437">
            <v>-628.45999999999913</v>
          </cell>
          <cell r="W437">
            <v>-634.21999999999389</v>
          </cell>
          <cell r="X437">
            <v>-647.95999999999185</v>
          </cell>
          <cell r="Y437">
            <v>-609.12000000000262</v>
          </cell>
          <cell r="Z437">
            <v>-413.63999999999942</v>
          </cell>
        </row>
        <row r="439">
          <cell r="E439">
            <v>0</v>
          </cell>
          <cell r="F439">
            <v>0</v>
          </cell>
          <cell r="G439">
            <v>0</v>
          </cell>
          <cell r="H439">
            <v>-28.470000000000027</v>
          </cell>
          <cell r="I439">
            <v>-97.300000000000182</v>
          </cell>
          <cell r="J439">
            <v>-148.3100000000004</v>
          </cell>
          <cell r="K439">
            <v>-146.75999999999931</v>
          </cell>
          <cell r="L439">
            <v>-151.30999999999949</v>
          </cell>
          <cell r="M439">
            <v>-143.32999999999993</v>
          </cell>
          <cell r="N439">
            <v>-141.61999999999898</v>
          </cell>
          <cell r="O439">
            <v>-160.02000000000044</v>
          </cell>
          <cell r="P439">
            <v>-266.28999999999905</v>
          </cell>
          <cell r="Q439">
            <v>-370.76000000000022</v>
          </cell>
          <cell r="R439">
            <v>-354.30000000000109</v>
          </cell>
          <cell r="S439">
            <v>-395.27000000000044</v>
          </cell>
          <cell r="T439">
            <v>-374.63999999999942</v>
          </cell>
          <cell r="U439">
            <v>-412.68999999999869</v>
          </cell>
          <cell r="V439">
            <v>-464.04000000000087</v>
          </cell>
          <cell r="W439">
            <v>-459.25</v>
          </cell>
          <cell r="X439">
            <v>-473.41999999999825</v>
          </cell>
          <cell r="Y439">
            <v>-448.45000000000073</v>
          </cell>
          <cell r="Z439">
            <v>-397.92999999999665</v>
          </cell>
        </row>
        <row r="440">
          <cell r="E440">
            <v>0</v>
          </cell>
          <cell r="F440">
            <v>0</v>
          </cell>
          <cell r="G440">
            <v>0</v>
          </cell>
          <cell r="H440">
            <v>-23.949999999999989</v>
          </cell>
          <cell r="I440">
            <v>-52.449999999999932</v>
          </cell>
          <cell r="J440">
            <v>-60.920000000000073</v>
          </cell>
          <cell r="K440">
            <v>-63.069999999999936</v>
          </cell>
          <cell r="L440">
            <v>-64.170000000000073</v>
          </cell>
          <cell r="M440">
            <v>-64.789999999999964</v>
          </cell>
          <cell r="N440">
            <v>-202.78999999999996</v>
          </cell>
          <cell r="O440">
            <v>-332.19000000000051</v>
          </cell>
          <cell r="P440">
            <v>-364.09000000000015</v>
          </cell>
          <cell r="Q440">
            <v>-386.06999999999971</v>
          </cell>
          <cell r="R440">
            <v>-343.43000000000029</v>
          </cell>
          <cell r="S440">
            <v>-382.55000000000109</v>
          </cell>
          <cell r="T440">
            <v>-344.73000000000047</v>
          </cell>
          <cell r="U440">
            <v>-377.5</v>
          </cell>
          <cell r="V440">
            <v>-430.94000000000051</v>
          </cell>
          <cell r="W440">
            <v>-438.64000000000124</v>
          </cell>
          <cell r="X440">
            <v>-446.36000000000058</v>
          </cell>
          <cell r="Y440">
            <v>-427.32999999999993</v>
          </cell>
          <cell r="Z440">
            <v>-361.26000000000022</v>
          </cell>
        </row>
      </sheetData>
      <sheetData sheetId="6">
        <row r="55">
          <cell r="C55">
            <v>31.6</v>
          </cell>
          <cell r="D55">
            <v>88.55</v>
          </cell>
          <cell r="E55">
            <v>154.47</v>
          </cell>
          <cell r="F55">
            <v>215.77</v>
          </cell>
          <cell r="G55">
            <v>270.38</v>
          </cell>
          <cell r="H55">
            <v>333.85</v>
          </cell>
          <cell r="I55">
            <v>330.37</v>
          </cell>
          <cell r="J55">
            <v>395.69</v>
          </cell>
          <cell r="K55">
            <v>474.01</v>
          </cell>
          <cell r="L55">
            <v>529.29</v>
          </cell>
          <cell r="M55">
            <v>549.95000000000005</v>
          </cell>
          <cell r="N55">
            <v>745.19</v>
          </cell>
          <cell r="O55">
            <v>724.56</v>
          </cell>
          <cell r="P55">
            <v>546.58000000000004</v>
          </cell>
          <cell r="Q55">
            <v>209.29</v>
          </cell>
          <cell r="R55">
            <v>229.64</v>
          </cell>
          <cell r="S55">
            <v>220.93</v>
          </cell>
          <cell r="T55">
            <v>190.66</v>
          </cell>
          <cell r="U55">
            <v>161.38</v>
          </cell>
          <cell r="V55">
            <v>132.44999999999999</v>
          </cell>
          <cell r="W55">
            <v>97.48</v>
          </cell>
          <cell r="X55">
            <v>0</v>
          </cell>
        </row>
        <row r="56">
          <cell r="C56">
            <v>0</v>
          </cell>
          <cell r="D56">
            <v>0</v>
          </cell>
          <cell r="E56">
            <v>0.05</v>
          </cell>
          <cell r="F56">
            <v>0.09</v>
          </cell>
          <cell r="G56">
            <v>-0.03</v>
          </cell>
          <cell r="H56">
            <v>-0.22</v>
          </cell>
          <cell r="I56">
            <v>0.43</v>
          </cell>
          <cell r="J56">
            <v>2.0299999999999998</v>
          </cell>
          <cell r="K56">
            <v>3.53</v>
          </cell>
          <cell r="L56">
            <v>4.71</v>
          </cell>
          <cell r="M56">
            <v>6.03</v>
          </cell>
          <cell r="N56">
            <v>10.36</v>
          </cell>
          <cell r="O56">
            <v>13.62</v>
          </cell>
          <cell r="P56">
            <v>13.93</v>
          </cell>
          <cell r="Q56">
            <v>6.97</v>
          </cell>
          <cell r="R56">
            <v>9.75</v>
          </cell>
          <cell r="S56">
            <v>11.99</v>
          </cell>
          <cell r="T56">
            <v>14.09</v>
          </cell>
          <cell r="U56">
            <v>18.34</v>
          </cell>
          <cell r="V56">
            <v>24.75</v>
          </cell>
          <cell r="W56">
            <v>30.41</v>
          </cell>
          <cell r="X56">
            <v>0</v>
          </cell>
        </row>
        <row r="58">
          <cell r="C58">
            <v>0</v>
          </cell>
          <cell r="D58">
            <v>0</v>
          </cell>
          <cell r="E58">
            <v>0.03</v>
          </cell>
          <cell r="F58">
            <v>0.19</v>
          </cell>
          <cell r="G58">
            <v>0.55000000000000004</v>
          </cell>
          <cell r="H58">
            <v>1</v>
          </cell>
          <cell r="I58">
            <v>1.26</v>
          </cell>
          <cell r="J58">
            <v>1.96</v>
          </cell>
          <cell r="K58">
            <v>3</v>
          </cell>
          <cell r="L58">
            <v>4.2300000000000004</v>
          </cell>
          <cell r="M58">
            <v>5.49</v>
          </cell>
          <cell r="N58">
            <v>8.91</v>
          </cell>
          <cell r="O58">
            <v>10.47</v>
          </cell>
          <cell r="P58">
            <v>9.6999999999999993</v>
          </cell>
          <cell r="Q58">
            <v>4.53</v>
          </cell>
          <cell r="R58">
            <v>5.99</v>
          </cell>
          <cell r="S58">
            <v>7</v>
          </cell>
          <cell r="T58">
            <v>7.72</v>
          </cell>
          <cell r="U58">
            <v>8.92</v>
          </cell>
          <cell r="V58">
            <v>10.66</v>
          </cell>
          <cell r="W58">
            <v>12.33</v>
          </cell>
          <cell r="X58">
            <v>0</v>
          </cell>
        </row>
        <row r="59">
          <cell r="C59">
            <v>0</v>
          </cell>
          <cell r="D59">
            <v>0</v>
          </cell>
          <cell r="E59">
            <v>0</v>
          </cell>
          <cell r="F59">
            <v>-0.04</v>
          </cell>
          <cell r="G59">
            <v>-0.12</v>
          </cell>
          <cell r="H59">
            <v>-0.18</v>
          </cell>
          <cell r="I59">
            <v>-0.16</v>
          </cell>
          <cell r="J59">
            <v>-0.14000000000000001</v>
          </cell>
          <cell r="K59">
            <v>-0.1</v>
          </cell>
          <cell r="L59">
            <v>-0.2</v>
          </cell>
          <cell r="M59">
            <v>-0.54</v>
          </cell>
          <cell r="N59">
            <v>-1.34</v>
          </cell>
          <cell r="O59">
            <v>-1.99</v>
          </cell>
          <cell r="P59">
            <v>-2.11</v>
          </cell>
          <cell r="Q59">
            <v>-1.07</v>
          </cell>
          <cell r="R59">
            <v>-1.51</v>
          </cell>
          <cell r="S59">
            <v>-1.84</v>
          </cell>
          <cell r="T59">
            <v>-2.11</v>
          </cell>
          <cell r="U59">
            <v>-2.52</v>
          </cell>
          <cell r="V59">
            <v>-3.1</v>
          </cell>
          <cell r="W59">
            <v>-3.67</v>
          </cell>
          <cell r="X59">
            <v>0</v>
          </cell>
        </row>
      </sheetData>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West"/>
    </sheetNames>
    <sheetDataSet>
      <sheetData sheetId="0">
        <row r="111">
          <cell r="E111">
            <v>24.29</v>
          </cell>
        </row>
        <row r="112">
          <cell r="E112">
            <v>4975.71</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West Ordered Adjustmt Cycle 2"/>
    </sheetNames>
    <sheetDataSet>
      <sheetData sheetId="0">
        <row r="95">
          <cell r="K95">
            <v>-1.91</v>
          </cell>
          <cell r="X95">
            <v>-298.21999999999997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44">
          <cell r="CY44">
            <v>0.39209287804949344</v>
          </cell>
          <cell r="DA44">
            <v>0.45435908608374953</v>
          </cell>
          <cell r="DB44">
            <v>0.15354803586675725</v>
          </cell>
        </row>
        <row r="285">
          <cell r="BL285">
            <v>3622617.1364313252</v>
          </cell>
          <cell r="BM285">
            <v>3848808.3791743834</v>
          </cell>
          <cell r="BN285">
            <v>4524482.8033801541</v>
          </cell>
          <cell r="BO285">
            <v>4254139.1572805867</v>
          </cell>
          <cell r="BP285">
            <v>3438765.3625207683</v>
          </cell>
          <cell r="BQ285">
            <v>3350801.0955900047</v>
          </cell>
          <cell r="BR285">
            <v>3200897.113468044</v>
          </cell>
          <cell r="BS285">
            <v>3799541.9440570329</v>
          </cell>
          <cell r="BT285">
            <v>3808947.2597798044</v>
          </cell>
          <cell r="BU285">
            <v>3429744.2796914764</v>
          </cell>
          <cell r="BV285">
            <v>3430127.620978653</v>
          </cell>
          <cell r="BW285">
            <v>3293328.3913969351</v>
          </cell>
          <cell r="BX285">
            <v>3622617.1364313252</v>
          </cell>
          <cell r="BY285">
            <v>3848808.3791743834</v>
          </cell>
          <cell r="BZ285">
            <v>4524482.8033801541</v>
          </cell>
          <cell r="CA285">
            <v>4254139.1572805867</v>
          </cell>
          <cell r="CB285">
            <v>3438765.3625207683</v>
          </cell>
          <cell r="CC285">
            <v>3350801.0955900047</v>
          </cell>
          <cell r="CD285">
            <v>3200897.113468044</v>
          </cell>
          <cell r="CE285">
            <v>0</v>
          </cell>
        </row>
        <row r="286">
          <cell r="BL286">
            <v>1929862.7740866141</v>
          </cell>
          <cell r="BM286">
            <v>1927873.9189463556</v>
          </cell>
          <cell r="BN286">
            <v>1997647.6114853616</v>
          </cell>
          <cell r="BO286">
            <v>2027066.2414548299</v>
          </cell>
          <cell r="BP286">
            <v>1834054.3366449273</v>
          </cell>
          <cell r="BQ286">
            <v>1888743.4323475384</v>
          </cell>
          <cell r="BR286">
            <v>1783272.6144496959</v>
          </cell>
          <cell r="BS286">
            <v>1777961.0361499267</v>
          </cell>
          <cell r="BT286">
            <v>1873468.082475797</v>
          </cell>
          <cell r="BU286">
            <v>1698368.6225122809</v>
          </cell>
          <cell r="BV286">
            <v>1918946.0571799164</v>
          </cell>
          <cell r="BW286">
            <v>1815753.348866856</v>
          </cell>
          <cell r="BX286">
            <v>1929862.7740866141</v>
          </cell>
          <cell r="BY286">
            <v>1927873.9189463556</v>
          </cell>
          <cell r="BZ286">
            <v>1997647.6114853616</v>
          </cell>
          <cell r="CA286">
            <v>2027066.2414548299</v>
          </cell>
          <cell r="CB286">
            <v>1834054.3366449273</v>
          </cell>
          <cell r="CC286">
            <v>1888743.4323475384</v>
          </cell>
          <cell r="CD286">
            <v>1783272.6144496959</v>
          </cell>
          <cell r="CE286">
            <v>0</v>
          </cell>
        </row>
        <row r="288">
          <cell r="BL288">
            <v>2890409.8209900213</v>
          </cell>
          <cell r="BM288">
            <v>2832087.0570221478</v>
          </cell>
          <cell r="BN288">
            <v>2914197.0369588025</v>
          </cell>
          <cell r="BO288">
            <v>2970935.0270213811</v>
          </cell>
          <cell r="BP288">
            <v>2715680.539241707</v>
          </cell>
          <cell r="BQ288">
            <v>2862809.8842250369</v>
          </cell>
          <cell r="BR288">
            <v>2703012.0649789949</v>
          </cell>
          <cell r="BS288">
            <v>2698632.3480119267</v>
          </cell>
          <cell r="BT288">
            <v>2841181.1069288682</v>
          </cell>
          <cell r="BU288">
            <v>2578220.7914223112</v>
          </cell>
          <cell r="BV288">
            <v>2887637.1506296871</v>
          </cell>
          <cell r="BW288">
            <v>2733410.6486690468</v>
          </cell>
          <cell r="BX288">
            <v>2890409.8209900213</v>
          </cell>
          <cell r="BY288">
            <v>2832087.0570221478</v>
          </cell>
          <cell r="BZ288">
            <v>2914197.0369588025</v>
          </cell>
          <cell r="CA288">
            <v>2970935.0270213811</v>
          </cell>
          <cell r="CB288">
            <v>2715680.539241707</v>
          </cell>
          <cell r="CC288">
            <v>2862809.8842250369</v>
          </cell>
          <cell r="CD288">
            <v>2703012.0649789949</v>
          </cell>
          <cell r="CE288">
            <v>0</v>
          </cell>
        </row>
        <row r="289">
          <cell r="BL289">
            <v>1031776.4605094917</v>
          </cell>
          <cell r="BM289">
            <v>1010590.2203276039</v>
          </cell>
          <cell r="BN289">
            <v>1039178.5305886413</v>
          </cell>
          <cell r="BO289">
            <v>1060465.2308712879</v>
          </cell>
          <cell r="BP289">
            <v>967808.71359927149</v>
          </cell>
          <cell r="BQ289">
            <v>1022288.2013225708</v>
          </cell>
          <cell r="BR289">
            <v>964706.0990347442</v>
          </cell>
          <cell r="BS289">
            <v>962745.40439030575</v>
          </cell>
          <cell r="BT289">
            <v>1014350.0561711908</v>
          </cell>
          <cell r="BU289">
            <v>921159.5160290671</v>
          </cell>
          <cell r="BV289">
            <v>1031447.2065557569</v>
          </cell>
          <cell r="BW289">
            <v>975001.98970008059</v>
          </cell>
          <cell r="BX289">
            <v>1031776.4605094917</v>
          </cell>
          <cell r="BY289">
            <v>1010590.2203276039</v>
          </cell>
          <cell r="BZ289">
            <v>1039178.5305886413</v>
          </cell>
          <cell r="CA289">
            <v>1060465.2308712879</v>
          </cell>
          <cell r="CB289">
            <v>967808.71359927149</v>
          </cell>
          <cell r="CC289">
            <v>1022288.2013225708</v>
          </cell>
          <cell r="CD289">
            <v>964706.0990347442</v>
          </cell>
          <cell r="CE289">
            <v>0</v>
          </cell>
        </row>
        <row r="326">
          <cell r="BL326">
            <v>172528.95</v>
          </cell>
          <cell r="BM326">
            <v>302612.56</v>
          </cell>
          <cell r="BN326">
            <v>360467.8</v>
          </cell>
          <cell r="BO326">
            <v>338929.39</v>
          </cell>
          <cell r="BP326">
            <v>271074.44</v>
          </cell>
          <cell r="BQ326">
            <v>153317.57999999999</v>
          </cell>
          <cell r="BR326">
            <v>149696.35999999999</v>
          </cell>
          <cell r="BS326">
            <v>164387.18</v>
          </cell>
          <cell r="BT326">
            <v>148508.95000000001</v>
          </cell>
          <cell r="BU326">
            <v>142294.95000000001</v>
          </cell>
          <cell r="BV326">
            <v>149745.65</v>
          </cell>
          <cell r="BW326">
            <v>144221.44</v>
          </cell>
          <cell r="BX326">
            <v>172528.95</v>
          </cell>
          <cell r="BY326">
            <v>302612.56</v>
          </cell>
          <cell r="BZ326">
            <v>360467.8</v>
          </cell>
          <cell r="CA326">
            <v>338929.39</v>
          </cell>
          <cell r="CB326">
            <v>271074.44</v>
          </cell>
          <cell r="CC326">
            <v>153317.57999999999</v>
          </cell>
          <cell r="CD326">
            <v>149696.35999999999</v>
          </cell>
          <cell r="CE326">
            <v>0</v>
          </cell>
        </row>
        <row r="327">
          <cell r="BL327">
            <v>80341.75</v>
          </cell>
          <cell r="BM327">
            <v>126296.86</v>
          </cell>
          <cell r="BN327">
            <v>128643.41</v>
          </cell>
          <cell r="BO327">
            <v>130888.34</v>
          </cell>
          <cell r="BP327">
            <v>119321.89</v>
          </cell>
          <cell r="BQ327">
            <v>77840.95</v>
          </cell>
          <cell r="BR327">
            <v>74091.149999999994</v>
          </cell>
          <cell r="BS327">
            <v>67343.210000000006</v>
          </cell>
          <cell r="BT327">
            <v>69815.75</v>
          </cell>
          <cell r="BU327">
            <v>63745.35</v>
          </cell>
          <cell r="BV327">
            <v>72373.05</v>
          </cell>
          <cell r="BW327">
            <v>74630.98</v>
          </cell>
          <cell r="BX327">
            <v>80341.75</v>
          </cell>
          <cell r="BY327">
            <v>126296.86</v>
          </cell>
          <cell r="BZ327">
            <v>128643.41</v>
          </cell>
          <cell r="CA327">
            <v>130888.34</v>
          </cell>
          <cell r="CB327">
            <v>119321.89</v>
          </cell>
          <cell r="CC327">
            <v>77840.95</v>
          </cell>
          <cell r="CD327">
            <v>74091.149999999994</v>
          </cell>
          <cell r="CE327">
            <v>0</v>
          </cell>
        </row>
        <row r="329">
          <cell r="BL329">
            <v>81992.95</v>
          </cell>
          <cell r="BM329">
            <v>95655.97</v>
          </cell>
          <cell r="BN329">
            <v>95158.56</v>
          </cell>
          <cell r="BO329">
            <v>97995.36</v>
          </cell>
          <cell r="BP329">
            <v>91010.55</v>
          </cell>
          <cell r="BQ329">
            <v>77920.800000000003</v>
          </cell>
          <cell r="BR329">
            <v>75716.31</v>
          </cell>
          <cell r="BS329">
            <v>72630.33</v>
          </cell>
          <cell r="BT329">
            <v>72562.78</v>
          </cell>
          <cell r="BU329">
            <v>69601.08</v>
          </cell>
          <cell r="BV329">
            <v>78390.83</v>
          </cell>
          <cell r="BW329">
            <v>73632.95</v>
          </cell>
          <cell r="BX329">
            <v>81992.95</v>
          </cell>
          <cell r="BY329">
            <v>95655.97</v>
          </cell>
          <cell r="BZ329">
            <v>95158.56</v>
          </cell>
          <cell r="CA329">
            <v>97995.36</v>
          </cell>
          <cell r="CB329">
            <v>91010.55</v>
          </cell>
          <cell r="CC329">
            <v>77920.800000000003</v>
          </cell>
          <cell r="CD329">
            <v>75716.31</v>
          </cell>
          <cell r="CE329">
            <v>0</v>
          </cell>
        </row>
        <row r="330">
          <cell r="BL330">
            <v>14070.41</v>
          </cell>
          <cell r="BM330">
            <v>17501.97</v>
          </cell>
          <cell r="BN330">
            <v>17971.36</v>
          </cell>
          <cell r="BO330">
            <v>18227.55</v>
          </cell>
          <cell r="BP330">
            <v>17181.66</v>
          </cell>
          <cell r="BQ330">
            <v>13264.22</v>
          </cell>
          <cell r="BR330">
            <v>12740.14</v>
          </cell>
          <cell r="BS330">
            <v>13601.93</v>
          </cell>
          <cell r="BT330">
            <v>13800.08</v>
          </cell>
          <cell r="BU330">
            <v>12513.73</v>
          </cell>
          <cell r="BV330">
            <v>13965.76</v>
          </cell>
          <cell r="BW330">
            <v>12679.46</v>
          </cell>
          <cell r="BX330">
            <v>14070.41</v>
          </cell>
          <cell r="BY330">
            <v>17501.97</v>
          </cell>
          <cell r="BZ330">
            <v>17971.36</v>
          </cell>
          <cell r="CA330">
            <v>18227.55</v>
          </cell>
          <cell r="CB330">
            <v>17181.66</v>
          </cell>
          <cell r="CC330">
            <v>13264.22</v>
          </cell>
          <cell r="CD330">
            <v>12740.14</v>
          </cell>
          <cell r="CE33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Feb 2021"/>
      <sheetName val="Oct 2020"/>
      <sheetName val="Nov 2020"/>
      <sheetName val="Dec 2020"/>
      <sheetName val="Jan 2021"/>
      <sheetName val="Mar 2021"/>
      <sheetName val="Apr 2021"/>
      <sheetName val="May 2021"/>
      <sheetName val="Jun 2021"/>
      <sheetName val="Jul 2021"/>
      <sheetName val="Aug 2021"/>
      <sheetName val="Sep 2021"/>
      <sheetName val="Oct 2021"/>
      <sheetName val="GMO DSIM Rate Table"/>
      <sheetName val="DSIM Rates - Tracker"/>
      <sheetName val="DSIM Rates - Initial RP Cycle 2"/>
      <sheetName val="DSIM RP2"/>
      <sheetName val="DSIM RP3"/>
      <sheetName val="DSIM RP4"/>
      <sheetName val="DSIM RP5"/>
      <sheetName val="DSIM RP6"/>
      <sheetName val="DSIM RP7"/>
      <sheetName val="DSIM RP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6">
          <cell r="F36">
            <v>-56.300000000000004</v>
          </cell>
        </row>
        <row r="37">
          <cell r="F37">
            <v>1580.29</v>
          </cell>
        </row>
        <row r="38">
          <cell r="F38">
            <v>1096.8899999999999</v>
          </cell>
        </row>
        <row r="39">
          <cell r="F39">
            <v>382.91</v>
          </cell>
        </row>
        <row r="44">
          <cell r="F44">
            <v>5.55</v>
          </cell>
        </row>
        <row r="45">
          <cell r="F45">
            <v>-16143.31</v>
          </cell>
        </row>
        <row r="46">
          <cell r="F46">
            <v>-12907.94</v>
          </cell>
        </row>
        <row r="47">
          <cell r="F47">
            <v>-5173.5</v>
          </cell>
        </row>
        <row r="52">
          <cell r="F52">
            <v>165623.90999999997</v>
          </cell>
        </row>
        <row r="53">
          <cell r="F53">
            <v>96062.77</v>
          </cell>
        </row>
        <row r="54">
          <cell r="F54">
            <v>60131.360000000001</v>
          </cell>
        </row>
        <row r="55">
          <cell r="F55">
            <v>13489.11</v>
          </cell>
        </row>
        <row r="60">
          <cell r="F60">
            <v>117159.55</v>
          </cell>
        </row>
        <row r="61">
          <cell r="F61">
            <v>120164.5191792946</v>
          </cell>
        </row>
        <row r="62">
          <cell r="F62">
            <v>91995.035708387135</v>
          </cell>
        </row>
        <row r="63">
          <cell r="F63">
            <v>40283.645112318256</v>
          </cell>
        </row>
        <row r="68">
          <cell r="F68">
            <v>525208.07999999996</v>
          </cell>
        </row>
        <row r="69">
          <cell r="F69">
            <v>174348.25</v>
          </cell>
        </row>
        <row r="70">
          <cell r="F70">
            <v>180697.65</v>
          </cell>
        </row>
        <row r="71">
          <cell r="F71">
            <v>165798.85</v>
          </cell>
        </row>
        <row r="75">
          <cell r="F75">
            <v>-6056.8</v>
          </cell>
        </row>
        <row r="76">
          <cell r="F76">
            <v>-10206.870000000001</v>
          </cell>
        </row>
        <row r="77">
          <cell r="F77">
            <v>5749.47</v>
          </cell>
        </row>
        <row r="78">
          <cell r="F78">
            <v>13427.37</v>
          </cell>
        </row>
        <row r="82">
          <cell r="F82">
            <v>220174.27</v>
          </cell>
        </row>
        <row r="83">
          <cell r="F83">
            <v>42403.41</v>
          </cell>
        </row>
        <row r="84">
          <cell r="F84">
            <v>23819.24</v>
          </cell>
        </row>
        <row r="85">
          <cell r="F85">
            <v>11092.18</v>
          </cell>
        </row>
        <row r="108">
          <cell r="F108">
            <v>202004293.37319997</v>
          </cell>
        </row>
        <row r="109">
          <cell r="F109">
            <v>78540956.580800012</v>
          </cell>
        </row>
        <row r="110">
          <cell r="F110">
            <v>82135295.806399986</v>
          </cell>
        </row>
        <row r="111">
          <cell r="F111">
            <v>58379875.777100004</v>
          </cell>
        </row>
      </sheetData>
      <sheetData sheetId="17">
        <row r="36">
          <cell r="F36">
            <v>-15.16</v>
          </cell>
        </row>
        <row r="37">
          <cell r="F37">
            <v>1269.5500000000002</v>
          </cell>
        </row>
        <row r="38">
          <cell r="F38">
            <v>845.03</v>
          </cell>
        </row>
        <row r="39">
          <cell r="F39">
            <v>270.02</v>
          </cell>
        </row>
        <row r="44">
          <cell r="F44">
            <v>-3.08</v>
          </cell>
        </row>
        <row r="45">
          <cell r="F45">
            <v>-19697.169999999998</v>
          </cell>
        </row>
        <row r="46">
          <cell r="F46">
            <v>-15049.46</v>
          </cell>
        </row>
        <row r="47">
          <cell r="F47">
            <v>-5519.28</v>
          </cell>
        </row>
        <row r="52">
          <cell r="F52">
            <v>222537.15000000002</v>
          </cell>
        </row>
        <row r="53">
          <cell r="F53">
            <v>116247.55</v>
          </cell>
        </row>
        <row r="54">
          <cell r="F54">
            <v>69604.84</v>
          </cell>
        </row>
        <row r="55">
          <cell r="F55">
            <v>14289.220000000001</v>
          </cell>
        </row>
        <row r="60">
          <cell r="F60">
            <v>157406.94</v>
          </cell>
        </row>
        <row r="61">
          <cell r="F61">
            <v>145547.47211576937</v>
          </cell>
        </row>
        <row r="62">
          <cell r="F62">
            <v>106588.45116207068</v>
          </cell>
        </row>
        <row r="63">
          <cell r="F63">
            <v>42724.116721905571</v>
          </cell>
        </row>
        <row r="68">
          <cell r="F68">
            <v>705621.73</v>
          </cell>
        </row>
        <row r="69">
          <cell r="F69">
            <v>211181.28</v>
          </cell>
        </row>
        <row r="70">
          <cell r="F70">
            <v>209364.85</v>
          </cell>
        </row>
        <row r="71">
          <cell r="F71">
            <v>175845.51</v>
          </cell>
        </row>
        <row r="75">
          <cell r="F75">
            <v>-8141.41</v>
          </cell>
        </row>
        <row r="76">
          <cell r="F76">
            <v>-12366.39</v>
          </cell>
        </row>
        <row r="77">
          <cell r="F77">
            <v>6661.61</v>
          </cell>
        </row>
        <row r="78">
          <cell r="F78">
            <v>14241.01</v>
          </cell>
        </row>
        <row r="82">
          <cell r="F82">
            <v>295816.68</v>
          </cell>
        </row>
        <row r="83">
          <cell r="F83">
            <v>51368.36</v>
          </cell>
        </row>
        <row r="84">
          <cell r="F84">
            <v>27598.09</v>
          </cell>
        </row>
        <row r="85">
          <cell r="F85">
            <v>11764.31</v>
          </cell>
        </row>
        <row r="108">
          <cell r="F108">
            <v>271393107.21899998</v>
          </cell>
        </row>
        <row r="109">
          <cell r="F109">
            <v>95126746.503500015</v>
          </cell>
        </row>
        <row r="110">
          <cell r="F110">
            <v>95165840.026300013</v>
          </cell>
        </row>
        <row r="111">
          <cell r="F111">
            <v>61917432.705699988</v>
          </cell>
        </row>
      </sheetData>
      <sheetData sheetId="18">
        <row r="36">
          <cell r="F36">
            <v>97.11</v>
          </cell>
        </row>
        <row r="37">
          <cell r="F37">
            <v>1720.6100000000001</v>
          </cell>
        </row>
        <row r="38">
          <cell r="F38">
            <v>1084.68</v>
          </cell>
        </row>
        <row r="39">
          <cell r="F39">
            <v>334.19</v>
          </cell>
        </row>
        <row r="44">
          <cell r="F44">
            <v>-1.35</v>
          </cell>
        </row>
        <row r="45">
          <cell r="F45">
            <v>-22897.51</v>
          </cell>
        </row>
        <row r="46">
          <cell r="F46">
            <v>-16566.03</v>
          </cell>
        </row>
        <row r="47">
          <cell r="F47">
            <v>-5856.9</v>
          </cell>
        </row>
        <row r="52">
          <cell r="F52">
            <v>295593.74000000005</v>
          </cell>
        </row>
        <row r="53">
          <cell r="F53">
            <v>135429.04</v>
          </cell>
        </row>
        <row r="54">
          <cell r="F54">
            <v>76807.310000000012</v>
          </cell>
        </row>
        <row r="55">
          <cell r="F55">
            <v>15201.47</v>
          </cell>
        </row>
        <row r="60">
          <cell r="F60">
            <v>209063.83</v>
          </cell>
        </row>
        <row r="61">
          <cell r="F61">
            <v>169507.11117121598</v>
          </cell>
        </row>
        <row r="62">
          <cell r="F62">
            <v>117582.77999575368</v>
          </cell>
        </row>
        <row r="63">
          <cell r="F63">
            <v>45444.058833327159</v>
          </cell>
        </row>
        <row r="68">
          <cell r="F68">
            <v>937139.3</v>
          </cell>
        </row>
        <row r="69">
          <cell r="F69">
            <v>245946.35</v>
          </cell>
        </row>
        <row r="70">
          <cell r="F70">
            <v>230959.32</v>
          </cell>
        </row>
        <row r="71">
          <cell r="F71">
            <v>187039.57</v>
          </cell>
        </row>
        <row r="75">
          <cell r="F75">
            <v>-10806.09</v>
          </cell>
        </row>
        <row r="76">
          <cell r="F76">
            <v>-14400.46</v>
          </cell>
        </row>
        <row r="77">
          <cell r="F77">
            <v>7348.71</v>
          </cell>
        </row>
        <row r="78">
          <cell r="F78">
            <v>15147.57</v>
          </cell>
        </row>
        <row r="82">
          <cell r="F82">
            <v>392857.97</v>
          </cell>
        </row>
        <row r="83">
          <cell r="F83">
            <v>59823.33</v>
          </cell>
        </row>
        <row r="84">
          <cell r="F84">
            <v>30444.639999999999</v>
          </cell>
        </row>
        <row r="85">
          <cell r="F85">
            <v>12513.21</v>
          </cell>
        </row>
        <row r="108">
          <cell r="F108">
            <v>360441057.07150012</v>
          </cell>
        </row>
        <row r="109">
          <cell r="F109">
            <v>110787713.46610002</v>
          </cell>
        </row>
        <row r="110">
          <cell r="F110">
            <v>104981508.77219999</v>
          </cell>
        </row>
        <row r="111">
          <cell r="F111">
            <v>65859003.062300004</v>
          </cell>
        </row>
      </sheetData>
      <sheetData sheetId="19">
        <row r="16">
          <cell r="F16">
            <v>-25.75</v>
          </cell>
        </row>
        <row r="17">
          <cell r="F17">
            <v>-5274.38</v>
          </cell>
        </row>
        <row r="36">
          <cell r="F36">
            <v>50.72</v>
          </cell>
        </row>
        <row r="37">
          <cell r="F37">
            <v>1488.76</v>
          </cell>
        </row>
        <row r="38">
          <cell r="F38">
            <v>1424.24</v>
          </cell>
        </row>
        <row r="39">
          <cell r="F39">
            <v>348.73999999999995</v>
          </cell>
        </row>
        <row r="44">
          <cell r="F44">
            <v>39.159999999999997</v>
          </cell>
        </row>
        <row r="45">
          <cell r="F45">
            <v>-3439.8900000000003</v>
          </cell>
        </row>
        <row r="46">
          <cell r="F46">
            <v>-2785.7300000000005</v>
          </cell>
        </row>
        <row r="47">
          <cell r="F47">
            <v>-1039.27</v>
          </cell>
        </row>
        <row r="52">
          <cell r="F52">
            <v>152402.73000000001</v>
          </cell>
        </row>
        <row r="53">
          <cell r="F53">
            <v>59457.13</v>
          </cell>
        </row>
        <row r="54">
          <cell r="F54">
            <v>47906.41</v>
          </cell>
        </row>
        <row r="55">
          <cell r="F55">
            <v>7102.75</v>
          </cell>
        </row>
        <row r="60">
          <cell r="F60">
            <v>83822.849999999991</v>
          </cell>
        </row>
        <row r="61">
          <cell r="F61">
            <v>107865.01954490811</v>
          </cell>
        </row>
        <row r="62">
          <cell r="F62">
            <v>112160.80396272079</v>
          </cell>
        </row>
        <row r="63">
          <cell r="F63">
            <v>32670.546492371108</v>
          </cell>
        </row>
        <row r="68">
          <cell r="F68">
            <v>1009512.22</v>
          </cell>
        </row>
        <row r="69">
          <cell r="F69">
            <v>182023.21</v>
          </cell>
        </row>
        <row r="70">
          <cell r="F70">
            <v>255269</v>
          </cell>
        </row>
        <row r="71">
          <cell r="F71">
            <v>162064.94</v>
          </cell>
        </row>
        <row r="75">
          <cell r="F75">
            <v>-87608.88</v>
          </cell>
        </row>
        <row r="76">
          <cell r="F76">
            <v>-21997.4</v>
          </cell>
        </row>
        <row r="77">
          <cell r="F77">
            <v>11818.96</v>
          </cell>
        </row>
        <row r="78">
          <cell r="F78">
            <v>-33950.36</v>
          </cell>
        </row>
        <row r="82">
          <cell r="F82">
            <v>491406.12</v>
          </cell>
        </row>
        <row r="83">
          <cell r="F83">
            <v>56776.54</v>
          </cell>
        </row>
        <row r="84">
          <cell r="F84">
            <v>46216.160000000003</v>
          </cell>
        </row>
        <row r="85">
          <cell r="F85">
            <v>12170.88</v>
          </cell>
        </row>
        <row r="108">
          <cell r="F108">
            <v>380949932.8064999</v>
          </cell>
        </row>
        <row r="109">
          <cell r="F109">
            <v>115862337.72690004</v>
          </cell>
        </row>
        <row r="110">
          <cell r="F110">
            <v>107773155.5526</v>
          </cell>
        </row>
        <row r="111">
          <cell r="F111">
            <v>64057287.943400003</v>
          </cell>
        </row>
      </sheetData>
      <sheetData sheetId="20">
        <row r="36">
          <cell r="F36">
            <v>0.7</v>
          </cell>
        </row>
        <row r="37">
          <cell r="F37">
            <v>965.06000000000006</v>
          </cell>
        </row>
        <row r="38">
          <cell r="F38">
            <v>989.31</v>
          </cell>
        </row>
        <row r="39">
          <cell r="F39">
            <v>273.52999999999997</v>
          </cell>
        </row>
        <row r="44">
          <cell r="F44">
            <v>-0.15</v>
          </cell>
        </row>
        <row r="45">
          <cell r="F45">
            <v>-5622.3266480579223</v>
          </cell>
        </row>
        <row r="46">
          <cell r="F46">
            <v>-6003.5209968610334</v>
          </cell>
        </row>
        <row r="47">
          <cell r="F47">
            <v>-2539.2523552321977</v>
          </cell>
        </row>
        <row r="52">
          <cell r="F52">
            <v>151160.29</v>
          </cell>
        </row>
        <row r="53">
          <cell r="F53">
            <v>59630.259841622006</v>
          </cell>
        </row>
        <row r="54">
          <cell r="F54">
            <v>52498.518664571813</v>
          </cell>
        </row>
        <row r="55">
          <cell r="F55">
            <v>9050.9514938061802</v>
          </cell>
        </row>
        <row r="60">
          <cell r="F60">
            <v>83146.559999999998</v>
          </cell>
        </row>
        <row r="61">
          <cell r="F61">
            <v>108462.88510972273</v>
          </cell>
        </row>
        <row r="62">
          <cell r="F62">
            <v>121567.99383275442</v>
          </cell>
        </row>
        <row r="63">
          <cell r="F63">
            <v>39947.331057522846</v>
          </cell>
        </row>
        <row r="68">
          <cell r="F68">
            <v>1001270.59</v>
          </cell>
        </row>
        <row r="69">
          <cell r="F69">
            <v>183087.52</v>
          </cell>
        </row>
        <row r="70">
          <cell r="F70">
            <v>275777</v>
          </cell>
        </row>
        <row r="71">
          <cell r="F71">
            <v>195418.49</v>
          </cell>
        </row>
        <row r="75">
          <cell r="F75">
            <v>-86889.47</v>
          </cell>
        </row>
        <row r="76">
          <cell r="F76">
            <v>-22153.39</v>
          </cell>
        </row>
        <row r="77">
          <cell r="F77">
            <v>12685.74</v>
          </cell>
        </row>
        <row r="78">
          <cell r="F78">
            <v>-37050.160000000003</v>
          </cell>
        </row>
        <row r="82">
          <cell r="F82">
            <v>487396.5</v>
          </cell>
        </row>
        <row r="83">
          <cell r="F83">
            <v>57138.96</v>
          </cell>
        </row>
        <row r="84">
          <cell r="F84">
            <v>49647.82</v>
          </cell>
        </row>
        <row r="85">
          <cell r="F85">
            <v>14565.99</v>
          </cell>
        </row>
        <row r="108">
          <cell r="F108">
            <v>377839856.90309995</v>
          </cell>
        </row>
        <row r="109">
          <cell r="F109">
            <v>116599258.20039998</v>
          </cell>
        </row>
        <row r="110">
          <cell r="F110">
            <v>116616352.05589999</v>
          </cell>
        </row>
        <row r="111">
          <cell r="F111">
            <v>76663120.753800005</v>
          </cell>
        </row>
      </sheetData>
      <sheetData sheetId="21">
        <row r="36">
          <cell r="F36">
            <v>-0.33</v>
          </cell>
        </row>
        <row r="37">
          <cell r="F37">
            <v>912.57</v>
          </cell>
        </row>
        <row r="38">
          <cell r="F38">
            <v>951.78</v>
          </cell>
        </row>
        <row r="39">
          <cell r="F39">
            <v>284.14</v>
          </cell>
        </row>
        <row r="44">
          <cell r="F44">
            <v>-0.11</v>
          </cell>
        </row>
        <row r="45">
          <cell r="F45">
            <v>-4770.18</v>
          </cell>
        </row>
        <row r="46">
          <cell r="F46">
            <v>-4828.5600000000004</v>
          </cell>
        </row>
        <row r="47">
          <cell r="F47">
            <v>-2392.21</v>
          </cell>
        </row>
        <row r="52">
          <cell r="F52">
            <v>105761.31999999999</v>
          </cell>
        </row>
        <row r="53">
          <cell r="F53">
            <v>50849.18</v>
          </cell>
        </row>
        <row r="54">
          <cell r="F54">
            <v>44526.32</v>
          </cell>
        </row>
        <row r="55">
          <cell r="F55">
            <v>8056</v>
          </cell>
        </row>
        <row r="60">
          <cell r="F60">
            <v>58169.11</v>
          </cell>
        </row>
        <row r="61">
          <cell r="F61">
            <v>92480.909415527261</v>
          </cell>
        </row>
        <row r="62">
          <cell r="F62">
            <v>104887.69618971557</v>
          </cell>
        </row>
        <row r="63">
          <cell r="F63">
            <v>35970.974394757155</v>
          </cell>
        </row>
        <row r="68">
          <cell r="F68">
            <v>700661.77</v>
          </cell>
        </row>
        <row r="69">
          <cell r="F69">
            <v>156116.85999999999</v>
          </cell>
        </row>
        <row r="70">
          <cell r="F70">
            <v>239016.05000000002</v>
          </cell>
        </row>
        <row r="71">
          <cell r="F71">
            <v>177104.97</v>
          </cell>
        </row>
        <row r="75">
          <cell r="F75">
            <v>-60811.62</v>
          </cell>
        </row>
        <row r="76">
          <cell r="F76">
            <v>-18890.39</v>
          </cell>
        </row>
        <row r="77">
          <cell r="F77">
            <v>11093.57</v>
          </cell>
        </row>
        <row r="78">
          <cell r="F78">
            <v>-34887.69</v>
          </cell>
        </row>
        <row r="82">
          <cell r="F82">
            <v>341076.36</v>
          </cell>
        </row>
        <row r="83">
          <cell r="F83">
            <v>48721.06</v>
          </cell>
        </row>
        <row r="84">
          <cell r="F84">
            <v>43365.78</v>
          </cell>
        </row>
        <row r="85">
          <cell r="F85">
            <v>13124.32</v>
          </cell>
        </row>
        <row r="108">
          <cell r="F108">
            <v>264400723.9138</v>
          </cell>
        </row>
        <row r="109">
          <cell r="F109">
            <v>99435544.620699972</v>
          </cell>
        </row>
        <row r="110">
          <cell r="F110">
            <v>100850650.63220003</v>
          </cell>
        </row>
        <row r="111">
          <cell r="F111">
            <v>69888958.966200009</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2021"/>
      <sheetName val="June 2021"/>
      <sheetName val="July 2021"/>
      <sheetName val="Aug 2021"/>
      <sheetName val="Sept 2021"/>
      <sheetName val="Oct 2021"/>
    </sheetNames>
    <sheetDataSet>
      <sheetData sheetId="0">
        <row r="51">
          <cell r="F51">
            <v>1.1220900000000001E-3</v>
          </cell>
        </row>
      </sheetData>
      <sheetData sheetId="1">
        <row r="50">
          <cell r="F50">
            <v>1.1137199999999999E-3</v>
          </cell>
        </row>
      </sheetData>
      <sheetData sheetId="2">
        <row r="51">
          <cell r="F51">
            <v>1.11951E-3</v>
          </cell>
        </row>
      </sheetData>
      <sheetData sheetId="3">
        <row r="51">
          <cell r="F51">
            <v>1.11651E-3</v>
          </cell>
        </row>
      </sheetData>
      <sheetData sheetId="4">
        <row r="50">
          <cell r="F50">
            <v>1.1114899999999999E-3</v>
          </cell>
        </row>
      </sheetData>
      <sheetData sheetId="5">
        <row r="43">
          <cell r="E43">
            <v>1.1122199999999999E-3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52021 06072021"/>
      <sheetName val="Input"/>
      <sheetName val="Program Descriptions"/>
    </sheetNames>
    <sheetDataSet>
      <sheetData sheetId="0">
        <row r="27">
          <cell r="N27">
            <v>1493652.4100000001</v>
          </cell>
          <cell r="O27">
            <v>113202.65</v>
          </cell>
          <cell r="Q27">
            <v>74132.22</v>
          </cell>
          <cell r="R27">
            <v>171987.60999999987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62021 07082021"/>
      <sheetName val="Input"/>
      <sheetName val="Program Descriptions"/>
    </sheetNames>
    <sheetDataSet>
      <sheetData sheetId="0">
        <row r="27">
          <cell r="N27">
            <v>926283.14999999991</v>
          </cell>
          <cell r="O27">
            <v>98221.6</v>
          </cell>
          <cell r="Q27">
            <v>363630.27</v>
          </cell>
          <cell r="R27">
            <v>95030.030000000173</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72021 08062021"/>
      <sheetName val="Input"/>
      <sheetName val="Program Descriptions"/>
    </sheetNames>
    <sheetDataSet>
      <sheetData sheetId="0">
        <row r="27">
          <cell r="N27">
            <v>1167907.04</v>
          </cell>
          <cell r="O27">
            <v>221197.88</v>
          </cell>
          <cell r="Q27">
            <v>483608.81</v>
          </cell>
          <cell r="R27">
            <v>78406.579999999987</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72021 08062021"/>
      <sheetName val="Input"/>
      <sheetName val="Program Descriptions"/>
    </sheetNames>
    <sheetDataSet>
      <sheetData sheetId="0">
        <row r="27">
          <cell r="N27">
            <v>804706.6399999999</v>
          </cell>
          <cell r="O27">
            <v>159029.37</v>
          </cell>
          <cell r="Q27">
            <v>252133.91999999998</v>
          </cell>
          <cell r="R27">
            <v>177364.28</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0"/>
  <sheetViews>
    <sheetView tabSelected="1" zoomScale="96" zoomScaleNormal="96" workbookViewId="0">
      <pane xSplit="2" ySplit="3" topLeftCell="C4" activePane="bottomRight" state="frozen"/>
      <selection activeCell="J8" sqref="J8"/>
      <selection pane="topRight" activeCell="J8" sqref="J8"/>
      <selection pane="bottomLeft" activeCell="J8" sqref="J8"/>
      <selection pane="bottomRight"/>
    </sheetView>
  </sheetViews>
  <sheetFormatPr defaultRowHeight="14.5" outlineLevelCol="1" x14ac:dyDescent="0.35"/>
  <cols>
    <col min="2" max="2" width="25.1796875" customWidth="1"/>
    <col min="3" max="3" width="16" bestFit="1" customWidth="1"/>
    <col min="4" max="4" width="15.54296875" customWidth="1"/>
    <col min="5" max="5" width="15.453125" bestFit="1" customWidth="1"/>
    <col min="6" max="6" width="11.7265625" bestFit="1" customWidth="1"/>
    <col min="7" max="7" width="19.1796875" bestFit="1" customWidth="1"/>
    <col min="8" max="8" width="14.26953125" bestFit="1" customWidth="1"/>
    <col min="9" max="9" width="3.54296875" customWidth="1"/>
    <col min="10" max="10" width="13.7265625" bestFit="1" customWidth="1"/>
    <col min="11" max="11" width="13" bestFit="1" customWidth="1"/>
    <col min="12" max="13" width="13.7265625" bestFit="1" customWidth="1"/>
    <col min="14" max="14" width="11.7265625" bestFit="1" customWidth="1"/>
    <col min="15" max="15" width="37.1796875" hidden="1" customWidth="1" outlineLevel="1"/>
    <col min="16" max="16" width="19.26953125" hidden="1" customWidth="1" outlineLevel="1"/>
    <col min="17" max="17" width="16" style="47" hidden="1" customWidth="1" outlineLevel="1"/>
    <col min="18" max="18" width="9.1796875" hidden="1" customWidth="1" outlineLevel="1"/>
    <col min="19" max="20" width="16.7265625" hidden="1" customWidth="1" outlineLevel="1"/>
    <col min="21" max="21" width="16.7265625" style="47" hidden="1" customWidth="1" outlineLevel="1"/>
    <col min="22" max="22" width="16.7265625" hidden="1" customWidth="1" outlineLevel="1"/>
    <col min="23" max="23" width="9.1796875" hidden="1" customWidth="1" outlineLevel="1"/>
    <col min="24" max="25" width="16.7265625" hidden="1" customWidth="1" outlineLevel="1"/>
    <col min="26" max="27" width="16" hidden="1" customWidth="1" outlineLevel="1"/>
    <col min="28" max="28" width="12" hidden="1" customWidth="1" outlineLevel="1"/>
    <col min="29" max="29" width="8.7265625" collapsed="1"/>
  </cols>
  <sheetData>
    <row r="1" spans="1:28" x14ac:dyDescent="0.35">
      <c r="A1" s="3" t="str">
        <f>+'PPC Cycle 3'!A1</f>
        <v>Evergy Missouri West, Inc. - DSIM Rider Update Filed 12/02/2021</v>
      </c>
    </row>
    <row r="2" spans="1:28" ht="15" thickBot="1" x14ac:dyDescent="0.4">
      <c r="H2" s="47"/>
      <c r="I2" s="47"/>
      <c r="J2" s="49"/>
      <c r="K2" s="49"/>
    </row>
    <row r="3" spans="1:28" ht="27.5" thickBot="1" x14ac:dyDescent="0.4">
      <c r="B3" s="88" t="s">
        <v>7</v>
      </c>
      <c r="C3" s="131" t="s">
        <v>19</v>
      </c>
      <c r="D3" s="131" t="s">
        <v>20</v>
      </c>
      <c r="E3" s="131" t="s">
        <v>57</v>
      </c>
      <c r="F3" s="131" t="s">
        <v>21</v>
      </c>
      <c r="G3" s="131" t="s">
        <v>38</v>
      </c>
      <c r="H3" s="90" t="s">
        <v>28</v>
      </c>
      <c r="I3" s="40"/>
      <c r="J3" s="89" t="s">
        <v>13</v>
      </c>
      <c r="K3" s="90" t="s">
        <v>56</v>
      </c>
      <c r="L3" s="90" t="s">
        <v>72</v>
      </c>
      <c r="M3" s="90" t="s">
        <v>73</v>
      </c>
    </row>
    <row r="4" spans="1:28" ht="15" thickBot="1" x14ac:dyDescent="0.4">
      <c r="B4" s="91" t="s">
        <v>24</v>
      </c>
      <c r="C4" s="129">
        <f t="shared" ref="C4:F7" si="0">C12+C20</f>
        <v>12354874.102319999</v>
      </c>
      <c r="D4" s="130">
        <f t="shared" si="0"/>
        <v>8513863.2759799995</v>
      </c>
      <c r="E4" s="130">
        <f t="shared" si="0"/>
        <v>1578239.3470600001</v>
      </c>
      <c r="F4" s="130">
        <f t="shared" si="0"/>
        <v>0</v>
      </c>
      <c r="G4" s="133">
        <f>+'PPC Cycle 3'!B5</f>
        <v>3564793325</v>
      </c>
      <c r="H4" s="287">
        <f>ROUND(SUM(C4:F4)/G4,5)</f>
        <v>6.3E-3</v>
      </c>
      <c r="I4" s="288"/>
      <c r="J4" s="289">
        <f>ROUND((C12+C20)/G4,5)</f>
        <v>3.47E-3</v>
      </c>
      <c r="K4" s="134">
        <f>ROUND((D12+D20)/G4,5)</f>
        <v>2.3900000000000002E-3</v>
      </c>
      <c r="L4" s="134">
        <f>ROUND((E12+E20)/G4,5)</f>
        <v>4.4000000000000002E-4</v>
      </c>
      <c r="M4" s="134">
        <f>ROUND((F12+F20)/G4,5)</f>
        <v>0</v>
      </c>
      <c r="N4" s="262">
        <f>+H4-SUM(J4:M4)</f>
        <v>0</v>
      </c>
      <c r="O4" s="270"/>
      <c r="P4" s="270"/>
      <c r="Q4" s="270"/>
      <c r="R4" s="270"/>
      <c r="S4" s="270"/>
    </row>
    <row r="5" spans="1:28" ht="15" thickBot="1" x14ac:dyDescent="0.4">
      <c r="B5" s="91" t="s">
        <v>108</v>
      </c>
      <c r="C5" s="129">
        <f t="shared" si="0"/>
        <v>2330420.46</v>
      </c>
      <c r="D5" s="130">
        <f t="shared" si="0"/>
        <v>1946476.3511399999</v>
      </c>
      <c r="E5" s="130">
        <f t="shared" si="0"/>
        <v>877460.39999999991</v>
      </c>
      <c r="F5" s="130">
        <f t="shared" si="0"/>
        <v>0</v>
      </c>
      <c r="G5" s="133">
        <f>+'PPC Cycle 3'!B6</f>
        <v>1157760870</v>
      </c>
      <c r="H5" s="287">
        <f>ROUND(SUM(C5:F5)/G5,5)</f>
        <v>4.45E-3</v>
      </c>
      <c r="I5" s="288"/>
      <c r="J5" s="258">
        <f>ROUND((C13+C21)/G5,5)</f>
        <v>2.0100000000000001E-3</v>
      </c>
      <c r="K5" s="134">
        <f>ROUND((D13+D21)/G5,5)</f>
        <v>1.6800000000000001E-3</v>
      </c>
      <c r="L5" s="134">
        <f>ROUND((E13+E21)/G5,5)</f>
        <v>7.6000000000000004E-4</v>
      </c>
      <c r="M5" s="134">
        <f>ROUND((F13+F21)/G5,5)</f>
        <v>0</v>
      </c>
      <c r="N5" s="262">
        <f t="shared" ref="N5:N7" si="1">+H5-SUM(J5:M5)</f>
        <v>0</v>
      </c>
      <c r="O5" s="270">
        <f>C5/SUM(C$5:C$7)</f>
        <v>0.25888667535911258</v>
      </c>
      <c r="P5" s="270">
        <f t="shared" ref="P5:Q5" si="2">D5/SUM(D$5:D$7)</f>
        <v>0.45238384292090034</v>
      </c>
      <c r="Q5" s="270">
        <f t="shared" si="2"/>
        <v>0.38891251549786587</v>
      </c>
      <c r="R5" s="270" t="e">
        <f t="shared" ref="R5" si="3">F5/SUM(F$5:F$8)</f>
        <v>#DIV/0!</v>
      </c>
      <c r="S5" s="270">
        <f>G5/SUM(G$5:G$7)</f>
        <v>0.37055917053556814</v>
      </c>
    </row>
    <row r="6" spans="1:28" s="47" customFormat="1" ht="15" thickBot="1" x14ac:dyDescent="0.4">
      <c r="B6" s="91" t="s">
        <v>109</v>
      </c>
      <c r="C6" s="129">
        <f t="shared" si="0"/>
        <v>4350102.95</v>
      </c>
      <c r="D6" s="130">
        <f t="shared" si="0"/>
        <v>1942943.8781900001</v>
      </c>
      <c r="E6" s="130">
        <f t="shared" si="0"/>
        <v>940521.62999999989</v>
      </c>
      <c r="F6" s="130">
        <f t="shared" si="0"/>
        <v>0</v>
      </c>
      <c r="G6" s="133">
        <f>+'PPC Cycle 3'!B7</f>
        <v>1153029898</v>
      </c>
      <c r="H6" s="287">
        <f>ROUND(SUM(C6:F6)/G6,5)</f>
        <v>6.2700000000000004E-3</v>
      </c>
      <c r="I6" s="288"/>
      <c r="J6" s="258">
        <f>ROUND((C14+C22)/G6,5)</f>
        <v>3.7699999999999999E-3</v>
      </c>
      <c r="K6" s="298">
        <f>ROUND((D14+D22)/G6,5)-0.00001</f>
        <v>1.6800000000000001E-3</v>
      </c>
      <c r="L6" s="134">
        <f>ROUND((E14+E22)/G6,5)</f>
        <v>8.1999999999999998E-4</v>
      </c>
      <c r="M6" s="134">
        <f>ROUND((F14+F22)/G6,5)</f>
        <v>0</v>
      </c>
      <c r="N6" s="262">
        <f t="shared" si="1"/>
        <v>0</v>
      </c>
      <c r="O6" s="270">
        <f t="shared" ref="O6:O7" si="4">C6/SUM(C$5:C$7)</f>
        <v>0.48325343410148747</v>
      </c>
      <c r="P6" s="270">
        <f t="shared" ref="P6:P7" si="5">D6/SUM(D$5:D$7)</f>
        <v>0.45156285494064613</v>
      </c>
      <c r="Q6" s="270">
        <f t="shared" ref="Q6:Q7" si="6">E6/SUM(E$5:E$7)</f>
        <v>0.4168628384864469</v>
      </c>
      <c r="R6" s="270" t="e">
        <f t="shared" ref="R6:R7" si="7">F6/SUM(F$5:F$8)</f>
        <v>#DIV/0!</v>
      </c>
      <c r="S6" s="270">
        <f t="shared" ref="S6:S7" si="8">G6/SUM(G$5:G$7)</f>
        <v>0.36904495019389516</v>
      </c>
    </row>
    <row r="7" spans="1:28" s="47" customFormat="1" ht="15" thickBot="1" x14ac:dyDescent="0.4">
      <c r="B7" s="91" t="s">
        <v>110</v>
      </c>
      <c r="C7" s="129">
        <f t="shared" si="0"/>
        <v>2321177.65</v>
      </c>
      <c r="D7" s="130">
        <f t="shared" si="0"/>
        <v>413289.47527</v>
      </c>
      <c r="E7" s="130">
        <f t="shared" si="0"/>
        <v>438207.64000000007</v>
      </c>
      <c r="F7" s="130">
        <f t="shared" si="0"/>
        <v>0</v>
      </c>
      <c r="G7" s="133">
        <f>+'PPC Cycle 3'!B8</f>
        <v>813570905</v>
      </c>
      <c r="H7" s="287">
        <f>ROUND(SUM(C7:F7)/G7,5)</f>
        <v>3.8999999999999998E-3</v>
      </c>
      <c r="I7" s="288"/>
      <c r="J7" s="258">
        <f>ROUND((C15+C23)/G7,5)</f>
        <v>2.8500000000000001E-3</v>
      </c>
      <c r="K7" s="134">
        <f>ROUND((D15+D23)/G7,5)</f>
        <v>5.1000000000000004E-4</v>
      </c>
      <c r="L7" s="134">
        <f>ROUND((E15+E23)/G7,5)</f>
        <v>5.4000000000000001E-4</v>
      </c>
      <c r="M7" s="134">
        <f>ROUND((F15+F23)/G7,5)</f>
        <v>0</v>
      </c>
      <c r="N7" s="262">
        <f t="shared" si="1"/>
        <v>0</v>
      </c>
      <c r="O7" s="270">
        <f t="shared" si="4"/>
        <v>0.25785989053939989</v>
      </c>
      <c r="P7" s="270">
        <f t="shared" si="5"/>
        <v>9.6053302138453547E-2</v>
      </c>
      <c r="Q7" s="270">
        <f t="shared" si="6"/>
        <v>0.19422464601568717</v>
      </c>
      <c r="R7" s="270" t="e">
        <f t="shared" si="7"/>
        <v>#DIV/0!</v>
      </c>
      <c r="S7" s="270">
        <f t="shared" si="8"/>
        <v>0.2603958792705367</v>
      </c>
    </row>
    <row r="8" spans="1:28" x14ac:dyDescent="0.35">
      <c r="C8" s="128"/>
      <c r="D8" s="128"/>
      <c r="E8" s="128"/>
      <c r="F8" s="128"/>
      <c r="G8" s="127"/>
      <c r="H8" s="290"/>
      <c r="I8" s="290"/>
      <c r="J8" s="290"/>
    </row>
    <row r="9" spans="1:28" x14ac:dyDescent="0.35">
      <c r="C9" s="128"/>
      <c r="D9" s="128"/>
      <c r="E9" s="128"/>
      <c r="F9" s="128"/>
      <c r="G9" s="127"/>
      <c r="H9" s="47"/>
      <c r="I9" s="47"/>
      <c r="J9" s="17"/>
      <c r="K9" s="17"/>
      <c r="L9" s="47"/>
      <c r="M9" s="47"/>
    </row>
    <row r="10" spans="1:28" ht="15" thickBot="1" x14ac:dyDescent="0.4">
      <c r="C10" s="128"/>
      <c r="D10" s="128"/>
      <c r="E10" s="128"/>
      <c r="F10" s="128"/>
      <c r="G10" s="127"/>
      <c r="H10" s="47"/>
      <c r="I10" s="47"/>
      <c r="J10" s="17"/>
      <c r="K10" s="17"/>
      <c r="L10" s="47"/>
      <c r="M10" s="47"/>
    </row>
    <row r="11" spans="1:28" ht="15" thickBot="1" x14ac:dyDescent="0.4">
      <c r="B11" s="88" t="s">
        <v>7</v>
      </c>
      <c r="C11" s="132" t="s">
        <v>6</v>
      </c>
      <c r="D11" s="132" t="s">
        <v>16</v>
      </c>
      <c r="E11" s="132" t="s">
        <v>58</v>
      </c>
      <c r="F11" s="132" t="s">
        <v>17</v>
      </c>
      <c r="G11" s="127"/>
      <c r="H11" s="47"/>
      <c r="I11" s="47"/>
      <c r="J11" s="17"/>
      <c r="K11" s="17"/>
      <c r="L11" s="47"/>
      <c r="M11" s="47"/>
      <c r="O11" s="132" t="s">
        <v>74</v>
      </c>
      <c r="P11" s="132" t="s">
        <v>75</v>
      </c>
      <c r="Q11" s="132" t="s">
        <v>82</v>
      </c>
      <c r="R11" s="47"/>
      <c r="S11" s="132" t="s">
        <v>76</v>
      </c>
      <c r="T11" s="132" t="s">
        <v>77</v>
      </c>
      <c r="U11" s="132" t="s">
        <v>104</v>
      </c>
      <c r="V11" s="132" t="s">
        <v>94</v>
      </c>
      <c r="X11" s="132" t="s">
        <v>115</v>
      </c>
      <c r="Y11" s="132" t="s">
        <v>116</v>
      </c>
      <c r="Z11" s="132" t="s">
        <v>117</v>
      </c>
      <c r="AA11" s="132" t="s">
        <v>118</v>
      </c>
    </row>
    <row r="12" spans="1:28" ht="15" thickBot="1" x14ac:dyDescent="0.4">
      <c r="B12" s="91" t="s">
        <v>24</v>
      </c>
      <c r="C12" s="130">
        <f>+'PPC Cycle 3'!C5</f>
        <v>11306138.359999999</v>
      </c>
      <c r="D12" s="130">
        <f>'PTD Cycle 2'!C6+'PTD Cycle 3'!C6</f>
        <v>8266769.0500000007</v>
      </c>
      <c r="E12" s="130">
        <f>+'EO Cycle 2'!G7+'EO Cycle 3'!G7</f>
        <v>1146096.8699999999</v>
      </c>
      <c r="F12" s="129">
        <f>+'OA Cycle 2'!F8</f>
        <v>0</v>
      </c>
      <c r="G12" s="127"/>
      <c r="H12" s="47"/>
      <c r="I12" s="47"/>
      <c r="J12" s="47"/>
      <c r="K12" s="47"/>
      <c r="L12" s="47"/>
      <c r="M12" s="47"/>
      <c r="O12" s="183">
        <v>0</v>
      </c>
      <c r="P12" s="183">
        <v>0</v>
      </c>
      <c r="Q12" s="227">
        <v>0</v>
      </c>
      <c r="R12" s="157"/>
      <c r="S12" s="156">
        <v>0</v>
      </c>
      <c r="T12" s="156">
        <f>ROUND(+'PTD Cycle 2'!C6/'tariff tables'!G4,5)</f>
        <v>6.4999999999999997E-4</v>
      </c>
      <c r="U12" s="156">
        <f>ROUND('EO Cycle 2'!G7/'tariff tables'!G4,5)</f>
        <v>-1E-4</v>
      </c>
      <c r="V12" s="156">
        <f>ROUND('OA Cycle 2'!F8/'tariff tables'!G4,5)</f>
        <v>0</v>
      </c>
      <c r="X12" s="156">
        <f>ROUND('PPC Cycle 3'!C5/'tariff tables'!$G4,5)</f>
        <v>3.1700000000000001E-3</v>
      </c>
      <c r="Y12" s="156">
        <f>ROUND('PTD Cycle 3'!C6/'tariff tables'!G4,5)</f>
        <v>1.66E-3</v>
      </c>
      <c r="Z12" s="156">
        <f>ROUND('EO Cycle 3'!G7/'tariff tables'!G4,5)</f>
        <v>4.2000000000000002E-4</v>
      </c>
      <c r="AA12" s="156">
        <f>ROUND(0/'tariff tables'!G4,5)</f>
        <v>0</v>
      </c>
      <c r="AB12" s="157">
        <f>SUM(O12:AA12,O20:AA20)</f>
        <v>6.3000000000000009E-3</v>
      </c>
    </row>
    <row r="13" spans="1:28" ht="15" thickBot="1" x14ac:dyDescent="0.4">
      <c r="B13" s="91" t="s">
        <v>108</v>
      </c>
      <c r="C13" s="130">
        <f>+'PPC Cycle 3'!C6</f>
        <v>2563949.04</v>
      </c>
      <c r="D13" s="130">
        <f>'PTD Cycle 2'!C10+'PTD Cycle 3'!C7</f>
        <v>1962364.5</v>
      </c>
      <c r="E13" s="130">
        <f>+'EO Cycle 2'!G11+'EO Cycle 3'!G11</f>
        <v>736232.80999999994</v>
      </c>
      <c r="F13" s="129">
        <f>+'OA Cycle 2'!D13</f>
        <v>0</v>
      </c>
      <c r="G13" s="127"/>
      <c r="H13" s="47"/>
      <c r="I13" s="47"/>
      <c r="J13" s="47"/>
      <c r="K13" s="47"/>
      <c r="L13" s="47"/>
      <c r="M13" s="47"/>
      <c r="O13" s="183">
        <v>0</v>
      </c>
      <c r="P13" s="183">
        <v>0</v>
      </c>
      <c r="Q13" s="227">
        <v>0</v>
      </c>
      <c r="R13" s="157"/>
      <c r="S13" s="156">
        <v>0</v>
      </c>
      <c r="T13" s="183">
        <f>ROUND(+'PTD Cycle 2'!C10/'tariff tables'!G5,5)</f>
        <v>8.8000000000000003E-4</v>
      </c>
      <c r="U13" s="227">
        <f>ROUND('EO Cycle 2'!G11/'tariff tables'!G5,5)</f>
        <v>3.6999999999999999E-4</v>
      </c>
      <c r="V13" s="183">
        <f>ROUND('OA Cycle 2'!D13/'tariff tables'!G5,5)</f>
        <v>0</v>
      </c>
      <c r="X13" s="156">
        <f>ROUND('PPC Cycle 3'!C6/'tariff tables'!$G5,5)</f>
        <v>2.2100000000000002E-3</v>
      </c>
      <c r="Y13" s="156">
        <f>ROUND('PTD Cycle 3'!C7/'tariff tables'!G5,5)</f>
        <v>8.1999999999999998E-4</v>
      </c>
      <c r="Z13" s="156">
        <f>ROUND('EO Cycle 3'!G11/'tariff tables'!G5,5)</f>
        <v>2.5999999999999998E-4</v>
      </c>
      <c r="AA13" s="156">
        <f>ROUND(0/'tariff tables'!G5,5)</f>
        <v>0</v>
      </c>
      <c r="AB13" s="157">
        <f>SUM(O13:AA13,O21:AA21)</f>
        <v>4.45E-3</v>
      </c>
    </row>
    <row r="14" spans="1:28" s="47" customFormat="1" ht="15" thickBot="1" x14ac:dyDescent="0.4">
      <c r="B14" s="91" t="s">
        <v>109</v>
      </c>
      <c r="C14" s="130">
        <f>+'PPC Cycle 3'!C7</f>
        <v>3871096.38</v>
      </c>
      <c r="D14" s="130">
        <f>'PTD Cycle 2'!C11+'PTD Cycle 3'!C8</f>
        <v>1790849.77</v>
      </c>
      <c r="E14" s="130">
        <f>+'EO Cycle 2'!G12+'EO Cycle 3'!G12</f>
        <v>776866.42999999993</v>
      </c>
      <c r="F14" s="129">
        <f>+'OA Cycle 2'!D14</f>
        <v>0</v>
      </c>
      <c r="G14" s="127"/>
      <c r="O14" s="183">
        <v>0</v>
      </c>
      <c r="P14" s="183">
        <v>0</v>
      </c>
      <c r="Q14" s="242">
        <v>0</v>
      </c>
      <c r="R14" s="243"/>
      <c r="S14" s="190">
        <v>0</v>
      </c>
      <c r="T14" s="244">
        <f>ROUND(+'PTD Cycle 2'!C11/'tariff tables'!G6,5)</f>
        <v>7.9000000000000001E-4</v>
      </c>
      <c r="U14" s="242">
        <f>ROUND('EO Cycle 2'!G12/'tariff tables'!G6,5)</f>
        <v>4.0999999999999999E-4</v>
      </c>
      <c r="V14" s="183">
        <f>ROUND('OA Cycle 2'!D14/'tariff tables'!G6,5)</f>
        <v>0</v>
      </c>
      <c r="X14" s="156">
        <f>ROUND('PPC Cycle 3'!C7/'tariff tables'!$G6,5)</f>
        <v>3.3600000000000001E-3</v>
      </c>
      <c r="Y14" s="156">
        <f>ROUND('PTD Cycle 3'!C8/'tariff tables'!G6,5)</f>
        <v>7.6000000000000004E-4</v>
      </c>
      <c r="Z14" s="156">
        <f>ROUND('EO Cycle 3'!G12/'tariff tables'!G6,5)</f>
        <v>2.5999999999999998E-4</v>
      </c>
      <c r="AA14" s="156">
        <f>ROUND(0/'tariff tables'!G6,5)</f>
        <v>0</v>
      </c>
      <c r="AB14" s="157">
        <f>SUM(O14:AA14,O22:AA22)</f>
        <v>6.2699999999999995E-3</v>
      </c>
    </row>
    <row r="15" spans="1:28" s="47" customFormat="1" ht="15" thickBot="1" x14ac:dyDescent="0.4">
      <c r="B15" s="91" t="s">
        <v>110</v>
      </c>
      <c r="C15" s="130">
        <f>+'PPC Cycle 3'!C8</f>
        <v>2922151.06</v>
      </c>
      <c r="D15" s="130">
        <f>'PTD Cycle 2'!C12+'PTD Cycle 3'!C9</f>
        <v>392879.51</v>
      </c>
      <c r="E15" s="130">
        <f>+'EO Cycle 2'!G13+'EO Cycle 3'!G13</f>
        <v>382901.31000000006</v>
      </c>
      <c r="F15" s="129">
        <f>+'OA Cycle 2'!D15</f>
        <v>0</v>
      </c>
      <c r="G15" s="127"/>
      <c r="O15" s="183">
        <v>0</v>
      </c>
      <c r="P15" s="183">
        <v>0</v>
      </c>
      <c r="Q15" s="242">
        <v>0</v>
      </c>
      <c r="R15" s="243"/>
      <c r="S15" s="190">
        <v>0</v>
      </c>
      <c r="T15" s="244">
        <f>ROUND(+'PTD Cycle 2'!C12/'tariff tables'!G7,5)</f>
        <v>2.0000000000000001E-4</v>
      </c>
      <c r="U15" s="242">
        <f>ROUND('EO Cycle 2'!G13/'tariff tables'!G7,5)</f>
        <v>1.8000000000000001E-4</v>
      </c>
      <c r="V15" s="183">
        <f>ROUND('OA Cycle 2'!D15/'tariff tables'!G7,5)</f>
        <v>0</v>
      </c>
      <c r="X15" s="156">
        <f>ROUND('PPC Cycle 3'!C8/'tariff tables'!$G7,5)</f>
        <v>3.5899999999999999E-3</v>
      </c>
      <c r="Y15" s="156">
        <f>ROUND('PTD Cycle 3'!C9/'tariff tables'!G7,5)</f>
        <v>2.7999999999999998E-4</v>
      </c>
      <c r="Z15" s="156">
        <f>ROUND('EO Cycle 3'!G13/'tariff tables'!G7,5)</f>
        <v>2.9999999999999997E-4</v>
      </c>
      <c r="AA15" s="156">
        <f>ROUND(0/'tariff tables'!G7,5)</f>
        <v>0</v>
      </c>
      <c r="AB15" s="157">
        <f>SUM(O15:AA15,O23:AA23)</f>
        <v>3.8999999999999998E-3</v>
      </c>
    </row>
    <row r="16" spans="1:28" x14ac:dyDescent="0.35">
      <c r="C16" s="128"/>
      <c r="D16" s="128"/>
      <c r="E16" s="128"/>
      <c r="F16" s="128"/>
      <c r="G16" s="127"/>
      <c r="J16" s="17"/>
      <c r="K16" s="17"/>
      <c r="O16" s="184"/>
      <c r="P16" s="184"/>
      <c r="Q16" s="245"/>
      <c r="R16" s="243"/>
      <c r="S16" s="243"/>
      <c r="T16" s="243"/>
      <c r="U16" s="243"/>
      <c r="V16" s="157"/>
      <c r="X16" s="157"/>
      <c r="Y16" s="157"/>
      <c r="Z16" s="157"/>
      <c r="AA16" s="157"/>
    </row>
    <row r="17" spans="2:27" x14ac:dyDescent="0.35">
      <c r="C17" s="128"/>
      <c r="D17" s="128"/>
      <c r="E17" s="128"/>
      <c r="F17" s="128"/>
      <c r="G17" s="127"/>
      <c r="J17" s="17"/>
      <c r="K17" s="17"/>
      <c r="O17" s="184"/>
      <c r="P17" s="184"/>
      <c r="Q17" s="245"/>
      <c r="R17" s="243"/>
      <c r="S17" s="243"/>
      <c r="T17" s="243"/>
      <c r="U17" s="243"/>
      <c r="V17" s="157"/>
      <c r="X17" s="157"/>
      <c r="Y17" s="157"/>
      <c r="Z17" s="157"/>
      <c r="AA17" s="157"/>
    </row>
    <row r="18" spans="2:27" ht="15" thickBot="1" x14ac:dyDescent="0.4">
      <c r="C18" s="128"/>
      <c r="D18" s="128"/>
      <c r="E18" s="128"/>
      <c r="F18" s="128"/>
      <c r="G18" s="127"/>
      <c r="J18" s="17"/>
      <c r="K18" s="17"/>
      <c r="O18" s="184"/>
      <c r="P18" s="184"/>
      <c r="Q18" s="245"/>
      <c r="R18" s="243"/>
      <c r="S18" s="243"/>
      <c r="T18" s="243"/>
      <c r="U18" s="243"/>
      <c r="V18" s="243"/>
      <c r="W18" s="290"/>
      <c r="X18" s="243"/>
      <c r="Y18" s="243"/>
      <c r="Z18" s="243"/>
      <c r="AA18" s="157"/>
    </row>
    <row r="19" spans="2:27" ht="15" thickBot="1" x14ac:dyDescent="0.4">
      <c r="B19" s="88" t="s">
        <v>7</v>
      </c>
      <c r="C19" s="132" t="s">
        <v>4</v>
      </c>
      <c r="D19" s="132" t="s">
        <v>9</v>
      </c>
      <c r="E19" s="132" t="s">
        <v>59</v>
      </c>
      <c r="F19" s="132" t="s">
        <v>18</v>
      </c>
      <c r="G19" s="127"/>
      <c r="O19" s="185" t="s">
        <v>78</v>
      </c>
      <c r="P19" s="185" t="s">
        <v>79</v>
      </c>
      <c r="Q19" s="246" t="s">
        <v>83</v>
      </c>
      <c r="R19" s="243"/>
      <c r="S19" s="247" t="s">
        <v>80</v>
      </c>
      <c r="T19" s="247" t="s">
        <v>81</v>
      </c>
      <c r="U19" s="246" t="s">
        <v>107</v>
      </c>
      <c r="V19" s="247" t="s">
        <v>95</v>
      </c>
      <c r="W19" s="290"/>
      <c r="X19" s="247" t="s">
        <v>119</v>
      </c>
      <c r="Y19" s="247" t="s">
        <v>120</v>
      </c>
      <c r="Z19" s="246" t="s">
        <v>121</v>
      </c>
      <c r="AA19" s="158" t="s">
        <v>122</v>
      </c>
    </row>
    <row r="20" spans="2:27" ht="15" thickBot="1" x14ac:dyDescent="0.4">
      <c r="B20" s="91" t="s">
        <v>24</v>
      </c>
      <c r="C20" s="130">
        <f>+'PCR Cycle 3'!K4+'PCR Cycle 2'!J4</f>
        <v>1048735.7423199997</v>
      </c>
      <c r="D20" s="130">
        <f>'TDR Cycle 3'!K4+'TDR Cycle 2'!K4</f>
        <v>247094.22597999964</v>
      </c>
      <c r="E20" s="130">
        <f>+'EOR Cycle 2'!I4</f>
        <v>432142.47706000012</v>
      </c>
      <c r="F20" s="129">
        <f>+'OAR Cycle 2'!I4</f>
        <v>0</v>
      </c>
      <c r="G20" s="127"/>
      <c r="O20" s="183">
        <v>0</v>
      </c>
      <c r="P20" s="183">
        <v>0</v>
      </c>
      <c r="Q20" s="244">
        <v>0</v>
      </c>
      <c r="R20" s="243"/>
      <c r="S20" s="190">
        <f>ROUND(+'PCR Cycle 2'!J4/'tariff tables'!G4,5)</f>
        <v>0</v>
      </c>
      <c r="T20" s="190">
        <f>ROUND(+'TDR Cycle 2'!K4/'tariff tables'!G4,5)</f>
        <v>1.9000000000000001E-4</v>
      </c>
      <c r="U20" s="190">
        <f>ROUND('EOR Cycle 2'!I4/'tariff tables'!G4,5)</f>
        <v>1.2E-4</v>
      </c>
      <c r="V20" s="190">
        <f>ROUND('OAR Cycle 2'!I4/'tariff tables'!G4,5)</f>
        <v>0</v>
      </c>
      <c r="W20" s="290"/>
      <c r="X20" s="296">
        <f>ROUND('PCR Cycle 3'!K4/'tariff tables'!G4,5)+0.00001</f>
        <v>3.0000000000000003E-4</v>
      </c>
      <c r="Y20" s="297">
        <f>ROUND('TDR Cycle 3'!K4/'tariff tables'!G4,5)+0.00001</f>
        <v>-1.1E-4</v>
      </c>
      <c r="Z20" s="190">
        <f>ROUND(0/'tariff tables'!G4,5)</f>
        <v>0</v>
      </c>
      <c r="AA20" s="190">
        <f>ROUND(0/'tariff tables'!G4,5)</f>
        <v>0</v>
      </c>
    </row>
    <row r="21" spans="2:27" ht="15" thickBot="1" x14ac:dyDescent="0.4">
      <c r="B21" s="91" t="s">
        <v>108</v>
      </c>
      <c r="C21" s="130">
        <f>'PCR Cycle 3'!K5+'PCR Cycle 2'!J8</f>
        <v>-233528.58000000007</v>
      </c>
      <c r="D21" s="130">
        <f>'TDR Cycle 3'!K5+'TDR Cycle 2'!K8</f>
        <v>-15888.148859999987</v>
      </c>
      <c r="E21" s="130">
        <f>+'EOR Cycle 2'!I8</f>
        <v>141227.59</v>
      </c>
      <c r="F21" s="129">
        <f>+'OAR Cycle 2'!I8</f>
        <v>0</v>
      </c>
      <c r="G21" s="127"/>
      <c r="O21" s="183">
        <v>0</v>
      </c>
      <c r="P21" s="183">
        <v>0</v>
      </c>
      <c r="Q21" s="244">
        <v>0</v>
      </c>
      <c r="R21" s="243"/>
      <c r="S21" s="244">
        <f>ROUND(+'PCR Cycle 2'!J8/'tariff tables'!G5,5)</f>
        <v>-8.0000000000000007E-5</v>
      </c>
      <c r="T21" s="244">
        <f>ROUND(+'TDR Cycle 2'!K8/'tariff tables'!G5,5)</f>
        <v>1.8000000000000001E-4</v>
      </c>
      <c r="U21" s="296">
        <f>ROUND('EOR Cycle 2'!I8/'tariff tables'!G5,5)+0.00001</f>
        <v>1.3000000000000002E-4</v>
      </c>
      <c r="V21" s="190">
        <f>ROUND('OAR Cycle 2'!I8/'tariff tables'!G5,5)</f>
        <v>0</v>
      </c>
      <c r="W21" s="290"/>
      <c r="X21" s="244">
        <f>ROUND('PCR Cycle 3'!K5/'tariff tables'!G5,5)</f>
        <v>-1.2E-4</v>
      </c>
      <c r="Y21" s="190">
        <f>ROUND('TDR Cycle 3'!K5/'tariff tables'!G5,5)</f>
        <v>-2.0000000000000001E-4</v>
      </c>
      <c r="Z21" s="190">
        <f>ROUND(0/'tariff tables'!G5,5)</f>
        <v>0</v>
      </c>
      <c r="AA21" s="190">
        <f>ROUND(0/'tariff tables'!G5,5)</f>
        <v>0</v>
      </c>
    </row>
    <row r="22" spans="2:27" s="47" customFormat="1" ht="15" thickBot="1" x14ac:dyDescent="0.4">
      <c r="B22" s="91" t="s">
        <v>109</v>
      </c>
      <c r="C22" s="130">
        <f>'PCR Cycle 3'!K6+'PCR Cycle 2'!J9</f>
        <v>479006.56999999989</v>
      </c>
      <c r="D22" s="130">
        <f>'TDR Cycle 3'!K6+'TDR Cycle 2'!K9</f>
        <v>152094.10819000006</v>
      </c>
      <c r="E22" s="130">
        <f>+'EOR Cycle 2'!I9</f>
        <v>163655.20000000001</v>
      </c>
      <c r="F22" s="129">
        <f>+'OAR Cycle 2'!I9</f>
        <v>0</v>
      </c>
      <c r="G22" s="127"/>
      <c r="O22" s="183">
        <v>0</v>
      </c>
      <c r="P22" s="183">
        <v>0</v>
      </c>
      <c r="Q22" s="244">
        <v>0</v>
      </c>
      <c r="R22" s="243"/>
      <c r="S22" s="296">
        <f>ROUND(+'PCR Cycle 2'!J9/'tariff tables'!G6,5)-0.00001</f>
        <v>-1E-4</v>
      </c>
      <c r="T22" s="244">
        <f>ROUND(+'TDR Cycle 2'!K9/'tariff tables'!G6,5)</f>
        <v>2.1000000000000001E-4</v>
      </c>
      <c r="U22" s="296">
        <f>ROUND('EOR Cycle 2'!I9/'tariff tables'!G6,5)+0.00001</f>
        <v>1.4999999999999999E-4</v>
      </c>
      <c r="V22" s="190">
        <f>ROUND('OAR Cycle 2'!I9/'tariff tables'!G6,5)</f>
        <v>0</v>
      </c>
      <c r="W22" s="290"/>
      <c r="X22" s="244">
        <f>ROUND('PCR Cycle 3'!K6/'tariff tables'!G6,5)</f>
        <v>5.1000000000000004E-4</v>
      </c>
      <c r="Y22" s="190">
        <f>ROUND('TDR Cycle 3'!K6/'tariff tables'!G6,5)</f>
        <v>-8.0000000000000007E-5</v>
      </c>
      <c r="Z22" s="190">
        <f>ROUND(0/'tariff tables'!G6,5)</f>
        <v>0</v>
      </c>
      <c r="AA22" s="190">
        <f>ROUND(0/'tariff tables'!G6,5)</f>
        <v>0</v>
      </c>
    </row>
    <row r="23" spans="2:27" s="47" customFormat="1" ht="15" thickBot="1" x14ac:dyDescent="0.4">
      <c r="B23" s="91" t="s">
        <v>110</v>
      </c>
      <c r="C23" s="130">
        <f>'PCR Cycle 3'!K7+'PCR Cycle 2'!J10</f>
        <v>-600973.41000000015</v>
      </c>
      <c r="D23" s="130">
        <f>'TDR Cycle 3'!K7+'TDR Cycle 2'!K10</f>
        <v>20409.965269999993</v>
      </c>
      <c r="E23" s="130">
        <f>+'EOR Cycle 2'!I10</f>
        <v>55306.33</v>
      </c>
      <c r="F23" s="129">
        <f>+'OAR Cycle 2'!I10</f>
        <v>0</v>
      </c>
      <c r="G23" s="127"/>
      <c r="O23" s="183">
        <v>0</v>
      </c>
      <c r="P23" s="183">
        <v>0</v>
      </c>
      <c r="Q23" s="244">
        <v>0</v>
      </c>
      <c r="R23" s="243"/>
      <c r="S23" s="296">
        <f>ROUND(+'PCR Cycle 2'!J10/'tariff tables'!G7,5)-0.00001</f>
        <v>-5.0000000000000002E-5</v>
      </c>
      <c r="T23" s="296">
        <f>ROUND(+'TDR Cycle 2'!K10/'tariff tables'!G7,5)+0.00001</f>
        <v>1.1E-4</v>
      </c>
      <c r="U23" s="296">
        <f>ROUND('EOR Cycle 2'!I10/'tariff tables'!G7,5)-0.00001</f>
        <v>5.9999999999999995E-5</v>
      </c>
      <c r="V23" s="190">
        <f>ROUND('OAR Cycle 2'!I10/'tariff tables'!G7,5)</f>
        <v>0</v>
      </c>
      <c r="W23" s="290"/>
      <c r="X23" s="244">
        <f>ROUND('PCR Cycle 3'!K7/'tariff tables'!G7,5)</f>
        <v>-6.8999999999999997E-4</v>
      </c>
      <c r="Y23" s="190">
        <f>ROUND('TDR Cycle 3'!K7/'tariff tables'!G7,5)</f>
        <v>-8.0000000000000007E-5</v>
      </c>
      <c r="Z23" s="190">
        <f>ROUND(0/'tariff tables'!G7,5)</f>
        <v>0</v>
      </c>
      <c r="AA23" s="190">
        <f>ROUND(0/'tariff tables'!G7,5)</f>
        <v>0</v>
      </c>
    </row>
    <row r="24" spans="2:27" x14ac:dyDescent="0.35">
      <c r="O24" s="47"/>
      <c r="P24" s="47"/>
      <c r="R24" s="47"/>
      <c r="S24" s="290"/>
      <c r="T24" s="290"/>
      <c r="U24" s="290"/>
      <c r="V24" s="290"/>
      <c r="W24" s="290"/>
      <c r="X24" s="290"/>
      <c r="Y24" s="290"/>
      <c r="Z24" s="290"/>
    </row>
    <row r="25" spans="2:27" x14ac:dyDescent="0.35">
      <c r="B25" s="94" t="s">
        <v>39</v>
      </c>
      <c r="R25" t="s">
        <v>152</v>
      </c>
      <c r="S25" s="291">
        <f t="shared" ref="S25:U28" si="9">+J4-O12-O20-S12-S20-X12-X20</f>
        <v>0</v>
      </c>
      <c r="T25" s="291">
        <f t="shared" si="9"/>
        <v>1.4907779871675686E-19</v>
      </c>
      <c r="U25" s="291">
        <f t="shared" si="9"/>
        <v>0</v>
      </c>
      <c r="V25" s="290"/>
      <c r="W25" s="290"/>
      <c r="X25" s="290"/>
      <c r="Y25" s="290"/>
      <c r="Z25" s="290"/>
    </row>
    <row r="26" spans="2:27" x14ac:dyDescent="0.35">
      <c r="B26" s="95" t="s">
        <v>40</v>
      </c>
      <c r="R26" t="s">
        <v>153</v>
      </c>
      <c r="S26" s="291">
        <f t="shared" si="9"/>
        <v>1.2197274440461925E-19</v>
      </c>
      <c r="T26" s="291">
        <f t="shared" si="9"/>
        <v>0</v>
      </c>
      <c r="U26" s="291">
        <f t="shared" si="9"/>
        <v>5.4210108624275222E-20</v>
      </c>
      <c r="V26" s="290"/>
      <c r="W26" s="290"/>
      <c r="X26" s="290"/>
      <c r="Y26" s="290"/>
      <c r="Z26" s="290"/>
    </row>
    <row r="27" spans="2:27" x14ac:dyDescent="0.35">
      <c r="B27" s="95" t="s">
        <v>43</v>
      </c>
      <c r="R27" t="s">
        <v>154</v>
      </c>
      <c r="S27" s="155">
        <f t="shared" si="9"/>
        <v>0</v>
      </c>
      <c r="T27" s="155">
        <f t="shared" si="9"/>
        <v>0</v>
      </c>
      <c r="U27" s="155">
        <f t="shared" si="9"/>
        <v>5.4210108624275222E-20</v>
      </c>
    </row>
    <row r="28" spans="2:27" x14ac:dyDescent="0.35">
      <c r="B28" s="95" t="s">
        <v>143</v>
      </c>
      <c r="R28" t="s">
        <v>155</v>
      </c>
      <c r="S28" s="155">
        <f t="shared" si="9"/>
        <v>0</v>
      </c>
      <c r="T28" s="155">
        <f t="shared" si="9"/>
        <v>0</v>
      </c>
      <c r="U28" s="155">
        <f t="shared" si="9"/>
        <v>0</v>
      </c>
    </row>
    <row r="29" spans="2:27" x14ac:dyDescent="0.35">
      <c r="B29" s="95" t="s">
        <v>41</v>
      </c>
      <c r="R29" s="47"/>
      <c r="S29" s="47"/>
      <c r="T29" s="47"/>
    </row>
    <row r="30" spans="2:27" x14ac:dyDescent="0.35">
      <c r="B30" s="95" t="s">
        <v>148</v>
      </c>
      <c r="O30" s="263"/>
      <c r="P30" s="263"/>
      <c r="Q30" s="263"/>
      <c r="R30" s="150"/>
      <c r="S30" s="150"/>
      <c r="T30" s="47"/>
    </row>
    <row r="31" spans="2:27" x14ac:dyDescent="0.35">
      <c r="B31" s="95" t="s">
        <v>142</v>
      </c>
      <c r="O31" s="150"/>
      <c r="P31" s="150"/>
      <c r="Q31" s="264"/>
      <c r="R31" s="150"/>
      <c r="S31" s="150"/>
      <c r="T31" s="47"/>
    </row>
    <row r="32" spans="2:27" x14ac:dyDescent="0.35">
      <c r="B32" s="95" t="s">
        <v>48</v>
      </c>
      <c r="O32" s="265"/>
      <c r="P32" s="150"/>
      <c r="Q32" s="264"/>
      <c r="R32" s="150"/>
      <c r="S32" s="150"/>
      <c r="T32" s="47"/>
    </row>
    <row r="33" spans="2:20" x14ac:dyDescent="0.35">
      <c r="B33" s="95" t="s">
        <v>147</v>
      </c>
      <c r="O33" s="266"/>
      <c r="P33" s="267"/>
      <c r="Q33" s="264"/>
      <c r="R33" s="264"/>
      <c r="S33" s="150"/>
      <c r="T33" s="47"/>
    </row>
    <row r="34" spans="2:20" x14ac:dyDescent="0.35">
      <c r="B34" s="95" t="s">
        <v>144</v>
      </c>
      <c r="O34" s="266"/>
      <c r="P34" s="267"/>
      <c r="Q34" s="264"/>
      <c r="R34" s="264"/>
      <c r="S34" s="150"/>
      <c r="T34" s="47"/>
    </row>
    <row r="35" spans="2:20" x14ac:dyDescent="0.35">
      <c r="B35" s="95" t="s">
        <v>145</v>
      </c>
      <c r="O35" s="266"/>
      <c r="P35" s="267"/>
      <c r="Q35" s="264"/>
      <c r="R35" s="264"/>
      <c r="S35" s="150"/>
      <c r="T35" s="47"/>
    </row>
    <row r="36" spans="2:20" x14ac:dyDescent="0.35">
      <c r="B36" s="95" t="s">
        <v>149</v>
      </c>
      <c r="O36" s="266"/>
      <c r="P36" s="267"/>
      <c r="Q36" s="264"/>
      <c r="R36" s="264"/>
      <c r="S36" s="150"/>
      <c r="T36" s="47"/>
    </row>
    <row r="37" spans="2:20" x14ac:dyDescent="0.35">
      <c r="B37" s="95" t="s">
        <v>42</v>
      </c>
      <c r="O37" s="266"/>
      <c r="P37" s="267"/>
      <c r="Q37" s="264"/>
      <c r="R37" s="264"/>
      <c r="S37" s="150"/>
      <c r="T37" s="47"/>
    </row>
    <row r="38" spans="2:20" x14ac:dyDescent="0.35">
      <c r="B38" s="95" t="s">
        <v>146</v>
      </c>
      <c r="O38" s="266"/>
      <c r="P38" s="267"/>
      <c r="Q38" s="264"/>
      <c r="R38" s="264"/>
      <c r="S38" s="150"/>
      <c r="T38" s="47"/>
    </row>
    <row r="39" spans="2:20" x14ac:dyDescent="0.35">
      <c r="B39" s="95" t="s">
        <v>150</v>
      </c>
      <c r="O39" s="268"/>
      <c r="P39" s="267"/>
      <c r="Q39" s="264"/>
      <c r="R39" s="264"/>
      <c r="S39" s="150"/>
      <c r="T39" s="47"/>
    </row>
    <row r="40" spans="2:20" x14ac:dyDescent="0.35">
      <c r="B40" s="95" t="s">
        <v>151</v>
      </c>
      <c r="O40" s="150"/>
      <c r="P40" s="269"/>
      <c r="Q40" s="264"/>
      <c r="R40" s="264"/>
      <c r="S40" s="150"/>
      <c r="T40" s="47"/>
    </row>
    <row r="41" spans="2:20" x14ac:dyDescent="0.35">
      <c r="O41" s="265"/>
      <c r="P41" s="150"/>
      <c r="Q41" s="264"/>
      <c r="R41" s="264"/>
      <c r="S41" s="150"/>
      <c r="T41" s="47"/>
    </row>
    <row r="42" spans="2:20" x14ac:dyDescent="0.35">
      <c r="O42" s="266"/>
      <c r="P42" s="267"/>
      <c r="Q42" s="264"/>
      <c r="R42" s="264"/>
      <c r="S42" s="150"/>
      <c r="T42" s="47"/>
    </row>
    <row r="43" spans="2:20" x14ac:dyDescent="0.35">
      <c r="O43" s="266"/>
      <c r="P43" s="267"/>
      <c r="Q43" s="264"/>
      <c r="R43" s="264"/>
      <c r="S43" s="150"/>
      <c r="T43" s="47"/>
    </row>
    <row r="44" spans="2:20" x14ac:dyDescent="0.35">
      <c r="O44" s="266"/>
      <c r="P44" s="267"/>
      <c r="Q44" s="264"/>
      <c r="R44" s="264"/>
      <c r="S44" s="150"/>
      <c r="T44" s="47"/>
    </row>
    <row r="45" spans="2:20" x14ac:dyDescent="0.35">
      <c r="O45" s="266"/>
      <c r="P45" s="267"/>
      <c r="Q45" s="264"/>
      <c r="R45" s="264"/>
      <c r="S45" s="150"/>
      <c r="T45" s="47"/>
    </row>
    <row r="46" spans="2:20" x14ac:dyDescent="0.35">
      <c r="O46" s="266"/>
      <c r="P46" s="267"/>
      <c r="Q46" s="264"/>
      <c r="R46" s="264"/>
      <c r="S46" s="150"/>
      <c r="T46" s="47"/>
    </row>
    <row r="47" spans="2:20" x14ac:dyDescent="0.35">
      <c r="O47" s="266"/>
      <c r="P47" s="267"/>
      <c r="Q47" s="264"/>
      <c r="R47" s="264"/>
      <c r="S47" s="150"/>
      <c r="T47" s="47"/>
    </row>
    <row r="48" spans="2:20" x14ac:dyDescent="0.35">
      <c r="O48" s="268"/>
      <c r="P48" s="267"/>
      <c r="Q48" s="264"/>
      <c r="R48" s="264"/>
      <c r="S48" s="150"/>
    </row>
    <row r="49" spans="15:19" x14ac:dyDescent="0.35">
      <c r="O49" s="150"/>
      <c r="P49" s="269"/>
      <c r="Q49" s="264"/>
      <c r="R49" s="264"/>
      <c r="S49" s="150"/>
    </row>
    <row r="50" spans="15:19" x14ac:dyDescent="0.35">
      <c r="O50" s="150"/>
      <c r="P50" s="150"/>
      <c r="Q50" s="264"/>
      <c r="R50" s="264"/>
      <c r="S50" s="150"/>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9"/>
  <sheetViews>
    <sheetView workbookViewId="0">
      <pane xSplit="1" ySplit="4" topLeftCell="B5" activePane="bottomRight" state="frozen"/>
      <selection activeCell="K4" sqref="K4"/>
      <selection pane="topRight" activeCell="K4" sqref="K4"/>
      <selection pane="bottomLeft" activeCell="K4" sqref="K4"/>
      <selection pane="bottomRight" activeCell="B5" sqref="B5"/>
    </sheetView>
  </sheetViews>
  <sheetFormatPr defaultRowHeight="14.5" x14ac:dyDescent="0.35"/>
  <cols>
    <col min="1" max="1" width="23.7265625" customWidth="1"/>
    <col min="2" max="2" width="15.26953125" bestFit="1" customWidth="1"/>
    <col min="3" max="3" width="14.26953125" style="47" customWidth="1"/>
    <col min="4" max="4" width="13.26953125" bestFit="1" customWidth="1"/>
    <col min="5" max="5" width="9.7265625" bestFit="1" customWidth="1"/>
    <col min="6" max="6" width="12.54296875" bestFit="1" customWidth="1"/>
    <col min="7" max="7" width="13.1796875" customWidth="1"/>
    <col min="9" max="9" width="10.453125" bestFit="1" customWidth="1"/>
    <col min="11" max="11" width="9.453125" bestFit="1" customWidth="1"/>
  </cols>
  <sheetData>
    <row r="1" spans="1:7" x14ac:dyDescent="0.35">
      <c r="A1" s="64" t="str">
        <f>+'PPC Cycle 3'!A1</f>
        <v>Evergy Missouri West, Inc. - DSIM Rider Update Filed 12/02/2021</v>
      </c>
      <c r="B1" s="47"/>
      <c r="D1" s="47"/>
      <c r="E1" s="47"/>
    </row>
    <row r="2" spans="1:7" x14ac:dyDescent="0.35">
      <c r="A2" s="9" t="str">
        <f>+'PPC Cycle 3'!A2</f>
        <v>Projections for Cycle 3 January - December 2022 DSIM</v>
      </c>
      <c r="B2" s="47"/>
      <c r="D2" s="47"/>
      <c r="E2" s="47"/>
    </row>
    <row r="3" spans="1:7" ht="45.75" customHeight="1" x14ac:dyDescent="0.35">
      <c r="A3" s="47"/>
      <c r="B3" s="299" t="s">
        <v>99</v>
      </c>
      <c r="C3" s="299"/>
      <c r="D3" s="299"/>
      <c r="E3" s="47"/>
    </row>
    <row r="4" spans="1:7" ht="87" x14ac:dyDescent="0.35">
      <c r="A4" s="47"/>
      <c r="B4" s="71" t="s">
        <v>101</v>
      </c>
      <c r="C4" s="71" t="s">
        <v>102</v>
      </c>
      <c r="D4" s="71" t="s">
        <v>105</v>
      </c>
      <c r="E4" s="71" t="s">
        <v>103</v>
      </c>
      <c r="F4" s="71" t="s">
        <v>100</v>
      </c>
      <c r="G4" s="71" t="s">
        <v>106</v>
      </c>
    </row>
    <row r="5" spans="1:7" s="47" customFormat="1" x14ac:dyDescent="0.35">
      <c r="A5" s="20"/>
      <c r="B5" s="71"/>
      <c r="C5" s="71"/>
      <c r="D5" s="154"/>
    </row>
    <row r="6" spans="1:7" s="47" customFormat="1" x14ac:dyDescent="0.35">
      <c r="A6" s="259" t="s">
        <v>159</v>
      </c>
      <c r="B6" s="71"/>
      <c r="C6" s="71"/>
      <c r="D6" s="153"/>
    </row>
    <row r="7" spans="1:7" s="47" customFormat="1" x14ac:dyDescent="0.35">
      <c r="A7" s="20" t="s">
        <v>24</v>
      </c>
      <c r="B7" s="235">
        <f>+B18+B29+B40</f>
        <v>6580575.5600000005</v>
      </c>
      <c r="C7" s="235">
        <f t="shared" ref="C7:E7" si="0">+C18+C29+C40</f>
        <v>-1711589.3800000001</v>
      </c>
      <c r="D7" s="235">
        <f t="shared" si="0"/>
        <v>-1320635.23</v>
      </c>
      <c r="E7" s="235">
        <f t="shared" si="0"/>
        <v>-59583.520000000004</v>
      </c>
      <c r="F7" s="235">
        <f>SUM(B7:E7)</f>
        <v>3488767.4300000006</v>
      </c>
      <c r="G7" s="235">
        <f t="shared" ref="G7:G8" si="1">+G18+G29+G40</f>
        <v>-354073.52</v>
      </c>
    </row>
    <row r="8" spans="1:7" s="47" customFormat="1" x14ac:dyDescent="0.35">
      <c r="A8" s="20" t="s">
        <v>25</v>
      </c>
      <c r="B8" s="235">
        <f t="shared" ref="B8:E8" si="2">+B19+B30+B41</f>
        <v>6141489.0100000007</v>
      </c>
      <c r="C8" s="235">
        <f t="shared" si="2"/>
        <v>903784.52999999991</v>
      </c>
      <c r="D8" s="235">
        <f t="shared" si="2"/>
        <v>-147259.32</v>
      </c>
      <c r="E8" s="235">
        <f t="shared" si="2"/>
        <v>64094.62</v>
      </c>
      <c r="F8" s="235">
        <f>SUM(B8:E8)</f>
        <v>6962108.8400000008</v>
      </c>
      <c r="G8" s="235">
        <f t="shared" si="1"/>
        <v>1049040.45</v>
      </c>
    </row>
    <row r="9" spans="1:7" s="47" customFormat="1" x14ac:dyDescent="0.35">
      <c r="A9" s="20" t="s">
        <v>5</v>
      </c>
      <c r="B9" s="226">
        <f t="shared" ref="B9:G9" si="3">SUM(B7:B8)</f>
        <v>12722064.57</v>
      </c>
      <c r="C9" s="226">
        <f t="shared" si="3"/>
        <v>-807804.85000000021</v>
      </c>
      <c r="D9" s="226">
        <f t="shared" si="3"/>
        <v>-1467894.55</v>
      </c>
      <c r="E9" s="226">
        <f t="shared" si="3"/>
        <v>4511.0999999999985</v>
      </c>
      <c r="F9" s="226">
        <f t="shared" si="3"/>
        <v>10450876.270000001</v>
      </c>
      <c r="G9" s="226">
        <f t="shared" si="3"/>
        <v>694966.92999999993</v>
      </c>
    </row>
    <row r="10" spans="1:7" s="47" customFormat="1" x14ac:dyDescent="0.35">
      <c r="B10" s="223"/>
      <c r="C10" s="223"/>
      <c r="D10" s="224"/>
    </row>
    <row r="11" spans="1:7" s="47" customFormat="1" x14ac:dyDescent="0.35">
      <c r="A11" s="20" t="s">
        <v>108</v>
      </c>
      <c r="B11" s="226">
        <f t="shared" ref="B11:E11" si="4">+B22+B33+B44</f>
        <v>2400450.7000000002</v>
      </c>
      <c r="C11" s="226">
        <f t="shared" si="4"/>
        <v>388765.80000000005</v>
      </c>
      <c r="D11" s="226">
        <f t="shared" si="4"/>
        <v>-37706.069999999978</v>
      </c>
      <c r="E11" s="226">
        <f t="shared" si="4"/>
        <v>28965.829999999998</v>
      </c>
      <c r="F11" s="226">
        <f t="shared" ref="F11:F13" si="5">SUM(B11:E11)</f>
        <v>2780476.2600000002</v>
      </c>
      <c r="G11" s="226">
        <f t="shared" ref="G11:G13" si="6">+G22+G33+G44</f>
        <v>429616.70999999996</v>
      </c>
    </row>
    <row r="12" spans="1:7" s="47" customFormat="1" x14ac:dyDescent="0.35">
      <c r="A12" s="20" t="s">
        <v>109</v>
      </c>
      <c r="B12" s="226">
        <f t="shared" ref="B12:E12" si="7">+B23+B34+B45</f>
        <v>2683377.23</v>
      </c>
      <c r="C12" s="226">
        <f t="shared" si="7"/>
        <v>473783.88</v>
      </c>
      <c r="D12" s="226">
        <f t="shared" si="7"/>
        <v>-100292.87</v>
      </c>
      <c r="E12" s="226">
        <f t="shared" si="7"/>
        <v>31185.66</v>
      </c>
      <c r="F12" s="226">
        <f t="shared" si="5"/>
        <v>3088053.9</v>
      </c>
      <c r="G12" s="226">
        <f t="shared" si="6"/>
        <v>476583.94</v>
      </c>
    </row>
    <row r="13" spans="1:7" s="47" customFormat="1" x14ac:dyDescent="0.35">
      <c r="A13" s="20" t="s">
        <v>110</v>
      </c>
      <c r="B13" s="226">
        <f t="shared" ref="B13:E13" si="8">+B24+B35+B46</f>
        <v>1057661.06</v>
      </c>
      <c r="C13" s="226">
        <f t="shared" si="8"/>
        <v>41234.850000000006</v>
      </c>
      <c r="D13" s="226">
        <f t="shared" si="8"/>
        <v>-9260.380000000001</v>
      </c>
      <c r="E13" s="226">
        <f t="shared" si="8"/>
        <v>3943.13</v>
      </c>
      <c r="F13" s="226">
        <f t="shared" si="5"/>
        <v>1093578.6600000001</v>
      </c>
      <c r="G13" s="226">
        <f t="shared" si="6"/>
        <v>142839.80000000002</v>
      </c>
    </row>
    <row r="14" spans="1:7" s="47" customFormat="1" x14ac:dyDescent="0.35">
      <c r="A14" s="31" t="s">
        <v>112</v>
      </c>
      <c r="B14" s="226">
        <f>SUM(B11:B13)</f>
        <v>6141488.9900000002</v>
      </c>
      <c r="C14" s="226">
        <f>SUM(C11:C13)</f>
        <v>903784.53</v>
      </c>
      <c r="D14" s="226">
        <f t="shared" ref="D14:G14" si="9">SUM(D11:D13)</f>
        <v>-147259.31999999998</v>
      </c>
      <c r="E14" s="226">
        <f t="shared" si="9"/>
        <v>64094.619999999995</v>
      </c>
      <c r="F14" s="226">
        <f t="shared" si="9"/>
        <v>6962108.8200000003</v>
      </c>
      <c r="G14" s="226">
        <f t="shared" si="9"/>
        <v>1049040.45</v>
      </c>
    </row>
    <row r="15" spans="1:7" s="47" customFormat="1" x14ac:dyDescent="0.35">
      <c r="A15" s="20"/>
      <c r="B15" s="71"/>
      <c r="C15" s="71"/>
      <c r="D15" s="153"/>
    </row>
    <row r="16" spans="1:7" s="47" customFormat="1" x14ac:dyDescent="0.35">
      <c r="A16" s="20"/>
      <c r="B16" s="71"/>
      <c r="C16" s="71"/>
      <c r="D16" s="153"/>
    </row>
    <row r="17" spans="1:7" s="47" customFormat="1" x14ac:dyDescent="0.35">
      <c r="A17" s="259" t="s">
        <v>203</v>
      </c>
      <c r="B17" s="71"/>
      <c r="C17" s="71"/>
      <c r="D17" s="153"/>
    </row>
    <row r="18" spans="1:7" s="47" customFormat="1" x14ac:dyDescent="0.35">
      <c r="A18" s="20" t="s">
        <v>24</v>
      </c>
      <c r="B18" s="26">
        <f>ROUND(+'[13]EO Matrix @Meter'!$S$18,2)</f>
        <v>5181939.6500000004</v>
      </c>
      <c r="C18" s="26">
        <f>ROUND(+'[14]TD EO Ex Post Gross Adj'!$AL$370,2)</f>
        <v>-722286.33</v>
      </c>
      <c r="D18" s="26">
        <f>ROUND(+'[14]TD EO NTG Adj'!$AL$384,2)</f>
        <v>574414.55000000005</v>
      </c>
      <c r="E18" s="250">
        <f>ROUND(+'[14]EO TD Carrying Costs'!$AL$63,2)</f>
        <v>2229.4899999999998</v>
      </c>
      <c r="F18" s="235">
        <f>SUM(B18:E18)</f>
        <v>5036297.3600000003</v>
      </c>
      <c r="G18" s="251">
        <f>ROUND(F18/24*2,2)</f>
        <v>419691.45</v>
      </c>
    </row>
    <row r="19" spans="1:7" s="47" customFormat="1" x14ac:dyDescent="0.35">
      <c r="A19" s="20" t="s">
        <v>25</v>
      </c>
      <c r="B19" s="225">
        <f>ROUND(+'[13]EO Matrix @Meter'!$T$18,2)</f>
        <v>5060008.6900000004</v>
      </c>
      <c r="C19" s="225">
        <f>SUM(C22:C24)</f>
        <v>194085.35</v>
      </c>
      <c r="D19" s="225">
        <f t="shared" ref="D19:E19" si="10">SUM(D22:D24)</f>
        <v>562321.14</v>
      </c>
      <c r="E19" s="252">
        <f t="shared" si="10"/>
        <v>20418.36</v>
      </c>
      <c r="F19" s="235">
        <f>SUM(B19:E19)</f>
        <v>5836833.54</v>
      </c>
      <c r="G19" s="251">
        <f>ROUND(F19/24*2,2)</f>
        <v>486402.8</v>
      </c>
    </row>
    <row r="20" spans="1:7" s="47" customFormat="1" x14ac:dyDescent="0.35">
      <c r="A20" s="20" t="s">
        <v>5</v>
      </c>
      <c r="B20" s="226">
        <f t="shared" ref="B20:G20" si="11">SUM(B18:B19)</f>
        <v>10241948.34</v>
      </c>
      <c r="C20" s="226">
        <f t="shared" si="11"/>
        <v>-528200.98</v>
      </c>
      <c r="D20" s="226">
        <f t="shared" si="11"/>
        <v>1136735.69</v>
      </c>
      <c r="E20" s="253">
        <f t="shared" si="11"/>
        <v>22647.85</v>
      </c>
      <c r="F20" s="226">
        <f t="shared" si="11"/>
        <v>10873130.9</v>
      </c>
      <c r="G20" s="254">
        <f t="shared" si="11"/>
        <v>906094.25</v>
      </c>
    </row>
    <row r="21" spans="1:7" s="47" customFormat="1" x14ac:dyDescent="0.35">
      <c r="B21" s="223"/>
      <c r="C21" s="223"/>
      <c r="D21" s="224"/>
    </row>
    <row r="22" spans="1:7" x14ac:dyDescent="0.35">
      <c r="A22" s="20" t="s">
        <v>108</v>
      </c>
      <c r="B22" s="26">
        <f>ROUND(+'[13]EO Matrix @Meter'!$W$18,2)</f>
        <v>1943830.05</v>
      </c>
      <c r="C22" s="26">
        <f>ROUND(+'[14]TD EO Ex Post Gross Adj'!$AL371,2)</f>
        <v>62654.27</v>
      </c>
      <c r="D22" s="26">
        <f>ROUND(+'[14]TD EO NTG Adj'!$AL385,2)</f>
        <v>289519.26</v>
      </c>
      <c r="E22" s="225">
        <f>ROUND(+'[14]EO TD Carrying Costs'!$AL64,2)</f>
        <v>9487.83</v>
      </c>
      <c r="F22" s="226">
        <f t="shared" ref="F22:F24" si="12">SUM(B22:E22)</f>
        <v>2305491.41</v>
      </c>
      <c r="G22" s="261">
        <f>ROUND(F22/24*2,2)</f>
        <v>192124.28</v>
      </c>
    </row>
    <row r="23" spans="1:7" x14ac:dyDescent="0.35">
      <c r="A23" s="20" t="s">
        <v>109</v>
      </c>
      <c r="B23" s="26">
        <f>ROUND(+'[13]EO Matrix @Meter'!$Y$18,2)</f>
        <v>2196160.91</v>
      </c>
      <c r="C23" s="26">
        <f>ROUND(+'[14]TD EO Ex Post Gross Adj'!$AL373,2)</f>
        <v>122990.05</v>
      </c>
      <c r="D23" s="26">
        <f>ROUND(+'[14]TD EO NTG Adj'!$AL387,2)</f>
        <v>233118.96</v>
      </c>
      <c r="E23" s="26">
        <f>ROUND(+'[14]EO TD Carrying Costs'!$AL66,2)</f>
        <v>9593.31</v>
      </c>
      <c r="F23" s="226">
        <f t="shared" si="12"/>
        <v>2561863.23</v>
      </c>
      <c r="G23" s="261">
        <f>ROUND(F23/24*2,2)</f>
        <v>213488.6</v>
      </c>
    </row>
    <row r="24" spans="1:7" x14ac:dyDescent="0.35">
      <c r="A24" s="20" t="s">
        <v>110</v>
      </c>
      <c r="B24" s="225">
        <f>ROUND(+'[13]EO Matrix @Meter'!$Z$18,2)</f>
        <v>920017.71</v>
      </c>
      <c r="C24" s="225">
        <f>ROUND(+'[14]TD EO Ex Post Gross Adj'!$AL374,2)</f>
        <v>8441.0300000000007</v>
      </c>
      <c r="D24" s="225">
        <f>ROUND(+'[14]TD EO NTG Adj'!$AL388,2)</f>
        <v>39682.92</v>
      </c>
      <c r="E24" s="225">
        <f>ROUND(+'[14]EO TD Carrying Costs'!$AL67,2)</f>
        <v>1337.22</v>
      </c>
      <c r="F24" s="226">
        <f t="shared" si="12"/>
        <v>969478.88</v>
      </c>
      <c r="G24" s="261">
        <f>ROUND(F24/24*2,2)</f>
        <v>80789.91</v>
      </c>
    </row>
    <row r="25" spans="1:7" x14ac:dyDescent="0.35">
      <c r="A25" s="31" t="s">
        <v>112</v>
      </c>
      <c r="B25" s="226">
        <f>SUM(B22:B24)</f>
        <v>5060008.67</v>
      </c>
      <c r="C25" s="226">
        <f>SUM(C22:C24)</f>
        <v>194085.35</v>
      </c>
      <c r="D25" s="226">
        <f t="shared" ref="D25:G25" si="13">SUM(D22:D24)</f>
        <v>562321.14</v>
      </c>
      <c r="E25" s="226">
        <f t="shared" si="13"/>
        <v>20418.36</v>
      </c>
      <c r="F25" s="226">
        <f t="shared" si="13"/>
        <v>5836833.5200000005</v>
      </c>
      <c r="G25" s="226">
        <f t="shared" si="13"/>
        <v>486402.79000000004</v>
      </c>
    </row>
    <row r="26" spans="1:7" s="40" customFormat="1" x14ac:dyDescent="0.35">
      <c r="A26" s="31"/>
      <c r="B26" s="260"/>
      <c r="C26" s="260"/>
      <c r="D26" s="260"/>
      <c r="E26" s="260"/>
      <c r="F26" s="260"/>
      <c r="G26" s="260"/>
    </row>
    <row r="27" spans="1:7" s="40" customFormat="1" x14ac:dyDescent="0.35">
      <c r="A27" s="31"/>
      <c r="B27" s="260"/>
      <c r="C27" s="260"/>
      <c r="D27" s="260"/>
      <c r="E27" s="260"/>
      <c r="F27" s="260"/>
      <c r="G27" s="260"/>
    </row>
    <row r="28" spans="1:7" s="47" customFormat="1" x14ac:dyDescent="0.35">
      <c r="A28" s="259" t="s">
        <v>204</v>
      </c>
      <c r="B28" s="71"/>
      <c r="C28" s="71"/>
      <c r="D28" s="153"/>
    </row>
    <row r="29" spans="1:7" s="47" customFormat="1" x14ac:dyDescent="0.35">
      <c r="A29" s="20" t="s">
        <v>24</v>
      </c>
      <c r="B29" s="26">
        <f>ROUND(+'[15]EO Matrix @Meter'!$S$18,2)</f>
        <v>1398635.91</v>
      </c>
      <c r="C29" s="26">
        <f>ROUND(+'[14]TD EO Ex Post Gross Adj'!$BE$370+'[14]TD EO Ex Post Gross Adj'!$BS$370+'[16]TD EO Ex Post Gross Adj'!$BE$370+'[16]TD EO Ex Post Gross Adj'!$BS$370,2)</f>
        <v>-801107.23</v>
      </c>
      <c r="D29" s="26">
        <f>ROUND(+'[14]TD EO NTG Adj'!$BE$384+'[14]TD EO NTG Adj'!$BS$384+'[16]TD EO NTG Adj'!$BE$384+'[16]TD EO NTG Adj'!$BS$384,2)</f>
        <v>-1374859.37</v>
      </c>
      <c r="E29" s="250">
        <f>ROUND(+'[14]EO TD Carrying Costs'!$BE$63+'[16]EO TD Carrying Costs'!$BE$63,2)</f>
        <v>-42421.68</v>
      </c>
      <c r="F29" s="235">
        <f>SUM(B29:E29)</f>
        <v>-819752.37000000023</v>
      </c>
      <c r="G29" s="251">
        <f>ROUND(F29/24*12,2)</f>
        <v>-409876.19</v>
      </c>
    </row>
    <row r="30" spans="1:7" s="47" customFormat="1" x14ac:dyDescent="0.35">
      <c r="A30" s="20" t="s">
        <v>25</v>
      </c>
      <c r="B30" s="225">
        <f>ROUND(+'[15]EO Matrix @Meter'!$T$18,2)</f>
        <v>1081480.32</v>
      </c>
      <c r="C30" s="225">
        <f>SUM(C33:C35)</f>
        <v>524350.93999999994</v>
      </c>
      <c r="D30" s="225">
        <f t="shared" ref="D30:E30" si="14">SUM(D33:D35)</f>
        <v>-536449.89</v>
      </c>
      <c r="E30" s="252">
        <f t="shared" si="14"/>
        <v>37990.920000000006</v>
      </c>
      <c r="F30" s="235">
        <f>SUM(B30:E30)</f>
        <v>1107372.29</v>
      </c>
      <c r="G30" s="251">
        <f>ROUND(F30/24*12,2)</f>
        <v>553686.15</v>
      </c>
    </row>
    <row r="31" spans="1:7" s="47" customFormat="1" x14ac:dyDescent="0.35">
      <c r="A31" s="20" t="s">
        <v>5</v>
      </c>
      <c r="B31" s="226">
        <f t="shared" ref="B31:G31" si="15">SUM(B29:B30)</f>
        <v>2480116.23</v>
      </c>
      <c r="C31" s="226">
        <f t="shared" si="15"/>
        <v>-276756.29000000004</v>
      </c>
      <c r="D31" s="226">
        <f t="shared" si="15"/>
        <v>-1911309.2600000002</v>
      </c>
      <c r="E31" s="253">
        <f t="shared" si="15"/>
        <v>-4430.7599999999948</v>
      </c>
      <c r="F31" s="226">
        <f t="shared" si="15"/>
        <v>287619.91999999981</v>
      </c>
      <c r="G31" s="254">
        <f t="shared" si="15"/>
        <v>143809.96000000002</v>
      </c>
    </row>
    <row r="32" spans="1:7" s="47" customFormat="1" x14ac:dyDescent="0.35">
      <c r="B32" s="223"/>
      <c r="C32" s="223"/>
      <c r="D32" s="224"/>
    </row>
    <row r="33" spans="1:7" s="47" customFormat="1" x14ac:dyDescent="0.35">
      <c r="A33" s="20" t="s">
        <v>108</v>
      </c>
      <c r="B33" s="26">
        <f>ROUND(+'[15]EO Matrix @Meter'!$W$18,2)</f>
        <v>456620.65</v>
      </c>
      <c r="C33" s="26">
        <f>ROUND(+'[14]TD EO Ex Post Gross Adj'!BE371+'[14]TD EO Ex Post Gross Adj'!BS371+'[16]TD EO Ex Post Gross Adj'!BE371+'[16]TD EO Ex Post Gross Adj'!BS371,2)</f>
        <v>238713.51</v>
      </c>
      <c r="D33" s="26">
        <f>ROUND(+'[14]TD EO NTG Adj'!BE385+'[14]TD EO NTG Adj'!BS385+'[16]TD EO NTG Adj'!BE385+'[16]TD EO NTG Adj'!BS385,2)</f>
        <v>-250839.18</v>
      </c>
      <c r="E33" s="225">
        <f>ROUND(+'[14]EO TD Carrying Costs'!BE64+'[16]EO TD Carrying Costs'!BE64,2)</f>
        <v>16987.560000000001</v>
      </c>
      <c r="F33" s="226">
        <f t="shared" ref="F33:F35" si="16">SUM(B33:E33)</f>
        <v>461482.54000000004</v>
      </c>
      <c r="G33" s="261">
        <f>ROUND(F33/24*12,2)</f>
        <v>230741.27</v>
      </c>
    </row>
    <row r="34" spans="1:7" s="47" customFormat="1" x14ac:dyDescent="0.35">
      <c r="A34" s="20" t="s">
        <v>109</v>
      </c>
      <c r="B34" s="26">
        <f>ROUND(+'[15]EO Matrix @Meter'!$Y$18,2)</f>
        <v>487216.32</v>
      </c>
      <c r="C34" s="26">
        <f>ROUND(+'[14]TD EO Ex Post Gross Adj'!BE373+'[14]TD EO Ex Post Gross Adj'!BS373+'[16]TD EO Ex Post Gross Adj'!BE373+'[16]TD EO Ex Post Gross Adj'!BS373,2)</f>
        <v>261085.55</v>
      </c>
      <c r="D34" s="26">
        <f>ROUND(+'[14]TD EO NTG Adj'!BE387+'[14]TD EO NTG Adj'!BS387+'[16]TD EO NTG Adj'!BE387+'[16]TD EO NTG Adj'!BS387,2)</f>
        <v>-248789.11</v>
      </c>
      <c r="E34" s="26">
        <f>ROUND(+'[14]EO TD Carrying Costs'!BE66+'[16]EO TD Carrying Costs'!BE66,2)</f>
        <v>18676.650000000001</v>
      </c>
      <c r="F34" s="226">
        <f t="shared" si="16"/>
        <v>518189.41000000003</v>
      </c>
      <c r="G34" s="261">
        <f t="shared" ref="G34:G35" si="17">ROUND(F34/24*12,2)</f>
        <v>259094.71</v>
      </c>
    </row>
    <row r="35" spans="1:7" s="47" customFormat="1" x14ac:dyDescent="0.35">
      <c r="A35" s="20" t="s">
        <v>110</v>
      </c>
      <c r="B35" s="225">
        <f>ROUND(+'[15]EO Matrix @Meter'!$Z$18,2)</f>
        <v>137643.35</v>
      </c>
      <c r="C35" s="225">
        <f>ROUND(+'[14]TD EO Ex Post Gross Adj'!BE374+'[14]TD EO Ex Post Gross Adj'!BS374+'[16]TD EO Ex Post Gross Adj'!BE374+'[16]TD EO Ex Post Gross Adj'!BS374,2)</f>
        <v>24551.88</v>
      </c>
      <c r="D35" s="225">
        <f>ROUND(+'[14]TD EO NTG Adj'!BE388+'[14]TD EO NTG Adj'!BS388+'[16]TD EO NTG Adj'!BE388+'[16]TD EO NTG Adj'!BS388,2)</f>
        <v>-36821.599999999999</v>
      </c>
      <c r="E35" s="225">
        <f>ROUND(+'[14]EO TD Carrying Costs'!BE67+'[16]EO TD Carrying Costs'!BE67,2)</f>
        <v>2326.71</v>
      </c>
      <c r="F35" s="226">
        <f t="shared" si="16"/>
        <v>127700.34000000001</v>
      </c>
      <c r="G35" s="261">
        <f t="shared" si="17"/>
        <v>63850.17</v>
      </c>
    </row>
    <row r="36" spans="1:7" s="47" customFormat="1" x14ac:dyDescent="0.35">
      <c r="A36" s="31" t="s">
        <v>112</v>
      </c>
      <c r="B36" s="226">
        <f>SUM(B33:B35)</f>
        <v>1081480.32</v>
      </c>
      <c r="C36" s="226">
        <f>SUM(C33:C35)</f>
        <v>524350.93999999994</v>
      </c>
      <c r="D36" s="226">
        <f t="shared" ref="D36:G36" si="18">SUM(D33:D35)</f>
        <v>-536449.89</v>
      </c>
      <c r="E36" s="226">
        <f t="shared" si="18"/>
        <v>37990.920000000006</v>
      </c>
      <c r="F36" s="226">
        <f t="shared" si="18"/>
        <v>1107372.29</v>
      </c>
      <c r="G36" s="226">
        <f t="shared" si="18"/>
        <v>553686.15</v>
      </c>
    </row>
    <row r="37" spans="1:7" x14ac:dyDescent="0.35">
      <c r="A37" s="31"/>
      <c r="B37" s="255"/>
      <c r="C37" s="255"/>
      <c r="D37" s="255"/>
      <c r="E37" s="255"/>
      <c r="F37" s="255"/>
      <c r="G37" s="255"/>
    </row>
    <row r="38" spans="1:7" s="40" customFormat="1" x14ac:dyDescent="0.35">
      <c r="A38" s="31"/>
      <c r="B38" s="260"/>
      <c r="C38" s="260"/>
      <c r="D38" s="260"/>
      <c r="E38" s="260"/>
      <c r="F38" s="260"/>
      <c r="G38" s="260"/>
    </row>
    <row r="39" spans="1:7" s="47" customFormat="1" x14ac:dyDescent="0.35">
      <c r="A39" s="259" t="s">
        <v>205</v>
      </c>
      <c r="B39" s="71"/>
      <c r="C39" s="71"/>
      <c r="D39" s="153"/>
    </row>
    <row r="40" spans="1:7" s="47" customFormat="1" x14ac:dyDescent="0.35">
      <c r="A40" s="20" t="s">
        <v>24</v>
      </c>
      <c r="B40" s="26">
        <v>0</v>
      </c>
      <c r="C40" s="26">
        <f>ROUND('[14]TD EO Ex Post Gross Adj'!CD370+'[16]TD EO Ex Post Gross Adj'!CD370,2)</f>
        <v>-188195.82</v>
      </c>
      <c r="D40" s="26">
        <f>ROUND('[14]TD EO NTG Adj'!CD384+'[16]TD EO NTG Adj'!CD384,2)</f>
        <v>-520190.41</v>
      </c>
      <c r="E40" s="250">
        <f>ROUND('[14]EO TD Carrying Costs'!BK63+'[16]EO TD Carrying Costs'!BK63,2)</f>
        <v>-19391.330000000002</v>
      </c>
      <c r="F40" s="235">
        <f>SUM(B40:E40)</f>
        <v>-727777.55999999994</v>
      </c>
      <c r="G40" s="251">
        <f>ROUND(F40/24*12,2)</f>
        <v>-363888.78</v>
      </c>
    </row>
    <row r="41" spans="1:7" s="47" customFormat="1" x14ac:dyDescent="0.35">
      <c r="A41" s="20" t="s">
        <v>25</v>
      </c>
      <c r="B41" s="225">
        <v>0</v>
      </c>
      <c r="C41" s="225">
        <f>SUM(C44:C46)</f>
        <v>185348.24</v>
      </c>
      <c r="D41" s="225">
        <f>SUM(D44:D46)</f>
        <v>-173130.57</v>
      </c>
      <c r="E41" s="252">
        <f>SUM(E44:E46)</f>
        <v>5685.3399999999992</v>
      </c>
      <c r="F41" s="235">
        <f>SUM(B41:E41)</f>
        <v>17903.009999999984</v>
      </c>
      <c r="G41" s="251">
        <f>ROUND(F41/24*12,2)</f>
        <v>8951.5</v>
      </c>
    </row>
    <row r="42" spans="1:7" s="47" customFormat="1" x14ac:dyDescent="0.35">
      <c r="A42" s="20" t="s">
        <v>5</v>
      </c>
      <c r="B42" s="226">
        <f t="shared" ref="B42:G42" si="19">SUM(B40:B41)</f>
        <v>0</v>
      </c>
      <c r="C42" s="226">
        <f t="shared" si="19"/>
        <v>-2847.5800000000163</v>
      </c>
      <c r="D42" s="226">
        <f t="shared" si="19"/>
        <v>-693320.98</v>
      </c>
      <c r="E42" s="253">
        <f t="shared" si="19"/>
        <v>-13705.990000000002</v>
      </c>
      <c r="F42" s="226">
        <f t="shared" si="19"/>
        <v>-709874.54999999993</v>
      </c>
      <c r="G42" s="254">
        <f t="shared" si="19"/>
        <v>-354937.28</v>
      </c>
    </row>
    <row r="43" spans="1:7" s="47" customFormat="1" x14ac:dyDescent="0.35">
      <c r="B43" s="223"/>
      <c r="C43" s="223"/>
      <c r="D43" s="224"/>
    </row>
    <row r="44" spans="1:7" s="47" customFormat="1" x14ac:dyDescent="0.35">
      <c r="A44" s="20" t="s">
        <v>108</v>
      </c>
      <c r="B44" s="26">
        <v>0</v>
      </c>
      <c r="C44" s="26">
        <f>ROUND('[14]TD EO Ex Post Gross Adj'!CD371+'[16]TD EO Ex Post Gross Adj'!CD371,2)</f>
        <v>87398.02</v>
      </c>
      <c r="D44" s="26">
        <f>ROUND('[14]TD EO NTG Adj'!CD385+'[16]TD EO NTG Adj'!CD385,2)</f>
        <v>-76386.149999999994</v>
      </c>
      <c r="E44" s="225">
        <f>ROUND('[14]EO TD Carrying Costs'!BK64+'[16]EO TD Carrying Costs'!BK64,2)</f>
        <v>2490.44</v>
      </c>
      <c r="F44" s="226">
        <f t="shared" ref="F44:F46" si="20">SUM(B44:E44)</f>
        <v>13502.31000000001</v>
      </c>
      <c r="G44" s="261">
        <f>ROUND(F44/24*12,2)</f>
        <v>6751.16</v>
      </c>
    </row>
    <row r="45" spans="1:7" s="47" customFormat="1" x14ac:dyDescent="0.35">
      <c r="A45" s="20" t="s">
        <v>109</v>
      </c>
      <c r="B45" s="26">
        <v>0</v>
      </c>
      <c r="C45" s="26">
        <f>ROUND('[14]TD EO Ex Post Gross Adj'!CD373+'[16]TD EO Ex Post Gross Adj'!CD373,2)</f>
        <v>89708.28</v>
      </c>
      <c r="D45" s="26">
        <f>ROUND('[14]TD EO NTG Adj'!CD387+'[16]TD EO NTG Adj'!CD387,2)</f>
        <v>-84622.720000000001</v>
      </c>
      <c r="E45" s="26">
        <f>ROUND('[14]EO TD Carrying Costs'!BK66+'[16]EO TD Carrying Costs'!BK66,2)</f>
        <v>2915.7</v>
      </c>
      <c r="F45" s="226">
        <f t="shared" si="20"/>
        <v>8001.2599999999975</v>
      </c>
      <c r="G45" s="261">
        <f t="shared" ref="G45:G46" si="21">ROUND(F45/24*12,2)</f>
        <v>4000.63</v>
      </c>
    </row>
    <row r="46" spans="1:7" s="47" customFormat="1" x14ac:dyDescent="0.35">
      <c r="A46" s="20" t="s">
        <v>110</v>
      </c>
      <c r="B46" s="225">
        <v>0</v>
      </c>
      <c r="C46" s="26">
        <f>ROUND('[14]TD EO Ex Post Gross Adj'!CD374+'[16]TD EO Ex Post Gross Adj'!CD374,2)</f>
        <v>8241.94</v>
      </c>
      <c r="D46" s="225">
        <f>ROUND('[14]TD EO NTG Adj'!CD388+'[16]TD EO NTG Adj'!CD388,2)</f>
        <v>-12121.7</v>
      </c>
      <c r="E46" s="225">
        <f>ROUND('[14]EO TD Carrying Costs'!BK67+'[16]EO TD Carrying Costs'!BK67,2)</f>
        <v>279.2</v>
      </c>
      <c r="F46" s="226">
        <f t="shared" si="20"/>
        <v>-3600.5600000000004</v>
      </c>
      <c r="G46" s="261">
        <f t="shared" si="21"/>
        <v>-1800.28</v>
      </c>
    </row>
    <row r="47" spans="1:7" s="47" customFormat="1" x14ac:dyDescent="0.35">
      <c r="A47" s="31" t="s">
        <v>112</v>
      </c>
      <c r="B47" s="226">
        <f>SUM(B44:B46)</f>
        <v>0</v>
      </c>
      <c r="C47" s="226">
        <f>SUM(C44:C46)</f>
        <v>185348.24</v>
      </c>
      <c r="D47" s="226">
        <f t="shared" ref="D47:G47" si="22">SUM(D44:D46)</f>
        <v>-173130.57</v>
      </c>
      <c r="E47" s="226">
        <f t="shared" si="22"/>
        <v>5685.3399999999992</v>
      </c>
      <c r="F47" s="226">
        <f t="shared" si="22"/>
        <v>17903.010000000006</v>
      </c>
      <c r="G47" s="226">
        <f t="shared" si="22"/>
        <v>8951.51</v>
      </c>
    </row>
    <row r="48" spans="1:7" s="47" customFormat="1" x14ac:dyDescent="0.35">
      <c r="A48" s="31"/>
      <c r="B48" s="255"/>
      <c r="C48" s="255"/>
      <c r="D48" s="255"/>
      <c r="E48" s="255"/>
      <c r="F48" s="255"/>
      <c r="G48" s="255"/>
    </row>
    <row r="49" spans="1:7" s="47" customFormat="1" x14ac:dyDescent="0.35">
      <c r="A49" s="259" t="s">
        <v>211</v>
      </c>
      <c r="B49" s="71"/>
      <c r="C49" s="71"/>
      <c r="D49" s="153"/>
    </row>
    <row r="50" spans="1:7" s="47" customFormat="1" x14ac:dyDescent="0.35">
      <c r="A50" s="20" t="s">
        <v>24</v>
      </c>
      <c r="B50" s="26">
        <v>0</v>
      </c>
      <c r="C50" s="26">
        <v>0</v>
      </c>
      <c r="D50" s="26">
        <v>0</v>
      </c>
      <c r="E50" s="250">
        <f>ROUND(SUM('[17]EO TD Carrying Costs'!$BJ$81:$BK$81,'[17]EO TD Carrying Costs'!$BL$55:$BQ$55)+SUM('[18]EO TD Carrying Costs'!$BJ$73:$BK$73,'[18]EO TD Carrying Costs'!$BL$55:$BQ$55),2)</f>
        <v>-10950.18</v>
      </c>
      <c r="F50" s="235">
        <f>SUM(B50:E50)</f>
        <v>-10950.18</v>
      </c>
      <c r="G50" s="251">
        <f>ROUND(F50/24*11,2)</f>
        <v>-5018.83</v>
      </c>
    </row>
    <row r="51" spans="1:7" s="47" customFormat="1" x14ac:dyDescent="0.35">
      <c r="A51" s="20" t="s">
        <v>25</v>
      </c>
      <c r="B51" s="225">
        <f t="shared" ref="B51:C51" si="23">SUM(B54:B56)</f>
        <v>0</v>
      </c>
      <c r="C51" s="225">
        <f t="shared" si="23"/>
        <v>0</v>
      </c>
      <c r="D51" s="225">
        <f>SUM(D54:D56)</f>
        <v>0</v>
      </c>
      <c r="E51" s="252">
        <f>SUM(E54:E56)</f>
        <v>1989.22</v>
      </c>
      <c r="F51" s="235">
        <f>SUM(B51:E51)</f>
        <v>1989.22</v>
      </c>
      <c r="G51" s="251">
        <f>SUM(G54:G56)</f>
        <v>911.73</v>
      </c>
    </row>
    <row r="52" spans="1:7" s="47" customFormat="1" x14ac:dyDescent="0.35">
      <c r="A52" s="20" t="s">
        <v>5</v>
      </c>
      <c r="B52" s="226">
        <f t="shared" ref="B52:G52" si="24">SUM(B50:B51)</f>
        <v>0</v>
      </c>
      <c r="C52" s="226">
        <f t="shared" si="24"/>
        <v>0</v>
      </c>
      <c r="D52" s="226">
        <f t="shared" si="24"/>
        <v>0</v>
      </c>
      <c r="E52" s="253">
        <f t="shared" si="24"/>
        <v>-8960.9600000000009</v>
      </c>
      <c r="F52" s="226">
        <f t="shared" si="24"/>
        <v>-8960.9600000000009</v>
      </c>
      <c r="G52" s="254">
        <f t="shared" si="24"/>
        <v>-4107.1000000000004</v>
      </c>
    </row>
    <row r="53" spans="1:7" s="47" customFormat="1" x14ac:dyDescent="0.35">
      <c r="B53" s="223"/>
      <c r="C53" s="223"/>
      <c r="D53" s="224"/>
    </row>
    <row r="54" spans="1:7" s="47" customFormat="1" x14ac:dyDescent="0.35">
      <c r="A54" s="20" t="s">
        <v>108</v>
      </c>
      <c r="B54" s="26">
        <v>0</v>
      </c>
      <c r="C54" s="26">
        <v>0</v>
      </c>
      <c r="D54" s="26">
        <v>0</v>
      </c>
      <c r="E54" s="225">
        <f>ROUND(SUM('[17]EO TD Carrying Costs'!$BJ$82:$BK$82,'[17]EO TD Carrying Costs'!$BL$56:$BQ$56)+SUM('[18]EO TD Carrying Costs'!$BJ$74:$BK$74,'[18]EO TD Carrying Costs'!$BL$56:$BQ$56),2)</f>
        <v>869.87</v>
      </c>
      <c r="F54" s="226">
        <f t="shared" ref="F54:F56" si="25">SUM(B54:E54)</f>
        <v>869.87</v>
      </c>
      <c r="G54" s="261">
        <f>ROUND(F54/24*11,2)</f>
        <v>398.69</v>
      </c>
    </row>
    <row r="55" spans="1:7" s="47" customFormat="1" x14ac:dyDescent="0.35">
      <c r="A55" s="20" t="s">
        <v>109</v>
      </c>
      <c r="B55" s="26">
        <v>0</v>
      </c>
      <c r="C55" s="26">
        <v>0</v>
      </c>
      <c r="D55" s="26">
        <v>0</v>
      </c>
      <c r="E55" s="26">
        <f>ROUND(SUM('[17]EO TD Carrying Costs'!$BJ$84:$BK$84,'[17]EO TD Carrying Costs'!$BL$58:$BQ$58)+SUM('[18]EO TD Carrying Costs'!$BJ$76:$BK$76,'[18]EO TD Carrying Costs'!$BL$58:$BQ$58),2)</f>
        <v>1045.55</v>
      </c>
      <c r="F55" s="226">
        <f t="shared" si="25"/>
        <v>1045.55</v>
      </c>
      <c r="G55" s="261">
        <f>ROUND(F55/24*11,2)</f>
        <v>479.21</v>
      </c>
    </row>
    <row r="56" spans="1:7" s="47" customFormat="1" x14ac:dyDescent="0.35">
      <c r="A56" s="20" t="s">
        <v>110</v>
      </c>
      <c r="B56" s="225">
        <v>0</v>
      </c>
      <c r="C56" s="26">
        <v>0</v>
      </c>
      <c r="D56" s="225">
        <v>0</v>
      </c>
      <c r="E56" s="225">
        <f>ROUND(SUM('[17]EO TD Carrying Costs'!$BJ$85:$BK$85,'[17]EO TD Carrying Costs'!$BL$59:$BQ$59)+SUM('[18]EO TD Carrying Costs'!$BJ$77:$BK$77,'[18]EO TD Carrying Costs'!$BL$59:$BQ$59),2)</f>
        <v>73.8</v>
      </c>
      <c r="F56" s="226">
        <f t="shared" si="25"/>
        <v>73.8</v>
      </c>
      <c r="G56" s="261">
        <f>ROUND(F56/24*11,2)</f>
        <v>33.83</v>
      </c>
    </row>
    <row r="57" spans="1:7" s="47" customFormat="1" x14ac:dyDescent="0.35">
      <c r="A57" s="31" t="s">
        <v>112</v>
      </c>
      <c r="B57" s="226">
        <f>SUM(B54:B56)</f>
        <v>0</v>
      </c>
      <c r="C57" s="226">
        <f>SUM(C54:C56)</f>
        <v>0</v>
      </c>
      <c r="D57" s="226">
        <f t="shared" ref="D57:G57" si="26">SUM(D54:D56)</f>
        <v>0</v>
      </c>
      <c r="E57" s="226">
        <f t="shared" si="26"/>
        <v>1989.22</v>
      </c>
      <c r="F57" s="226">
        <f t="shared" si="26"/>
        <v>1989.22</v>
      </c>
      <c r="G57" s="226">
        <f t="shared" si="26"/>
        <v>911.73</v>
      </c>
    </row>
    <row r="58" spans="1:7" s="47" customFormat="1" x14ac:dyDescent="0.35">
      <c r="A58" s="31"/>
      <c r="B58" s="255"/>
      <c r="C58" s="255"/>
      <c r="D58" s="255"/>
      <c r="E58" s="255"/>
      <c r="F58" s="255"/>
      <c r="G58" s="255"/>
    </row>
    <row r="59" spans="1:7" s="47" customFormat="1" x14ac:dyDescent="0.35">
      <c r="A59" s="31"/>
      <c r="B59" s="255"/>
      <c r="C59" s="255"/>
      <c r="D59" s="255"/>
      <c r="E59" s="255"/>
      <c r="F59" s="255"/>
      <c r="G59" s="255"/>
    </row>
    <row r="60" spans="1:7" s="47" customFormat="1" x14ac:dyDescent="0.35">
      <c r="A60" s="31"/>
      <c r="B60" s="255"/>
      <c r="C60" s="255"/>
      <c r="D60" s="255"/>
      <c r="E60" s="255"/>
      <c r="F60" s="255"/>
      <c r="G60" s="255"/>
    </row>
    <row r="61" spans="1:7" x14ac:dyDescent="0.35">
      <c r="A61" s="3" t="s">
        <v>160</v>
      </c>
      <c r="B61" s="47"/>
      <c r="D61" s="47"/>
      <c r="E61" s="47"/>
      <c r="F61" s="47"/>
      <c r="G61" s="47"/>
    </row>
    <row r="62" spans="1:7" x14ac:dyDescent="0.35">
      <c r="A62" s="3" t="s">
        <v>207</v>
      </c>
      <c r="B62" s="47"/>
      <c r="D62" s="47"/>
      <c r="E62" s="47"/>
      <c r="F62" s="47"/>
      <c r="G62" s="47"/>
    </row>
    <row r="63" spans="1:7" x14ac:dyDescent="0.35">
      <c r="A63" s="3" t="s">
        <v>208</v>
      </c>
      <c r="B63" s="47"/>
      <c r="D63" s="47"/>
      <c r="E63" s="47"/>
      <c r="F63" s="47"/>
      <c r="G63" s="47"/>
    </row>
    <row r="64" spans="1:7" x14ac:dyDescent="0.35">
      <c r="A64" s="3" t="s">
        <v>209</v>
      </c>
      <c r="B64" s="47"/>
      <c r="D64" s="47"/>
      <c r="E64" s="47"/>
      <c r="F64" s="47"/>
      <c r="G64" s="47"/>
    </row>
    <row r="65" spans="1:7" s="47" customFormat="1" x14ac:dyDescent="0.35">
      <c r="A65" s="3" t="s">
        <v>161</v>
      </c>
    </row>
    <row r="66" spans="1:7" s="47" customFormat="1" ht="30.75" customHeight="1" x14ac:dyDescent="0.35">
      <c r="A66" s="300" t="s">
        <v>210</v>
      </c>
      <c r="B66" s="300"/>
      <c r="C66" s="300"/>
      <c r="D66" s="300"/>
      <c r="E66" s="300"/>
      <c r="F66" s="300"/>
      <c r="G66" s="300"/>
    </row>
    <row r="67" spans="1:7" x14ac:dyDescent="0.35">
      <c r="A67" s="3"/>
      <c r="B67" s="47"/>
      <c r="D67" s="47"/>
      <c r="E67" s="47"/>
    </row>
    <row r="68" spans="1:7" s="47" customFormat="1" x14ac:dyDescent="0.35">
      <c r="A68" s="3"/>
    </row>
    <row r="69" spans="1:7" x14ac:dyDescent="0.35">
      <c r="A69" s="3"/>
    </row>
  </sheetData>
  <mergeCells count="2">
    <mergeCell ref="B3:D3"/>
    <mergeCell ref="A66:G66"/>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475B-D546-4319-B398-EF50E74D6379}">
  <sheetPr>
    <pageSetUpPr fitToPage="1"/>
  </sheetPr>
  <dimension ref="A1:G57"/>
  <sheetViews>
    <sheetView workbookViewId="0">
      <pane xSplit="1" ySplit="4" topLeftCell="B5" activePane="bottomRight" state="frozen"/>
      <selection activeCell="K4" sqref="K4"/>
      <selection pane="topRight" activeCell="K4" sqref="K4"/>
      <selection pane="bottomLeft" activeCell="K4" sqref="K4"/>
      <selection pane="bottomRight" activeCell="B5" sqref="B5"/>
    </sheetView>
  </sheetViews>
  <sheetFormatPr defaultColWidth="8.7265625" defaultRowHeight="14.5" outlineLevelRow="1" x14ac:dyDescent="0.35"/>
  <cols>
    <col min="1" max="1" width="23.7265625" style="47" customWidth="1"/>
    <col min="2" max="2" width="15.26953125" style="47" bestFit="1" customWidth="1"/>
    <col min="3" max="3" width="14.26953125" style="47" customWidth="1"/>
    <col min="4" max="4" width="13.26953125" style="47" bestFit="1" customWidth="1"/>
    <col min="5" max="5" width="9.7265625" style="47" bestFit="1" customWidth="1"/>
    <col min="6" max="6" width="12.54296875" style="47" bestFit="1" customWidth="1"/>
    <col min="7" max="7" width="13.1796875" style="47" customWidth="1"/>
    <col min="8" max="16384" width="8.7265625" style="47"/>
  </cols>
  <sheetData>
    <row r="1" spans="1:7" x14ac:dyDescent="0.35">
      <c r="A1" s="64" t="str">
        <f>+'PPC Cycle 3'!A1</f>
        <v>Evergy Missouri West, Inc. - DSIM Rider Update Filed 12/02/2021</v>
      </c>
    </row>
    <row r="2" spans="1:7" x14ac:dyDescent="0.35">
      <c r="A2" s="9" t="str">
        <f>+'PPC Cycle 3'!A2</f>
        <v>Projections for Cycle 3 January - December 2022 DSIM</v>
      </c>
    </row>
    <row r="3" spans="1:7" ht="45.75" customHeight="1" x14ac:dyDescent="0.35">
      <c r="B3" s="299" t="s">
        <v>175</v>
      </c>
      <c r="C3" s="299"/>
      <c r="D3" s="299"/>
    </row>
    <row r="4" spans="1:7" ht="87" x14ac:dyDescent="0.35">
      <c r="B4" s="71" t="s">
        <v>101</v>
      </c>
      <c r="C4" s="71" t="s">
        <v>102</v>
      </c>
      <c r="D4" s="71" t="s">
        <v>105</v>
      </c>
      <c r="E4" s="71" t="s">
        <v>103</v>
      </c>
      <c r="F4" s="71" t="s">
        <v>100</v>
      </c>
      <c r="G4" s="71" t="s">
        <v>178</v>
      </c>
    </row>
    <row r="5" spans="1:7" x14ac:dyDescent="0.35">
      <c r="A5" s="20"/>
      <c r="B5" s="71"/>
      <c r="C5" s="71"/>
      <c r="D5" s="154"/>
    </row>
    <row r="6" spans="1:7" x14ac:dyDescent="0.35">
      <c r="A6" s="259" t="s">
        <v>176</v>
      </c>
      <c r="B6" s="71"/>
      <c r="C6" s="71"/>
      <c r="D6" s="153"/>
    </row>
    <row r="7" spans="1:7" x14ac:dyDescent="0.35">
      <c r="A7" s="20" t="s">
        <v>24</v>
      </c>
      <c r="B7" s="235">
        <f>+B18+B29+B40</f>
        <v>1600473.26</v>
      </c>
      <c r="C7" s="235">
        <f t="shared" ref="C7:E7" si="0">+C18+C29+C40</f>
        <v>575236.4</v>
      </c>
      <c r="D7" s="235">
        <f t="shared" si="0"/>
        <v>-545792.23</v>
      </c>
      <c r="E7" s="235">
        <f t="shared" si="0"/>
        <v>6632.09</v>
      </c>
      <c r="F7" s="235">
        <f>SUM(B7:E7)</f>
        <v>1636549.5200000003</v>
      </c>
      <c r="G7" s="235">
        <f t="shared" ref="G7:G8" si="1">+G18+G29+G40</f>
        <v>1500170.39</v>
      </c>
    </row>
    <row r="8" spans="1:7" x14ac:dyDescent="0.35">
      <c r="A8" s="20" t="s">
        <v>25</v>
      </c>
      <c r="B8" s="235">
        <f t="shared" ref="B8:E8" si="2">+B19+B30+B41</f>
        <v>893810.55</v>
      </c>
      <c r="C8" s="235">
        <f t="shared" si="2"/>
        <v>48777.71</v>
      </c>
      <c r="D8" s="235">
        <f t="shared" si="2"/>
        <v>-18883.82</v>
      </c>
      <c r="E8" s="235">
        <f t="shared" si="2"/>
        <v>252.02999999999997</v>
      </c>
      <c r="F8" s="235">
        <f>SUM(B8:E8)</f>
        <v>923956.47000000009</v>
      </c>
      <c r="G8" s="235">
        <f t="shared" si="1"/>
        <v>846960.1</v>
      </c>
    </row>
    <row r="9" spans="1:7" x14ac:dyDescent="0.35">
      <c r="A9" s="20" t="s">
        <v>5</v>
      </c>
      <c r="B9" s="226">
        <f t="shared" ref="B9:G9" si="3">SUM(B7:B8)</f>
        <v>2494283.81</v>
      </c>
      <c r="C9" s="226">
        <f t="shared" si="3"/>
        <v>624014.11</v>
      </c>
      <c r="D9" s="226">
        <f t="shared" si="3"/>
        <v>-564676.04999999993</v>
      </c>
      <c r="E9" s="226">
        <f t="shared" si="3"/>
        <v>6884.12</v>
      </c>
      <c r="F9" s="226">
        <f t="shared" si="3"/>
        <v>2560505.9900000002</v>
      </c>
      <c r="G9" s="226">
        <f t="shared" si="3"/>
        <v>2347130.4899999998</v>
      </c>
    </row>
    <row r="10" spans="1:7" x14ac:dyDescent="0.35">
      <c r="B10" s="223"/>
      <c r="C10" s="223"/>
      <c r="D10" s="224"/>
    </row>
    <row r="11" spans="1:7" x14ac:dyDescent="0.35">
      <c r="A11" s="20" t="s">
        <v>108</v>
      </c>
      <c r="B11" s="226">
        <f t="shared" ref="B11:E13" si="4">+B22+B33+B44</f>
        <v>310910.24</v>
      </c>
      <c r="C11" s="226">
        <f t="shared" si="4"/>
        <v>31691.65</v>
      </c>
      <c r="D11" s="226">
        <f t="shared" si="4"/>
        <v>-8282.43</v>
      </c>
      <c r="E11" s="226">
        <f t="shared" si="4"/>
        <v>170.83</v>
      </c>
      <c r="F11" s="226">
        <f t="shared" ref="F11:F13" si="5">SUM(B11:E11)</f>
        <v>334490.29000000004</v>
      </c>
      <c r="G11" s="226">
        <f t="shared" ref="G11:G13" si="6">+G22+G33+G44</f>
        <v>306616.09999999998</v>
      </c>
    </row>
    <row r="12" spans="1:7" x14ac:dyDescent="0.35">
      <c r="A12" s="20" t="s">
        <v>109</v>
      </c>
      <c r="B12" s="226">
        <f t="shared" si="4"/>
        <v>318131.55</v>
      </c>
      <c r="C12" s="226">
        <f t="shared" si="4"/>
        <v>14779.57</v>
      </c>
      <c r="D12" s="226">
        <f t="shared" si="4"/>
        <v>-5434.16</v>
      </c>
      <c r="E12" s="226">
        <f t="shared" si="4"/>
        <v>103.94</v>
      </c>
      <c r="F12" s="226">
        <f t="shared" si="5"/>
        <v>327580.90000000002</v>
      </c>
      <c r="G12" s="226">
        <f t="shared" si="6"/>
        <v>300282.49</v>
      </c>
    </row>
    <row r="13" spans="1:7" x14ac:dyDescent="0.35">
      <c r="A13" s="20" t="s">
        <v>110</v>
      </c>
      <c r="B13" s="226">
        <f t="shared" si="4"/>
        <v>264768.76</v>
      </c>
      <c r="C13" s="226">
        <f t="shared" si="4"/>
        <v>2306.4899999999998</v>
      </c>
      <c r="D13" s="226">
        <f t="shared" si="4"/>
        <v>-5167.2299999999996</v>
      </c>
      <c r="E13" s="226">
        <f t="shared" si="4"/>
        <v>-22.74</v>
      </c>
      <c r="F13" s="226">
        <f t="shared" si="5"/>
        <v>261885.28</v>
      </c>
      <c r="G13" s="226">
        <f t="shared" si="6"/>
        <v>240061.51</v>
      </c>
    </row>
    <row r="14" spans="1:7" x14ac:dyDescent="0.35">
      <c r="A14" s="31" t="s">
        <v>112</v>
      </c>
      <c r="B14" s="226">
        <f>SUM(B11:B13)</f>
        <v>893810.55</v>
      </c>
      <c r="C14" s="226">
        <f>SUM(C11:C13)</f>
        <v>48777.71</v>
      </c>
      <c r="D14" s="226">
        <f t="shared" ref="D14:G14" si="7">SUM(D11:D13)</f>
        <v>-18883.82</v>
      </c>
      <c r="E14" s="226">
        <f t="shared" si="7"/>
        <v>252.02999999999997</v>
      </c>
      <c r="F14" s="226">
        <f t="shared" si="7"/>
        <v>923956.47000000009</v>
      </c>
      <c r="G14" s="226">
        <f t="shared" si="7"/>
        <v>846960.1</v>
      </c>
    </row>
    <row r="15" spans="1:7" x14ac:dyDescent="0.35">
      <c r="A15" s="20"/>
      <c r="B15" s="71"/>
      <c r="C15" s="71"/>
      <c r="D15" s="153"/>
    </row>
    <row r="16" spans="1:7" x14ac:dyDescent="0.35">
      <c r="A16" s="20"/>
      <c r="B16" s="71"/>
      <c r="C16" s="71"/>
      <c r="D16" s="153"/>
    </row>
    <row r="17" spans="1:7" x14ac:dyDescent="0.35">
      <c r="A17" s="259" t="s">
        <v>206</v>
      </c>
      <c r="B17" s="71"/>
      <c r="C17" s="71"/>
      <c r="D17" s="153"/>
    </row>
    <row r="18" spans="1:7" x14ac:dyDescent="0.35">
      <c r="A18" s="20" t="s">
        <v>24</v>
      </c>
      <c r="B18" s="26">
        <f>ROUND('[19]EO Matrix @Meter'!$R$20,2)</f>
        <v>1600473.26</v>
      </c>
      <c r="C18" s="26">
        <f>ROUND(SUM('[20]Ex Post Gross TD Calc'!$E$571:$Z$571),2)</f>
        <v>575236.4</v>
      </c>
      <c r="D18" s="26">
        <f>ROUND(SUM('[20]NTG TD Calc'!$E$436:$Z$436),2)</f>
        <v>-545792.23</v>
      </c>
      <c r="E18" s="250">
        <f>ROUND(SUM('[20]EO TD Carrying Costs'!$C$55:$X$55),2)</f>
        <v>6632.09</v>
      </c>
      <c r="F18" s="235">
        <f>SUM(B18:E18)</f>
        <v>1636549.5200000003</v>
      </c>
      <c r="G18" s="251">
        <f>ROUND(F18/12*11,2)</f>
        <v>1500170.39</v>
      </c>
    </row>
    <row r="19" spans="1:7" x14ac:dyDescent="0.35">
      <c r="A19" s="20" t="s">
        <v>25</v>
      </c>
      <c r="B19" s="225">
        <f>SUM(B22:B24)</f>
        <v>893810.55</v>
      </c>
      <c r="C19" s="225">
        <f t="shared" ref="C19:E19" si="8">SUM(C22:C24)</f>
        <v>48777.71</v>
      </c>
      <c r="D19" s="225">
        <f t="shared" si="8"/>
        <v>-18883.82</v>
      </c>
      <c r="E19" s="252">
        <f t="shared" si="8"/>
        <v>252.02999999999997</v>
      </c>
      <c r="F19" s="235">
        <f>SUM(B19:E19)</f>
        <v>923956.47000000009</v>
      </c>
      <c r="G19" s="251">
        <f>ROUND(F19/12*11,2)</f>
        <v>846960.1</v>
      </c>
    </row>
    <row r="20" spans="1:7" x14ac:dyDescent="0.35">
      <c r="A20" s="20" t="s">
        <v>5</v>
      </c>
      <c r="B20" s="226">
        <f t="shared" ref="B20:G20" si="9">SUM(B18:B19)</f>
        <v>2494283.81</v>
      </c>
      <c r="C20" s="226">
        <f t="shared" si="9"/>
        <v>624014.11</v>
      </c>
      <c r="D20" s="226">
        <f t="shared" si="9"/>
        <v>-564676.04999999993</v>
      </c>
      <c r="E20" s="253">
        <f t="shared" si="9"/>
        <v>6884.12</v>
      </c>
      <c r="F20" s="226">
        <f t="shared" si="9"/>
        <v>2560505.9900000002</v>
      </c>
      <c r="G20" s="254">
        <f t="shared" si="9"/>
        <v>2347130.4899999998</v>
      </c>
    </row>
    <row r="21" spans="1:7" x14ac:dyDescent="0.35">
      <c r="B21" s="223"/>
      <c r="C21" s="223"/>
      <c r="D21" s="224"/>
    </row>
    <row r="22" spans="1:7" x14ac:dyDescent="0.35">
      <c r="A22" s="20" t="s">
        <v>108</v>
      </c>
      <c r="B22" s="26">
        <f>ROUND('[19]EO Matrix @Meter'!$V$20,2)</f>
        <v>310910.24</v>
      </c>
      <c r="C22" s="26">
        <f>ROUND(SUM('[20]Ex Post Gross TD Calc'!$E$572:$Z$572),2)</f>
        <v>31691.65</v>
      </c>
      <c r="D22" s="26">
        <f>ROUND(SUM('[20]NTG TD Calc'!$E$437:$Z$437),2)</f>
        <v>-8282.43</v>
      </c>
      <c r="E22" s="225">
        <f>ROUND(SUM('[20]EO TD Carrying Costs'!$C$56:$X$56),2)</f>
        <v>170.83</v>
      </c>
      <c r="F22" s="226">
        <f t="shared" ref="F22:F24" si="10">SUM(B22:E22)</f>
        <v>334490.29000000004</v>
      </c>
      <c r="G22" s="261">
        <f>ROUND(F22/12*11,2)</f>
        <v>306616.09999999998</v>
      </c>
    </row>
    <row r="23" spans="1:7" x14ac:dyDescent="0.35">
      <c r="A23" s="20" t="s">
        <v>109</v>
      </c>
      <c r="B23" s="26">
        <f>ROUND('[19]EO Matrix @Meter'!$X$20,2)</f>
        <v>318131.55</v>
      </c>
      <c r="C23" s="26">
        <f>ROUND(SUM('[20]Ex Post Gross TD Calc'!$E$574:$Z$574),2)</f>
        <v>14779.57</v>
      </c>
      <c r="D23" s="26">
        <f>ROUND(SUM('[20]NTG TD Calc'!$E$439:$Z$439),2)</f>
        <v>-5434.16</v>
      </c>
      <c r="E23" s="26">
        <f>ROUND(SUM('[20]EO TD Carrying Costs'!$C$58:$X$58),2)</f>
        <v>103.94</v>
      </c>
      <c r="F23" s="226">
        <f t="shared" si="10"/>
        <v>327580.90000000002</v>
      </c>
      <c r="G23" s="261">
        <f>ROUND(F23/12*11,2)</f>
        <v>300282.49</v>
      </c>
    </row>
    <row r="24" spans="1:7" x14ac:dyDescent="0.35">
      <c r="A24" s="20" t="s">
        <v>110</v>
      </c>
      <c r="B24" s="225">
        <f>ROUND('[19]EO Matrix @Meter'!$Y$20,2)</f>
        <v>264768.76</v>
      </c>
      <c r="C24" s="225">
        <f>ROUND(SUM('[20]Ex Post Gross TD Calc'!$E$575:$Z$575),2)</f>
        <v>2306.4899999999998</v>
      </c>
      <c r="D24" s="225">
        <f>ROUND(SUM('[20]NTG TD Calc'!$E$440:$Z$440),2)</f>
        <v>-5167.2299999999996</v>
      </c>
      <c r="E24" s="225">
        <f>ROUND(SUM('[20]EO TD Carrying Costs'!$C$59:$X$59),2)</f>
        <v>-22.74</v>
      </c>
      <c r="F24" s="226">
        <f t="shared" si="10"/>
        <v>261885.28</v>
      </c>
      <c r="G24" s="261">
        <f>ROUND(F24/12*11,2)</f>
        <v>240061.51</v>
      </c>
    </row>
    <row r="25" spans="1:7" x14ac:dyDescent="0.35">
      <c r="A25" s="31" t="s">
        <v>112</v>
      </c>
      <c r="B25" s="226">
        <f>SUM(B22:B24)</f>
        <v>893810.55</v>
      </c>
      <c r="C25" s="226">
        <f>SUM(C22:C24)</f>
        <v>48777.71</v>
      </c>
      <c r="D25" s="226">
        <f t="shared" ref="D25:G25" si="11">SUM(D22:D24)</f>
        <v>-18883.82</v>
      </c>
      <c r="E25" s="226">
        <f t="shared" si="11"/>
        <v>252.02999999999997</v>
      </c>
      <c r="F25" s="226">
        <f t="shared" si="11"/>
        <v>923956.47000000009</v>
      </c>
      <c r="G25" s="226">
        <f t="shared" si="11"/>
        <v>846960.1</v>
      </c>
    </row>
    <row r="26" spans="1:7" s="40" customFormat="1" x14ac:dyDescent="0.35">
      <c r="A26" s="31"/>
      <c r="B26" s="260"/>
      <c r="C26" s="260"/>
      <c r="D26" s="260"/>
      <c r="E26" s="260"/>
      <c r="F26" s="260"/>
      <c r="G26" s="260"/>
    </row>
    <row r="27" spans="1:7" s="40" customFormat="1" x14ac:dyDescent="0.35">
      <c r="A27" s="31"/>
      <c r="B27" s="260"/>
      <c r="C27" s="260"/>
      <c r="D27" s="260"/>
      <c r="E27" s="260"/>
      <c r="F27" s="260"/>
      <c r="G27" s="260"/>
    </row>
    <row r="28" spans="1:7" hidden="1" outlineLevel="1" x14ac:dyDescent="0.35">
      <c r="A28" s="259" t="s">
        <v>177</v>
      </c>
      <c r="B28" s="71"/>
      <c r="C28" s="71"/>
      <c r="D28" s="153"/>
    </row>
    <row r="29" spans="1:7" hidden="1" outlineLevel="1" x14ac:dyDescent="0.35">
      <c r="A29" s="20" t="s">
        <v>24</v>
      </c>
      <c r="B29" s="26"/>
      <c r="C29" s="26"/>
      <c r="D29" s="26"/>
      <c r="E29" s="250"/>
      <c r="F29" s="235">
        <f>SUM(B29:E29)</f>
        <v>0</v>
      </c>
      <c r="G29" s="251">
        <f>ROUND(F29/24*12,2)</f>
        <v>0</v>
      </c>
    </row>
    <row r="30" spans="1:7" hidden="1" outlineLevel="1" x14ac:dyDescent="0.35">
      <c r="A30" s="20" t="s">
        <v>25</v>
      </c>
      <c r="B30" s="225"/>
      <c r="C30" s="225"/>
      <c r="D30" s="225"/>
      <c r="E30" s="252"/>
      <c r="F30" s="235">
        <f>SUM(B30:E30)</f>
        <v>0</v>
      </c>
      <c r="G30" s="251">
        <f>ROUND(F30/24*12,2)</f>
        <v>0</v>
      </c>
    </row>
    <row r="31" spans="1:7" hidden="1" outlineLevel="1" x14ac:dyDescent="0.35">
      <c r="A31" s="20" t="s">
        <v>5</v>
      </c>
      <c r="B31" s="226">
        <f t="shared" ref="B31:G31" si="12">SUM(B29:B30)</f>
        <v>0</v>
      </c>
      <c r="C31" s="226">
        <f t="shared" si="12"/>
        <v>0</v>
      </c>
      <c r="D31" s="226">
        <f t="shared" si="12"/>
        <v>0</v>
      </c>
      <c r="E31" s="253">
        <f t="shared" si="12"/>
        <v>0</v>
      </c>
      <c r="F31" s="226">
        <f t="shared" si="12"/>
        <v>0</v>
      </c>
      <c r="G31" s="254">
        <f t="shared" si="12"/>
        <v>0</v>
      </c>
    </row>
    <row r="32" spans="1:7" hidden="1" outlineLevel="1" x14ac:dyDescent="0.35">
      <c r="B32" s="223"/>
      <c r="C32" s="223"/>
      <c r="D32" s="224"/>
    </row>
    <row r="33" spans="1:7" hidden="1" outlineLevel="1" x14ac:dyDescent="0.35">
      <c r="A33" s="20" t="s">
        <v>108</v>
      </c>
      <c r="B33" s="26"/>
      <c r="C33" s="26"/>
      <c r="D33" s="26"/>
      <c r="E33" s="225"/>
      <c r="F33" s="226">
        <f t="shared" ref="F33:F35" si="13">SUM(B33:E33)</f>
        <v>0</v>
      </c>
      <c r="G33" s="261">
        <f>ROUND(F33/24*12,2)</f>
        <v>0</v>
      </c>
    </row>
    <row r="34" spans="1:7" hidden="1" outlineLevel="1" x14ac:dyDescent="0.35">
      <c r="A34" s="20" t="s">
        <v>109</v>
      </c>
      <c r="B34" s="26"/>
      <c r="C34" s="26"/>
      <c r="D34" s="26"/>
      <c r="E34" s="26"/>
      <c r="F34" s="226">
        <f t="shared" si="13"/>
        <v>0</v>
      </c>
      <c r="G34" s="261">
        <f t="shared" ref="G34:G35" si="14">ROUND(F34/24*12,2)</f>
        <v>0</v>
      </c>
    </row>
    <row r="35" spans="1:7" hidden="1" outlineLevel="1" x14ac:dyDescent="0.35">
      <c r="A35" s="20" t="s">
        <v>110</v>
      </c>
      <c r="B35" s="225"/>
      <c r="C35" s="225"/>
      <c r="D35" s="225"/>
      <c r="E35" s="225"/>
      <c r="F35" s="226">
        <f t="shared" si="13"/>
        <v>0</v>
      </c>
      <c r="G35" s="261">
        <f t="shared" si="14"/>
        <v>0</v>
      </c>
    </row>
    <row r="36" spans="1:7" hidden="1" outlineLevel="1" x14ac:dyDescent="0.35">
      <c r="A36" s="31" t="s">
        <v>112</v>
      </c>
      <c r="B36" s="226">
        <f>SUM(B33:B35)</f>
        <v>0</v>
      </c>
      <c r="C36" s="226">
        <f>SUM(C33:C35)</f>
        <v>0</v>
      </c>
      <c r="D36" s="226">
        <f t="shared" ref="D36:G36" si="15">SUM(D33:D35)</f>
        <v>0</v>
      </c>
      <c r="E36" s="226">
        <f t="shared" si="15"/>
        <v>0</v>
      </c>
      <c r="F36" s="226">
        <f t="shared" si="15"/>
        <v>0</v>
      </c>
      <c r="G36" s="226">
        <f t="shared" si="15"/>
        <v>0</v>
      </c>
    </row>
    <row r="37" spans="1:7" hidden="1" outlineLevel="1" x14ac:dyDescent="0.35">
      <c r="A37" s="31"/>
      <c r="B37" s="255"/>
      <c r="C37" s="255"/>
      <c r="D37" s="255"/>
      <c r="E37" s="255"/>
      <c r="F37" s="255"/>
      <c r="G37" s="255"/>
    </row>
    <row r="38" spans="1:7" s="40" customFormat="1" hidden="1" outlineLevel="1" x14ac:dyDescent="0.35">
      <c r="A38" s="31"/>
      <c r="B38" s="260"/>
      <c r="C38" s="260"/>
      <c r="D38" s="260"/>
      <c r="E38" s="260"/>
      <c r="F38" s="260"/>
      <c r="G38" s="260"/>
    </row>
    <row r="39" spans="1:7" hidden="1" outlineLevel="1" x14ac:dyDescent="0.35">
      <c r="A39" s="259" t="s">
        <v>179</v>
      </c>
      <c r="B39" s="71"/>
      <c r="C39" s="71"/>
      <c r="D39" s="153"/>
    </row>
    <row r="40" spans="1:7" hidden="1" outlineLevel="1" x14ac:dyDescent="0.35">
      <c r="A40" s="20" t="s">
        <v>24</v>
      </c>
      <c r="B40" s="26">
        <v>0</v>
      </c>
      <c r="C40" s="26"/>
      <c r="D40" s="26"/>
      <c r="E40" s="250"/>
      <c r="F40" s="235">
        <f>SUM(B40:E40)</f>
        <v>0</v>
      </c>
      <c r="G40" s="251">
        <f>ROUND(F40/24*12,2)</f>
        <v>0</v>
      </c>
    </row>
    <row r="41" spans="1:7" hidden="1" outlineLevel="1" x14ac:dyDescent="0.35">
      <c r="A41" s="20" t="s">
        <v>25</v>
      </c>
      <c r="B41" s="225">
        <v>0</v>
      </c>
      <c r="C41" s="225"/>
      <c r="D41" s="225"/>
      <c r="E41" s="252"/>
      <c r="F41" s="235">
        <f>SUM(B41:E41)</f>
        <v>0</v>
      </c>
      <c r="G41" s="251">
        <f>ROUND(F41/24*12,2)</f>
        <v>0</v>
      </c>
    </row>
    <row r="42" spans="1:7" hidden="1" outlineLevel="1" x14ac:dyDescent="0.35">
      <c r="A42" s="20" t="s">
        <v>5</v>
      </c>
      <c r="B42" s="226">
        <f t="shared" ref="B42:G42" si="16">SUM(B40:B41)</f>
        <v>0</v>
      </c>
      <c r="C42" s="226">
        <f t="shared" si="16"/>
        <v>0</v>
      </c>
      <c r="D42" s="226">
        <f t="shared" si="16"/>
        <v>0</v>
      </c>
      <c r="E42" s="253">
        <f t="shared" si="16"/>
        <v>0</v>
      </c>
      <c r="F42" s="226">
        <f t="shared" si="16"/>
        <v>0</v>
      </c>
      <c r="G42" s="254">
        <f t="shared" si="16"/>
        <v>0</v>
      </c>
    </row>
    <row r="43" spans="1:7" hidden="1" outlineLevel="1" x14ac:dyDescent="0.35">
      <c r="B43" s="223"/>
      <c r="C43" s="223"/>
      <c r="D43" s="224"/>
    </row>
    <row r="44" spans="1:7" hidden="1" outlineLevel="1" x14ac:dyDescent="0.35">
      <c r="A44" s="20" t="s">
        <v>108</v>
      </c>
      <c r="B44" s="26">
        <v>0</v>
      </c>
      <c r="C44" s="26"/>
      <c r="D44" s="26"/>
      <c r="E44" s="225"/>
      <c r="F44" s="226">
        <f t="shared" ref="F44:F46" si="17">SUM(B44:E44)</f>
        <v>0</v>
      </c>
      <c r="G44" s="261">
        <f>ROUND(F44/24*12,2)</f>
        <v>0</v>
      </c>
    </row>
    <row r="45" spans="1:7" hidden="1" outlineLevel="1" x14ac:dyDescent="0.35">
      <c r="A45" s="20" t="s">
        <v>109</v>
      </c>
      <c r="B45" s="26">
        <v>0</v>
      </c>
      <c r="C45" s="26"/>
      <c r="D45" s="26"/>
      <c r="E45" s="26"/>
      <c r="F45" s="226">
        <f t="shared" si="17"/>
        <v>0</v>
      </c>
      <c r="G45" s="261">
        <f t="shared" ref="G45:G46" si="18">ROUND(F45/24*12,2)</f>
        <v>0</v>
      </c>
    </row>
    <row r="46" spans="1:7" hidden="1" outlineLevel="1" x14ac:dyDescent="0.35">
      <c r="A46" s="20" t="s">
        <v>110</v>
      </c>
      <c r="B46" s="225">
        <v>0</v>
      </c>
      <c r="C46" s="26"/>
      <c r="D46" s="225"/>
      <c r="E46" s="225"/>
      <c r="F46" s="226">
        <f t="shared" si="17"/>
        <v>0</v>
      </c>
      <c r="G46" s="261">
        <f t="shared" si="18"/>
        <v>0</v>
      </c>
    </row>
    <row r="47" spans="1:7" hidden="1" outlineLevel="1" x14ac:dyDescent="0.35">
      <c r="A47" s="31" t="s">
        <v>112</v>
      </c>
      <c r="B47" s="226">
        <f>SUM(B44:B46)</f>
        <v>0</v>
      </c>
      <c r="C47" s="226">
        <f>SUM(C44:C46)</f>
        <v>0</v>
      </c>
      <c r="D47" s="226">
        <f t="shared" ref="D47:G47" si="19">SUM(D44:D46)</f>
        <v>0</v>
      </c>
      <c r="E47" s="226">
        <f t="shared" si="19"/>
        <v>0</v>
      </c>
      <c r="F47" s="226">
        <f t="shared" si="19"/>
        <v>0</v>
      </c>
      <c r="G47" s="226">
        <f t="shared" si="19"/>
        <v>0</v>
      </c>
    </row>
    <row r="48" spans="1:7" collapsed="1" x14ac:dyDescent="0.35">
      <c r="A48" s="31"/>
      <c r="B48" s="255"/>
      <c r="C48" s="255"/>
      <c r="D48" s="255"/>
      <c r="E48" s="255"/>
      <c r="F48" s="255"/>
      <c r="G48" s="255"/>
    </row>
    <row r="49" spans="1:7" x14ac:dyDescent="0.35">
      <c r="A49" s="3" t="s">
        <v>181</v>
      </c>
    </row>
    <row r="50" spans="1:7" x14ac:dyDescent="0.35">
      <c r="A50" s="3" t="s">
        <v>180</v>
      </c>
    </row>
    <row r="51" spans="1:7" x14ac:dyDescent="0.35">
      <c r="A51" s="3" t="s">
        <v>182</v>
      </c>
    </row>
    <row r="52" spans="1:7" x14ac:dyDescent="0.35">
      <c r="A52" s="3" t="s">
        <v>183</v>
      </c>
    </row>
    <row r="53" spans="1:7" x14ac:dyDescent="0.35">
      <c r="A53" s="3" t="s">
        <v>161</v>
      </c>
    </row>
    <row r="54" spans="1:7" ht="30.75" customHeight="1" x14ac:dyDescent="0.35">
      <c r="A54" s="300" t="s">
        <v>184</v>
      </c>
      <c r="B54" s="300"/>
      <c r="C54" s="300"/>
      <c r="D54" s="300"/>
      <c r="E54" s="300"/>
      <c r="F54" s="300"/>
      <c r="G54" s="300"/>
    </row>
    <row r="55" spans="1:7" x14ac:dyDescent="0.35">
      <c r="A55" s="3"/>
    </row>
    <row r="56" spans="1:7" x14ac:dyDescent="0.35">
      <c r="A56" s="3"/>
    </row>
    <row r="57" spans="1:7" x14ac:dyDescent="0.35">
      <c r="A57" s="3"/>
    </row>
  </sheetData>
  <mergeCells count="2">
    <mergeCell ref="B3:D3"/>
    <mergeCell ref="A54:G54"/>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H63"/>
  <sheetViews>
    <sheetView workbookViewId="0"/>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5.453125" style="47" customWidth="1"/>
    <col min="5" max="5" width="15.81640625" style="47" bestFit="1" customWidth="1"/>
    <col min="6" max="6" width="12.26953125" style="47" bestFit="1" customWidth="1"/>
    <col min="7" max="8" width="13.26953125" style="47" bestFit="1" customWidth="1"/>
    <col min="9" max="9" width="12.26953125" style="47" bestFit="1" customWidth="1"/>
    <col min="10" max="10" width="12.54296875" style="47" customWidth="1"/>
    <col min="11" max="11" width="12.81640625" style="47" customWidth="1"/>
    <col min="12" max="12" width="16" style="47" customWidth="1"/>
    <col min="13" max="13" width="15" style="47" bestFit="1" customWidth="1"/>
    <col min="14" max="14" width="16" style="47" bestFit="1" customWidth="1"/>
    <col min="15" max="15" width="15.26953125" style="47" bestFit="1" customWidth="1"/>
    <col min="16" max="16" width="17.453125" style="47" bestFit="1" customWidth="1"/>
    <col min="17" max="17" width="16.26953125" style="47" bestFit="1" customWidth="1"/>
    <col min="18" max="18" width="15.26953125" style="47" bestFit="1" customWidth="1"/>
    <col min="19" max="19" width="12.453125" style="47" customWidth="1"/>
    <col min="20" max="21" width="14.26953125" style="47" bestFit="1" customWidth="1"/>
    <col min="22" max="16384" width="9.1796875" style="47"/>
  </cols>
  <sheetData>
    <row r="1" spans="1:34" x14ac:dyDescent="0.35">
      <c r="A1" s="3" t="str">
        <f>+'PPC Cycle 3'!A1</f>
        <v>Evergy Missouri West, Inc. - DSIM Rider Update Filed 12/02/2021</v>
      </c>
      <c r="B1" s="3"/>
      <c r="C1" s="3"/>
    </row>
    <row r="2" spans="1:34" x14ac:dyDescent="0.35">
      <c r="D2" s="3" t="s">
        <v>141</v>
      </c>
    </row>
    <row r="3" spans="1:34" ht="29" x14ac:dyDescent="0.35">
      <c r="D3" s="49" t="s">
        <v>46</v>
      </c>
      <c r="E3" s="71" t="s">
        <v>58</v>
      </c>
      <c r="F3" s="49" t="s">
        <v>3</v>
      </c>
      <c r="G3" s="71" t="s">
        <v>55</v>
      </c>
      <c r="H3" s="49" t="s">
        <v>10</v>
      </c>
      <c r="I3" s="49" t="s">
        <v>59</v>
      </c>
      <c r="R3" s="49"/>
    </row>
    <row r="4" spans="1:34" x14ac:dyDescent="0.35">
      <c r="A4" s="20" t="s">
        <v>24</v>
      </c>
      <c r="B4" s="20"/>
      <c r="C4" s="20"/>
      <c r="D4" s="22">
        <f>SUM(C18:L18)</f>
        <v>349058.50875999994</v>
      </c>
      <c r="E4" s="22">
        <f>SUM(C24:K24)</f>
        <v>902515.92000000016</v>
      </c>
      <c r="F4" s="22">
        <f>E4-D4</f>
        <v>553457.41124000028</v>
      </c>
      <c r="G4" s="22">
        <f>+B38</f>
        <v>-123256.30418000015</v>
      </c>
      <c r="H4" s="22">
        <f>SUM(C45:K45)</f>
        <v>1941.37</v>
      </c>
      <c r="I4" s="26">
        <f>SUM(F4:H4)</f>
        <v>432142.47706000012</v>
      </c>
      <c r="J4" s="48">
        <f>+I4-L38</f>
        <v>0</v>
      </c>
      <c r="M4" s="48"/>
    </row>
    <row r="5" spans="1:34" ht="15" thickBot="1" x14ac:dyDescent="0.4">
      <c r="A5" s="20" t="s">
        <v>25</v>
      </c>
      <c r="B5" s="20"/>
      <c r="C5" s="20"/>
      <c r="D5" s="22">
        <f>SUM(C19:L21)</f>
        <v>1562450.9892300004</v>
      </c>
      <c r="E5" s="22">
        <f>SUM(C25:K27)</f>
        <v>1739781.26</v>
      </c>
      <c r="F5" s="22">
        <f>E5-D5</f>
        <v>177330.2707699996</v>
      </c>
      <c r="G5" s="22">
        <f>SUM(B39:B41)</f>
        <v>180263.92552000008</v>
      </c>
      <c r="H5" s="22">
        <f>SUM(C46:K48)</f>
        <v>2594.9200000000005</v>
      </c>
      <c r="I5" s="26">
        <f>SUM(F5:H5)</f>
        <v>360189.11628999963</v>
      </c>
      <c r="J5" s="48">
        <f>+I5-SUM(L39:L41)</f>
        <v>0</v>
      </c>
      <c r="M5" s="48"/>
    </row>
    <row r="6" spans="1:34" ht="15.5" thickTop="1" thickBot="1" x14ac:dyDescent="0.4">
      <c r="D6" s="28">
        <f t="shared" ref="D6:I6" si="0">SUM(D4:D5)</f>
        <v>1911509.4979900003</v>
      </c>
      <c r="E6" s="28">
        <f t="shared" si="0"/>
        <v>2642297.1800000002</v>
      </c>
      <c r="F6" s="28">
        <f t="shared" si="0"/>
        <v>730787.68200999987</v>
      </c>
      <c r="G6" s="28">
        <f t="shared" si="0"/>
        <v>57007.621339999925</v>
      </c>
      <c r="H6" s="28">
        <f t="shared" si="0"/>
        <v>4536.2900000000009</v>
      </c>
      <c r="I6" s="28">
        <f t="shared" si="0"/>
        <v>792331.59334999975</v>
      </c>
      <c r="S6" s="5"/>
    </row>
    <row r="7" spans="1:34" ht="44" thickTop="1" x14ac:dyDescent="0.35">
      <c r="I7" s="231"/>
      <c r="J7" s="230" t="s">
        <v>123</v>
      </c>
    </row>
    <row r="8" spans="1:34" ht="17.25" customHeight="1" x14ac:dyDescent="0.35">
      <c r="A8" s="20" t="s">
        <v>108</v>
      </c>
      <c r="I8" s="26">
        <f>ROUND($I$5*J8,2)</f>
        <v>141227.59</v>
      </c>
      <c r="J8" s="228">
        <f>+'PCR Cycle 2'!K8</f>
        <v>0.39209287804949344</v>
      </c>
    </row>
    <row r="9" spans="1:34" ht="17.25" customHeight="1" x14ac:dyDescent="0.35">
      <c r="A9" s="20" t="s">
        <v>109</v>
      </c>
      <c r="I9" s="26">
        <f t="shared" ref="I9:I10" si="1">ROUND($I$5*J9,2)</f>
        <v>163655.20000000001</v>
      </c>
      <c r="J9" s="228">
        <f>+'PCR Cycle 2'!K9</f>
        <v>0.45435908608374953</v>
      </c>
    </row>
    <row r="10" spans="1:34" ht="17.25" customHeight="1" thickBot="1" x14ac:dyDescent="0.4">
      <c r="A10" s="20" t="s">
        <v>110</v>
      </c>
      <c r="I10" s="26">
        <f t="shared" si="1"/>
        <v>55306.33</v>
      </c>
      <c r="J10" s="228">
        <f>+'PCR Cycle 2'!K10</f>
        <v>0.15354803586675725</v>
      </c>
    </row>
    <row r="11" spans="1:34" ht="17.25" customHeight="1" thickTop="1" thickBot="1" x14ac:dyDescent="0.4">
      <c r="A11" s="20" t="s">
        <v>112</v>
      </c>
      <c r="I11" s="28">
        <f>SUM(I8:I10)</f>
        <v>360189.12000000005</v>
      </c>
      <c r="J11" s="229">
        <f>SUM(J8:J10)</f>
        <v>1.0000000000000002</v>
      </c>
    </row>
    <row r="12" spans="1:34" ht="15.5" thickTop="1" thickBot="1" x14ac:dyDescent="0.4">
      <c r="U12" s="4"/>
      <c r="V12" s="5"/>
    </row>
    <row r="13" spans="1:34" ht="102" thickBot="1" x14ac:dyDescent="0.4">
      <c r="B13" s="119" t="str">
        <f>+'PCR Cycle 2'!B13</f>
        <v>Cumulative Over/Under Carryover From 06/01/2021 Filing</v>
      </c>
      <c r="C13" s="152" t="str">
        <f>+'PCR Cycle 2'!C13</f>
        <v>Reverse May 2021 - July 2021  Forecast From 06/01/2021 Filing</v>
      </c>
      <c r="D13" s="315" t="s">
        <v>33</v>
      </c>
      <c r="E13" s="305"/>
      <c r="F13" s="306"/>
      <c r="G13" s="312" t="s">
        <v>33</v>
      </c>
      <c r="H13" s="313"/>
      <c r="I13" s="314"/>
      <c r="J13" s="301" t="s">
        <v>8</v>
      </c>
      <c r="K13" s="302"/>
      <c r="L13" s="303"/>
    </row>
    <row r="14" spans="1:34" x14ac:dyDescent="0.35">
      <c r="A14" s="47" t="s">
        <v>86</v>
      </c>
      <c r="C14" s="106"/>
      <c r="D14" s="19">
        <f>+'PCR Cycle 2'!D14</f>
        <v>44347</v>
      </c>
      <c r="E14" s="19">
        <f t="shared" ref="E14:L14" si="2">EOMONTH(D14,1)</f>
        <v>44377</v>
      </c>
      <c r="F14" s="19">
        <f t="shared" si="2"/>
        <v>44408</v>
      </c>
      <c r="G14" s="14">
        <f t="shared" si="2"/>
        <v>44439</v>
      </c>
      <c r="H14" s="19">
        <f t="shared" si="2"/>
        <v>44469</v>
      </c>
      <c r="I14" s="15">
        <f t="shared" si="2"/>
        <v>44500</v>
      </c>
      <c r="J14" s="19">
        <f t="shared" si="2"/>
        <v>44530</v>
      </c>
      <c r="K14" s="19">
        <f t="shared" si="2"/>
        <v>44561</v>
      </c>
      <c r="L14" s="15">
        <f t="shared" si="2"/>
        <v>44592</v>
      </c>
      <c r="Y14" s="1"/>
      <c r="Z14" s="1"/>
      <c r="AA14" s="1"/>
      <c r="AB14" s="1"/>
      <c r="AC14" s="1"/>
      <c r="AD14" s="1"/>
      <c r="AE14" s="1"/>
      <c r="AF14" s="1"/>
      <c r="AG14" s="1"/>
      <c r="AH14" s="1"/>
    </row>
    <row r="15" spans="1:34" x14ac:dyDescent="0.35">
      <c r="A15" s="47" t="s">
        <v>5</v>
      </c>
      <c r="C15" s="98">
        <v>-930062.55999999994</v>
      </c>
      <c r="D15" s="110">
        <f t="shared" ref="D15:K15" si="3">SUM(D24:D27)</f>
        <v>465031.27999999997</v>
      </c>
      <c r="E15" s="110">
        <f t="shared" si="3"/>
        <v>465031.27999999997</v>
      </c>
      <c r="F15" s="111">
        <f t="shared" si="3"/>
        <v>465031.27999999997</v>
      </c>
      <c r="G15" s="16">
        <f t="shared" si="3"/>
        <v>435453.18000000005</v>
      </c>
      <c r="H15" s="56">
        <f t="shared" si="3"/>
        <v>435453.18000000005</v>
      </c>
      <c r="I15" s="166">
        <f t="shared" si="3"/>
        <v>435453.18000000005</v>
      </c>
      <c r="J15" s="159">
        <f t="shared" si="3"/>
        <v>435453.18000000005</v>
      </c>
      <c r="K15" s="79">
        <f t="shared" si="3"/>
        <v>435453.18000000005</v>
      </c>
      <c r="L15" s="80"/>
    </row>
    <row r="16" spans="1:34" x14ac:dyDescent="0.35">
      <c r="C16" s="100"/>
      <c r="D16" s="17"/>
      <c r="E16" s="17"/>
      <c r="F16" s="17"/>
      <c r="G16" s="10"/>
      <c r="H16" s="17"/>
      <c r="I16" s="11"/>
      <c r="J16" s="32"/>
      <c r="K16" s="32"/>
      <c r="L16" s="30"/>
    </row>
    <row r="17" spans="1:14" x14ac:dyDescent="0.35">
      <c r="A17" s="47" t="s">
        <v>87</v>
      </c>
      <c r="C17" s="100"/>
      <c r="D17" s="18"/>
      <c r="E17" s="18"/>
      <c r="F17" s="18"/>
      <c r="G17" s="92"/>
      <c r="H17" s="18"/>
      <c r="I17" s="167"/>
      <c r="J17" s="32"/>
      <c r="K17" s="32"/>
      <c r="L17" s="30"/>
      <c r="M17" s="3" t="s">
        <v>50</v>
      </c>
      <c r="N17" s="40"/>
    </row>
    <row r="18" spans="1:14" x14ac:dyDescent="0.35">
      <c r="A18" s="47" t="s">
        <v>24</v>
      </c>
      <c r="C18" s="98">
        <v>-562673.41200000001</v>
      </c>
      <c r="D18" s="135">
        <f>ROUND('[4]May 2021'!$F$60,2)</f>
        <v>117159.55</v>
      </c>
      <c r="E18" s="135">
        <f>ROUND('[4]Jun 2021'!$F$60,2)</f>
        <v>157406.94</v>
      </c>
      <c r="F18" s="135">
        <f>ROUND('[4]Jul 2021'!$F$60,2)</f>
        <v>209063.83</v>
      </c>
      <c r="G18" s="187">
        <f>ROUND('[4]Aug 2021'!$F$60,2)</f>
        <v>83822.850000000006</v>
      </c>
      <c r="H18" s="122">
        <f>ROUND('[4]Sep 2021'!$F$60,2)</f>
        <v>83146.559999999998</v>
      </c>
      <c r="I18" s="168">
        <f>ROUND('[4]Oct 2021'!$F$60,2)</f>
        <v>58169.11</v>
      </c>
      <c r="J18" s="124">
        <f>'PCR Cycle 2'!J26*$M18</f>
        <v>49147.989659999999</v>
      </c>
      <c r="K18" s="42">
        <f>'PCR Cycle 2'!K26*$M18</f>
        <v>68137.518680000008</v>
      </c>
      <c r="L18" s="62">
        <f>'PCR Cycle 2'!L26*$M18</f>
        <v>85677.572419999997</v>
      </c>
      <c r="M18" s="73">
        <v>2.2000000000000001E-4</v>
      </c>
      <c r="N18" s="4"/>
    </row>
    <row r="19" spans="1:14" x14ac:dyDescent="0.35">
      <c r="A19" s="47" t="s">
        <v>135</v>
      </c>
      <c r="C19" s="98">
        <v>-348957.57884000003</v>
      </c>
      <c r="D19" s="135">
        <f>ROUND('[4]May 2021'!$F$61,2)</f>
        <v>120164.52</v>
      </c>
      <c r="E19" s="135">
        <f>ROUND('[4]Jun 2021'!$F$61,2)</f>
        <v>145547.47</v>
      </c>
      <c r="F19" s="135">
        <f>ROUND('[4]Jul 2021'!$F$61,2)</f>
        <v>169507.11</v>
      </c>
      <c r="G19" s="187">
        <f>ROUND('[4]Aug 2021'!$F$61,2)</f>
        <v>107865.02</v>
      </c>
      <c r="H19" s="122">
        <f>ROUND('[4]Sep 2021'!$F$61,2)</f>
        <v>108462.89</v>
      </c>
      <c r="I19" s="168">
        <f>ROUND('[4]Oct 2021'!$F$61,2)</f>
        <v>92480.91</v>
      </c>
      <c r="J19" s="124">
        <f>'PCR Cycle 2'!J27*$M19</f>
        <v>83583.608640000006</v>
      </c>
      <c r="K19" s="42">
        <f>'PCR Cycle 2'!K27*$M19</f>
        <v>85834.055189999999</v>
      </c>
      <c r="L19" s="62">
        <f>'PCR Cycle 2'!L27*$M19</f>
        <v>89270.963190000009</v>
      </c>
      <c r="M19" s="73">
        <v>9.3000000000000005E-4</v>
      </c>
      <c r="N19" s="4"/>
    </row>
    <row r="20" spans="1:14" x14ac:dyDescent="0.35">
      <c r="A20" s="47" t="s">
        <v>136</v>
      </c>
      <c r="C20" s="98">
        <v>-254656.79804999998</v>
      </c>
      <c r="D20" s="135">
        <f>ROUND('[4]May 2021'!$F$62,2)</f>
        <v>91995.04</v>
      </c>
      <c r="E20" s="135">
        <f>ROUND('[4]Jun 2021'!$F$62,2)</f>
        <v>106588.45</v>
      </c>
      <c r="F20" s="135">
        <f>ROUND('[4]Jul 2021'!$F$62,2)</f>
        <v>117582.78</v>
      </c>
      <c r="G20" s="187">
        <f>ROUND('[4]Aug 2021'!$F$62,2)</f>
        <v>112160.8</v>
      </c>
      <c r="H20" s="122">
        <f>ROUND('[4]Sep 2021'!$F$62,2)</f>
        <v>121567.99</v>
      </c>
      <c r="I20" s="168">
        <f>ROUND('[4]Oct 2021'!$F$62,2)</f>
        <v>104887.7</v>
      </c>
      <c r="J20" s="124">
        <f>'PCR Cycle 2'!J28*$M20</f>
        <v>93087.894640000013</v>
      </c>
      <c r="K20" s="42">
        <f>'PCR Cycle 2'!K28*$M20</f>
        <v>95594.240560000006</v>
      </c>
      <c r="L20" s="62">
        <f>'PCR Cycle 2'!L28*$M20</f>
        <v>99421.958480000016</v>
      </c>
      <c r="M20" s="73">
        <v>1.0400000000000001E-3</v>
      </c>
      <c r="N20" s="4"/>
    </row>
    <row r="21" spans="1:14" x14ac:dyDescent="0.35">
      <c r="A21" s="47" t="s">
        <v>137</v>
      </c>
      <c r="C21" s="98">
        <v>-116266.30674999999</v>
      </c>
      <c r="D21" s="135">
        <f>ROUND('[4]May 2021'!$F$63,2)</f>
        <v>40283.65</v>
      </c>
      <c r="E21" s="135">
        <f>ROUND('[4]Jun 2021'!$F$63,2)</f>
        <v>42724.12</v>
      </c>
      <c r="F21" s="135">
        <f>ROUND('[4]Jul 2021'!$F$63,2)</f>
        <v>45444.06</v>
      </c>
      <c r="G21" s="187">
        <f>ROUND('[4]Aug 2021'!$F$63,2)</f>
        <v>32670.55</v>
      </c>
      <c r="H21" s="122">
        <f>ROUND('[4]Sep 2021'!$F$63,2)</f>
        <v>39947.33</v>
      </c>
      <c r="I21" s="168">
        <f>ROUND('[4]Oct 2021'!$F$63,2)</f>
        <v>35970.97</v>
      </c>
      <c r="J21" s="124">
        <f>'PCR Cycle 2'!J29*$M21</f>
        <v>32209.567140000003</v>
      </c>
      <c r="K21" s="42">
        <f>'PCR Cycle 2'!K29*$M21</f>
        <v>33076.793580000005</v>
      </c>
      <c r="L21" s="62">
        <f>'PCR Cycle 2'!L29*$M21</f>
        <v>34401.231449999999</v>
      </c>
      <c r="M21" s="73">
        <v>5.1000000000000004E-4</v>
      </c>
      <c r="N21" s="4"/>
    </row>
    <row r="22" spans="1:14" x14ac:dyDescent="0.35">
      <c r="C22" s="68"/>
      <c r="D22" s="69"/>
      <c r="E22" s="69"/>
      <c r="F22" s="69"/>
      <c r="G22" s="68"/>
      <c r="H22" s="69"/>
      <c r="I22" s="169"/>
      <c r="J22" s="57"/>
      <c r="K22" s="57"/>
      <c r="L22" s="13"/>
      <c r="N22" s="4"/>
    </row>
    <row r="23" spans="1:14" x14ac:dyDescent="0.35">
      <c r="A23" s="47" t="s">
        <v>89</v>
      </c>
      <c r="C23" s="37"/>
      <c r="D23" s="38"/>
      <c r="E23" s="38"/>
      <c r="F23" s="38"/>
      <c r="G23" s="37"/>
      <c r="H23" s="38"/>
      <c r="I23" s="172"/>
      <c r="J23" s="53"/>
      <c r="K23" s="53"/>
      <c r="L23" s="39"/>
    </row>
    <row r="24" spans="1:14" x14ac:dyDescent="0.35">
      <c r="A24" s="47" t="s">
        <v>24</v>
      </c>
      <c r="C24" s="98">
        <v>-351378.74</v>
      </c>
      <c r="D24" s="110">
        <f>ROUND('EO Cycle 2'!$F$18/24+'EO Cycle 2'!$F$29/24,2)</f>
        <v>175689.37</v>
      </c>
      <c r="E24" s="110">
        <f>ROUND('EO Cycle 2'!$F$18/24+'EO Cycle 2'!$F$29/24,2)</f>
        <v>175689.37</v>
      </c>
      <c r="F24" s="111">
        <f>ROUND('EO Cycle 2'!$F$18/24+'EO Cycle 2'!$F$29/24,2)</f>
        <v>175689.37</v>
      </c>
      <c r="G24" s="16">
        <f>ROUND('EO Cycle 2'!$F$18/24+'EO Cycle 2'!$F$29/24+'EO Cycle 2'!$F$40/24,2)</f>
        <v>145365.31</v>
      </c>
      <c r="H24" s="56">
        <f>ROUND('EO Cycle 2'!$F$18/24+'EO Cycle 2'!$F$29/24+'EO Cycle 2'!$F$40/24,2)</f>
        <v>145365.31</v>
      </c>
      <c r="I24" s="166">
        <f>ROUND('EO Cycle 2'!$F$18/24+'EO Cycle 2'!$F$29/24+'EO Cycle 2'!$F$40/24,2)</f>
        <v>145365.31</v>
      </c>
      <c r="J24" s="161">
        <f>ROUND('EO Cycle 2'!$F$18/24+'EO Cycle 2'!$F$29/24+'EO Cycle 2'!$F$40/24,2)</f>
        <v>145365.31</v>
      </c>
      <c r="K24" s="142">
        <f>ROUND('EO Cycle 2'!$F$18/24+'EO Cycle 2'!$F$29/24+'EO Cycle 2'!$F$40/24,2)</f>
        <v>145365.31</v>
      </c>
      <c r="L24" s="80"/>
    </row>
    <row r="25" spans="1:14" x14ac:dyDescent="0.35">
      <c r="A25" s="47" t="s">
        <v>135</v>
      </c>
      <c r="C25" s="98">
        <v>-230581.16</v>
      </c>
      <c r="D25" s="110">
        <f>ROUND('EO Cycle 2'!$F$22/24+'EO Cycle 2'!$F$33/24,2)</f>
        <v>115290.58</v>
      </c>
      <c r="E25" s="110">
        <f>ROUND('EO Cycle 2'!$F$22/24+'EO Cycle 2'!$F$33/24,2)</f>
        <v>115290.58</v>
      </c>
      <c r="F25" s="111">
        <f>ROUND('EO Cycle 2'!$F$22/24+'EO Cycle 2'!$F$33/24,2)</f>
        <v>115290.58</v>
      </c>
      <c r="G25" s="16">
        <f>ROUND('EO Cycle 2'!$F$22/24+'EO Cycle 2'!$F$33/24+'EO Cycle 2'!$F$44/24,2)</f>
        <v>115853.18</v>
      </c>
      <c r="H25" s="56">
        <f>ROUND('EO Cycle 2'!$F$22/24+'EO Cycle 2'!$F$33/24+'EO Cycle 2'!$F$44/24,2)</f>
        <v>115853.18</v>
      </c>
      <c r="I25" s="166">
        <f>ROUND('EO Cycle 2'!$F$22/24+'EO Cycle 2'!$F$33/24+'EO Cycle 2'!$F$44/24,2)</f>
        <v>115853.18</v>
      </c>
      <c r="J25" s="161">
        <f>ROUND('EO Cycle 2'!$F$22/24+'EO Cycle 2'!$F$33/24+'EO Cycle 2'!$F$44/24,2)</f>
        <v>115853.18</v>
      </c>
      <c r="K25" s="142">
        <f>ROUND('EO Cycle 2'!$F$22/24+'EO Cycle 2'!$F$33/24+'EO Cycle 2'!$F$44/24,2)</f>
        <v>115853.18</v>
      </c>
      <c r="L25" s="80"/>
    </row>
    <row r="26" spans="1:14" x14ac:dyDescent="0.35">
      <c r="A26" s="47" t="s">
        <v>136</v>
      </c>
      <c r="C26" s="98">
        <v>-256671.06</v>
      </c>
      <c r="D26" s="110">
        <f>ROUND('EO Cycle 2'!$F$23/24+'EO Cycle 2'!$F$34/24,2)</f>
        <v>128335.53</v>
      </c>
      <c r="E26" s="110">
        <f>ROUND('EO Cycle 2'!$F$23/24+'EO Cycle 2'!$F$34/24,2)</f>
        <v>128335.53</v>
      </c>
      <c r="F26" s="111">
        <f>ROUND('EO Cycle 2'!$F$23/24+'EO Cycle 2'!$F$34/24,2)</f>
        <v>128335.53</v>
      </c>
      <c r="G26" s="16">
        <f>ROUND('EO Cycle 2'!$F$23/24+'EO Cycle 2'!$F$34/24+'EO Cycle 2'!$F$45/24,2)</f>
        <v>128668.91</v>
      </c>
      <c r="H26" s="56">
        <f>ROUND('EO Cycle 2'!$F$23/24+'EO Cycle 2'!$F$34/24+'EO Cycle 2'!$F$45/24,2)</f>
        <v>128668.91</v>
      </c>
      <c r="I26" s="166">
        <f>ROUND('EO Cycle 2'!$F$23/24+'EO Cycle 2'!$F$34/24+'EO Cycle 2'!$F$45/24,2)</f>
        <v>128668.91</v>
      </c>
      <c r="J26" s="161">
        <f>ROUND('EO Cycle 2'!$F$23/24+'EO Cycle 2'!$F$34/24+'EO Cycle 2'!$F$45/24,2)</f>
        <v>128668.91</v>
      </c>
      <c r="K26" s="142">
        <f>ROUND('EO Cycle 2'!$F$23/24+'EO Cycle 2'!$F$34/24+'EO Cycle 2'!$F$45/24,2)</f>
        <v>128668.91</v>
      </c>
      <c r="L26" s="80"/>
    </row>
    <row r="27" spans="1:14" x14ac:dyDescent="0.35">
      <c r="A27" s="47" t="s">
        <v>137</v>
      </c>
      <c r="C27" s="98">
        <v>-91431.6</v>
      </c>
      <c r="D27" s="110">
        <f>ROUND('EO Cycle 2'!$F$24/24+'EO Cycle 2'!$F$35/24,2)</f>
        <v>45715.8</v>
      </c>
      <c r="E27" s="110">
        <f>ROUND('EO Cycle 2'!$F$24/24+'EO Cycle 2'!$F$35/24,2)</f>
        <v>45715.8</v>
      </c>
      <c r="F27" s="111">
        <f>ROUND('EO Cycle 2'!$F$24/24+'EO Cycle 2'!$F$35/24,2)</f>
        <v>45715.8</v>
      </c>
      <c r="G27" s="16">
        <f>ROUND('EO Cycle 2'!$F$24/24+'EO Cycle 2'!$F$35/24+'EO Cycle 2'!$F$46/24,2)</f>
        <v>45565.78</v>
      </c>
      <c r="H27" s="56">
        <f>ROUND('EO Cycle 2'!$F$24/24+'EO Cycle 2'!$F$35/24+'EO Cycle 2'!$F$46/24,2)</f>
        <v>45565.78</v>
      </c>
      <c r="I27" s="166">
        <f>ROUND('EO Cycle 2'!$F$24/24+'EO Cycle 2'!$F$35/24+'EO Cycle 2'!$F$46/24,2)</f>
        <v>45565.78</v>
      </c>
      <c r="J27" s="161">
        <f>ROUND('EO Cycle 2'!$F$24/24+'EO Cycle 2'!$F$35/24+'EO Cycle 2'!$F$46/24,2)</f>
        <v>45565.78</v>
      </c>
      <c r="K27" s="142">
        <f>ROUND('EO Cycle 2'!$F$24/24+'EO Cycle 2'!$F$35/24+'EO Cycle 2'!$F$46/24,2)</f>
        <v>45565.78</v>
      </c>
      <c r="L27" s="80"/>
      <c r="N27" s="48"/>
    </row>
    <row r="28" spans="1:14" x14ac:dyDescent="0.35">
      <c r="C28" s="100"/>
      <c r="D28" s="18"/>
      <c r="E28" s="18"/>
      <c r="F28" s="18"/>
      <c r="G28" s="92"/>
      <c r="H28" s="18"/>
      <c r="I28" s="167"/>
      <c r="J28" s="57"/>
      <c r="K28" s="57"/>
      <c r="L28" s="13"/>
    </row>
    <row r="29" spans="1:14" ht="15" thickBot="1" x14ac:dyDescent="0.4">
      <c r="A29" s="3" t="s">
        <v>14</v>
      </c>
      <c r="B29" s="3"/>
      <c r="C29" s="104">
        <v>-1142.56</v>
      </c>
      <c r="D29" s="135">
        <v>511.75</v>
      </c>
      <c r="E29" s="135">
        <v>568.75</v>
      </c>
      <c r="F29" s="136">
        <v>536.63</v>
      </c>
      <c r="G29" s="27">
        <v>548.28</v>
      </c>
      <c r="H29" s="123">
        <v>647.16000000000008</v>
      </c>
      <c r="I29" s="173">
        <v>774.14</v>
      </c>
      <c r="J29" s="162">
        <v>953.72</v>
      </c>
      <c r="K29" s="144">
        <v>1138.4199999999998</v>
      </c>
      <c r="L29" s="83"/>
    </row>
    <row r="30" spans="1:14" x14ac:dyDescent="0.35">
      <c r="C30" s="65"/>
      <c r="D30" s="148"/>
      <c r="E30" s="148"/>
      <c r="F30" s="149"/>
      <c r="G30" s="65"/>
      <c r="H30" s="34"/>
      <c r="I30" s="174"/>
      <c r="J30" s="35"/>
      <c r="K30" s="35"/>
      <c r="L30" s="61"/>
    </row>
    <row r="31" spans="1:14" x14ac:dyDescent="0.35">
      <c r="A31" s="47" t="s">
        <v>52</v>
      </c>
      <c r="C31" s="66"/>
      <c r="D31" s="149"/>
      <c r="E31" s="149"/>
      <c r="F31" s="149"/>
      <c r="G31" s="66"/>
      <c r="H31" s="36"/>
      <c r="I31" s="175"/>
      <c r="J31" s="35"/>
      <c r="K31" s="35"/>
      <c r="L31" s="61"/>
    </row>
    <row r="32" spans="1:14" x14ac:dyDescent="0.35">
      <c r="A32" s="47" t="s">
        <v>24</v>
      </c>
      <c r="C32" s="101">
        <f t="shared" ref="C32:L32" si="4">C24-C18</f>
        <v>211294.67200000002</v>
      </c>
      <c r="D32" s="42">
        <f t="shared" si="4"/>
        <v>58529.819999999992</v>
      </c>
      <c r="E32" s="42">
        <f t="shared" si="4"/>
        <v>18282.429999999993</v>
      </c>
      <c r="F32" s="109">
        <f t="shared" si="4"/>
        <v>-33374.459999999992</v>
      </c>
      <c r="G32" s="41">
        <f t="shared" si="4"/>
        <v>61542.459999999992</v>
      </c>
      <c r="H32" s="42">
        <f t="shared" si="4"/>
        <v>62218.75</v>
      </c>
      <c r="I32" s="62">
        <f t="shared" si="4"/>
        <v>87196.2</v>
      </c>
      <c r="J32" s="124">
        <f t="shared" si="4"/>
        <v>96217.320340000006</v>
      </c>
      <c r="K32" s="42">
        <f t="shared" si="4"/>
        <v>77227.791319999989</v>
      </c>
      <c r="L32" s="62">
        <f t="shared" si="4"/>
        <v>-85677.572419999997</v>
      </c>
    </row>
    <row r="33" spans="1:12" x14ac:dyDescent="0.35">
      <c r="A33" s="47" t="s">
        <v>135</v>
      </c>
      <c r="C33" s="101">
        <f t="shared" ref="C33:L33" si="5">C25-C19</f>
        <v>118376.41884000003</v>
      </c>
      <c r="D33" s="42">
        <f t="shared" si="5"/>
        <v>-4873.9400000000023</v>
      </c>
      <c r="E33" s="42">
        <f t="shared" si="5"/>
        <v>-30256.89</v>
      </c>
      <c r="F33" s="109">
        <f t="shared" si="5"/>
        <v>-54216.529999999984</v>
      </c>
      <c r="G33" s="41">
        <f t="shared" si="5"/>
        <v>7988.1599999999889</v>
      </c>
      <c r="H33" s="42">
        <f t="shared" si="5"/>
        <v>7390.2899999999936</v>
      </c>
      <c r="I33" s="62">
        <f t="shared" si="5"/>
        <v>23372.26999999999</v>
      </c>
      <c r="J33" s="124">
        <f t="shared" si="5"/>
        <v>32269.571359999987</v>
      </c>
      <c r="K33" s="42">
        <f t="shared" si="5"/>
        <v>30019.124809999994</v>
      </c>
      <c r="L33" s="62">
        <f t="shared" si="5"/>
        <v>-89270.963190000009</v>
      </c>
    </row>
    <row r="34" spans="1:12" x14ac:dyDescent="0.35">
      <c r="A34" s="47" t="s">
        <v>136</v>
      </c>
      <c r="C34" s="101">
        <f t="shared" ref="C34:L34" si="6">C26-C20</f>
        <v>-2014.2619500000146</v>
      </c>
      <c r="D34" s="42">
        <f t="shared" si="6"/>
        <v>36340.490000000005</v>
      </c>
      <c r="E34" s="42">
        <f t="shared" si="6"/>
        <v>21747.08</v>
      </c>
      <c r="F34" s="109">
        <f t="shared" si="6"/>
        <v>10752.75</v>
      </c>
      <c r="G34" s="41">
        <f t="shared" si="6"/>
        <v>16508.11</v>
      </c>
      <c r="H34" s="42">
        <f t="shared" si="6"/>
        <v>7100.9199999999983</v>
      </c>
      <c r="I34" s="62">
        <f t="shared" si="6"/>
        <v>23781.210000000006</v>
      </c>
      <c r="J34" s="124">
        <f t="shared" si="6"/>
        <v>35581.01535999999</v>
      </c>
      <c r="K34" s="42">
        <f t="shared" si="6"/>
        <v>33074.669439999998</v>
      </c>
      <c r="L34" s="62">
        <f t="shared" si="6"/>
        <v>-99421.958480000016</v>
      </c>
    </row>
    <row r="35" spans="1:12" x14ac:dyDescent="0.35">
      <c r="A35" s="47" t="s">
        <v>137</v>
      </c>
      <c r="C35" s="101">
        <f t="shared" ref="C35:L35" si="7">C27-C21</f>
        <v>24834.706749999983</v>
      </c>
      <c r="D35" s="42">
        <f t="shared" si="7"/>
        <v>5432.1500000000015</v>
      </c>
      <c r="E35" s="42">
        <f t="shared" si="7"/>
        <v>2991.6800000000003</v>
      </c>
      <c r="F35" s="109">
        <f t="shared" si="7"/>
        <v>271.74000000000524</v>
      </c>
      <c r="G35" s="41">
        <f t="shared" si="7"/>
        <v>12895.23</v>
      </c>
      <c r="H35" s="42">
        <f t="shared" si="7"/>
        <v>5618.4499999999971</v>
      </c>
      <c r="I35" s="62">
        <f t="shared" si="7"/>
        <v>9594.8099999999977</v>
      </c>
      <c r="J35" s="124">
        <f t="shared" si="7"/>
        <v>13356.212859999996</v>
      </c>
      <c r="K35" s="42">
        <f t="shared" si="7"/>
        <v>12488.986419999994</v>
      </c>
      <c r="L35" s="62">
        <f t="shared" si="7"/>
        <v>-34401.231449999999</v>
      </c>
    </row>
    <row r="36" spans="1:12" x14ac:dyDescent="0.35">
      <c r="C36" s="100"/>
      <c r="D36" s="17"/>
      <c r="E36" s="17"/>
      <c r="F36" s="17"/>
      <c r="G36" s="10"/>
      <c r="H36" s="17"/>
      <c r="I36" s="11"/>
      <c r="J36" s="17"/>
      <c r="K36" s="17"/>
      <c r="L36" s="11"/>
    </row>
    <row r="37" spans="1:12" ht="15" thickBot="1" x14ac:dyDescent="0.4">
      <c r="A37" s="47" t="s">
        <v>53</v>
      </c>
      <c r="C37" s="100"/>
      <c r="D37" s="17"/>
      <c r="E37" s="17"/>
      <c r="F37" s="17"/>
      <c r="G37" s="10"/>
      <c r="H37" s="17"/>
      <c r="I37" s="11"/>
      <c r="J37" s="17"/>
      <c r="K37" s="17"/>
      <c r="L37" s="11"/>
    </row>
    <row r="38" spans="1:12" x14ac:dyDescent="0.35">
      <c r="A38" s="47" t="s">
        <v>24</v>
      </c>
      <c r="B38" s="117">
        <v>-123256.30418000015</v>
      </c>
      <c r="C38" s="101">
        <f t="shared" ref="C38:L38" si="8">B38+C32+B45</f>
        <v>88038.367819999869</v>
      </c>
      <c r="D38" s="42">
        <f t="shared" si="8"/>
        <v>146307.18781999988</v>
      </c>
      <c r="E38" s="42">
        <f t="shared" si="8"/>
        <v>164720.94781999986</v>
      </c>
      <c r="F38" s="109">
        <f t="shared" si="8"/>
        <v>131519.75781999985</v>
      </c>
      <c r="G38" s="41">
        <f t="shared" si="8"/>
        <v>193228.13781999986</v>
      </c>
      <c r="H38" s="42">
        <f t="shared" si="8"/>
        <v>255628.26781999986</v>
      </c>
      <c r="I38" s="62">
        <f t="shared" si="8"/>
        <v>343074.01781999983</v>
      </c>
      <c r="J38" s="124">
        <f t="shared" si="8"/>
        <v>439624.41815999983</v>
      </c>
      <c r="K38" s="42">
        <f t="shared" si="8"/>
        <v>517287.65947999986</v>
      </c>
      <c r="L38" s="62">
        <f t="shared" si="8"/>
        <v>432142.47705999989</v>
      </c>
    </row>
    <row r="39" spans="1:12" x14ac:dyDescent="0.35">
      <c r="A39" s="47" t="s">
        <v>135</v>
      </c>
      <c r="B39" s="248">
        <v>-313559.58523999987</v>
      </c>
      <c r="C39" s="101">
        <f t="shared" ref="C39:L39" si="9">B39+C33+B46</f>
        <v>-195183.16639999984</v>
      </c>
      <c r="D39" s="42">
        <f t="shared" si="9"/>
        <v>-199632.72639999984</v>
      </c>
      <c r="E39" s="42">
        <f t="shared" si="9"/>
        <v>-230110.88639999981</v>
      </c>
      <c r="F39" s="109">
        <f t="shared" si="9"/>
        <v>-284566.84639999981</v>
      </c>
      <c r="G39" s="41">
        <f t="shared" si="9"/>
        <v>-276866.91639999981</v>
      </c>
      <c r="H39" s="42">
        <f t="shared" si="9"/>
        <v>-269790.20639999985</v>
      </c>
      <c r="I39" s="62">
        <f t="shared" si="9"/>
        <v>-246721.91639999987</v>
      </c>
      <c r="J39" s="124">
        <f t="shared" si="9"/>
        <v>-214739.75503999987</v>
      </c>
      <c r="K39" s="42">
        <f t="shared" si="9"/>
        <v>-184977.41022999989</v>
      </c>
      <c r="L39" s="62">
        <f t="shared" si="9"/>
        <v>-274470.80341999989</v>
      </c>
    </row>
    <row r="40" spans="1:12" x14ac:dyDescent="0.35">
      <c r="A40" s="47" t="s">
        <v>136</v>
      </c>
      <c r="B40" s="248">
        <v>400660.34690999996</v>
      </c>
      <c r="C40" s="101">
        <f t="shared" ref="C40:L40" si="10">B40+C34+B47</f>
        <v>398646.08495999995</v>
      </c>
      <c r="D40" s="42">
        <f t="shared" si="10"/>
        <v>433970.41495999997</v>
      </c>
      <c r="E40" s="42">
        <f t="shared" si="10"/>
        <v>456184.06495999999</v>
      </c>
      <c r="F40" s="109">
        <f t="shared" si="10"/>
        <v>467432.76496</v>
      </c>
      <c r="G40" s="41">
        <f t="shared" si="10"/>
        <v>484458.15496000001</v>
      </c>
      <c r="H40" s="42">
        <f t="shared" si="10"/>
        <v>492090.76496</v>
      </c>
      <c r="I40" s="62">
        <f t="shared" si="10"/>
        <v>516414.98496000003</v>
      </c>
      <c r="J40" s="124">
        <f t="shared" si="10"/>
        <v>552557.14032000001</v>
      </c>
      <c r="K40" s="42">
        <f t="shared" si="10"/>
        <v>586226.58976</v>
      </c>
      <c r="L40" s="62">
        <f t="shared" si="10"/>
        <v>487438.25127999997</v>
      </c>
    </row>
    <row r="41" spans="1:12" ht="15" thickBot="1" x14ac:dyDescent="0.4">
      <c r="A41" s="47" t="s">
        <v>137</v>
      </c>
      <c r="B41" s="118">
        <v>93163.163849999983</v>
      </c>
      <c r="C41" s="101">
        <f t="shared" ref="C41:L41" si="11">B41+C35+B48</f>
        <v>117997.87059999997</v>
      </c>
      <c r="D41" s="42">
        <f t="shared" si="11"/>
        <v>123140.24059999996</v>
      </c>
      <c r="E41" s="42">
        <f t="shared" si="11"/>
        <v>126267.05059999996</v>
      </c>
      <c r="F41" s="109">
        <f t="shared" si="11"/>
        <v>126677.75059999997</v>
      </c>
      <c r="G41" s="41">
        <f t="shared" si="11"/>
        <v>139714.64059999998</v>
      </c>
      <c r="H41" s="42">
        <f t="shared" si="11"/>
        <v>145481.8806</v>
      </c>
      <c r="I41" s="62">
        <f t="shared" si="11"/>
        <v>155235.27059999999</v>
      </c>
      <c r="J41" s="124">
        <f t="shared" si="11"/>
        <v>168758.80346</v>
      </c>
      <c r="K41" s="42">
        <f t="shared" si="11"/>
        <v>181428.05987999999</v>
      </c>
      <c r="L41" s="62">
        <f t="shared" si="11"/>
        <v>147221.66842999999</v>
      </c>
    </row>
    <row r="42" spans="1:12" x14ac:dyDescent="0.35">
      <c r="C42" s="100"/>
      <c r="D42" s="17"/>
      <c r="E42" s="17"/>
      <c r="F42" s="17"/>
      <c r="G42" s="10"/>
      <c r="H42" s="17"/>
      <c r="I42" s="11"/>
      <c r="J42" s="17"/>
      <c r="K42" s="17"/>
      <c r="L42" s="11"/>
    </row>
    <row r="43" spans="1:12" x14ac:dyDescent="0.35">
      <c r="A43" s="40" t="s">
        <v>88</v>
      </c>
      <c r="B43" s="40"/>
      <c r="C43" s="105"/>
      <c r="D43" s="84">
        <f>+'PCR Cycle 2'!D47</f>
        <v>1.1220900000000001E-3</v>
      </c>
      <c r="E43" s="84">
        <f>+'PCR Cycle 2'!E47</f>
        <v>1.1137199999999999E-3</v>
      </c>
      <c r="F43" s="84">
        <f>+'PCR Cycle 2'!F47</f>
        <v>1.11951E-3</v>
      </c>
      <c r="G43" s="85">
        <f>+'PCR Cycle 2'!G47</f>
        <v>1.11651E-3</v>
      </c>
      <c r="H43" s="84">
        <f>+'PCR Cycle 2'!H47</f>
        <v>1.1114899999999999E-3</v>
      </c>
      <c r="I43" s="93">
        <f>+'PCR Cycle 2'!I47</f>
        <v>1.1122199999999999E-3</v>
      </c>
      <c r="J43" s="84">
        <f>+'PCR Cycle 2'!J47</f>
        <v>1.1122199999999999E-3</v>
      </c>
      <c r="K43" s="84">
        <f>+'PCR Cycle 2'!K47</f>
        <v>1.1122199999999999E-3</v>
      </c>
      <c r="L43" s="86"/>
    </row>
    <row r="44" spans="1:12" x14ac:dyDescent="0.35">
      <c r="A44" s="40" t="s">
        <v>37</v>
      </c>
      <c r="B44" s="40"/>
      <c r="C44" s="107"/>
      <c r="D44" s="84"/>
      <c r="E44" s="84"/>
      <c r="F44" s="84"/>
      <c r="G44" s="85"/>
      <c r="H44" s="84"/>
      <c r="I44" s="86"/>
      <c r="J44" s="84"/>
      <c r="K44" s="84"/>
      <c r="L44" s="86"/>
    </row>
    <row r="45" spans="1:12" x14ac:dyDescent="0.35">
      <c r="A45" s="47" t="s">
        <v>24</v>
      </c>
      <c r="C45" s="101">
        <v>-261</v>
      </c>
      <c r="D45" s="42">
        <f t="shared" ref="D45:L45" si="12">ROUND((C38+C45+D32/2)*D$43,2)</f>
        <v>131.33000000000001</v>
      </c>
      <c r="E45" s="42">
        <f t="shared" si="12"/>
        <v>173.27</v>
      </c>
      <c r="F45" s="109">
        <f t="shared" si="12"/>
        <v>165.92</v>
      </c>
      <c r="G45" s="41">
        <f t="shared" si="12"/>
        <v>181.38</v>
      </c>
      <c r="H45" s="124">
        <f t="shared" si="12"/>
        <v>249.55</v>
      </c>
      <c r="I45" s="50">
        <f t="shared" si="12"/>
        <v>333.08</v>
      </c>
      <c r="J45" s="163">
        <f t="shared" si="12"/>
        <v>435.45</v>
      </c>
      <c r="K45" s="109">
        <f t="shared" si="12"/>
        <v>532.39</v>
      </c>
      <c r="L45" s="62">
        <f t="shared" si="12"/>
        <v>0</v>
      </c>
    </row>
    <row r="46" spans="1:12" x14ac:dyDescent="0.35">
      <c r="A46" s="47" t="s">
        <v>135</v>
      </c>
      <c r="C46" s="101">
        <v>424.38</v>
      </c>
      <c r="D46" s="42">
        <f t="shared" ref="D46:L46" si="13">ROUND((C39+C46+D33/2)*D$43,2)</f>
        <v>-221.27</v>
      </c>
      <c r="E46" s="42">
        <f t="shared" si="13"/>
        <v>-239.43</v>
      </c>
      <c r="F46" s="109">
        <f t="shared" si="13"/>
        <v>-288.23</v>
      </c>
      <c r="G46" s="41">
        <f t="shared" si="13"/>
        <v>-313.58</v>
      </c>
      <c r="H46" s="124">
        <f t="shared" si="13"/>
        <v>-303.98</v>
      </c>
      <c r="I46" s="50">
        <f t="shared" si="13"/>
        <v>-287.41000000000003</v>
      </c>
      <c r="J46" s="163">
        <f t="shared" si="13"/>
        <v>-256.77999999999997</v>
      </c>
      <c r="K46" s="109">
        <f t="shared" si="13"/>
        <v>-222.43</v>
      </c>
      <c r="L46" s="62">
        <f t="shared" si="13"/>
        <v>0</v>
      </c>
    </row>
    <row r="47" spans="1:12" x14ac:dyDescent="0.35">
      <c r="A47" s="47" t="s">
        <v>136</v>
      </c>
      <c r="C47" s="101">
        <v>-1016.1600000000001</v>
      </c>
      <c r="D47" s="42">
        <f t="shared" ref="D47:L47" si="14">ROUND((C40+C47+D34/2)*D$43,2)</f>
        <v>466.57</v>
      </c>
      <c r="E47" s="42">
        <f t="shared" si="14"/>
        <v>495.95</v>
      </c>
      <c r="F47" s="109">
        <f t="shared" si="14"/>
        <v>517.28</v>
      </c>
      <c r="G47" s="41">
        <f t="shared" si="14"/>
        <v>531.69000000000005</v>
      </c>
      <c r="H47" s="124">
        <f t="shared" si="14"/>
        <v>543.01</v>
      </c>
      <c r="I47" s="50">
        <f t="shared" si="14"/>
        <v>561.14</v>
      </c>
      <c r="J47" s="163">
        <f t="shared" si="14"/>
        <v>594.78</v>
      </c>
      <c r="K47" s="109">
        <f t="shared" si="14"/>
        <v>633.62</v>
      </c>
      <c r="L47" s="62">
        <f t="shared" si="14"/>
        <v>0</v>
      </c>
    </row>
    <row r="48" spans="1:12" ht="15" thickBot="1" x14ac:dyDescent="0.4">
      <c r="A48" s="47" t="s">
        <v>137</v>
      </c>
      <c r="C48" s="101">
        <v>-289.77999999999997</v>
      </c>
      <c r="D48" s="42">
        <f t="shared" ref="D48:L48" si="15">ROUND((C41+C48+D35/2)*D$43,2)</f>
        <v>135.13</v>
      </c>
      <c r="E48" s="42">
        <f t="shared" si="15"/>
        <v>138.96</v>
      </c>
      <c r="F48" s="109">
        <f t="shared" si="15"/>
        <v>141.66</v>
      </c>
      <c r="G48" s="41">
        <f t="shared" si="15"/>
        <v>148.79</v>
      </c>
      <c r="H48" s="124">
        <f t="shared" si="15"/>
        <v>158.58000000000001</v>
      </c>
      <c r="I48" s="50">
        <f t="shared" si="15"/>
        <v>167.32</v>
      </c>
      <c r="J48" s="163">
        <f t="shared" si="15"/>
        <v>180.27</v>
      </c>
      <c r="K48" s="109">
        <f t="shared" si="15"/>
        <v>194.84</v>
      </c>
      <c r="L48" s="62">
        <f t="shared" si="15"/>
        <v>0</v>
      </c>
    </row>
    <row r="49" spans="1:12" ht="15.5" thickTop="1" thickBot="1" x14ac:dyDescent="0.4">
      <c r="A49" s="55" t="s">
        <v>22</v>
      </c>
      <c r="B49" s="55"/>
      <c r="C49" s="108">
        <v>0</v>
      </c>
      <c r="D49" s="43">
        <f t="shared" ref="D49:L49" si="16">SUM(D45:D48)+SUM(D38:D41)-D52</f>
        <v>0</v>
      </c>
      <c r="E49" s="43">
        <f t="shared" si="16"/>
        <v>0</v>
      </c>
      <c r="F49" s="51">
        <f t="shared" si="16"/>
        <v>0</v>
      </c>
      <c r="G49" s="146">
        <f t="shared" si="16"/>
        <v>0</v>
      </c>
      <c r="H49" s="51">
        <f t="shared" si="16"/>
        <v>0</v>
      </c>
      <c r="I49" s="63">
        <f t="shared" si="16"/>
        <v>0</v>
      </c>
      <c r="J49" s="164">
        <f t="shared" si="16"/>
        <v>0</v>
      </c>
      <c r="K49" s="51">
        <f t="shared" si="16"/>
        <v>0</v>
      </c>
      <c r="L49" s="63">
        <f t="shared" si="16"/>
        <v>0</v>
      </c>
    </row>
    <row r="50" spans="1:12" ht="15.5" thickTop="1" thickBot="1" x14ac:dyDescent="0.4">
      <c r="A50" s="55" t="s">
        <v>23</v>
      </c>
      <c r="B50" s="55"/>
      <c r="C50" s="108">
        <v>0</v>
      </c>
      <c r="D50" s="43">
        <f t="shared" ref="D50:L50" si="17">SUM(D45:D48)-D29</f>
        <v>9.9999999999909051E-3</v>
      </c>
      <c r="E50" s="43">
        <f t="shared" si="17"/>
        <v>0</v>
      </c>
      <c r="F50" s="51">
        <f t="shared" si="17"/>
        <v>0</v>
      </c>
      <c r="G50" s="146">
        <f t="shared" si="17"/>
        <v>0</v>
      </c>
      <c r="H50" s="51">
        <f t="shared" si="17"/>
        <v>0</v>
      </c>
      <c r="I50" s="63">
        <f t="shared" si="17"/>
        <v>-1.0000000000104592E-2</v>
      </c>
      <c r="J50" s="165">
        <f t="shared" si="17"/>
        <v>0</v>
      </c>
      <c r="K50" s="43">
        <f t="shared" si="17"/>
        <v>0</v>
      </c>
      <c r="L50" s="43">
        <f t="shared" si="17"/>
        <v>0</v>
      </c>
    </row>
    <row r="51" spans="1:12" ht="15.5" thickTop="1" thickBot="1" x14ac:dyDescent="0.4">
      <c r="C51" s="100"/>
      <c r="D51" s="17"/>
      <c r="E51" s="17"/>
      <c r="F51" s="17"/>
      <c r="G51" s="10"/>
      <c r="H51" s="17"/>
      <c r="I51" s="11"/>
      <c r="J51" s="17"/>
      <c r="K51" s="17"/>
      <c r="L51" s="11"/>
    </row>
    <row r="52" spans="1:12" ht="15" thickBot="1" x14ac:dyDescent="0.4">
      <c r="A52" s="47" t="s">
        <v>36</v>
      </c>
      <c r="B52" s="120">
        <f>SUM(B38:B41)</f>
        <v>57007.621339999925</v>
      </c>
      <c r="C52" s="101">
        <f t="shared" ref="C52:L52" si="18">(C15-SUM(C18:C21))+SUM(C45:C48)+B52</f>
        <v>408356.59697999991</v>
      </c>
      <c r="D52" s="42">
        <f t="shared" si="18"/>
        <v>504296.87697999988</v>
      </c>
      <c r="E52" s="42">
        <f t="shared" si="18"/>
        <v>517629.92697999981</v>
      </c>
      <c r="F52" s="109">
        <f t="shared" si="18"/>
        <v>441600.05697999976</v>
      </c>
      <c r="G52" s="41">
        <f t="shared" si="18"/>
        <v>541082.29697999987</v>
      </c>
      <c r="H52" s="42">
        <f t="shared" si="18"/>
        <v>624057.86697999993</v>
      </c>
      <c r="I52" s="62">
        <f t="shared" si="18"/>
        <v>768776.48697999993</v>
      </c>
      <c r="J52" s="163">
        <f t="shared" si="18"/>
        <v>947154.32689999999</v>
      </c>
      <c r="K52" s="109">
        <f t="shared" si="18"/>
        <v>1101103.31889</v>
      </c>
      <c r="L52" s="62">
        <f t="shared" si="18"/>
        <v>792331.59334999998</v>
      </c>
    </row>
    <row r="53" spans="1:12" x14ac:dyDescent="0.35">
      <c r="A53" s="47" t="s">
        <v>12</v>
      </c>
      <c r="C53" s="121"/>
      <c r="D53" s="17"/>
      <c r="E53" s="17"/>
      <c r="F53" s="17"/>
      <c r="G53" s="10"/>
      <c r="H53" s="17"/>
      <c r="I53" s="11"/>
      <c r="J53" s="17"/>
      <c r="K53" s="17"/>
      <c r="L53" s="11"/>
    </row>
    <row r="54" spans="1:12" ht="15" thickBot="1" x14ac:dyDescent="0.4">
      <c r="A54" s="38"/>
      <c r="B54" s="38"/>
      <c r="C54" s="147"/>
      <c r="D54" s="45"/>
      <c r="E54" s="45"/>
      <c r="F54" s="45"/>
      <c r="G54" s="44"/>
      <c r="H54" s="45"/>
      <c r="I54" s="46"/>
      <c r="J54" s="45"/>
      <c r="K54" s="45"/>
      <c r="L54" s="46"/>
    </row>
    <row r="56" spans="1:12" x14ac:dyDescent="0.35">
      <c r="A56" s="70" t="s">
        <v>11</v>
      </c>
      <c r="B56" s="70"/>
      <c r="C56" s="70"/>
    </row>
    <row r="57" spans="1:12" ht="31.5" customHeight="1" x14ac:dyDescent="0.35">
      <c r="A57" s="304" t="s">
        <v>168</v>
      </c>
      <c r="B57" s="304"/>
      <c r="C57" s="304"/>
      <c r="D57" s="304"/>
      <c r="E57" s="304"/>
      <c r="F57" s="304"/>
      <c r="G57" s="304"/>
      <c r="H57" s="304"/>
      <c r="I57" s="304"/>
      <c r="J57" s="237"/>
      <c r="K57" s="237"/>
      <c r="L57" s="237"/>
    </row>
    <row r="58" spans="1:12" ht="45" customHeight="1" x14ac:dyDescent="0.35">
      <c r="A58" s="304" t="s">
        <v>167</v>
      </c>
      <c r="B58" s="304"/>
      <c r="C58" s="304"/>
      <c r="D58" s="304"/>
      <c r="E58" s="304"/>
      <c r="F58" s="304"/>
      <c r="G58" s="304"/>
      <c r="H58" s="304"/>
      <c r="I58" s="304"/>
      <c r="J58" s="237"/>
      <c r="K58" s="237"/>
    </row>
    <row r="59" spans="1:12" ht="18.75" customHeight="1" x14ac:dyDescent="0.35">
      <c r="A59" s="304" t="s">
        <v>169</v>
      </c>
      <c r="B59" s="304"/>
      <c r="C59" s="304"/>
      <c r="D59" s="304"/>
      <c r="E59" s="304"/>
      <c r="F59" s="304"/>
      <c r="G59" s="304"/>
      <c r="H59" s="304"/>
      <c r="I59" s="304"/>
      <c r="J59" s="237"/>
      <c r="K59" s="237"/>
      <c r="L59" s="237"/>
    </row>
    <row r="60" spans="1:12" x14ac:dyDescent="0.35">
      <c r="A60" s="64" t="s">
        <v>31</v>
      </c>
      <c r="B60" s="64"/>
      <c r="C60" s="64"/>
      <c r="D60" s="40"/>
      <c r="E60" s="40"/>
      <c r="F60" s="40"/>
      <c r="G60" s="40"/>
      <c r="H60" s="40"/>
      <c r="I60" s="40"/>
    </row>
    <row r="61" spans="1:12" x14ac:dyDescent="0.35">
      <c r="A61" s="64" t="s">
        <v>164</v>
      </c>
      <c r="B61" s="64"/>
      <c r="C61" s="64"/>
      <c r="D61" s="40"/>
      <c r="E61" s="40"/>
      <c r="F61" s="40"/>
      <c r="G61" s="40"/>
      <c r="H61" s="40"/>
      <c r="I61" s="40"/>
    </row>
    <row r="62" spans="1:12" x14ac:dyDescent="0.35">
      <c r="A62" s="64" t="s">
        <v>96</v>
      </c>
      <c r="B62" s="64"/>
      <c r="C62" s="64"/>
      <c r="D62" s="40"/>
      <c r="E62" s="40"/>
      <c r="F62" s="40"/>
      <c r="G62" s="40"/>
      <c r="H62" s="40"/>
      <c r="I62" s="40"/>
    </row>
    <row r="63" spans="1:12" x14ac:dyDescent="0.35">
      <c r="A63" s="3" t="s">
        <v>165</v>
      </c>
      <c r="B63" s="3"/>
      <c r="C63" s="3"/>
    </row>
  </sheetData>
  <mergeCells count="6">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3"/>
  <sheetViews>
    <sheetView workbookViewId="0">
      <selection activeCell="H13" sqref="H13"/>
    </sheetView>
  </sheetViews>
  <sheetFormatPr defaultColWidth="9.1796875" defaultRowHeight="14.5" x14ac:dyDescent="0.35"/>
  <cols>
    <col min="1" max="1" width="43.1796875" style="47" customWidth="1"/>
    <col min="2" max="2" width="14.26953125" style="47" bestFit="1" customWidth="1"/>
    <col min="3" max="3" width="14.26953125" style="47" customWidth="1"/>
    <col min="4" max="4" width="13.26953125" style="47" bestFit="1" customWidth="1"/>
    <col min="5" max="5" width="9.7265625" style="47" bestFit="1" customWidth="1"/>
    <col min="6" max="6" width="11.26953125" style="47" bestFit="1" customWidth="1"/>
    <col min="7" max="16384" width="9.1796875" style="47"/>
  </cols>
  <sheetData>
    <row r="1" spans="1:6" x14ac:dyDescent="0.35">
      <c r="A1" s="64" t="str">
        <f>+'PPC Cycle 3'!A1</f>
        <v>Evergy Missouri West, Inc. - DSIM Rider Update Filed 12/02/2021</v>
      </c>
    </row>
    <row r="2" spans="1:6" x14ac:dyDescent="0.35">
      <c r="A2" s="9" t="str">
        <f>+'PPC Cycle 3'!A2</f>
        <v>Projections for Cycle 3 January - December 2022 DSIM</v>
      </c>
    </row>
    <row r="3" spans="1:6" ht="45.75" customHeight="1" x14ac:dyDescent="0.35">
      <c r="B3" s="299" t="s">
        <v>98</v>
      </c>
      <c r="C3" s="299"/>
      <c r="D3" s="299"/>
    </row>
    <row r="4" spans="1:6" x14ac:dyDescent="0.35">
      <c r="B4" s="71"/>
      <c r="C4" s="71"/>
      <c r="D4" s="49" t="s">
        <v>17</v>
      </c>
    </row>
    <row r="5" spans="1:6" x14ac:dyDescent="0.35">
      <c r="A5" s="20" t="s">
        <v>84</v>
      </c>
      <c r="B5" s="71"/>
      <c r="C5" s="71"/>
      <c r="D5" s="192">
        <v>0</v>
      </c>
    </row>
    <row r="6" spans="1:6" x14ac:dyDescent="0.35">
      <c r="A6" s="20" t="s">
        <v>85</v>
      </c>
      <c r="B6" s="71"/>
      <c r="C6" s="71"/>
      <c r="D6" s="192">
        <v>0</v>
      </c>
    </row>
    <row r="7" spans="1:6" ht="58" x14ac:dyDescent="0.35">
      <c r="A7" s="20"/>
      <c r="B7" s="71"/>
      <c r="C7" s="71" t="s">
        <v>93</v>
      </c>
      <c r="D7" s="275" t="s">
        <v>84</v>
      </c>
      <c r="E7" s="276" t="s">
        <v>85</v>
      </c>
      <c r="F7" s="276" t="s">
        <v>5</v>
      </c>
    </row>
    <row r="8" spans="1:6" x14ac:dyDescent="0.35">
      <c r="A8" s="20" t="s">
        <v>24</v>
      </c>
      <c r="B8" s="71"/>
      <c r="C8" s="191">
        <v>4.8576473868458666E-3</v>
      </c>
      <c r="D8" s="220">
        <v>0</v>
      </c>
      <c r="E8" s="220">
        <v>0</v>
      </c>
      <c r="F8" s="220">
        <f>ROUND(SUM(D5:D6)*C8,2)</f>
        <v>0</v>
      </c>
    </row>
    <row r="9" spans="1:6" x14ac:dyDescent="0.35">
      <c r="A9" s="20" t="s">
        <v>25</v>
      </c>
      <c r="B9" s="71"/>
      <c r="C9" s="191">
        <v>0.99514235261315409</v>
      </c>
      <c r="D9" s="220">
        <v>0</v>
      </c>
      <c r="E9" s="220">
        <v>0</v>
      </c>
      <c r="F9" s="220">
        <f>ROUND(SUM(D5:D6)*C9,2)</f>
        <v>0</v>
      </c>
    </row>
    <row r="10" spans="1:6" ht="15" thickBot="1" x14ac:dyDescent="0.4">
      <c r="A10" s="20" t="s">
        <v>5</v>
      </c>
      <c r="B10" s="71"/>
      <c r="C10" s="191">
        <f>SUM(C8:C9)</f>
        <v>1</v>
      </c>
      <c r="D10" s="221">
        <f>SUM(D8:D9)</f>
        <v>0</v>
      </c>
      <c r="E10" s="221">
        <f>SUM(E8:E9)</f>
        <v>0</v>
      </c>
      <c r="F10" s="221">
        <f>SUM(F8:F9)</f>
        <v>0</v>
      </c>
    </row>
    <row r="11" spans="1:6" ht="15.5" thickTop="1" thickBot="1" x14ac:dyDescent="0.4">
      <c r="B11" s="23"/>
      <c r="C11" s="23"/>
      <c r="D11" s="222">
        <f>+D10-D5</f>
        <v>0</v>
      </c>
      <c r="E11" s="222">
        <f>+E10-D6</f>
        <v>0</v>
      </c>
      <c r="F11" s="222">
        <f>ROUND(D5+D6,2)-F10</f>
        <v>0</v>
      </c>
    </row>
    <row r="12" spans="1:6" ht="58.5" thickTop="1" x14ac:dyDescent="0.35">
      <c r="D12" s="231"/>
      <c r="E12" s="230" t="s">
        <v>111</v>
      </c>
    </row>
    <row r="13" spans="1:6" x14ac:dyDescent="0.35">
      <c r="A13" s="20" t="s">
        <v>108</v>
      </c>
      <c r="D13" s="220">
        <f>ROUND($F$9*E13,2)</f>
        <v>0</v>
      </c>
      <c r="E13" s="228">
        <f>+'PCR Cycle 2'!K8</f>
        <v>0.39209287804949344</v>
      </c>
    </row>
    <row r="14" spans="1:6" x14ac:dyDescent="0.35">
      <c r="A14" s="20" t="s">
        <v>109</v>
      </c>
      <c r="D14" s="220">
        <f>ROUND($F$9*E14,2)</f>
        <v>0</v>
      </c>
      <c r="E14" s="228">
        <f>+'PCR Cycle 2'!K9</f>
        <v>0.45435908608374953</v>
      </c>
    </row>
    <row r="15" spans="1:6" ht="15" thickBot="1" x14ac:dyDescent="0.4">
      <c r="A15" s="20" t="s">
        <v>110</v>
      </c>
      <c r="D15" s="220">
        <f>ROUND($F$9*E15,2)</f>
        <v>0</v>
      </c>
      <c r="E15" s="228">
        <f>+'PCR Cycle 2'!K10</f>
        <v>0.15354803586675725</v>
      </c>
    </row>
    <row r="16" spans="1:6" ht="15.5" thickTop="1" thickBot="1" x14ac:dyDescent="0.4">
      <c r="A16" s="20" t="s">
        <v>112</v>
      </c>
      <c r="D16" s="33">
        <f>SUM(D13:D15)</f>
        <v>0</v>
      </c>
      <c r="E16" s="229">
        <f>SUM(E13:E15)</f>
        <v>1.0000000000000002</v>
      </c>
    </row>
    <row r="17" spans="1:5" ht="15" thickTop="1" x14ac:dyDescent="0.35"/>
    <row r="18" spans="1:5" x14ac:dyDescent="0.35">
      <c r="A18" s="54" t="s">
        <v>11</v>
      </c>
    </row>
    <row r="19" spans="1:5" s="40" customFormat="1" x14ac:dyDescent="0.35">
      <c r="A19" s="3" t="s">
        <v>187</v>
      </c>
      <c r="B19" s="47"/>
      <c r="C19" s="47"/>
      <c r="D19" s="47"/>
    </row>
    <row r="20" spans="1:5" s="40" customFormat="1" x14ac:dyDescent="0.35">
      <c r="A20" s="3" t="s">
        <v>189</v>
      </c>
      <c r="B20" s="47"/>
      <c r="C20" s="47"/>
      <c r="D20" s="47"/>
    </row>
    <row r="21" spans="1:5" s="40" customFormat="1" x14ac:dyDescent="0.35">
      <c r="A21" s="3"/>
      <c r="B21" s="47"/>
      <c r="C21" s="47"/>
      <c r="D21" s="47"/>
    </row>
    <row r="23" spans="1:5" x14ac:dyDescent="0.35">
      <c r="A23" s="3"/>
      <c r="D23" s="193"/>
    </row>
    <row r="24" spans="1:5" x14ac:dyDescent="0.35">
      <c r="D24" s="193"/>
    </row>
    <row r="25" spans="1:5" x14ac:dyDescent="0.35">
      <c r="B25" s="71"/>
      <c r="D25" s="193"/>
    </row>
    <row r="26" spans="1:5" x14ac:dyDescent="0.35">
      <c r="A26" s="217"/>
      <c r="B26" s="218"/>
      <c r="D26" s="193"/>
    </row>
    <row r="27" spans="1:5" x14ac:dyDescent="0.35">
      <c r="A27" s="217"/>
      <c r="B27" s="218"/>
      <c r="D27" s="193"/>
    </row>
    <row r="28" spans="1:5" x14ac:dyDescent="0.35">
      <c r="A28" s="217"/>
      <c r="B28" s="218"/>
      <c r="D28" s="193"/>
    </row>
    <row r="29" spans="1:5" x14ac:dyDescent="0.35">
      <c r="A29" s="217"/>
      <c r="B29" s="218"/>
      <c r="D29" s="193"/>
      <c r="E29" s="274"/>
    </row>
    <row r="30" spans="1:5" x14ac:dyDescent="0.35">
      <c r="A30" s="217"/>
      <c r="B30" s="194"/>
      <c r="D30" s="193"/>
    </row>
    <row r="31" spans="1:5" x14ac:dyDescent="0.35">
      <c r="A31" s="217"/>
      <c r="B31" s="194"/>
      <c r="D31" s="193"/>
    </row>
    <row r="32" spans="1:5" ht="16" x14ac:dyDescent="0.5">
      <c r="A32" s="217"/>
      <c r="B32" s="194"/>
      <c r="D32" s="219"/>
    </row>
    <row r="33" spans="1:4" x14ac:dyDescent="0.35">
      <c r="A33" s="217"/>
      <c r="D33" s="193"/>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3"/>
  <sheetViews>
    <sheetView workbookViewId="0"/>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5.453125" style="47" customWidth="1"/>
    <col min="5" max="5" width="15.81640625" style="47" bestFit="1" customWidth="1"/>
    <col min="6" max="6" width="12.26953125" style="47" bestFit="1" customWidth="1"/>
    <col min="7" max="8" width="13.26953125" style="47" bestFit="1" customWidth="1"/>
    <col min="9" max="9" width="12.26953125" style="47" bestFit="1" customWidth="1"/>
    <col min="10" max="10" width="12.453125" style="47" customWidth="1"/>
    <col min="11" max="11" width="12.81640625" style="47" customWidth="1"/>
    <col min="12" max="12" width="16" style="47" customWidth="1"/>
    <col min="13" max="13" width="15" style="47" bestFit="1" customWidth="1"/>
    <col min="14" max="14" width="16" style="47" bestFit="1" customWidth="1"/>
    <col min="15" max="15" width="17.81640625" style="47"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Missouri West, Inc. - DSIM Rider Update Filed 12/02/2021</v>
      </c>
      <c r="B1" s="3"/>
      <c r="C1" s="3"/>
    </row>
    <row r="2" spans="1:35" x14ac:dyDescent="0.35">
      <c r="D2" s="3" t="s">
        <v>97</v>
      </c>
    </row>
    <row r="3" spans="1:35" ht="29" x14ac:dyDescent="0.35">
      <c r="D3" s="49" t="s">
        <v>46</v>
      </c>
      <c r="E3" s="71" t="s">
        <v>17</v>
      </c>
      <c r="F3" s="49" t="s">
        <v>3</v>
      </c>
      <c r="G3" s="71" t="s">
        <v>55</v>
      </c>
      <c r="H3" s="49" t="s">
        <v>10</v>
      </c>
      <c r="I3" s="49" t="s">
        <v>18</v>
      </c>
      <c r="S3" s="49"/>
    </row>
    <row r="4" spans="1:35" x14ac:dyDescent="0.35">
      <c r="A4" s="20" t="s">
        <v>24</v>
      </c>
      <c r="B4" s="20"/>
      <c r="C4" s="20"/>
      <c r="D4" s="22">
        <f>SUM(C18:L18)</f>
        <v>-26.2</v>
      </c>
      <c r="E4" s="22">
        <f>SUM(C22:K22)</f>
        <v>-24.29</v>
      </c>
      <c r="F4" s="22">
        <f>E4-D4</f>
        <v>1.9100000000000001</v>
      </c>
      <c r="G4" s="22">
        <f>+B32</f>
        <v>0</v>
      </c>
      <c r="H4" s="22">
        <f>SUM(C37:K37)</f>
        <v>-1.91</v>
      </c>
      <c r="I4" s="292">
        <f>SUM(F4:H4)</f>
        <v>0</v>
      </c>
      <c r="J4" s="48">
        <f>+I4-L32</f>
        <v>0</v>
      </c>
      <c r="M4" s="48"/>
    </row>
    <row r="5" spans="1:35" ht="15" thickBot="1" x14ac:dyDescent="0.4">
      <c r="A5" s="20" t="s">
        <v>25</v>
      </c>
      <c r="B5" s="20"/>
      <c r="C5" s="20"/>
      <c r="D5" s="22">
        <f>SUM(C19:L19)</f>
        <v>-5273.93</v>
      </c>
      <c r="E5" s="22">
        <f>SUM(C23:K23)</f>
        <v>-4975.71</v>
      </c>
      <c r="F5" s="22">
        <f>E5-D5</f>
        <v>298.22000000000025</v>
      </c>
      <c r="G5" s="22">
        <f>+B33</f>
        <v>0</v>
      </c>
      <c r="H5" s="22">
        <f>SUM(C38:K38)</f>
        <v>-298.21999999999997</v>
      </c>
      <c r="I5" s="292">
        <f>SUM(F5:H5)</f>
        <v>0</v>
      </c>
      <c r="J5" s="48">
        <f>+I5-L33</f>
        <v>0</v>
      </c>
      <c r="M5" s="48"/>
    </row>
    <row r="6" spans="1:35" ht="15.5" thickTop="1" thickBot="1" x14ac:dyDescent="0.4">
      <c r="D6" s="28">
        <f t="shared" ref="D6" si="0">SUM(D4:D5)</f>
        <v>-5300.13</v>
      </c>
      <c r="E6" s="28">
        <f>SUM(E4:E5)</f>
        <v>-5000</v>
      </c>
      <c r="F6" s="28">
        <f>SUM(F4:F5)</f>
        <v>300.13000000000028</v>
      </c>
      <c r="G6" s="28">
        <f>SUM(G4:G5)</f>
        <v>0</v>
      </c>
      <c r="H6" s="28">
        <f>SUM(H4:H5)</f>
        <v>-300.13</v>
      </c>
      <c r="I6" s="28">
        <f>SUM(I4:I5)</f>
        <v>0</v>
      </c>
      <c r="T6" s="5"/>
    </row>
    <row r="7" spans="1:35" ht="44" thickTop="1" x14ac:dyDescent="0.35">
      <c r="I7" s="231"/>
      <c r="J7" s="230" t="s">
        <v>123</v>
      </c>
    </row>
    <row r="8" spans="1:35" x14ac:dyDescent="0.35">
      <c r="A8" s="20" t="s">
        <v>108</v>
      </c>
      <c r="I8" s="26">
        <f>ROUND($I$5*J8,2)</f>
        <v>0</v>
      </c>
      <c r="J8" s="228">
        <f>+'PCR Cycle 2'!K8</f>
        <v>0.39209287804949344</v>
      </c>
    </row>
    <row r="9" spans="1:35" x14ac:dyDescent="0.35">
      <c r="A9" s="20" t="s">
        <v>109</v>
      </c>
      <c r="I9" s="26">
        <f t="shared" ref="I9:I10" si="1">ROUND($I$5*J9,2)</f>
        <v>0</v>
      </c>
      <c r="J9" s="228">
        <f>+'PCR Cycle 2'!K9</f>
        <v>0.45435908608374953</v>
      </c>
    </row>
    <row r="10" spans="1:35" ht="15" thickBot="1" x14ac:dyDescent="0.4">
      <c r="A10" s="20" t="s">
        <v>110</v>
      </c>
      <c r="I10" s="26">
        <f t="shared" si="1"/>
        <v>0</v>
      </c>
      <c r="J10" s="228">
        <f>+'PCR Cycle 2'!K10</f>
        <v>0.15354803586675725</v>
      </c>
    </row>
    <row r="11" spans="1:35" ht="15.5" thickTop="1" thickBot="1" x14ac:dyDescent="0.4">
      <c r="A11" s="20" t="s">
        <v>112</v>
      </c>
      <c r="I11" s="28">
        <f>SUM(I8:I10)</f>
        <v>0</v>
      </c>
      <c r="J11" s="229">
        <f>SUM(J8:J10)</f>
        <v>1.0000000000000002</v>
      </c>
      <c r="V11" s="4"/>
    </row>
    <row r="12" spans="1:35" ht="15.5" thickTop="1" thickBot="1" x14ac:dyDescent="0.4">
      <c r="V12" s="4"/>
      <c r="W12" s="5"/>
    </row>
    <row r="13" spans="1:35" ht="102" thickBot="1" x14ac:dyDescent="0.4">
      <c r="B13" s="119" t="str">
        <f>+'PCR Cycle 2'!B13</f>
        <v>Cumulative Over/Under Carryover From 06/01/2021 Filing</v>
      </c>
      <c r="C13" s="152" t="str">
        <f>+'PCR Cycle 2'!C13</f>
        <v>Reverse May 2021 - July 2021  Forecast From 06/01/2021 Filing</v>
      </c>
      <c r="D13" s="305" t="s">
        <v>33</v>
      </c>
      <c r="E13" s="305"/>
      <c r="F13" s="306"/>
      <c r="G13" s="312" t="s">
        <v>33</v>
      </c>
      <c r="H13" s="313"/>
      <c r="I13" s="314"/>
      <c r="J13" s="301" t="s">
        <v>8</v>
      </c>
      <c r="K13" s="302"/>
      <c r="L13" s="303"/>
    </row>
    <row r="14" spans="1:35" x14ac:dyDescent="0.35">
      <c r="A14" s="47" t="s">
        <v>91</v>
      </c>
      <c r="C14" s="106"/>
      <c r="D14" s="19">
        <f>+'PCR Cycle 2'!D14</f>
        <v>44347</v>
      </c>
      <c r="E14" s="19">
        <f t="shared" ref="E14:L14" si="2">EOMONTH(D14,1)</f>
        <v>44377</v>
      </c>
      <c r="F14" s="19">
        <f t="shared" si="2"/>
        <v>44408</v>
      </c>
      <c r="G14" s="14">
        <f t="shared" si="2"/>
        <v>44439</v>
      </c>
      <c r="H14" s="19">
        <f t="shared" si="2"/>
        <v>44469</v>
      </c>
      <c r="I14" s="15">
        <f t="shared" si="2"/>
        <v>44500</v>
      </c>
      <c r="J14" s="19">
        <f t="shared" si="2"/>
        <v>44530</v>
      </c>
      <c r="K14" s="19">
        <f t="shared" si="2"/>
        <v>44561</v>
      </c>
      <c r="L14" s="15">
        <f t="shared" si="2"/>
        <v>44592</v>
      </c>
      <c r="Z14" s="1"/>
      <c r="AA14" s="1"/>
      <c r="AB14" s="1"/>
      <c r="AC14" s="1"/>
      <c r="AD14" s="1"/>
      <c r="AE14" s="1"/>
      <c r="AF14" s="1"/>
      <c r="AG14" s="1"/>
      <c r="AH14" s="1"/>
      <c r="AI14" s="1"/>
    </row>
    <row r="15" spans="1:35" x14ac:dyDescent="0.35">
      <c r="A15" s="47" t="s">
        <v>5</v>
      </c>
      <c r="C15" s="98">
        <v>0</v>
      </c>
      <c r="D15" s="110">
        <f>SUM(D22:D23)</f>
        <v>0</v>
      </c>
      <c r="E15" s="110">
        <f t="shared" ref="E15:H15" si="3">SUM(E22:E23)</f>
        <v>0</v>
      </c>
      <c r="F15" s="111">
        <f t="shared" si="3"/>
        <v>0</v>
      </c>
      <c r="G15" s="16">
        <f t="shared" si="3"/>
        <v>-5000</v>
      </c>
      <c r="H15" s="56">
        <f t="shared" si="3"/>
        <v>0</v>
      </c>
      <c r="I15" s="166">
        <f>+I22+I23</f>
        <v>0</v>
      </c>
      <c r="J15" s="159">
        <f t="shared" ref="J15:K15" si="4">+J22+J23</f>
        <v>0</v>
      </c>
      <c r="K15" s="79">
        <f t="shared" si="4"/>
        <v>0</v>
      </c>
      <c r="L15" s="80"/>
    </row>
    <row r="16" spans="1:35" x14ac:dyDescent="0.35">
      <c r="C16" s="100"/>
      <c r="D16" s="17"/>
      <c r="E16" s="17"/>
      <c r="F16" s="17"/>
      <c r="G16" s="29"/>
      <c r="H16" s="17"/>
      <c r="I16" s="11"/>
      <c r="J16" s="32"/>
      <c r="K16" s="32"/>
      <c r="L16" s="30"/>
    </row>
    <row r="17" spans="1:14" x14ac:dyDescent="0.35">
      <c r="A17" s="47" t="s">
        <v>90</v>
      </c>
      <c r="C17" s="100"/>
      <c r="D17" s="18"/>
      <c r="E17" s="18"/>
      <c r="F17" s="18"/>
      <c r="G17" s="293"/>
      <c r="H17" s="18"/>
      <c r="I17" s="167"/>
      <c r="J17" s="32"/>
      <c r="K17" s="32"/>
      <c r="L17" s="30"/>
      <c r="M17" s="3" t="s">
        <v>50</v>
      </c>
      <c r="N17" s="40"/>
    </row>
    <row r="18" spans="1:14" x14ac:dyDescent="0.35">
      <c r="A18" s="47" t="s">
        <v>24</v>
      </c>
      <c r="C18" s="98">
        <v>0</v>
      </c>
      <c r="D18" s="135">
        <v>0</v>
      </c>
      <c r="E18" s="135">
        <v>0</v>
      </c>
      <c r="F18" s="188">
        <v>0</v>
      </c>
      <c r="G18" s="16">
        <f>ROUND('[4]Aug 2021'!F16,2)-0.45</f>
        <v>-26.2</v>
      </c>
      <c r="H18" s="122">
        <v>0</v>
      </c>
      <c r="I18" s="168">
        <v>0</v>
      </c>
      <c r="J18" s="124">
        <f>'PCR Cycle 2'!J26*$M18</f>
        <v>0</v>
      </c>
      <c r="K18" s="42">
        <f>'PCR Cycle 2'!K26*$M18</f>
        <v>0</v>
      </c>
      <c r="L18" s="62">
        <f>'PCR Cycle 2'!L26*$M18</f>
        <v>0</v>
      </c>
      <c r="M18" s="73">
        <v>0</v>
      </c>
      <c r="N18" s="4"/>
    </row>
    <row r="19" spans="1:14" x14ac:dyDescent="0.35">
      <c r="A19" s="47" t="s">
        <v>25</v>
      </c>
      <c r="C19" s="98">
        <v>0</v>
      </c>
      <c r="D19" s="135">
        <v>0</v>
      </c>
      <c r="E19" s="135">
        <v>0</v>
      </c>
      <c r="F19" s="188">
        <v>0</v>
      </c>
      <c r="G19" s="16">
        <f>ROUND('[4]Aug 2021'!F17,2)+0.45</f>
        <v>-5273.93</v>
      </c>
      <c r="H19" s="122">
        <v>0</v>
      </c>
      <c r="I19" s="168">
        <v>0</v>
      </c>
      <c r="J19" s="124">
        <f>SUM('PCR Cycle 2'!J27:J29)*$M19</f>
        <v>0</v>
      </c>
      <c r="K19" s="42">
        <f>SUM('PCR Cycle 2'!K27:K29)*$M19</f>
        <v>0</v>
      </c>
      <c r="L19" s="62">
        <f>SUM('PCR Cycle 2'!L27:L29)*$M19</f>
        <v>0</v>
      </c>
      <c r="M19" s="73">
        <v>0</v>
      </c>
      <c r="N19" s="4"/>
    </row>
    <row r="20" spans="1:14" x14ac:dyDescent="0.35">
      <c r="C20" s="68"/>
      <c r="D20" s="69"/>
      <c r="E20" s="69"/>
      <c r="F20" s="69"/>
      <c r="G20" s="99"/>
      <c r="H20" s="69"/>
      <c r="I20" s="169"/>
      <c r="J20" s="57"/>
      <c r="K20" s="57"/>
      <c r="L20" s="13"/>
      <c r="N20" s="4"/>
    </row>
    <row r="21" spans="1:14" x14ac:dyDescent="0.35">
      <c r="A21" s="47" t="s">
        <v>92</v>
      </c>
      <c r="C21" s="37"/>
      <c r="D21" s="38"/>
      <c r="E21" s="38"/>
      <c r="F21" s="38"/>
      <c r="G21" s="37"/>
      <c r="H21" s="38"/>
      <c r="I21" s="172"/>
      <c r="J21" s="53"/>
      <c r="K21" s="53"/>
      <c r="L21" s="39"/>
    </row>
    <row r="22" spans="1:14" x14ac:dyDescent="0.35">
      <c r="A22" s="47" t="s">
        <v>24</v>
      </c>
      <c r="C22" s="98">
        <v>0</v>
      </c>
      <c r="D22" s="110">
        <v>0</v>
      </c>
      <c r="E22" s="110">
        <v>0</v>
      </c>
      <c r="F22" s="111">
        <v>0</v>
      </c>
      <c r="G22" s="16">
        <f>ROUND(-'[21]MO West'!E111,2)</f>
        <v>-24.29</v>
      </c>
      <c r="H22" s="56">
        <v>0</v>
      </c>
      <c r="I22" s="166">
        <v>0</v>
      </c>
      <c r="J22" s="161">
        <v>0</v>
      </c>
      <c r="K22" s="142">
        <v>0</v>
      </c>
      <c r="L22" s="80"/>
    </row>
    <row r="23" spans="1:14" x14ac:dyDescent="0.35">
      <c r="A23" s="47" t="s">
        <v>25</v>
      </c>
      <c r="C23" s="98">
        <v>0</v>
      </c>
      <c r="D23" s="110">
        <v>0</v>
      </c>
      <c r="E23" s="110">
        <v>0</v>
      </c>
      <c r="F23" s="111">
        <v>0</v>
      </c>
      <c r="G23" s="16">
        <f>ROUND(-'[21]MO West'!E112,2)</f>
        <v>-4975.71</v>
      </c>
      <c r="H23" s="56">
        <v>0</v>
      </c>
      <c r="I23" s="166">
        <v>0</v>
      </c>
      <c r="J23" s="161">
        <v>0</v>
      </c>
      <c r="K23" s="142">
        <v>0</v>
      </c>
      <c r="L23" s="80"/>
      <c r="N23" s="48"/>
    </row>
    <row r="24" spans="1:14" x14ac:dyDescent="0.35">
      <c r="C24" s="100"/>
      <c r="D24" s="18"/>
      <c r="E24" s="18"/>
      <c r="F24" s="18"/>
      <c r="G24" s="293"/>
      <c r="H24" s="18"/>
      <c r="I24" s="167"/>
      <c r="J24" s="57"/>
      <c r="K24" s="57"/>
      <c r="L24" s="13"/>
    </row>
    <row r="25" spans="1:14" ht="15" thickBot="1" x14ac:dyDescent="0.4">
      <c r="A25" s="3" t="s">
        <v>14</v>
      </c>
      <c r="B25" s="3"/>
      <c r="C25" s="104">
        <v>0</v>
      </c>
      <c r="D25" s="135">
        <v>0</v>
      </c>
      <c r="E25" s="135">
        <v>0</v>
      </c>
      <c r="F25" s="136">
        <v>0</v>
      </c>
      <c r="G25" s="27">
        <v>-300.13</v>
      </c>
      <c r="H25" s="123">
        <v>0</v>
      </c>
      <c r="I25" s="173">
        <v>0</v>
      </c>
      <c r="J25" s="162"/>
      <c r="K25" s="144"/>
      <c r="L25" s="83"/>
    </row>
    <row r="26" spans="1:14" x14ac:dyDescent="0.35">
      <c r="C26" s="65"/>
      <c r="D26" s="148"/>
      <c r="E26" s="148"/>
      <c r="F26" s="149"/>
      <c r="G26" s="65"/>
      <c r="H26" s="34"/>
      <c r="I26" s="174"/>
      <c r="J26" s="35"/>
      <c r="K26" s="35"/>
      <c r="L26" s="61"/>
    </row>
    <row r="27" spans="1:14" x14ac:dyDescent="0.35">
      <c r="A27" s="47" t="s">
        <v>52</v>
      </c>
      <c r="C27" s="66"/>
      <c r="D27" s="149"/>
      <c r="E27" s="149"/>
      <c r="F27" s="149"/>
      <c r="G27" s="294"/>
      <c r="H27" s="36"/>
      <c r="I27" s="175"/>
      <c r="J27" s="35"/>
      <c r="K27" s="35"/>
      <c r="L27" s="61"/>
    </row>
    <row r="28" spans="1:14" x14ac:dyDescent="0.35">
      <c r="A28" s="47" t="s">
        <v>24</v>
      </c>
      <c r="C28" s="101">
        <f t="shared" ref="C28:L28" si="5">C22-C18</f>
        <v>0</v>
      </c>
      <c r="D28" s="42">
        <f t="shared" si="5"/>
        <v>0</v>
      </c>
      <c r="E28" s="42">
        <f t="shared" si="5"/>
        <v>0</v>
      </c>
      <c r="F28" s="109">
        <f t="shared" si="5"/>
        <v>0</v>
      </c>
      <c r="G28" s="41">
        <f t="shared" si="5"/>
        <v>1.9100000000000001</v>
      </c>
      <c r="H28" s="42">
        <f t="shared" si="5"/>
        <v>0</v>
      </c>
      <c r="I28" s="62">
        <f t="shared" si="5"/>
        <v>0</v>
      </c>
      <c r="J28" s="124">
        <f t="shared" si="5"/>
        <v>0</v>
      </c>
      <c r="K28" s="42">
        <f t="shared" si="5"/>
        <v>0</v>
      </c>
      <c r="L28" s="62">
        <f t="shared" si="5"/>
        <v>0</v>
      </c>
    </row>
    <row r="29" spans="1:14" x14ac:dyDescent="0.35">
      <c r="A29" s="47" t="s">
        <v>25</v>
      </c>
      <c r="C29" s="101">
        <f t="shared" ref="C29:L29" si="6">C23-C19</f>
        <v>0</v>
      </c>
      <c r="D29" s="42">
        <f t="shared" si="6"/>
        <v>0</v>
      </c>
      <c r="E29" s="42">
        <f t="shared" si="6"/>
        <v>0</v>
      </c>
      <c r="F29" s="109">
        <f t="shared" si="6"/>
        <v>0</v>
      </c>
      <c r="G29" s="41">
        <f t="shared" si="6"/>
        <v>298.22000000000025</v>
      </c>
      <c r="H29" s="42">
        <f t="shared" si="6"/>
        <v>0</v>
      </c>
      <c r="I29" s="62">
        <f t="shared" si="6"/>
        <v>0</v>
      </c>
      <c r="J29" s="124">
        <f t="shared" si="6"/>
        <v>0</v>
      </c>
      <c r="K29" s="42">
        <f t="shared" si="6"/>
        <v>0</v>
      </c>
      <c r="L29" s="62">
        <f t="shared" si="6"/>
        <v>0</v>
      </c>
    </row>
    <row r="30" spans="1:14" x14ac:dyDescent="0.35">
      <c r="C30" s="100"/>
      <c r="D30" s="17"/>
      <c r="E30" s="17"/>
      <c r="F30" s="17"/>
      <c r="G30" s="29"/>
      <c r="H30" s="17"/>
      <c r="I30" s="11"/>
      <c r="J30" s="17"/>
      <c r="K30" s="17"/>
      <c r="L30" s="11"/>
    </row>
    <row r="31" spans="1:14" ht="15" thickBot="1" x14ac:dyDescent="0.4">
      <c r="A31" s="47" t="s">
        <v>53</v>
      </c>
      <c r="C31" s="100"/>
      <c r="D31" s="17"/>
      <c r="E31" s="17"/>
      <c r="F31" s="17"/>
      <c r="G31" s="29"/>
      <c r="H31" s="17"/>
      <c r="I31" s="11"/>
      <c r="J31" s="17"/>
      <c r="K31" s="17"/>
      <c r="L31" s="11"/>
    </row>
    <row r="32" spans="1:14" x14ac:dyDescent="0.35">
      <c r="A32" s="47" t="s">
        <v>24</v>
      </c>
      <c r="B32" s="117">
        <v>0</v>
      </c>
      <c r="C32" s="101">
        <f>B32+C28+B37</f>
        <v>0</v>
      </c>
      <c r="D32" s="42">
        <f t="shared" ref="D32:L33" si="7">C32+D28+C37</f>
        <v>0</v>
      </c>
      <c r="E32" s="42">
        <f t="shared" si="7"/>
        <v>0</v>
      </c>
      <c r="F32" s="109">
        <f t="shared" si="7"/>
        <v>0</v>
      </c>
      <c r="G32" s="41">
        <f t="shared" si="7"/>
        <v>1.9100000000000001</v>
      </c>
      <c r="H32" s="42">
        <f t="shared" si="7"/>
        <v>0</v>
      </c>
      <c r="I32" s="62">
        <f t="shared" si="7"/>
        <v>0</v>
      </c>
      <c r="J32" s="124">
        <f t="shared" si="7"/>
        <v>0</v>
      </c>
      <c r="K32" s="42">
        <f t="shared" si="7"/>
        <v>0</v>
      </c>
      <c r="L32" s="62">
        <f t="shared" si="7"/>
        <v>0</v>
      </c>
    </row>
    <row r="33" spans="1:12" ht="15" thickBot="1" x14ac:dyDescent="0.4">
      <c r="A33" s="47" t="s">
        <v>25</v>
      </c>
      <c r="B33" s="118">
        <v>0</v>
      </c>
      <c r="C33" s="101">
        <f>B33+C29+B38</f>
        <v>0</v>
      </c>
      <c r="D33" s="42">
        <f t="shared" si="7"/>
        <v>0</v>
      </c>
      <c r="E33" s="42">
        <f t="shared" si="7"/>
        <v>0</v>
      </c>
      <c r="F33" s="109">
        <f t="shared" si="7"/>
        <v>0</v>
      </c>
      <c r="G33" s="41">
        <f t="shared" si="7"/>
        <v>298.22000000000025</v>
      </c>
      <c r="H33" s="42">
        <f t="shared" si="7"/>
        <v>0</v>
      </c>
      <c r="I33" s="62">
        <f t="shared" si="7"/>
        <v>0</v>
      </c>
      <c r="J33" s="124">
        <f t="shared" si="7"/>
        <v>0</v>
      </c>
      <c r="K33" s="42">
        <f t="shared" si="7"/>
        <v>0</v>
      </c>
      <c r="L33" s="62">
        <f t="shared" si="7"/>
        <v>0</v>
      </c>
    </row>
    <row r="34" spans="1:12" x14ac:dyDescent="0.35">
      <c r="C34" s="100"/>
      <c r="D34" s="17"/>
      <c r="E34" s="17"/>
      <c r="F34" s="17"/>
      <c r="G34" s="10"/>
      <c r="H34" s="17"/>
      <c r="I34" s="11"/>
      <c r="J34" s="17"/>
      <c r="K34" s="17"/>
      <c r="L34" s="11"/>
    </row>
    <row r="35" spans="1:12" x14ac:dyDescent="0.35">
      <c r="A35" s="40" t="s">
        <v>88</v>
      </c>
      <c r="B35" s="40"/>
      <c r="C35" s="105"/>
      <c r="D35" s="84">
        <f>+'PCR Cycle 2'!D47</f>
        <v>1.1220900000000001E-3</v>
      </c>
      <c r="E35" s="84">
        <f>+'PCR Cycle 2'!E47</f>
        <v>1.1137199999999999E-3</v>
      </c>
      <c r="F35" s="84">
        <f>+'PCR Cycle 2'!F47</f>
        <v>1.11951E-3</v>
      </c>
      <c r="G35" s="85">
        <f>+'PCR Cycle 2'!G47</f>
        <v>1.11651E-3</v>
      </c>
      <c r="H35" s="84">
        <f>+'PCR Cycle 2'!H47</f>
        <v>1.1114899999999999E-3</v>
      </c>
      <c r="I35" s="93">
        <f>+'PCR Cycle 2'!I47</f>
        <v>1.1122199999999999E-3</v>
      </c>
      <c r="J35" s="84">
        <f>+'PCR Cycle 2'!J47</f>
        <v>1.1122199999999999E-3</v>
      </c>
      <c r="K35" s="84">
        <f>+'PCR Cycle 2'!K47</f>
        <v>1.1122199999999999E-3</v>
      </c>
      <c r="L35" s="86"/>
    </row>
    <row r="36" spans="1:12" x14ac:dyDescent="0.35">
      <c r="A36" s="40" t="s">
        <v>37</v>
      </c>
      <c r="B36" s="40"/>
      <c r="C36" s="107"/>
      <c r="D36" s="84"/>
      <c r="E36" s="84"/>
      <c r="F36" s="84"/>
      <c r="G36" s="85"/>
      <c r="H36" s="84"/>
      <c r="I36" s="86"/>
      <c r="J36" s="84"/>
      <c r="K36" s="84"/>
      <c r="L36" s="86"/>
    </row>
    <row r="37" spans="1:12" x14ac:dyDescent="0.35">
      <c r="A37" s="47" t="s">
        <v>24</v>
      </c>
      <c r="C37" s="101">
        <v>0</v>
      </c>
      <c r="D37" s="42">
        <f t="shared" ref="D37:L38" si="8">ROUND((C32+C37+D28/2)*D$35,2)</f>
        <v>0</v>
      </c>
      <c r="E37" s="42">
        <f t="shared" si="8"/>
        <v>0</v>
      </c>
      <c r="F37" s="109">
        <f t="shared" si="8"/>
        <v>0</v>
      </c>
      <c r="G37" s="41">
        <f>+'[22]MOWest Ordered Adjustmt Cycle 2'!$K$95</f>
        <v>-1.91</v>
      </c>
      <c r="H37" s="124">
        <f t="shared" si="8"/>
        <v>0</v>
      </c>
      <c r="I37" s="50">
        <f t="shared" si="8"/>
        <v>0</v>
      </c>
      <c r="J37" s="163">
        <f t="shared" si="8"/>
        <v>0</v>
      </c>
      <c r="K37" s="109">
        <f t="shared" si="8"/>
        <v>0</v>
      </c>
      <c r="L37" s="62">
        <f t="shared" si="8"/>
        <v>0</v>
      </c>
    </row>
    <row r="38" spans="1:12" ht="15" thickBot="1" x14ac:dyDescent="0.4">
      <c r="A38" s="47" t="s">
        <v>25</v>
      </c>
      <c r="C38" s="101">
        <v>0</v>
      </c>
      <c r="D38" s="42">
        <f t="shared" si="8"/>
        <v>0</v>
      </c>
      <c r="E38" s="42">
        <f t="shared" si="8"/>
        <v>0</v>
      </c>
      <c r="F38" s="109">
        <f t="shared" si="8"/>
        <v>0</v>
      </c>
      <c r="G38" s="41">
        <f>+'[22]MOWest Ordered Adjustmt Cycle 2'!$X$95</f>
        <v>-298.21999999999997</v>
      </c>
      <c r="H38" s="124">
        <f t="shared" si="8"/>
        <v>0</v>
      </c>
      <c r="I38" s="50">
        <f t="shared" si="8"/>
        <v>0</v>
      </c>
      <c r="J38" s="163">
        <f t="shared" si="8"/>
        <v>0</v>
      </c>
      <c r="K38" s="109">
        <f t="shared" si="8"/>
        <v>0</v>
      </c>
      <c r="L38" s="62">
        <f t="shared" si="8"/>
        <v>0</v>
      </c>
    </row>
    <row r="39" spans="1:12" ht="15.5" thickTop="1" thickBot="1" x14ac:dyDescent="0.4">
      <c r="A39" s="55" t="s">
        <v>22</v>
      </c>
      <c r="B39" s="55"/>
      <c r="C39" s="108">
        <v>0</v>
      </c>
      <c r="D39" s="43">
        <f t="shared" ref="D39:I39" si="9">SUM(D37:D38)+SUM(D32:D33)-D42</f>
        <v>0</v>
      </c>
      <c r="E39" s="43">
        <f t="shared" si="9"/>
        <v>0</v>
      </c>
      <c r="F39" s="51">
        <f t="shared" ref="F39:H39" si="10">SUM(F37:F38)+SUM(F32:F33)-F42</f>
        <v>0</v>
      </c>
      <c r="G39" s="295">
        <f t="shared" si="10"/>
        <v>1.7053025658242404E-13</v>
      </c>
      <c r="H39" s="51">
        <f t="shared" si="10"/>
        <v>-1.1368683772161603E-13</v>
      </c>
      <c r="I39" s="63">
        <f t="shared" si="9"/>
        <v>-1.1368683772161603E-13</v>
      </c>
      <c r="J39" s="164">
        <f t="shared" ref="J39:L39" si="11">SUM(J37:J38)+SUM(J32:J33)-J42</f>
        <v>-1.1368683772161603E-13</v>
      </c>
      <c r="K39" s="51">
        <f t="shared" si="11"/>
        <v>-1.1368683772161603E-13</v>
      </c>
      <c r="L39" s="63">
        <f t="shared" si="11"/>
        <v>-1.1368683772161603E-13</v>
      </c>
    </row>
    <row r="40" spans="1:12" ht="15.5" thickTop="1" thickBot="1" x14ac:dyDescent="0.4">
      <c r="A40" s="55" t="s">
        <v>23</v>
      </c>
      <c r="B40" s="55"/>
      <c r="C40" s="108">
        <v>0</v>
      </c>
      <c r="D40" s="43">
        <f t="shared" ref="D40:I40" si="12">SUM(D37:D38)-D25</f>
        <v>0</v>
      </c>
      <c r="E40" s="43">
        <f t="shared" si="12"/>
        <v>0</v>
      </c>
      <c r="F40" s="51">
        <f t="shared" ref="F40:H40" si="13">SUM(F37:F38)-F25</f>
        <v>0</v>
      </c>
      <c r="G40" s="295">
        <f t="shared" si="13"/>
        <v>0</v>
      </c>
      <c r="H40" s="51">
        <f t="shared" si="13"/>
        <v>0</v>
      </c>
      <c r="I40" s="63">
        <f t="shared" si="12"/>
        <v>0</v>
      </c>
      <c r="J40" s="165">
        <f t="shared" ref="J40:L40" si="14">SUM(J37:J38)-J25</f>
        <v>0</v>
      </c>
      <c r="K40" s="43">
        <f t="shared" si="14"/>
        <v>0</v>
      </c>
      <c r="L40" s="43">
        <f t="shared" si="14"/>
        <v>0</v>
      </c>
    </row>
    <row r="41" spans="1:12" ht="15.5" thickTop="1" thickBot="1" x14ac:dyDescent="0.4">
      <c r="C41" s="100"/>
      <c r="D41" s="17"/>
      <c r="E41" s="17"/>
      <c r="F41" s="17"/>
      <c r="G41" s="10"/>
      <c r="H41" s="17"/>
      <c r="I41" s="11"/>
      <c r="J41" s="17"/>
      <c r="K41" s="17"/>
      <c r="L41" s="11"/>
    </row>
    <row r="42" spans="1:12" ht="15" thickBot="1" x14ac:dyDescent="0.4">
      <c r="A42" s="47" t="s">
        <v>36</v>
      </c>
      <c r="B42" s="120">
        <v>0</v>
      </c>
      <c r="C42" s="101">
        <f t="shared" ref="C42:L42" si="15">(C15-SUM(C18:C19))+SUM(C37:C38)+B42</f>
        <v>0</v>
      </c>
      <c r="D42" s="42">
        <f t="shared" si="15"/>
        <v>0</v>
      </c>
      <c r="E42" s="42">
        <f t="shared" si="15"/>
        <v>0</v>
      </c>
      <c r="F42" s="109">
        <f t="shared" si="15"/>
        <v>0</v>
      </c>
      <c r="G42" s="41">
        <f t="shared" si="15"/>
        <v>1.1368683772161603E-13</v>
      </c>
      <c r="H42" s="42">
        <f t="shared" si="15"/>
        <v>1.1368683772161603E-13</v>
      </c>
      <c r="I42" s="62">
        <f t="shared" si="15"/>
        <v>1.1368683772161603E-13</v>
      </c>
      <c r="J42" s="163">
        <f t="shared" si="15"/>
        <v>1.1368683772161603E-13</v>
      </c>
      <c r="K42" s="109">
        <f t="shared" si="15"/>
        <v>1.1368683772161603E-13</v>
      </c>
      <c r="L42" s="62">
        <f t="shared" si="15"/>
        <v>1.1368683772161603E-13</v>
      </c>
    </row>
    <row r="43" spans="1:12" x14ac:dyDescent="0.35">
      <c r="A43" s="47" t="s">
        <v>12</v>
      </c>
      <c r="C43" s="121"/>
      <c r="D43" s="17"/>
      <c r="E43" s="17"/>
      <c r="F43" s="17"/>
      <c r="G43" s="10"/>
      <c r="H43" s="17"/>
      <c r="I43" s="11"/>
      <c r="J43" s="17"/>
      <c r="K43" s="17"/>
      <c r="L43" s="11"/>
    </row>
    <row r="44" spans="1:12" ht="15" thickBot="1" x14ac:dyDescent="0.4">
      <c r="A44" s="38"/>
      <c r="B44" s="38"/>
      <c r="C44" s="147"/>
      <c r="D44" s="45"/>
      <c r="E44" s="45"/>
      <c r="F44" s="45"/>
      <c r="G44" s="44"/>
      <c r="H44" s="45"/>
      <c r="I44" s="46"/>
      <c r="J44" s="45"/>
      <c r="K44" s="45"/>
      <c r="L44" s="46"/>
    </row>
    <row r="46" spans="1:12" x14ac:dyDescent="0.35">
      <c r="A46" s="70" t="s">
        <v>11</v>
      </c>
      <c r="B46" s="70"/>
      <c r="C46" s="70"/>
    </row>
    <row r="47" spans="1:12" x14ac:dyDescent="0.35">
      <c r="A47" s="316" t="s">
        <v>185</v>
      </c>
      <c r="B47" s="316"/>
      <c r="C47" s="316"/>
      <c r="D47" s="316"/>
      <c r="E47" s="316"/>
      <c r="F47" s="316"/>
      <c r="G47" s="316"/>
      <c r="H47" s="316"/>
      <c r="I47" s="316"/>
      <c r="J47" s="182"/>
      <c r="K47" s="182"/>
      <c r="L47" s="182"/>
    </row>
    <row r="48" spans="1:12" ht="32.25" customHeight="1" x14ac:dyDescent="0.35">
      <c r="A48" s="316" t="s">
        <v>186</v>
      </c>
      <c r="B48" s="316"/>
      <c r="C48" s="316"/>
      <c r="D48" s="316"/>
      <c r="E48" s="316"/>
      <c r="F48" s="316"/>
      <c r="G48" s="316"/>
      <c r="H48" s="316"/>
      <c r="I48" s="316"/>
      <c r="J48" s="182"/>
      <c r="K48" s="182"/>
    </row>
    <row r="49" spans="1:12" ht="18.75" customHeight="1" x14ac:dyDescent="0.35">
      <c r="A49" s="3" t="s">
        <v>188</v>
      </c>
      <c r="B49" s="3"/>
      <c r="C49" s="3"/>
      <c r="I49" s="4"/>
      <c r="J49" s="182"/>
      <c r="K49" s="182"/>
      <c r="L49" s="182"/>
    </row>
    <row r="50" spans="1:12" x14ac:dyDescent="0.35">
      <c r="A50" s="3" t="s">
        <v>156</v>
      </c>
      <c r="B50" s="3"/>
      <c r="C50" s="3"/>
      <c r="I50" s="4"/>
    </row>
    <row r="51" spans="1:12" x14ac:dyDescent="0.35">
      <c r="A51" s="3" t="s">
        <v>126</v>
      </c>
      <c r="B51" s="3"/>
      <c r="C51" s="3"/>
      <c r="I51" s="4"/>
    </row>
    <row r="52" spans="1:12" x14ac:dyDescent="0.35">
      <c r="A52" s="3" t="s">
        <v>157</v>
      </c>
      <c r="B52" s="64"/>
      <c r="C52" s="64"/>
      <c r="D52" s="40"/>
      <c r="E52" s="40"/>
      <c r="F52" s="40"/>
      <c r="G52" s="40"/>
      <c r="H52" s="40"/>
      <c r="I52" s="40"/>
    </row>
    <row r="53" spans="1:12" x14ac:dyDescent="0.35">
      <c r="A53" s="3"/>
      <c r="B53" s="3"/>
      <c r="C53" s="3"/>
    </row>
  </sheetData>
  <mergeCells count="5">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2:G29"/>
  <sheetViews>
    <sheetView workbookViewId="0">
      <selection activeCell="E33" sqref="E33"/>
    </sheetView>
  </sheetViews>
  <sheetFormatPr defaultRowHeight="14.5" x14ac:dyDescent="0.35"/>
  <cols>
    <col min="1" max="1" width="27.7265625" customWidth="1"/>
    <col min="2" max="2" width="11.26953125" bestFit="1" customWidth="1"/>
    <col min="3" max="6" width="10.1796875" bestFit="1" customWidth="1"/>
  </cols>
  <sheetData>
    <row r="2" spans="1:6" x14ac:dyDescent="0.35">
      <c r="A2" s="3" t="str">
        <f>+'tariff tables'!A1</f>
        <v>Evergy Missouri West, Inc. - DSIM Rider Update Filed 12/02/2021</v>
      </c>
    </row>
    <row r="3" spans="1:6" ht="15" thickBot="1" x14ac:dyDescent="0.4">
      <c r="A3" s="3" t="s">
        <v>127</v>
      </c>
    </row>
    <row r="4" spans="1:6" ht="27.5" thickBot="1" x14ac:dyDescent="0.4">
      <c r="A4" s="88" t="s">
        <v>134</v>
      </c>
      <c r="B4" s="131" t="s">
        <v>133</v>
      </c>
      <c r="C4" s="131" t="s">
        <v>132</v>
      </c>
      <c r="D4" s="131" t="s">
        <v>131</v>
      </c>
      <c r="E4" s="131" t="s">
        <v>130</v>
      </c>
      <c r="F4" s="90" t="s">
        <v>28</v>
      </c>
    </row>
    <row r="5" spans="1:6" ht="15" thickBot="1" x14ac:dyDescent="0.4">
      <c r="A5" s="91" t="s">
        <v>24</v>
      </c>
      <c r="B5" s="239">
        <f>+'tariff tables'!S12+'tariff tables'!S20</f>
        <v>0</v>
      </c>
      <c r="C5" s="240">
        <f>+'tariff tables'!T12+'tariff tables'!T20</f>
        <v>8.4000000000000003E-4</v>
      </c>
      <c r="D5" s="240">
        <f>+'tariff tables'!U12+'tariff tables'!U20</f>
        <v>1.9999999999999998E-5</v>
      </c>
      <c r="E5" s="240">
        <f>+'tariff tables'!V12+'tariff tables'!V20</f>
        <v>0</v>
      </c>
      <c r="F5" s="238">
        <f>SUM(B5:E5)</f>
        <v>8.6000000000000009E-4</v>
      </c>
    </row>
    <row r="6" spans="1:6" ht="15" thickBot="1" x14ac:dyDescent="0.4">
      <c r="A6" s="91" t="s">
        <v>108</v>
      </c>
      <c r="B6" s="239">
        <f>+'tariff tables'!S13+'tariff tables'!S21</f>
        <v>-8.0000000000000007E-5</v>
      </c>
      <c r="C6" s="240">
        <f>+'tariff tables'!T13+'tariff tables'!T21</f>
        <v>1.06E-3</v>
      </c>
      <c r="D6" s="240">
        <f>+'tariff tables'!U13+'tariff tables'!U21</f>
        <v>5.0000000000000001E-4</v>
      </c>
      <c r="E6" s="240">
        <f>+'tariff tables'!V13+'tariff tables'!V21</f>
        <v>0</v>
      </c>
      <c r="F6" s="238">
        <f t="shared" ref="F6:F8" si="0">SUM(B6:E6)</f>
        <v>1.48E-3</v>
      </c>
    </row>
    <row r="7" spans="1:6" ht="15" thickBot="1" x14ac:dyDescent="0.4">
      <c r="A7" s="91" t="s">
        <v>109</v>
      </c>
      <c r="B7" s="239">
        <f>+'tariff tables'!S14+'tariff tables'!S22</f>
        <v>-1E-4</v>
      </c>
      <c r="C7" s="240">
        <f>+'tariff tables'!T14+'tariff tables'!T22</f>
        <v>1E-3</v>
      </c>
      <c r="D7" s="240">
        <f>+'tariff tables'!U14+'tariff tables'!U22</f>
        <v>5.5999999999999995E-4</v>
      </c>
      <c r="E7" s="240">
        <f>+'tariff tables'!V14+'tariff tables'!V22</f>
        <v>0</v>
      </c>
      <c r="F7" s="238">
        <f t="shared" si="0"/>
        <v>1.4599999999999999E-3</v>
      </c>
    </row>
    <row r="8" spans="1:6" ht="15" thickBot="1" x14ac:dyDescent="0.4">
      <c r="A8" s="91" t="s">
        <v>110</v>
      </c>
      <c r="B8" s="239">
        <f>+'tariff tables'!S15+'tariff tables'!S23</f>
        <v>-5.0000000000000002E-5</v>
      </c>
      <c r="C8" s="240">
        <f>+'tariff tables'!T15+'tariff tables'!T23</f>
        <v>3.1E-4</v>
      </c>
      <c r="D8" s="240">
        <f>+'tariff tables'!U15+'tariff tables'!U23</f>
        <v>2.4000000000000001E-4</v>
      </c>
      <c r="E8" s="240">
        <f>+'tariff tables'!V15+'tariff tables'!V23</f>
        <v>0</v>
      </c>
      <c r="F8" s="238">
        <f t="shared" si="0"/>
        <v>5.0000000000000001E-4</v>
      </c>
    </row>
    <row r="11" spans="1:6" ht="15" thickBot="1" x14ac:dyDescent="0.4">
      <c r="A11" s="3" t="s">
        <v>128</v>
      </c>
      <c r="B11" s="47"/>
      <c r="C11" s="47"/>
      <c r="D11" s="47"/>
      <c r="E11" s="47"/>
      <c r="F11" s="47"/>
    </row>
    <row r="12" spans="1:6" ht="27.5" thickBot="1" x14ac:dyDescent="0.4">
      <c r="A12" s="88" t="s">
        <v>134</v>
      </c>
      <c r="B12" s="131" t="s">
        <v>133</v>
      </c>
      <c r="C12" s="131" t="s">
        <v>132</v>
      </c>
      <c r="D12" s="131" t="s">
        <v>131</v>
      </c>
      <c r="E12" s="131" t="s">
        <v>130</v>
      </c>
      <c r="F12" s="90" t="s">
        <v>28</v>
      </c>
    </row>
    <row r="13" spans="1:6" ht="15" thickBot="1" x14ac:dyDescent="0.4">
      <c r="A13" s="91" t="s">
        <v>24</v>
      </c>
      <c r="B13" s="239">
        <f>+'tariff tables'!X12+'tariff tables'!X20</f>
        <v>3.47E-3</v>
      </c>
      <c r="C13" s="240">
        <f>+'tariff tables'!Y12+'tariff tables'!Y20</f>
        <v>1.5499999999999999E-3</v>
      </c>
      <c r="D13" s="240">
        <f>+'tariff tables'!Z12+'tariff tables'!Z20</f>
        <v>4.2000000000000002E-4</v>
      </c>
      <c r="E13" s="240">
        <f>+'tariff tables'!AA12+'tariff tables'!AA20</f>
        <v>0</v>
      </c>
      <c r="F13" s="238">
        <f>SUM(B13:E13)</f>
        <v>5.4400000000000004E-3</v>
      </c>
    </row>
    <row r="14" spans="1:6" ht="15" thickBot="1" x14ac:dyDescent="0.4">
      <c r="A14" s="91" t="s">
        <v>108</v>
      </c>
      <c r="B14" s="239">
        <f>+'tariff tables'!X13+'tariff tables'!X21</f>
        <v>2.0900000000000003E-3</v>
      </c>
      <c r="C14" s="240">
        <f>+'tariff tables'!Y13+'tariff tables'!Y21</f>
        <v>6.2E-4</v>
      </c>
      <c r="D14" s="240">
        <f>+'tariff tables'!Z13+'tariff tables'!Z21</f>
        <v>2.5999999999999998E-4</v>
      </c>
      <c r="E14" s="240">
        <f>+'tariff tables'!AA13+'tariff tables'!AA21</f>
        <v>0</v>
      </c>
      <c r="F14" s="238">
        <f t="shared" ref="F14:F16" si="1">SUM(B14:E14)</f>
        <v>2.97E-3</v>
      </c>
    </row>
    <row r="15" spans="1:6" ht="15" thickBot="1" x14ac:dyDescent="0.4">
      <c r="A15" s="91" t="s">
        <v>109</v>
      </c>
      <c r="B15" s="239">
        <f>+'tariff tables'!X14+'tariff tables'!X22</f>
        <v>3.8700000000000002E-3</v>
      </c>
      <c r="C15" s="240">
        <f>+'tariff tables'!Y14+'tariff tables'!Y22</f>
        <v>6.8000000000000005E-4</v>
      </c>
      <c r="D15" s="240">
        <f>+'tariff tables'!Z14+'tariff tables'!Z22</f>
        <v>2.5999999999999998E-4</v>
      </c>
      <c r="E15" s="240">
        <f>+'tariff tables'!AA14+'tariff tables'!AA22</f>
        <v>0</v>
      </c>
      <c r="F15" s="238">
        <f t="shared" si="1"/>
        <v>4.81E-3</v>
      </c>
    </row>
    <row r="16" spans="1:6" ht="15" thickBot="1" x14ac:dyDescent="0.4">
      <c r="A16" s="91" t="s">
        <v>110</v>
      </c>
      <c r="B16" s="239">
        <f>+'tariff tables'!X15+'tariff tables'!X23</f>
        <v>2.8999999999999998E-3</v>
      </c>
      <c r="C16" s="240">
        <f>+'tariff tables'!Y15+'tariff tables'!Y23</f>
        <v>1.9999999999999998E-4</v>
      </c>
      <c r="D16" s="240">
        <f>+'tariff tables'!Z15+'tariff tables'!Z23</f>
        <v>2.9999999999999997E-4</v>
      </c>
      <c r="E16" s="240">
        <f>+'tariff tables'!AA15+'tariff tables'!AA23</f>
        <v>0</v>
      </c>
      <c r="F16" s="238">
        <f t="shared" si="1"/>
        <v>3.3999999999999998E-3</v>
      </c>
    </row>
    <row r="19" spans="1:7" ht="15" thickBot="1" x14ac:dyDescent="0.4">
      <c r="A19" s="3" t="s">
        <v>129</v>
      </c>
      <c r="B19" s="47"/>
      <c r="C19" s="47"/>
      <c r="D19" s="47"/>
      <c r="E19" s="47"/>
      <c r="F19" s="47"/>
    </row>
    <row r="20" spans="1:7" ht="27.5" thickBot="1" x14ac:dyDescent="0.4">
      <c r="A20" s="88" t="s">
        <v>134</v>
      </c>
      <c r="B20" s="131" t="s">
        <v>133</v>
      </c>
      <c r="C20" s="131" t="s">
        <v>132</v>
      </c>
      <c r="D20" s="131" t="s">
        <v>131</v>
      </c>
      <c r="E20" s="131" t="s">
        <v>130</v>
      </c>
      <c r="F20" s="90" t="s">
        <v>28</v>
      </c>
    </row>
    <row r="21" spans="1:7" ht="15" thickBot="1" x14ac:dyDescent="0.4">
      <c r="A21" s="91" t="s">
        <v>24</v>
      </c>
      <c r="B21" s="239">
        <f t="shared" ref="B21:E24" si="2">+B5+B13</f>
        <v>3.47E-3</v>
      </c>
      <c r="C21" s="240">
        <f t="shared" si="2"/>
        <v>2.3899999999999998E-3</v>
      </c>
      <c r="D21" s="240">
        <f t="shared" si="2"/>
        <v>4.4000000000000002E-4</v>
      </c>
      <c r="E21" s="240">
        <f t="shared" si="2"/>
        <v>0</v>
      </c>
      <c r="F21" s="238">
        <f>SUM(B21:E21)</f>
        <v>6.3E-3</v>
      </c>
      <c r="G21" s="241">
        <f>+F21-'tariff tables'!H4</f>
        <v>0</v>
      </c>
    </row>
    <row r="22" spans="1:7" ht="15" thickBot="1" x14ac:dyDescent="0.4">
      <c r="A22" s="91" t="s">
        <v>108</v>
      </c>
      <c r="B22" s="239">
        <f t="shared" si="2"/>
        <v>2.0100000000000001E-3</v>
      </c>
      <c r="C22" s="240">
        <f t="shared" si="2"/>
        <v>1.6800000000000001E-3</v>
      </c>
      <c r="D22" s="240">
        <f t="shared" si="2"/>
        <v>7.6000000000000004E-4</v>
      </c>
      <c r="E22" s="240">
        <f t="shared" si="2"/>
        <v>0</v>
      </c>
      <c r="F22" s="238">
        <f t="shared" ref="F22:F24" si="3">SUM(B22:E22)</f>
        <v>4.45E-3</v>
      </c>
      <c r="G22" s="241">
        <f>+F22-'tariff tables'!H5</f>
        <v>0</v>
      </c>
    </row>
    <row r="23" spans="1:7" ht="15" thickBot="1" x14ac:dyDescent="0.4">
      <c r="A23" s="91" t="s">
        <v>109</v>
      </c>
      <c r="B23" s="239">
        <f t="shared" si="2"/>
        <v>3.7700000000000003E-3</v>
      </c>
      <c r="C23" s="240">
        <f t="shared" si="2"/>
        <v>1.6800000000000001E-3</v>
      </c>
      <c r="D23" s="240">
        <f t="shared" si="2"/>
        <v>8.1999999999999998E-4</v>
      </c>
      <c r="E23" s="240">
        <f t="shared" si="2"/>
        <v>0</v>
      </c>
      <c r="F23" s="238">
        <f t="shared" si="3"/>
        <v>6.2699999999999995E-3</v>
      </c>
      <c r="G23" s="241">
        <f>+F23-'tariff tables'!H6</f>
        <v>0</v>
      </c>
    </row>
    <row r="24" spans="1:7" ht="15" thickBot="1" x14ac:dyDescent="0.4">
      <c r="A24" s="91" t="s">
        <v>110</v>
      </c>
      <c r="B24" s="239">
        <f t="shared" si="2"/>
        <v>2.8499999999999997E-3</v>
      </c>
      <c r="C24" s="240">
        <f t="shared" si="2"/>
        <v>5.1000000000000004E-4</v>
      </c>
      <c r="D24" s="240">
        <f t="shared" si="2"/>
        <v>5.4000000000000001E-4</v>
      </c>
      <c r="E24" s="240">
        <f t="shared" si="2"/>
        <v>0</v>
      </c>
      <c r="F24" s="238">
        <f t="shared" si="3"/>
        <v>3.8999999999999998E-3</v>
      </c>
      <c r="G24" s="241">
        <f>+F24-'tariff tables'!H7</f>
        <v>0</v>
      </c>
    </row>
    <row r="26" spans="1:7" x14ac:dyDescent="0.35">
      <c r="B26" s="241">
        <f>+B21-'tariff tables'!J4</f>
        <v>0</v>
      </c>
      <c r="C26" s="241">
        <f>+C21-'tariff tables'!K4</f>
        <v>0</v>
      </c>
      <c r="D26" s="241">
        <f>+D21-'tariff tables'!L4</f>
        <v>0</v>
      </c>
      <c r="E26" s="241">
        <f>+E21-'tariff tables'!M4</f>
        <v>0</v>
      </c>
      <c r="F26" s="241"/>
    </row>
    <row r="27" spans="1:7" x14ac:dyDescent="0.35">
      <c r="B27" s="241">
        <f>+B22-'tariff tables'!J5</f>
        <v>0</v>
      </c>
      <c r="C27" s="241">
        <f>+C22-'tariff tables'!K5</f>
        <v>0</v>
      </c>
      <c r="D27" s="241">
        <f>+D22-'tariff tables'!L5</f>
        <v>0</v>
      </c>
      <c r="E27" s="241">
        <f>+E22-'tariff tables'!M5</f>
        <v>0</v>
      </c>
      <c r="F27" s="241"/>
    </row>
    <row r="28" spans="1:7" x14ac:dyDescent="0.35">
      <c r="B28" s="241">
        <f>+B23-'tariff tables'!J6</f>
        <v>0</v>
      </c>
      <c r="C28" s="241">
        <f>+C23-'tariff tables'!K6</f>
        <v>0</v>
      </c>
      <c r="D28" s="241">
        <f>+D23-'tariff tables'!L6</f>
        <v>0</v>
      </c>
      <c r="E28" s="241">
        <f>+E23-'tariff tables'!M6</f>
        <v>0</v>
      </c>
      <c r="F28" s="241"/>
    </row>
    <row r="29" spans="1:7" x14ac:dyDescent="0.35">
      <c r="B29" s="241">
        <f>+B24-'tariff tables'!J7</f>
        <v>0</v>
      </c>
      <c r="C29" s="241">
        <f>+C24-'tariff tables'!K7</f>
        <v>0</v>
      </c>
      <c r="D29" s="241">
        <f>+D24-'tariff tables'!L7</f>
        <v>0</v>
      </c>
      <c r="E29" s="241">
        <f>+E24-'tariff tables'!M7</f>
        <v>0</v>
      </c>
      <c r="F29" s="241"/>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49"/>
  <sheetViews>
    <sheetView workbookViewId="0"/>
  </sheetViews>
  <sheetFormatPr defaultColWidth="9.1796875" defaultRowHeight="14.5" x14ac:dyDescent="0.35"/>
  <cols>
    <col min="1" max="1" width="20.81640625" style="47" customWidth="1"/>
    <col min="2" max="2" width="22" style="47" customWidth="1"/>
    <col min="3" max="3" width="17.26953125" style="47" customWidth="1"/>
    <col min="4" max="16384" width="9.1796875" style="47"/>
  </cols>
  <sheetData>
    <row r="1" spans="1:25" x14ac:dyDescent="0.35">
      <c r="A1" s="64" t="s">
        <v>212</v>
      </c>
    </row>
    <row r="2" spans="1:25" x14ac:dyDescent="0.35">
      <c r="A2" s="9" t="s">
        <v>170</v>
      </c>
    </row>
    <row r="3" spans="1:25" ht="35.25" customHeight="1" x14ac:dyDescent="0.35">
      <c r="B3" s="299" t="s">
        <v>113</v>
      </c>
      <c r="C3" s="299"/>
    </row>
    <row r="4" spans="1:25" ht="43.5" x14ac:dyDescent="0.35">
      <c r="B4" s="271" t="s">
        <v>44</v>
      </c>
      <c r="C4" s="236" t="s">
        <v>26</v>
      </c>
    </row>
    <row r="5" spans="1:25" x14ac:dyDescent="0.35">
      <c r="A5" s="20" t="s">
        <v>24</v>
      </c>
      <c r="B5" s="272">
        <f>SUM('[1]Billed kWh Sales'!F34:G34)</f>
        <v>3564793325</v>
      </c>
      <c r="C5" s="234">
        <f>ROUND(SUM('[2]Monthly Program Costs'!$AF290:$AQ290),2)</f>
        <v>11306138.359999999</v>
      </c>
    </row>
    <row r="6" spans="1:25" x14ac:dyDescent="0.35">
      <c r="A6" s="20" t="s">
        <v>108</v>
      </c>
      <c r="B6" s="272">
        <f>SUM('[1]Billed kWh Sales'!F35:G35)</f>
        <v>1157760870</v>
      </c>
      <c r="C6" s="234">
        <f>ROUND(SUM('[2]Monthly Program Costs'!$AF291:$AQ291),2)</f>
        <v>2563949.04</v>
      </c>
      <c r="E6" s="270">
        <f>+C6/SUM($C$6:$C$8)</f>
        <v>0.2740082508131752</v>
      </c>
    </row>
    <row r="7" spans="1:25" x14ac:dyDescent="0.35">
      <c r="A7" s="20" t="s">
        <v>109</v>
      </c>
      <c r="B7" s="272">
        <f>SUM('[1]Billed kWh Sales'!F36:G36)</f>
        <v>1153029898</v>
      </c>
      <c r="C7" s="234">
        <f>ROUND(SUM('[2]Monthly Program Costs'!$AF293:$AQ293),2)</f>
        <v>3871096.38</v>
      </c>
      <c r="E7" s="270">
        <f t="shared" ref="E7:E8" si="0">+C7/SUM($C$6:$C$8)</f>
        <v>0.4137025858411813</v>
      </c>
    </row>
    <row r="8" spans="1:25" x14ac:dyDescent="0.35">
      <c r="A8" s="20" t="s">
        <v>110</v>
      </c>
      <c r="B8" s="272">
        <f>SUM('[1]Billed kWh Sales'!F37:G37)</f>
        <v>813570905</v>
      </c>
      <c r="C8" s="234">
        <f>ROUND(SUM('[2]Monthly Program Costs'!$AF294:$AQ294),2)</f>
        <v>2922151.06</v>
      </c>
      <c r="E8" s="270">
        <f t="shared" si="0"/>
        <v>0.31228916334564344</v>
      </c>
      <c r="P8" s="1"/>
      <c r="Q8" s="1"/>
      <c r="R8" s="1"/>
      <c r="S8" s="1"/>
      <c r="T8" s="1"/>
      <c r="U8" s="1"/>
      <c r="V8" s="1"/>
      <c r="W8" s="1"/>
      <c r="X8" s="1"/>
      <c r="Y8" s="1"/>
    </row>
    <row r="9" spans="1:25" x14ac:dyDescent="0.35">
      <c r="A9" s="31" t="s">
        <v>112</v>
      </c>
      <c r="B9" s="273">
        <f>SUM(B5:B8)</f>
        <v>6689154998</v>
      </c>
      <c r="C9" s="235">
        <f>SUM(C5:C8)</f>
        <v>20663334.839999996</v>
      </c>
      <c r="P9" s="1"/>
      <c r="Q9" s="1"/>
      <c r="R9" s="1"/>
      <c r="S9" s="1"/>
      <c r="T9" s="1"/>
      <c r="U9" s="1"/>
      <c r="V9" s="1"/>
      <c r="W9" s="1"/>
      <c r="X9" s="1"/>
      <c r="Y9" s="1"/>
    </row>
    <row r="11" spans="1:25" x14ac:dyDescent="0.35">
      <c r="A11" s="54" t="s">
        <v>11</v>
      </c>
    </row>
    <row r="12" spans="1:25" ht="29.25" customHeight="1" x14ac:dyDescent="0.35">
      <c r="A12" s="300" t="s">
        <v>158</v>
      </c>
      <c r="B12" s="300"/>
      <c r="C12" s="300"/>
      <c r="D12" s="300"/>
      <c r="E12" s="300"/>
      <c r="F12" s="300"/>
      <c r="G12" s="300"/>
      <c r="H12" s="300"/>
      <c r="I12" s="300"/>
    </row>
    <row r="13" spans="1:25" ht="47.25" customHeight="1" x14ac:dyDescent="0.35">
      <c r="A13" s="300" t="s">
        <v>190</v>
      </c>
      <c r="B13" s="300"/>
      <c r="C13" s="300"/>
    </row>
    <row r="14" spans="1:25" x14ac:dyDescent="0.35">
      <c r="A14" s="3"/>
    </row>
    <row r="23" spans="3:3" x14ac:dyDescent="0.35">
      <c r="C23" s="2"/>
    </row>
    <row r="45" spans="2:3" x14ac:dyDescent="0.35">
      <c r="B45" s="8"/>
      <c r="C45" s="8"/>
    </row>
    <row r="49" spans="2:3" x14ac:dyDescent="0.35">
      <c r="B49" s="8"/>
      <c r="C49" s="8"/>
    </row>
  </sheetData>
  <mergeCells count="5">
    <mergeCell ref="B3:C3"/>
    <mergeCell ref="A13:C13"/>
    <mergeCell ref="A12:C12"/>
    <mergeCell ref="D12:F12"/>
    <mergeCell ref="G12:I12"/>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workbookViewId="0"/>
  </sheetViews>
  <sheetFormatPr defaultColWidth="9.1796875" defaultRowHeight="14.5" x14ac:dyDescent="0.35"/>
  <cols>
    <col min="1" max="1" width="54.54296875" style="47" customWidth="1"/>
    <col min="2" max="2" width="14.7265625" style="47" customWidth="1"/>
    <col min="3" max="3" width="15" style="47" customWidth="1"/>
    <col min="4" max="4" width="15.26953125" style="47" customWidth="1"/>
    <col min="5" max="5" width="15.81640625" style="47" customWidth="1"/>
    <col min="6" max="6" width="17.54296875" style="47" customWidth="1"/>
    <col min="7" max="8" width="13.26953125" style="47" customWidth="1"/>
    <col min="9" max="9" width="15.7265625" style="47" customWidth="1"/>
    <col min="10" max="11" width="12.54296875" style="47" bestFit="1" customWidth="1"/>
    <col min="12" max="12" width="14.453125" style="47" customWidth="1"/>
    <col min="13" max="13" width="15" style="47" bestFit="1" customWidth="1"/>
    <col min="14" max="14" width="16.26953125" style="47" bestFit="1" customWidth="1"/>
    <col min="15" max="15" width="16.1796875" style="47" customWidth="1"/>
    <col min="16" max="16" width="17.26953125" style="47" bestFit="1" customWidth="1"/>
    <col min="17" max="17" width="17.453125" style="47" customWidth="1"/>
    <col min="18" max="18" width="15.54296875" style="47" customWidth="1"/>
    <col min="19" max="19" width="13" style="47" customWidth="1"/>
    <col min="20" max="20" width="9.1796875" style="47"/>
    <col min="21" max="21" width="14.26953125" style="47" bestFit="1" customWidth="1"/>
    <col min="22" max="16384" width="9.1796875" style="47"/>
  </cols>
  <sheetData>
    <row r="1" spans="1:34" x14ac:dyDescent="0.35">
      <c r="A1" s="3" t="str">
        <f>+'PPC Cycle 3'!A1</f>
        <v>Evergy Missouri West, Inc. - DSIM Rider Update Filed 12/02/2021</v>
      </c>
      <c r="B1" s="3"/>
      <c r="C1" s="3"/>
    </row>
    <row r="2" spans="1:34" x14ac:dyDescent="0.35">
      <c r="D2" s="3" t="s">
        <v>60</v>
      </c>
    </row>
    <row r="3" spans="1:34" ht="29" x14ac:dyDescent="0.35">
      <c r="D3" s="49" t="s">
        <v>46</v>
      </c>
      <c r="E3" s="49" t="s">
        <v>45</v>
      </c>
      <c r="F3" s="71" t="s">
        <v>2</v>
      </c>
      <c r="G3" s="49" t="s">
        <v>3</v>
      </c>
      <c r="H3" s="71" t="s">
        <v>55</v>
      </c>
      <c r="I3" s="49" t="s">
        <v>10</v>
      </c>
      <c r="J3" s="49" t="s">
        <v>4</v>
      </c>
    </row>
    <row r="4" spans="1:34" x14ac:dyDescent="0.35">
      <c r="A4" s="20" t="s">
        <v>24</v>
      </c>
      <c r="D4" s="22">
        <f>SUM(C32:L32)</f>
        <v>-8157.8499999999995</v>
      </c>
      <c r="E4" s="137">
        <f>SUM(C26:L26)</f>
        <v>1952127529.2870998</v>
      </c>
      <c r="F4" s="22">
        <f>SUM(C22:K22)</f>
        <v>0</v>
      </c>
      <c r="G4" s="22">
        <f>F4-D4</f>
        <v>8157.8499999999995</v>
      </c>
      <c r="H4" s="22">
        <f>+B44</f>
        <v>4037.8323199998576</v>
      </c>
      <c r="I4" s="22">
        <f>SUM(C49:K49)</f>
        <v>86.63</v>
      </c>
      <c r="J4" s="26">
        <f>SUM(G4:I4)</f>
        <v>12282.312319999857</v>
      </c>
      <c r="K4" s="48">
        <f>+J4-L44</f>
        <v>0</v>
      </c>
    </row>
    <row r="5" spans="1:34" ht="15" thickBot="1" x14ac:dyDescent="0.4">
      <c r="A5" s="20" t="s">
        <v>25</v>
      </c>
      <c r="D5" s="22">
        <f>SUM(C33:L35)</f>
        <v>86627.179999999964</v>
      </c>
      <c r="E5" s="137">
        <f>SUM(C27:L29)</f>
        <v>1559474870.1524999</v>
      </c>
      <c r="F5" s="22">
        <f>SUM(C23:K23)</f>
        <v>0</v>
      </c>
      <c r="G5" s="22">
        <f>F5-D5</f>
        <v>-86627.179999999964</v>
      </c>
      <c r="H5" s="22">
        <f>+B45</f>
        <v>-149545.60896000013</v>
      </c>
      <c r="I5" s="22">
        <f>SUM(C50:K50)</f>
        <v>-1980.12</v>
      </c>
      <c r="J5" s="26">
        <f>SUM(G5:I5)</f>
        <v>-238152.90896000009</v>
      </c>
      <c r="K5" s="48">
        <f>+J5-L45</f>
        <v>0</v>
      </c>
    </row>
    <row r="6" spans="1:34" ht="15.5" thickTop="1" thickBot="1" x14ac:dyDescent="0.4">
      <c r="D6" s="28">
        <f t="shared" ref="D6" si="0">SUM(D4:D5)</f>
        <v>78469.329999999958</v>
      </c>
      <c r="E6" s="28">
        <f t="shared" ref="E6:H6" si="1">SUM(E4:E5)</f>
        <v>3511602399.4396</v>
      </c>
      <c r="F6" s="28">
        <f t="shared" si="1"/>
        <v>0</v>
      </c>
      <c r="G6" s="28">
        <f t="shared" si="1"/>
        <v>-78469.329999999958</v>
      </c>
      <c r="H6" s="28">
        <f t="shared" si="1"/>
        <v>-145507.77664000026</v>
      </c>
      <c r="I6" s="28">
        <f>SUM(I4:I5)</f>
        <v>-1893.4899999999998</v>
      </c>
      <c r="J6" s="28">
        <f>SUM(J4:J5)</f>
        <v>-225870.59664000024</v>
      </c>
    </row>
    <row r="7" spans="1:34" ht="44" thickTop="1" x14ac:dyDescent="0.35">
      <c r="D7" s="232"/>
      <c r="E7" s="233"/>
      <c r="F7" s="232"/>
      <c r="G7" s="232"/>
      <c r="H7" s="232"/>
      <c r="I7" s="231"/>
      <c r="J7" s="231"/>
      <c r="K7" s="230" t="s">
        <v>123</v>
      </c>
    </row>
    <row r="8" spans="1:34" x14ac:dyDescent="0.35">
      <c r="A8" s="20" t="s">
        <v>108</v>
      </c>
      <c r="D8" s="232"/>
      <c r="E8" s="233"/>
      <c r="F8" s="232"/>
      <c r="G8" s="232"/>
      <c r="H8" s="232"/>
      <c r="I8" s="231"/>
      <c r="J8" s="26">
        <f>ROUND($J$5*K8,2)</f>
        <v>-93378.06</v>
      </c>
      <c r="K8" s="228">
        <f>+'[3]Monthly TD Calc'!$CY$44</f>
        <v>0.39209287804949344</v>
      </c>
    </row>
    <row r="9" spans="1:34" x14ac:dyDescent="0.35">
      <c r="A9" s="20" t="s">
        <v>109</v>
      </c>
      <c r="D9" s="232"/>
      <c r="E9" s="233"/>
      <c r="F9" s="232"/>
      <c r="G9" s="232"/>
      <c r="H9" s="232"/>
      <c r="I9" s="231"/>
      <c r="J9" s="26">
        <f t="shared" ref="J9:J10" si="2">ROUND($J$5*K9,2)</f>
        <v>-108206.94</v>
      </c>
      <c r="K9" s="228">
        <f>+'[3]Monthly TD Calc'!$DA$44</f>
        <v>0.45435908608374953</v>
      </c>
    </row>
    <row r="10" spans="1:34" ht="15" thickBot="1" x14ac:dyDescent="0.4">
      <c r="A10" s="20" t="s">
        <v>110</v>
      </c>
      <c r="D10" s="232"/>
      <c r="E10" s="233"/>
      <c r="F10" s="232"/>
      <c r="G10" s="232"/>
      <c r="H10" s="232"/>
      <c r="I10" s="231"/>
      <c r="J10" s="26">
        <f t="shared" si="2"/>
        <v>-36567.910000000003</v>
      </c>
      <c r="K10" s="228">
        <f>+'[3]Monthly TD Calc'!$DB$44</f>
        <v>0.15354803586675725</v>
      </c>
    </row>
    <row r="11" spans="1:34" ht="15.5" thickTop="1" thickBot="1" x14ac:dyDescent="0.4">
      <c r="A11" s="20" t="s">
        <v>112</v>
      </c>
      <c r="D11" s="232"/>
      <c r="E11" s="233"/>
      <c r="F11" s="232"/>
      <c r="G11" s="232"/>
      <c r="H11" s="232"/>
      <c r="I11" s="231"/>
      <c r="J11" s="28">
        <f>SUM(J8:J10)</f>
        <v>-238152.91</v>
      </c>
      <c r="K11" s="229">
        <f>SUM(K8:K10)</f>
        <v>1.0000000000000002</v>
      </c>
    </row>
    <row r="12" spans="1:34" ht="15.5" thickTop="1" thickBot="1" x14ac:dyDescent="0.4"/>
    <row r="13" spans="1:34" ht="73" thickBot="1" x14ac:dyDescent="0.4">
      <c r="B13" s="119" t="s">
        <v>171</v>
      </c>
      <c r="C13" s="152" t="s">
        <v>172</v>
      </c>
      <c r="D13" s="305" t="s">
        <v>33</v>
      </c>
      <c r="E13" s="305"/>
      <c r="F13" s="306"/>
      <c r="G13" s="307" t="s">
        <v>33</v>
      </c>
      <c r="H13" s="308"/>
      <c r="I13" s="309"/>
      <c r="J13" s="301" t="s">
        <v>8</v>
      </c>
      <c r="K13" s="302"/>
      <c r="L13" s="303"/>
    </row>
    <row r="14" spans="1:34" x14ac:dyDescent="0.35">
      <c r="A14" s="47" t="s">
        <v>32</v>
      </c>
      <c r="C14" s="14"/>
      <c r="D14" s="19">
        <v>44347</v>
      </c>
      <c r="E14" s="19">
        <f>EOMONTH(D14,1)</f>
        <v>44377</v>
      </c>
      <c r="F14" s="19">
        <f t="shared" ref="F14:L14" si="3">EOMONTH(E14,1)</f>
        <v>44408</v>
      </c>
      <c r="G14" s="14">
        <f t="shared" si="3"/>
        <v>44439</v>
      </c>
      <c r="H14" s="19">
        <f t="shared" si="3"/>
        <v>44469</v>
      </c>
      <c r="I14" s="15">
        <f t="shared" si="3"/>
        <v>44500</v>
      </c>
      <c r="J14" s="19">
        <f t="shared" si="3"/>
        <v>44530</v>
      </c>
      <c r="K14" s="19">
        <f t="shared" si="3"/>
        <v>44561</v>
      </c>
      <c r="L14" s="96">
        <f t="shared" si="3"/>
        <v>44592</v>
      </c>
      <c r="Y14" s="1"/>
      <c r="Z14" s="1"/>
      <c r="AA14" s="1"/>
      <c r="AB14" s="1"/>
      <c r="AC14" s="1"/>
      <c r="AD14" s="1"/>
      <c r="AE14" s="1"/>
      <c r="AF14" s="1"/>
      <c r="AG14" s="1"/>
      <c r="AH14" s="1"/>
    </row>
    <row r="15" spans="1:34" x14ac:dyDescent="0.35">
      <c r="A15" s="47" t="s">
        <v>24</v>
      </c>
      <c r="C15" s="98">
        <v>0</v>
      </c>
      <c r="D15" s="110">
        <v>0</v>
      </c>
      <c r="E15" s="110">
        <v>0</v>
      </c>
      <c r="F15" s="111">
        <v>0</v>
      </c>
      <c r="G15" s="16">
        <v>0</v>
      </c>
      <c r="H15" s="56">
        <v>0</v>
      </c>
      <c r="I15" s="166">
        <v>0</v>
      </c>
      <c r="J15" s="176">
        <v>0</v>
      </c>
      <c r="K15" s="139">
        <v>0</v>
      </c>
      <c r="L15" s="77"/>
    </row>
    <row r="16" spans="1:34" x14ac:dyDescent="0.35">
      <c r="A16" s="47" t="s">
        <v>25</v>
      </c>
      <c r="C16" s="98">
        <v>0</v>
      </c>
      <c r="D16" s="110">
        <v>0</v>
      </c>
      <c r="E16" s="110">
        <v>0</v>
      </c>
      <c r="F16" s="111">
        <v>0</v>
      </c>
      <c r="G16" s="16">
        <v>0</v>
      </c>
      <c r="H16" s="56">
        <v>0</v>
      </c>
      <c r="I16" s="166">
        <v>0</v>
      </c>
      <c r="J16" s="176">
        <v>0</v>
      </c>
      <c r="K16" s="139">
        <v>0</v>
      </c>
      <c r="L16" s="77"/>
      <c r="M16" s="64" t="s">
        <v>27</v>
      </c>
    </row>
    <row r="17" spans="1:14" x14ac:dyDescent="0.35">
      <c r="A17" s="47" t="s">
        <v>0</v>
      </c>
      <c r="C17" s="98">
        <v>0</v>
      </c>
      <c r="D17" s="110">
        <v>0</v>
      </c>
      <c r="E17" s="110">
        <v>0</v>
      </c>
      <c r="F17" s="111">
        <v>0</v>
      </c>
      <c r="G17" s="16">
        <v>0</v>
      </c>
      <c r="H17" s="56">
        <v>0</v>
      </c>
      <c r="I17" s="166">
        <v>0</v>
      </c>
      <c r="J17" s="176">
        <v>0</v>
      </c>
      <c r="K17" s="139">
        <v>0</v>
      </c>
      <c r="L17" s="77"/>
      <c r="M17" s="74">
        <v>0.5</v>
      </c>
    </row>
    <row r="18" spans="1:14" x14ac:dyDescent="0.35">
      <c r="A18" s="47" t="s">
        <v>1</v>
      </c>
      <c r="C18" s="98">
        <v>0</v>
      </c>
      <c r="D18" s="110">
        <v>0</v>
      </c>
      <c r="E18" s="110">
        <v>0</v>
      </c>
      <c r="F18" s="111">
        <v>0</v>
      </c>
      <c r="G18" s="16">
        <v>0</v>
      </c>
      <c r="H18" s="56">
        <v>0</v>
      </c>
      <c r="I18" s="166">
        <v>0</v>
      </c>
      <c r="J18" s="176">
        <v>0</v>
      </c>
      <c r="K18" s="139">
        <v>0</v>
      </c>
      <c r="L18" s="77"/>
      <c r="M18" s="64"/>
    </row>
    <row r="19" spans="1:14" x14ac:dyDescent="0.35">
      <c r="C19" s="99"/>
      <c r="D19" s="32"/>
      <c r="E19" s="32"/>
      <c r="F19" s="32"/>
      <c r="G19" s="29"/>
      <c r="H19" s="32"/>
      <c r="I19" s="11"/>
      <c r="J19" s="32"/>
      <c r="K19" s="32"/>
      <c r="L19" s="30"/>
    </row>
    <row r="20" spans="1:14" x14ac:dyDescent="0.35">
      <c r="C20" s="99"/>
      <c r="D20" s="32"/>
      <c r="E20" s="32"/>
      <c r="F20" s="32"/>
      <c r="G20" s="29"/>
      <c r="H20" s="32"/>
      <c r="I20" s="11"/>
      <c r="J20" s="32"/>
      <c r="K20" s="32"/>
      <c r="L20" s="30"/>
    </row>
    <row r="21" spans="1:14" x14ac:dyDescent="0.35">
      <c r="A21" s="47" t="s">
        <v>35</v>
      </c>
      <c r="C21" s="100"/>
      <c r="D21" s="32"/>
      <c r="E21" s="32"/>
      <c r="F21" s="32"/>
      <c r="G21" s="29"/>
      <c r="H21" s="32"/>
      <c r="I21" s="167"/>
      <c r="J21" s="17"/>
      <c r="K21" s="17"/>
      <c r="L21" s="11"/>
    </row>
    <row r="22" spans="1:14" x14ac:dyDescent="0.35">
      <c r="A22" s="47" t="s">
        <v>24</v>
      </c>
      <c r="C22" s="41">
        <f t="shared" ref="C22:K22" si="4">C15+($M$17*C$17)+($M$17*C$18)</f>
        <v>0</v>
      </c>
      <c r="D22" s="42">
        <f t="shared" si="4"/>
        <v>0</v>
      </c>
      <c r="E22" s="42">
        <f t="shared" si="4"/>
        <v>0</v>
      </c>
      <c r="F22" s="109">
        <f t="shared" si="4"/>
        <v>0</v>
      </c>
      <c r="G22" s="41">
        <f t="shared" si="4"/>
        <v>0</v>
      </c>
      <c r="H22" s="42">
        <f t="shared" si="4"/>
        <v>0</v>
      </c>
      <c r="I22" s="62">
        <f t="shared" si="4"/>
        <v>0</v>
      </c>
      <c r="J22" s="124">
        <f t="shared" si="4"/>
        <v>0</v>
      </c>
      <c r="K22" s="42">
        <f t="shared" si="4"/>
        <v>0</v>
      </c>
      <c r="L22" s="62">
        <f t="shared" ref="L22" si="5">L15+($M$17*L$17)+($M$17*L$18)+L$19*(1-$M$19)</f>
        <v>0</v>
      </c>
    </row>
    <row r="23" spans="1:14" x14ac:dyDescent="0.35">
      <c r="A23" s="47" t="s">
        <v>25</v>
      </c>
      <c r="C23" s="41">
        <f t="shared" ref="C23:K23" si="6">(C$16+$M$17*C$17)+C$18*$M$17</f>
        <v>0</v>
      </c>
      <c r="D23" s="42">
        <f t="shared" si="6"/>
        <v>0</v>
      </c>
      <c r="E23" s="42">
        <f t="shared" si="6"/>
        <v>0</v>
      </c>
      <c r="F23" s="109">
        <f t="shared" si="6"/>
        <v>0</v>
      </c>
      <c r="G23" s="41">
        <f t="shared" si="6"/>
        <v>0</v>
      </c>
      <c r="H23" s="42">
        <f t="shared" si="6"/>
        <v>0</v>
      </c>
      <c r="I23" s="62">
        <f t="shared" si="6"/>
        <v>0</v>
      </c>
      <c r="J23" s="124">
        <f t="shared" si="6"/>
        <v>0</v>
      </c>
      <c r="K23" s="42">
        <f t="shared" si="6"/>
        <v>0</v>
      </c>
      <c r="L23" s="62">
        <f t="shared" ref="L23" si="7">(L$16+$M$17*L$17+L$19*$M$19)+L$18*$M$17</f>
        <v>0</v>
      </c>
    </row>
    <row r="24" spans="1:14" x14ac:dyDescent="0.35">
      <c r="C24" s="100"/>
      <c r="D24" s="32"/>
      <c r="E24" s="32"/>
      <c r="F24" s="32"/>
      <c r="G24" s="29"/>
      <c r="H24" s="32"/>
      <c r="I24" s="11"/>
      <c r="J24" s="17"/>
      <c r="K24" s="17"/>
      <c r="L24" s="11"/>
    </row>
    <row r="25" spans="1:14" x14ac:dyDescent="0.35">
      <c r="A25" s="40" t="s">
        <v>47</v>
      </c>
      <c r="B25" s="40"/>
      <c r="C25" s="102"/>
      <c r="D25" s="32"/>
      <c r="E25" s="32"/>
      <c r="F25" s="32"/>
      <c r="G25" s="29"/>
      <c r="H25" s="32"/>
      <c r="I25" s="11"/>
      <c r="J25" s="17"/>
      <c r="K25" s="17"/>
      <c r="L25" s="11"/>
    </row>
    <row r="26" spans="1:14" x14ac:dyDescent="0.35">
      <c r="A26" s="47" t="s">
        <v>24</v>
      </c>
      <c r="C26" s="103">
        <v>-827460900</v>
      </c>
      <c r="D26" s="112">
        <f>+'[4]May 2021'!$F$108</f>
        <v>202004293.37319997</v>
      </c>
      <c r="E26" s="112">
        <f>+'[4]Jun 2021'!$F$108</f>
        <v>271393107.21899998</v>
      </c>
      <c r="F26" s="112">
        <f>+'[4]Jul 2021'!$F$108</f>
        <v>360441057.07150012</v>
      </c>
      <c r="G26" s="186">
        <f>+'[4]Aug 2021'!$F$108</f>
        <v>380949932.8064999</v>
      </c>
      <c r="H26" s="189">
        <f>+'[4]Sep 2021'!$F$108</f>
        <v>377839856.90309995</v>
      </c>
      <c r="I26" s="181">
        <f>+'[4]Oct 2021'!$F$108</f>
        <v>264400723.9138</v>
      </c>
      <c r="J26" s="177">
        <f>+'[1]Billed kWh Sales'!O25</f>
        <v>223399953</v>
      </c>
      <c r="K26" s="140">
        <f>+'[1]Billed kWh Sales'!P25</f>
        <v>309715994</v>
      </c>
      <c r="L26" s="78">
        <f>+'[1]Billed kWh Sales'!Q25</f>
        <v>389443511</v>
      </c>
    </row>
    <row r="27" spans="1:14" x14ac:dyDescent="0.35">
      <c r="A27" s="47" t="s">
        <v>108</v>
      </c>
      <c r="C27" s="103">
        <v>-300825499</v>
      </c>
      <c r="D27" s="112">
        <f>+'[4]May 2021'!$F$109</f>
        <v>78540956.580800012</v>
      </c>
      <c r="E27" s="112">
        <f>+'[4]Jun 2021'!$F$109</f>
        <v>95126746.503500015</v>
      </c>
      <c r="F27" s="112">
        <f>+'[4]Jul 2021'!$F$109</f>
        <v>110787713.46610002</v>
      </c>
      <c r="G27" s="186">
        <f>+'[4]Aug 2021'!$F$109</f>
        <v>115862337.72690004</v>
      </c>
      <c r="H27" s="189">
        <f>+'[4]Sep 2021'!$F$109</f>
        <v>116599258.20039998</v>
      </c>
      <c r="I27" s="181">
        <f>+'[4]Oct 2021'!$F$109</f>
        <v>99435544.620699972</v>
      </c>
      <c r="J27" s="177">
        <f>+'[1]Billed kWh Sales'!O26</f>
        <v>89874848</v>
      </c>
      <c r="K27" s="140">
        <f>+'[1]Billed kWh Sales'!P26</f>
        <v>92294683</v>
      </c>
      <c r="L27" s="78">
        <f>+'[1]Billed kWh Sales'!Q26</f>
        <v>95990283</v>
      </c>
    </row>
    <row r="28" spans="1:14" x14ac:dyDescent="0.35">
      <c r="A28" s="47" t="s">
        <v>109</v>
      </c>
      <c r="C28" s="103">
        <v>-299596233</v>
      </c>
      <c r="D28" s="112">
        <f>+'[4]May 2021'!$F$110</f>
        <v>82135295.806399986</v>
      </c>
      <c r="E28" s="112">
        <f>+'[4]Jun 2021'!$F$110</f>
        <v>95165840.026300013</v>
      </c>
      <c r="F28" s="112">
        <f>+'[4]Jul 2021'!$F$110</f>
        <v>104981508.77219999</v>
      </c>
      <c r="G28" s="186">
        <f>+'[4]Aug 2021'!$F$110</f>
        <v>107773155.5526</v>
      </c>
      <c r="H28" s="189">
        <f>+'[4]Sep 2021'!$F$110</f>
        <v>116616352.05589999</v>
      </c>
      <c r="I28" s="181">
        <f>+'[4]Oct 2021'!$F$110</f>
        <v>100850650.63220003</v>
      </c>
      <c r="J28" s="177">
        <f>+'[1]Billed kWh Sales'!O27</f>
        <v>89507591</v>
      </c>
      <c r="K28" s="140">
        <f>+'[1]Billed kWh Sales'!P27</f>
        <v>91917539</v>
      </c>
      <c r="L28" s="78">
        <f>+'[1]Billed kWh Sales'!Q27</f>
        <v>95598037</v>
      </c>
    </row>
    <row r="29" spans="1:14" x14ac:dyDescent="0.35">
      <c r="A29" s="47" t="s">
        <v>110</v>
      </c>
      <c r="C29" s="103">
        <v>-211393285</v>
      </c>
      <c r="D29" s="112">
        <f>+'[4]May 2021'!$F$111</f>
        <v>58379875.777100004</v>
      </c>
      <c r="E29" s="112">
        <f>+'[4]Jun 2021'!$F$111</f>
        <v>61917432.705699988</v>
      </c>
      <c r="F29" s="112">
        <f>+'[4]Jul 2021'!$F$111</f>
        <v>65859003.062300004</v>
      </c>
      <c r="G29" s="186">
        <f>+'[4]Aug 2021'!$F$111</f>
        <v>64057287.943400003</v>
      </c>
      <c r="H29" s="189">
        <f>+'[4]Sep 2021'!$F$111</f>
        <v>76663120.753800005</v>
      </c>
      <c r="I29" s="181">
        <f>+'[4]Oct 2021'!$F$111</f>
        <v>69888958.966200009</v>
      </c>
      <c r="J29" s="177">
        <f>+'[1]Billed kWh Sales'!O28</f>
        <v>63156014</v>
      </c>
      <c r="K29" s="140">
        <f>+'[1]Billed kWh Sales'!P28</f>
        <v>64856458</v>
      </c>
      <c r="L29" s="78">
        <f>+'[1]Billed kWh Sales'!Q28</f>
        <v>67453395</v>
      </c>
    </row>
    <row r="30" spans="1:14" x14ac:dyDescent="0.35">
      <c r="C30" s="100"/>
      <c r="D30" s="32"/>
      <c r="E30" s="32"/>
      <c r="F30" s="32"/>
      <c r="G30" s="29"/>
      <c r="H30" s="32"/>
      <c r="I30" s="11"/>
      <c r="J30" s="17"/>
      <c r="K30" s="17"/>
      <c r="L30" s="11"/>
    </row>
    <row r="31" spans="1:14" x14ac:dyDescent="0.35">
      <c r="A31" s="47" t="s">
        <v>34</v>
      </c>
      <c r="C31" s="100"/>
      <c r="D31" s="18"/>
      <c r="E31" s="18"/>
      <c r="F31" s="18"/>
      <c r="G31" s="92"/>
      <c r="H31" s="18"/>
      <c r="I31" s="11"/>
      <c r="J31" s="58"/>
      <c r="K31" s="58"/>
      <c r="L31" s="59"/>
      <c r="M31" s="64" t="s">
        <v>50</v>
      </c>
      <c r="N31" s="40"/>
    </row>
    <row r="32" spans="1:14" x14ac:dyDescent="0.35">
      <c r="A32" s="47" t="s">
        <v>24</v>
      </c>
      <c r="C32" s="98">
        <v>-8274.61</v>
      </c>
      <c r="D32" s="110">
        <f>ROUND('[4]May 2021'!$F$36+'[4]May 2021'!$F$44,2)</f>
        <v>-50.75</v>
      </c>
      <c r="E32" s="110">
        <f>ROUND('[4]Jun 2021'!$F$36+'[4]Jun 2021'!$F$44,2)</f>
        <v>-18.239999999999998</v>
      </c>
      <c r="F32" s="112">
        <f>ROUND('[4]Jul 2021'!$F$36+'[4]Jul 2021'!$F$44,2)</f>
        <v>95.76</v>
      </c>
      <c r="G32" s="187">
        <f>ROUND('[4]Aug 2021'!$F$36+'[4]Aug 2021'!$F$44,2)</f>
        <v>89.88</v>
      </c>
      <c r="H32" s="56">
        <f>ROUND('[4]Sep 2021'!$F$36+'[4]Sep 2021'!$F$44,2)</f>
        <v>0.55000000000000004</v>
      </c>
      <c r="I32" s="179">
        <f>ROUND('[4]Oct 2021'!$F$36+'[4]Oct 2021'!$F$44,2)</f>
        <v>-0.44</v>
      </c>
      <c r="J32" s="124">
        <f t="shared" ref="J32:L35" si="8">ROUND(J26*$M32,2)</f>
        <v>0</v>
      </c>
      <c r="K32" s="42">
        <f t="shared" si="8"/>
        <v>0</v>
      </c>
      <c r="L32" s="62">
        <f t="shared" si="8"/>
        <v>0</v>
      </c>
      <c r="M32" s="73">
        <v>0</v>
      </c>
    </row>
    <row r="33" spans="1:13" x14ac:dyDescent="0.35">
      <c r="A33" s="47" t="s">
        <v>108</v>
      </c>
      <c r="C33" s="98">
        <v>123338.45</v>
      </c>
      <c r="D33" s="110">
        <f>ROUND('[4]May 2021'!$F$37+'[4]May 2021'!$F$45,2)</f>
        <v>-14563.02</v>
      </c>
      <c r="E33" s="110">
        <f>ROUND('[4]Jun 2021'!$F$37+'[4]Jun 2021'!$F$45,2)</f>
        <v>-18427.62</v>
      </c>
      <c r="F33" s="112">
        <f>ROUND('[4]Jul 2021'!$F$37+'[4]Jul 2021'!$F$45,2)</f>
        <v>-21176.9</v>
      </c>
      <c r="G33" s="187">
        <f>ROUND('[4]Aug 2021'!$F$37+'[4]Aug 2021'!$F$45,2)</f>
        <v>-1951.13</v>
      </c>
      <c r="H33" s="56">
        <f>ROUND('[4]Sep 2021'!$F$37+'[4]Sep 2021'!$F$45,2)</f>
        <v>-4657.2700000000004</v>
      </c>
      <c r="I33" s="179">
        <f>ROUND('[4]Oct 2021'!$F$37+'[4]Oct 2021'!$F$45,2)</f>
        <v>-3857.61</v>
      </c>
      <c r="J33" s="124">
        <f t="shared" si="8"/>
        <v>-4493.74</v>
      </c>
      <c r="K33" s="42">
        <f t="shared" si="8"/>
        <v>-4614.7299999999996</v>
      </c>
      <c r="L33" s="62">
        <f t="shared" si="8"/>
        <v>-4799.51</v>
      </c>
      <c r="M33" s="73">
        <v>-5.0000000000000002E-5</v>
      </c>
    </row>
    <row r="34" spans="1:13" x14ac:dyDescent="0.35">
      <c r="A34" s="47" t="s">
        <v>109</v>
      </c>
      <c r="C34" s="98">
        <v>95870.79</v>
      </c>
      <c r="D34" s="110">
        <f>ROUND('[4]May 2021'!$F$38+'[4]May 2021'!$F$46,2)</f>
        <v>-11811.05</v>
      </c>
      <c r="E34" s="110">
        <f>ROUND('[4]Jun 2021'!$F$38+'[4]Jun 2021'!$F$46,2)</f>
        <v>-14204.43</v>
      </c>
      <c r="F34" s="112">
        <f>ROUND('[4]Jul 2021'!$F$38+'[4]Jul 2021'!$F$46,2)</f>
        <v>-15481.35</v>
      </c>
      <c r="G34" s="187">
        <f>ROUND('[4]Aug 2021'!$F$38+'[4]Aug 2021'!$F$46,2)</f>
        <v>-1361.49</v>
      </c>
      <c r="H34" s="56">
        <f>ROUND('[4]Sep 2021'!$F$38+'[4]Sep 2021'!$F$46,2)</f>
        <v>-5014.21</v>
      </c>
      <c r="I34" s="179">
        <f>ROUND('[4]Oct 2021'!$F$38+'[4]Oct 2021'!$F$46,2)</f>
        <v>-3876.78</v>
      </c>
      <c r="J34" s="124">
        <f t="shared" si="8"/>
        <v>-4475.38</v>
      </c>
      <c r="K34" s="42">
        <f t="shared" si="8"/>
        <v>-4595.88</v>
      </c>
      <c r="L34" s="62">
        <f t="shared" si="8"/>
        <v>-4779.8999999999996</v>
      </c>
      <c r="M34" s="73">
        <v>-5.0000000000000002E-5</v>
      </c>
    </row>
    <row r="35" spans="1:13" x14ac:dyDescent="0.35">
      <c r="A35" s="47" t="s">
        <v>110</v>
      </c>
      <c r="C35" s="98">
        <v>38050.79</v>
      </c>
      <c r="D35" s="110">
        <f>ROUND('[4]May 2021'!$F$39+'[4]May 2021'!$F$47,2)</f>
        <v>-4790.59</v>
      </c>
      <c r="E35" s="110">
        <f>ROUND('[4]Jun 2021'!$F$39+'[4]Jun 2021'!$F$47,2)</f>
        <v>-5249.26</v>
      </c>
      <c r="F35" s="112">
        <f>ROUND('[4]Jul 2021'!$F$39+'[4]Jul 2021'!$F$47,2)</f>
        <v>-5522.71</v>
      </c>
      <c r="G35" s="187">
        <f>ROUND('[4]Aug 2021'!$F$39+'[4]Aug 2021'!$F$47,2)</f>
        <v>-690.53</v>
      </c>
      <c r="H35" s="56">
        <f>ROUND('[4]Sep 2021'!$F$39+'[4]Sep 2021'!$F$47,2)</f>
        <v>-2265.7199999999998</v>
      </c>
      <c r="I35" s="179">
        <f>ROUND('[4]Oct 2021'!$F$39+'[4]Oct 2021'!$F$47,2)</f>
        <v>-2108.0700000000002</v>
      </c>
      <c r="J35" s="124">
        <f t="shared" si="8"/>
        <v>-1894.68</v>
      </c>
      <c r="K35" s="42">
        <f t="shared" si="8"/>
        <v>-1945.69</v>
      </c>
      <c r="L35" s="62">
        <f t="shared" si="8"/>
        <v>-2023.6</v>
      </c>
      <c r="M35" s="73">
        <v>-3.0000000000000001E-5</v>
      </c>
    </row>
    <row r="36" spans="1:13" x14ac:dyDescent="0.35">
      <c r="C36" s="68"/>
      <c r="D36" s="18"/>
      <c r="E36" s="18"/>
      <c r="F36" s="18"/>
      <c r="G36" s="92"/>
      <c r="H36" s="18"/>
      <c r="I36" s="11"/>
      <c r="J36" s="57"/>
      <c r="K36" s="57"/>
      <c r="L36" s="13"/>
      <c r="M36" s="4"/>
    </row>
    <row r="37" spans="1:13" ht="15" thickBot="1" x14ac:dyDescent="0.4">
      <c r="A37" s="47" t="s">
        <v>14</v>
      </c>
      <c r="C37" s="104">
        <v>719.25</v>
      </c>
      <c r="D37" s="113">
        <v>-424.34000000000003</v>
      </c>
      <c r="E37" s="113">
        <v>-383.16</v>
      </c>
      <c r="F37" s="114">
        <v>-340.8</v>
      </c>
      <c r="G37" s="27">
        <v>-314.60000000000002</v>
      </c>
      <c r="H37" s="123">
        <v>-304.73</v>
      </c>
      <c r="I37" s="180">
        <v>-293.15999999999997</v>
      </c>
      <c r="J37" s="178">
        <v>-281.95999999999998</v>
      </c>
      <c r="K37" s="141">
        <v>-270.02000000000004</v>
      </c>
      <c r="L37" s="82"/>
    </row>
    <row r="38" spans="1:13" x14ac:dyDescent="0.35">
      <c r="C38" s="100"/>
      <c r="D38" s="32"/>
      <c r="E38" s="32"/>
      <c r="F38" s="32"/>
      <c r="G38" s="29"/>
      <c r="H38" s="32"/>
      <c r="I38" s="11"/>
      <c r="J38" s="17"/>
      <c r="K38" s="17"/>
      <c r="L38" s="11"/>
    </row>
    <row r="39" spans="1:13" x14ac:dyDescent="0.35">
      <c r="A39" s="47" t="s">
        <v>52</v>
      </c>
      <c r="C39" s="100"/>
      <c r="D39" s="32"/>
      <c r="E39" s="32"/>
      <c r="F39" s="32"/>
      <c r="G39" s="29"/>
      <c r="H39" s="32"/>
      <c r="I39" s="11"/>
      <c r="J39" s="17"/>
      <c r="K39" s="17"/>
      <c r="L39" s="11"/>
    </row>
    <row r="40" spans="1:13" x14ac:dyDescent="0.35">
      <c r="A40" s="47" t="s">
        <v>24</v>
      </c>
      <c r="C40" s="41">
        <f t="shared" ref="C40:L40" si="9">C22-C32</f>
        <v>8274.61</v>
      </c>
      <c r="D40" s="42">
        <f t="shared" si="9"/>
        <v>50.75</v>
      </c>
      <c r="E40" s="42">
        <f t="shared" si="9"/>
        <v>18.239999999999998</v>
      </c>
      <c r="F40" s="109">
        <f t="shared" si="9"/>
        <v>-95.76</v>
      </c>
      <c r="G40" s="41">
        <f t="shared" si="9"/>
        <v>-89.88</v>
      </c>
      <c r="H40" s="42">
        <f t="shared" si="9"/>
        <v>-0.55000000000000004</v>
      </c>
      <c r="I40" s="62">
        <f t="shared" si="9"/>
        <v>0.44</v>
      </c>
      <c r="J40" s="124">
        <f t="shared" si="9"/>
        <v>0</v>
      </c>
      <c r="K40" s="42">
        <f t="shared" si="9"/>
        <v>0</v>
      </c>
      <c r="L40" s="50">
        <f t="shared" si="9"/>
        <v>0</v>
      </c>
    </row>
    <row r="41" spans="1:13" x14ac:dyDescent="0.35">
      <c r="A41" s="47" t="s">
        <v>25</v>
      </c>
      <c r="C41" s="41">
        <f>C23-SUM(C33:C35)</f>
        <v>-257260.03</v>
      </c>
      <c r="D41" s="42">
        <f t="shared" ref="D41:L41" si="10">D23-SUM(D33:D35)</f>
        <v>31164.66</v>
      </c>
      <c r="E41" s="42">
        <f t="shared" si="10"/>
        <v>37881.31</v>
      </c>
      <c r="F41" s="109">
        <f t="shared" si="10"/>
        <v>42180.959999999999</v>
      </c>
      <c r="G41" s="41">
        <f t="shared" si="10"/>
        <v>4003.1499999999996</v>
      </c>
      <c r="H41" s="42">
        <f t="shared" si="10"/>
        <v>11937.199999999999</v>
      </c>
      <c r="I41" s="62">
        <f t="shared" si="10"/>
        <v>9842.4600000000009</v>
      </c>
      <c r="J41" s="124">
        <f t="shared" si="10"/>
        <v>10863.8</v>
      </c>
      <c r="K41" s="42">
        <f t="shared" si="10"/>
        <v>11156.300000000001</v>
      </c>
      <c r="L41" s="50">
        <f t="shared" si="10"/>
        <v>11603.01</v>
      </c>
    </row>
    <row r="42" spans="1:13" x14ac:dyDescent="0.35">
      <c r="C42" s="100"/>
      <c r="D42" s="32"/>
      <c r="E42" s="32"/>
      <c r="F42" s="32"/>
      <c r="G42" s="29"/>
      <c r="H42" s="32"/>
      <c r="I42" s="11"/>
      <c r="J42" s="17"/>
      <c r="K42" s="17"/>
      <c r="L42" s="11"/>
    </row>
    <row r="43" spans="1:13" ht="15" thickBot="1" x14ac:dyDescent="0.4">
      <c r="A43" s="47" t="s">
        <v>53</v>
      </c>
      <c r="C43" s="105"/>
      <c r="D43" s="32"/>
      <c r="E43" s="32"/>
      <c r="F43" s="32"/>
      <c r="G43" s="29"/>
      <c r="H43" s="32"/>
      <c r="I43" s="11"/>
      <c r="J43" s="17"/>
      <c r="K43" s="17"/>
      <c r="L43" s="11"/>
    </row>
    <row r="44" spans="1:13" x14ac:dyDescent="0.35">
      <c r="A44" s="47" t="s">
        <v>24</v>
      </c>
      <c r="B44" s="117">
        <v>4037.8323199998576</v>
      </c>
      <c r="C44" s="42">
        <f>B44+C40+B49</f>
        <v>12312.442319999858</v>
      </c>
      <c r="D44" s="42">
        <f t="shared" ref="D44:L44" si="11">C44+D40+C49</f>
        <v>12340.252319999858</v>
      </c>
      <c r="E44" s="42">
        <f t="shared" si="11"/>
        <v>12372.312319999857</v>
      </c>
      <c r="F44" s="109">
        <f t="shared" si="11"/>
        <v>12290.322319999857</v>
      </c>
      <c r="G44" s="41">
        <f t="shared" si="11"/>
        <v>12214.252319999858</v>
      </c>
      <c r="H44" s="42">
        <f t="shared" si="11"/>
        <v>12227.392319999859</v>
      </c>
      <c r="I44" s="62">
        <f t="shared" si="11"/>
        <v>12241.42231999986</v>
      </c>
      <c r="J44" s="124">
        <f t="shared" si="11"/>
        <v>12255.03231999986</v>
      </c>
      <c r="K44" s="42">
        <f t="shared" si="11"/>
        <v>12268.662319999859</v>
      </c>
      <c r="L44" s="50">
        <f t="shared" si="11"/>
        <v>12282.312319999859</v>
      </c>
    </row>
    <row r="45" spans="1:13" ht="15" thickBot="1" x14ac:dyDescent="0.4">
      <c r="A45" s="47" t="s">
        <v>25</v>
      </c>
      <c r="B45" s="118">
        <v>-149545.60896000013</v>
      </c>
      <c r="C45" s="42">
        <f>B45+C41+B50</f>
        <v>-406805.63896000013</v>
      </c>
      <c r="D45" s="42">
        <f t="shared" ref="D45:L45" si="12">C45+D41+C50</f>
        <v>-374898.78896000015</v>
      </c>
      <c r="E45" s="42">
        <f t="shared" si="12"/>
        <v>-337455.62896000018</v>
      </c>
      <c r="F45" s="109">
        <f t="shared" si="12"/>
        <v>-295671.59896000015</v>
      </c>
      <c r="G45" s="41">
        <f t="shared" si="12"/>
        <v>-292023.06896000012</v>
      </c>
      <c r="H45" s="42">
        <f t="shared" si="12"/>
        <v>-280414.14896000014</v>
      </c>
      <c r="I45" s="62">
        <f t="shared" si="12"/>
        <v>-270889.99896000011</v>
      </c>
      <c r="J45" s="124">
        <f t="shared" si="12"/>
        <v>-260332.95896000013</v>
      </c>
      <c r="K45" s="42">
        <f t="shared" si="12"/>
        <v>-249472.24896000014</v>
      </c>
      <c r="L45" s="50">
        <f t="shared" si="12"/>
        <v>-238152.90896000015</v>
      </c>
    </row>
    <row r="46" spans="1:13" x14ac:dyDescent="0.35">
      <c r="C46" s="100"/>
      <c r="D46" s="32"/>
      <c r="E46" s="32"/>
      <c r="F46" s="32"/>
      <c r="G46" s="29"/>
      <c r="H46" s="32"/>
      <c r="I46" s="11"/>
      <c r="J46" s="17"/>
      <c r="K46" s="17"/>
      <c r="L46" s="11"/>
    </row>
    <row r="47" spans="1:13" x14ac:dyDescent="0.35">
      <c r="A47" s="40" t="s">
        <v>49</v>
      </c>
      <c r="B47" s="40"/>
      <c r="C47" s="105"/>
      <c r="D47" s="84">
        <f>+'[5]May 2021'!$F$51</f>
        <v>1.1220900000000001E-3</v>
      </c>
      <c r="E47" s="84">
        <f>+'[5]June 2021'!$F$50</f>
        <v>1.1137199999999999E-3</v>
      </c>
      <c r="F47" s="84">
        <f>+'[5]July 2021'!$F$51</f>
        <v>1.11951E-3</v>
      </c>
      <c r="G47" s="85">
        <f>+'[5]Aug 2021'!$F$51</f>
        <v>1.11651E-3</v>
      </c>
      <c r="H47" s="84">
        <f>+'[5]Sept 2021'!$F$50</f>
        <v>1.1114899999999999E-3</v>
      </c>
      <c r="I47" s="93">
        <f>+'[5]Oct 2021'!$E$43</f>
        <v>1.1122199999999999E-3</v>
      </c>
      <c r="J47" s="84">
        <f>+I47</f>
        <v>1.1122199999999999E-3</v>
      </c>
      <c r="K47" s="84">
        <f>+J47</f>
        <v>1.1122199999999999E-3</v>
      </c>
      <c r="L47" s="93"/>
    </row>
    <row r="48" spans="1:13" x14ac:dyDescent="0.35">
      <c r="A48" s="40" t="s">
        <v>37</v>
      </c>
      <c r="B48" s="40"/>
      <c r="C48" s="100"/>
      <c r="D48" s="32"/>
      <c r="E48" s="32"/>
      <c r="F48" s="32"/>
      <c r="G48" s="29"/>
      <c r="H48" s="32"/>
      <c r="I48" s="11"/>
      <c r="J48" s="17"/>
      <c r="K48" s="17"/>
      <c r="L48" s="11"/>
      <c r="M48" s="72"/>
    </row>
    <row r="49" spans="1:12" x14ac:dyDescent="0.35">
      <c r="A49" s="47" t="s">
        <v>24</v>
      </c>
      <c r="C49" s="41">
        <v>-22.939999999999998</v>
      </c>
      <c r="D49" s="42">
        <f t="shared" ref="D49" si="13">ROUND((C44+C49+D40/2)*D$47,2)</f>
        <v>13.82</v>
      </c>
      <c r="E49" s="42">
        <f t="shared" ref="E49:E50" si="14">ROUND((D44+D49+E40/2)*E$47,2)</f>
        <v>13.77</v>
      </c>
      <c r="F49" s="109">
        <f t="shared" ref="F49:F50" si="15">ROUND((E44+E49+F40/2)*F$47,2)</f>
        <v>13.81</v>
      </c>
      <c r="G49" s="41">
        <f t="shared" ref="G49:G50" si="16">ROUND((F44+F49+G40/2)*G$47,2)</f>
        <v>13.69</v>
      </c>
      <c r="H49" s="124">
        <f t="shared" ref="H49:I50" si="17">ROUND((G44+G49+H40/2)*H$47,2)</f>
        <v>13.59</v>
      </c>
      <c r="I49" s="62">
        <f t="shared" si="17"/>
        <v>13.61</v>
      </c>
      <c r="J49" s="124">
        <f t="shared" ref="J49:J50" si="18">ROUND((I44+I49+J40/2)*J$47,2)</f>
        <v>13.63</v>
      </c>
      <c r="K49" s="124">
        <f t="shared" ref="K49:K50" si="19">ROUND((J44+J49+K40/2)*K$47,2)</f>
        <v>13.65</v>
      </c>
      <c r="L49" s="50"/>
    </row>
    <row r="50" spans="1:12" ht="15" thickBot="1" x14ac:dyDescent="0.4">
      <c r="A50" s="47" t="s">
        <v>25</v>
      </c>
      <c r="C50" s="115">
        <v>742.19</v>
      </c>
      <c r="D50" s="42">
        <f>ROUND((C45+C50+D41/2)*D$47,2)</f>
        <v>-438.15</v>
      </c>
      <c r="E50" s="42">
        <f t="shared" si="14"/>
        <v>-396.93</v>
      </c>
      <c r="F50" s="109">
        <f t="shared" si="15"/>
        <v>-354.62</v>
      </c>
      <c r="G50" s="41">
        <f t="shared" si="16"/>
        <v>-328.28</v>
      </c>
      <c r="H50" s="124">
        <f t="shared" si="17"/>
        <v>-318.31</v>
      </c>
      <c r="I50" s="62">
        <f t="shared" si="17"/>
        <v>-306.76</v>
      </c>
      <c r="J50" s="124">
        <f t="shared" si="18"/>
        <v>-295.58999999999997</v>
      </c>
      <c r="K50" s="124">
        <f t="shared" si="19"/>
        <v>-283.67</v>
      </c>
      <c r="L50" s="50"/>
    </row>
    <row r="51" spans="1:12" ht="15.5" thickTop="1" thickBot="1" x14ac:dyDescent="0.4">
      <c r="A51" s="55" t="s">
        <v>22</v>
      </c>
      <c r="B51" s="55"/>
      <c r="C51" s="116">
        <v>0</v>
      </c>
      <c r="D51" s="33">
        <f t="shared" ref="D51:L51" si="20">SUM(D49:D50)+SUM(D44:D45)-D54</f>
        <v>0</v>
      </c>
      <c r="E51" s="33">
        <f t="shared" si="20"/>
        <v>0</v>
      </c>
      <c r="F51" s="51">
        <f t="shared" si="20"/>
        <v>0</v>
      </c>
      <c r="G51" s="125">
        <f t="shared" si="20"/>
        <v>0</v>
      </c>
      <c r="H51" s="33">
        <f t="shared" si="20"/>
        <v>0</v>
      </c>
      <c r="I51" s="63">
        <f t="shared" si="20"/>
        <v>0</v>
      </c>
      <c r="J51" s="165">
        <f t="shared" si="20"/>
        <v>0</v>
      </c>
      <c r="K51" s="33">
        <f t="shared" si="20"/>
        <v>0</v>
      </c>
      <c r="L51" s="97">
        <f t="shared" si="20"/>
        <v>0</v>
      </c>
    </row>
    <row r="52" spans="1:12" ht="15.5" thickTop="1" thickBot="1" x14ac:dyDescent="0.4">
      <c r="A52" s="55" t="s">
        <v>23</v>
      </c>
      <c r="B52" s="55"/>
      <c r="C52" s="108">
        <v>0</v>
      </c>
      <c r="D52" s="33">
        <f t="shared" ref="D52:L52" si="21">SUM(D49:D50)-D37</f>
        <v>1.0000000000047748E-2</v>
      </c>
      <c r="E52" s="33">
        <f t="shared" si="21"/>
        <v>0</v>
      </c>
      <c r="F52" s="51">
        <f t="shared" si="21"/>
        <v>-9.9999999999909051E-3</v>
      </c>
      <c r="G52" s="52">
        <f t="shared" si="21"/>
        <v>1.0000000000047748E-2</v>
      </c>
      <c r="H52" s="33">
        <f t="shared" si="21"/>
        <v>9.9999999999909051E-3</v>
      </c>
      <c r="I52" s="63">
        <f t="shared" si="21"/>
        <v>9.9999999999909051E-3</v>
      </c>
      <c r="J52" s="165">
        <f t="shared" si="21"/>
        <v>0</v>
      </c>
      <c r="K52" s="33">
        <f t="shared" si="21"/>
        <v>0</v>
      </c>
      <c r="L52" s="97">
        <f t="shared" si="21"/>
        <v>0</v>
      </c>
    </row>
    <row r="53" spans="1:12" ht="15.5" thickTop="1" thickBot="1" x14ac:dyDescent="0.4">
      <c r="C53" s="100"/>
      <c r="D53" s="17"/>
      <c r="E53" s="17"/>
      <c r="F53" s="17"/>
      <c r="G53" s="10"/>
      <c r="H53" s="17"/>
      <c r="I53" s="11"/>
      <c r="J53" s="17"/>
      <c r="K53" s="17"/>
      <c r="L53" s="11"/>
    </row>
    <row r="54" spans="1:12" ht="15" thickBot="1" x14ac:dyDescent="0.4">
      <c r="A54" s="47" t="s">
        <v>36</v>
      </c>
      <c r="B54" s="120">
        <f>+B44+B45</f>
        <v>-145507.77664000026</v>
      </c>
      <c r="C54" s="41">
        <f t="shared" ref="C54:L54" si="22">(SUM(C15:C19)-SUM(C32:C35))+SUM(C49:C50)+B54</f>
        <v>-393773.94664000027</v>
      </c>
      <c r="D54" s="42">
        <f t="shared" si="22"/>
        <v>-362982.86664000025</v>
      </c>
      <c r="E54" s="42">
        <f t="shared" si="22"/>
        <v>-325466.47664000024</v>
      </c>
      <c r="F54" s="109">
        <f t="shared" si="22"/>
        <v>-283722.08664000023</v>
      </c>
      <c r="G54" s="41">
        <f t="shared" si="22"/>
        <v>-280123.40664000023</v>
      </c>
      <c r="H54" s="42">
        <f t="shared" si="22"/>
        <v>-268491.47664000024</v>
      </c>
      <c r="I54" s="62">
        <f t="shared" si="22"/>
        <v>-258941.72664000024</v>
      </c>
      <c r="J54" s="124">
        <f t="shared" si="22"/>
        <v>-248359.88664000024</v>
      </c>
      <c r="K54" s="42">
        <f t="shared" si="22"/>
        <v>-237473.60664000025</v>
      </c>
      <c r="L54" s="62">
        <f t="shared" si="22"/>
        <v>-225870.59664000024</v>
      </c>
    </row>
    <row r="55" spans="1:12" x14ac:dyDescent="0.35">
      <c r="A55" s="47" t="s">
        <v>12</v>
      </c>
      <c r="C55" s="121"/>
      <c r="D55" s="57"/>
      <c r="E55" s="57"/>
      <c r="F55" s="57"/>
      <c r="G55" s="12"/>
      <c r="H55" s="57"/>
      <c r="I55" s="11"/>
      <c r="J55" s="17"/>
      <c r="K55" s="17"/>
      <c r="L55" s="11"/>
    </row>
    <row r="56" spans="1:12" ht="15" thickBot="1" x14ac:dyDescent="0.4">
      <c r="B56" s="17"/>
      <c r="C56" s="44"/>
      <c r="D56" s="45"/>
      <c r="E56" s="45"/>
      <c r="F56" s="45"/>
      <c r="G56" s="44"/>
      <c r="H56" s="45"/>
      <c r="I56" s="46"/>
      <c r="J56" s="45"/>
      <c r="K56" s="45"/>
      <c r="L56" s="46"/>
    </row>
    <row r="58" spans="1:12" x14ac:dyDescent="0.35">
      <c r="A58" s="70" t="s">
        <v>11</v>
      </c>
      <c r="B58" s="70"/>
      <c r="C58" s="70"/>
    </row>
    <row r="59" spans="1:12" ht="42.75" customHeight="1" x14ac:dyDescent="0.35">
      <c r="A59" s="304" t="s">
        <v>191</v>
      </c>
      <c r="B59" s="304"/>
      <c r="C59" s="304"/>
      <c r="D59" s="304"/>
      <c r="E59" s="304"/>
      <c r="F59" s="304"/>
      <c r="G59" s="304"/>
      <c r="H59" s="304"/>
      <c r="I59" s="304"/>
      <c r="J59" s="145"/>
      <c r="K59" s="145"/>
      <c r="L59" s="145"/>
    </row>
    <row r="60" spans="1:12" ht="33.75" customHeight="1" x14ac:dyDescent="0.35">
      <c r="A60" s="304" t="s">
        <v>162</v>
      </c>
      <c r="B60" s="304"/>
      <c r="C60" s="304"/>
      <c r="D60" s="304"/>
      <c r="E60" s="304"/>
      <c r="F60" s="304"/>
      <c r="G60" s="304"/>
      <c r="H60" s="304"/>
      <c r="I60" s="304"/>
      <c r="J60" s="145"/>
      <c r="K60" s="145"/>
      <c r="L60" s="145"/>
    </row>
    <row r="61" spans="1:12" ht="33.75" customHeight="1" x14ac:dyDescent="0.35">
      <c r="A61" s="304" t="s">
        <v>163</v>
      </c>
      <c r="B61" s="304"/>
      <c r="C61" s="304"/>
      <c r="D61" s="304"/>
      <c r="E61" s="304"/>
      <c r="F61" s="304"/>
      <c r="G61" s="304"/>
      <c r="H61" s="304"/>
      <c r="I61" s="304"/>
      <c r="J61" s="145"/>
      <c r="K61" s="145"/>
      <c r="L61" s="145"/>
    </row>
    <row r="62" spans="1:12" x14ac:dyDescent="0.35">
      <c r="A62" s="3" t="s">
        <v>31</v>
      </c>
      <c r="B62" s="3"/>
      <c r="C62" s="3"/>
      <c r="I62" s="4"/>
    </row>
    <row r="63" spans="1:12" x14ac:dyDescent="0.35">
      <c r="A63" s="64" t="s">
        <v>193</v>
      </c>
      <c r="B63" s="3"/>
      <c r="C63" s="3"/>
      <c r="I63" s="4"/>
    </row>
    <row r="64" spans="1:12" x14ac:dyDescent="0.35">
      <c r="A64" s="3" t="s">
        <v>51</v>
      </c>
      <c r="B64" s="3"/>
      <c r="C64" s="3"/>
      <c r="I64" s="4"/>
    </row>
    <row r="65" spans="1:13" x14ac:dyDescent="0.35">
      <c r="A65" s="3" t="s">
        <v>192</v>
      </c>
    </row>
    <row r="74" spans="1:13" x14ac:dyDescent="0.35">
      <c r="M74" s="8"/>
    </row>
  </sheetData>
  <mergeCells count="6">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I74"/>
  <sheetViews>
    <sheetView workbookViewId="0"/>
  </sheetViews>
  <sheetFormatPr defaultColWidth="9.1796875" defaultRowHeight="14.5" outlineLevelCol="1" x14ac:dyDescent="0.35"/>
  <cols>
    <col min="1" max="1" width="54.54296875" style="47" customWidth="1"/>
    <col min="2" max="2" width="14.7265625" style="47" customWidth="1"/>
    <col min="3" max="3" width="15" style="47" customWidth="1"/>
    <col min="4" max="4" width="15" style="47" hidden="1" customWidth="1" outlineLevel="1"/>
    <col min="5" max="5" width="15.26953125" style="47" customWidth="1" collapsed="1"/>
    <col min="6" max="6" width="15.81640625" style="47" customWidth="1"/>
    <col min="7" max="7" width="17.54296875" style="47" customWidth="1"/>
    <col min="8" max="9" width="13.26953125" style="47" customWidth="1"/>
    <col min="10" max="10" width="15.7265625" style="47" customWidth="1"/>
    <col min="11" max="12" width="12.54296875" style="47" bestFit="1" customWidth="1"/>
    <col min="13" max="13" width="14.453125" style="47" customWidth="1"/>
    <col min="14" max="14" width="15" style="47" bestFit="1" customWidth="1"/>
    <col min="15" max="15" width="16.26953125" style="47" bestFit="1" customWidth="1"/>
    <col min="16" max="16" width="16.1796875" style="47" customWidth="1"/>
    <col min="17" max="17" width="17.26953125" style="47" bestFit="1" customWidth="1"/>
    <col min="18" max="18" width="17.453125" style="47" customWidth="1"/>
    <col min="19" max="19" width="15.54296875" style="47" customWidth="1"/>
    <col min="20" max="20" width="13" style="47" customWidth="1"/>
    <col min="21" max="21" width="9.1796875" style="47"/>
    <col min="22" max="22" width="14.26953125" style="47" bestFit="1" customWidth="1"/>
    <col min="23" max="16384" width="9.1796875" style="47"/>
  </cols>
  <sheetData>
    <row r="1" spans="1:35" x14ac:dyDescent="0.35">
      <c r="A1" s="3" t="str">
        <f>+'PPC Cycle 3'!A1</f>
        <v>Evergy Missouri West, Inc. - DSIM Rider Update Filed 12/02/2021</v>
      </c>
      <c r="B1" s="3"/>
      <c r="C1" s="3"/>
      <c r="D1" s="3"/>
    </row>
    <row r="2" spans="1:35" x14ac:dyDescent="0.35">
      <c r="E2" s="3" t="s">
        <v>138</v>
      </c>
    </row>
    <row r="3" spans="1:35" ht="29" x14ac:dyDescent="0.35">
      <c r="E3" s="49" t="s">
        <v>46</v>
      </c>
      <c r="F3" s="49" t="s">
        <v>45</v>
      </c>
      <c r="G3" s="71" t="s">
        <v>2</v>
      </c>
      <c r="H3" s="49" t="s">
        <v>3</v>
      </c>
      <c r="I3" s="71" t="s">
        <v>55</v>
      </c>
      <c r="J3" s="49" t="s">
        <v>10</v>
      </c>
      <c r="K3" s="49" t="s">
        <v>4</v>
      </c>
    </row>
    <row r="4" spans="1:35" x14ac:dyDescent="0.35">
      <c r="A4" s="20" t="s">
        <v>24</v>
      </c>
      <c r="E4" s="22">
        <f>SUM(C26:M26)</f>
        <v>4716844.21</v>
      </c>
      <c r="F4" s="137">
        <f>SUM(C20:M20)</f>
        <v>1952127529.2870998</v>
      </c>
      <c r="G4" s="22">
        <f>SUM(C14:L14)</f>
        <v>6535820.0199999996</v>
      </c>
      <c r="H4" s="22">
        <f>G4-E4</f>
        <v>1818975.8099999996</v>
      </c>
      <c r="I4" s="22">
        <f>+B40</f>
        <v>-793063.17999999982</v>
      </c>
      <c r="J4" s="22">
        <f>SUM(C47:L47)</f>
        <v>10540.800000000001</v>
      </c>
      <c r="K4" s="26">
        <f>SUM(H4:J4)</f>
        <v>1036453.4299999998</v>
      </c>
      <c r="L4" s="48">
        <f>+K4-M40</f>
        <v>0</v>
      </c>
    </row>
    <row r="5" spans="1:35" x14ac:dyDescent="0.35">
      <c r="A5" s="20" t="s">
        <v>108</v>
      </c>
      <c r="E5" s="22">
        <f>SUM(C27:M27)</f>
        <v>822865.09000000008</v>
      </c>
      <c r="F5" s="137">
        <f>SUM(C21:M21)</f>
        <v>593686872.0984</v>
      </c>
      <c r="G5" s="22">
        <f>SUM(C15:L15)</f>
        <v>905663.22</v>
      </c>
      <c r="H5" s="22">
        <f>G5-E5</f>
        <v>82798.129999999888</v>
      </c>
      <c r="I5" s="22">
        <f>+B41</f>
        <v>-222200.07999999996</v>
      </c>
      <c r="J5" s="22">
        <f>SUM(C48:L48)</f>
        <v>-748.57</v>
      </c>
      <c r="K5" s="26">
        <f>SUM(H5:J5)</f>
        <v>-140150.52000000008</v>
      </c>
      <c r="L5" s="48">
        <f t="shared" ref="L5:L6" si="0">+K5-M41</f>
        <v>0</v>
      </c>
    </row>
    <row r="6" spans="1:35" x14ac:dyDescent="0.35">
      <c r="A6" s="20" t="s">
        <v>109</v>
      </c>
      <c r="E6" s="22">
        <f>SUM(C28:M28)</f>
        <v>1555238.6600000001</v>
      </c>
      <c r="F6" s="137">
        <f>SUM(C22:M22)</f>
        <v>584949736.84560001</v>
      </c>
      <c r="G6" s="22">
        <f>SUM(C16:L16)</f>
        <v>2011838.61</v>
      </c>
      <c r="H6" s="22">
        <f>G6-E6</f>
        <v>456599.94999999995</v>
      </c>
      <c r="I6" s="22">
        <f>+B42</f>
        <v>126780.78999999994</v>
      </c>
      <c r="J6" s="22">
        <f>SUM(C49:L49)</f>
        <v>3832.7700000000004</v>
      </c>
      <c r="K6" s="26">
        <f>SUM(H6:J6)</f>
        <v>587213.50999999989</v>
      </c>
      <c r="L6" s="48">
        <f t="shared" si="0"/>
        <v>0</v>
      </c>
    </row>
    <row r="7" spans="1:35" ht="15" thickBot="1" x14ac:dyDescent="0.4">
      <c r="A7" s="20" t="s">
        <v>110</v>
      </c>
      <c r="E7" s="22">
        <f>SUM(C29:M29)</f>
        <v>849965</v>
      </c>
      <c r="F7" s="137">
        <f>SUM(C23:M23)</f>
        <v>380838261.20850003</v>
      </c>
      <c r="G7" s="22">
        <f>SUM(C17:L17)</f>
        <v>718863.04</v>
      </c>
      <c r="H7" s="22">
        <f>G7-E7</f>
        <v>-131101.95999999996</v>
      </c>
      <c r="I7" s="22">
        <f>+B43</f>
        <v>-429868.14000000013</v>
      </c>
      <c r="J7" s="22">
        <f>SUM(C50:L50)</f>
        <v>-3435.4</v>
      </c>
      <c r="K7" s="26">
        <f>SUM(H7:J7)</f>
        <v>-564405.50000000012</v>
      </c>
      <c r="L7" s="48">
        <f>+K7-M43</f>
        <v>0</v>
      </c>
    </row>
    <row r="8" spans="1:35" ht="15.5" thickTop="1" thickBot="1" x14ac:dyDescent="0.4">
      <c r="E8" s="28">
        <f t="shared" ref="E8:K8" si="1">SUM(E4:E7)</f>
        <v>7944912.96</v>
      </c>
      <c r="F8" s="28">
        <f t="shared" si="1"/>
        <v>3511602399.4396</v>
      </c>
      <c r="G8" s="28">
        <f t="shared" si="1"/>
        <v>10172184.890000001</v>
      </c>
      <c r="H8" s="28">
        <f t="shared" si="1"/>
        <v>2227271.9299999997</v>
      </c>
      <c r="I8" s="28">
        <f t="shared" si="1"/>
        <v>-1318350.6099999999</v>
      </c>
      <c r="J8" s="28">
        <f t="shared" si="1"/>
        <v>10189.600000000002</v>
      </c>
      <c r="K8" s="28">
        <f t="shared" si="1"/>
        <v>919110.91999999934</v>
      </c>
    </row>
    <row r="9" spans="1:35" ht="15.5" thickTop="1" thickBot="1" x14ac:dyDescent="0.4"/>
    <row r="10" spans="1:35" ht="73" thickBot="1" x14ac:dyDescent="0.4">
      <c r="B10" s="119" t="str">
        <f>+'PCR Cycle 2'!B13</f>
        <v>Cumulative Over/Under Carryover From 06/01/2021 Filing</v>
      </c>
      <c r="C10" s="152" t="str">
        <f>+'PCR Cycle 2'!C13</f>
        <v>Reverse May 2021 - July 2021  Forecast From 06/01/2021 Filing</v>
      </c>
      <c r="D10" s="286"/>
      <c r="E10" s="305" t="s">
        <v>33</v>
      </c>
      <c r="F10" s="305"/>
      <c r="G10" s="306"/>
      <c r="H10" s="307" t="s">
        <v>33</v>
      </c>
      <c r="I10" s="308"/>
      <c r="J10" s="309"/>
      <c r="K10" s="301" t="s">
        <v>8</v>
      </c>
      <c r="L10" s="302"/>
      <c r="M10" s="303"/>
    </row>
    <row r="11" spans="1:35" x14ac:dyDescent="0.35">
      <c r="C11" s="14"/>
      <c r="D11" s="19"/>
      <c r="E11" s="19">
        <f>+'PCR Cycle 2'!D14</f>
        <v>44347</v>
      </c>
      <c r="F11" s="19">
        <f>+'PCR Cycle 2'!E14</f>
        <v>44377</v>
      </c>
      <c r="G11" s="19">
        <f>+'PCR Cycle 2'!F14</f>
        <v>44408</v>
      </c>
      <c r="H11" s="14">
        <f>+'PCR Cycle 2'!G14</f>
        <v>44439</v>
      </c>
      <c r="I11" s="19">
        <f>+'PCR Cycle 2'!H14</f>
        <v>44469</v>
      </c>
      <c r="J11" s="15">
        <f>+'PCR Cycle 2'!I14</f>
        <v>44500</v>
      </c>
      <c r="K11" s="19">
        <f>+'PCR Cycle 2'!J14</f>
        <v>44530</v>
      </c>
      <c r="L11" s="19">
        <f>+'PCR Cycle 2'!K14</f>
        <v>44561</v>
      </c>
      <c r="M11" s="96">
        <f>+'PCR Cycle 2'!L14</f>
        <v>44592</v>
      </c>
      <c r="Z11" s="1"/>
      <c r="AA11" s="1"/>
      <c r="AB11" s="1"/>
      <c r="AC11" s="1"/>
      <c r="AD11" s="1"/>
      <c r="AE11" s="1"/>
      <c r="AF11" s="1"/>
      <c r="AG11" s="1"/>
      <c r="AH11" s="1"/>
      <c r="AI11" s="1"/>
    </row>
    <row r="12" spans="1:35" x14ac:dyDescent="0.35">
      <c r="C12" s="99"/>
      <c r="D12" s="277"/>
      <c r="E12" s="32"/>
      <c r="F12" s="32"/>
      <c r="G12" s="32"/>
      <c r="H12" s="29"/>
      <c r="I12" s="32"/>
      <c r="J12" s="11"/>
      <c r="K12" s="32"/>
      <c r="L12" s="32"/>
      <c r="M12" s="30"/>
    </row>
    <row r="13" spans="1:35" x14ac:dyDescent="0.35">
      <c r="A13" s="47" t="s">
        <v>139</v>
      </c>
      <c r="C13" s="100"/>
      <c r="D13" s="150"/>
      <c r="E13" s="32"/>
      <c r="F13" s="32"/>
      <c r="G13" s="32"/>
      <c r="H13" s="29"/>
      <c r="I13" s="32"/>
      <c r="J13" s="167"/>
      <c r="K13" s="17"/>
      <c r="L13" s="17"/>
      <c r="M13" s="11"/>
    </row>
    <row r="14" spans="1:35" x14ac:dyDescent="0.35">
      <c r="A14" s="47" t="s">
        <v>24</v>
      </c>
      <c r="C14" s="98">
        <v>-1573754.6</v>
      </c>
      <c r="D14" s="278"/>
      <c r="E14" s="110">
        <f>+[6]Pivot!$N$27</f>
        <v>1493652.4100000001</v>
      </c>
      <c r="F14" s="110">
        <f>+[7]Pivot!$N$27</f>
        <v>926283.14999999991</v>
      </c>
      <c r="G14" s="111">
        <f>+[8]Pivot!$N$27</f>
        <v>1167907.04</v>
      </c>
      <c r="H14" s="16">
        <f>+[9]Pivot!$N$27</f>
        <v>804706.6399999999</v>
      </c>
      <c r="I14" s="56">
        <f>+[10]Pivot!$N$27</f>
        <v>923571.02999999991</v>
      </c>
      <c r="J14" s="166">
        <f>+[11]Pivot!$N$27</f>
        <v>827376.08</v>
      </c>
      <c r="K14" s="176">
        <f>ROUND('[2]Monthly Program Costs'!AD290,2)</f>
        <v>1172413.6599999999</v>
      </c>
      <c r="L14" s="139">
        <f>ROUND('[2]Monthly Program Costs'!AE290,2)</f>
        <v>793664.61</v>
      </c>
      <c r="M14" s="77"/>
    </row>
    <row r="15" spans="1:35" x14ac:dyDescent="0.35">
      <c r="A15" s="47" t="s">
        <v>108</v>
      </c>
      <c r="C15" s="98">
        <v>-334489.76</v>
      </c>
      <c r="D15" s="278"/>
      <c r="E15" s="110">
        <f>+[6]Pivot!$O$27</f>
        <v>113202.65</v>
      </c>
      <c r="F15" s="110">
        <f>+[7]Pivot!$O$27</f>
        <v>98221.6</v>
      </c>
      <c r="G15" s="111">
        <f>+[8]Pivot!$O$27</f>
        <v>221197.88</v>
      </c>
      <c r="H15" s="16">
        <f>+[9]Pivot!$O$27</f>
        <v>159029.37</v>
      </c>
      <c r="I15" s="56">
        <f>+[10]Pivot!$O$27</f>
        <v>171455.98</v>
      </c>
      <c r="J15" s="166">
        <f>+[11]Pivot!$O$27</f>
        <v>103111.95999999999</v>
      </c>
      <c r="K15" s="176">
        <f>ROUND('[2]Monthly Program Costs'!AD291,2)</f>
        <v>180775.06</v>
      </c>
      <c r="L15" s="139">
        <f>ROUND('[2]Monthly Program Costs'!AE291,2)</f>
        <v>193158.48</v>
      </c>
      <c r="M15" s="77"/>
    </row>
    <row r="16" spans="1:35" x14ac:dyDescent="0.35">
      <c r="A16" s="47" t="s">
        <v>109</v>
      </c>
      <c r="C16" s="98">
        <v>-502531.68</v>
      </c>
      <c r="D16" s="278"/>
      <c r="E16" s="110">
        <f>+[6]Pivot!$Q$27</f>
        <v>74132.22</v>
      </c>
      <c r="F16" s="110">
        <f>+[7]Pivot!$Q$27</f>
        <v>363630.27</v>
      </c>
      <c r="G16" s="111">
        <f>+[8]Pivot!$Q$27</f>
        <v>483608.81</v>
      </c>
      <c r="H16" s="16">
        <f>+[9]Pivot!$Q$27</f>
        <v>252133.91999999998</v>
      </c>
      <c r="I16" s="56">
        <f>+[10]Pivot!$Q$27</f>
        <v>597805.53</v>
      </c>
      <c r="J16" s="166">
        <f>+[11]Pivot!$Q$27</f>
        <v>186409.51</v>
      </c>
      <c r="K16" s="176">
        <f>ROUND('[2]Monthly Program Costs'!AD293,2)</f>
        <v>262377.59999999998</v>
      </c>
      <c r="L16" s="139">
        <f>ROUND('[2]Monthly Program Costs'!AE293,2)</f>
        <v>294272.43</v>
      </c>
      <c r="M16" s="77"/>
    </row>
    <row r="17" spans="1:15" x14ac:dyDescent="0.35">
      <c r="A17" s="47" t="s">
        <v>110</v>
      </c>
      <c r="C17" s="98">
        <v>-380514.95999999996</v>
      </c>
      <c r="D17" s="278"/>
      <c r="E17" s="110">
        <f>+[6]Pivot!$R$27</f>
        <v>171987.60999999987</v>
      </c>
      <c r="F17" s="110">
        <f>+[7]Pivot!$R$27</f>
        <v>95030.030000000173</v>
      </c>
      <c r="G17" s="111">
        <f>+[8]Pivot!$R$27</f>
        <v>78406.579999999987</v>
      </c>
      <c r="H17" s="16">
        <f>+[9]Pivot!$R$27</f>
        <v>177364.28</v>
      </c>
      <c r="I17" s="56">
        <f>+[10]Pivot!$R$27</f>
        <v>103909.70999999999</v>
      </c>
      <c r="J17" s="166">
        <f>+[11]Pivot!$R$27</f>
        <v>54310.419999999984</v>
      </c>
      <c r="K17" s="176">
        <f>ROUND('[2]Monthly Program Costs'!AD294,2)</f>
        <v>197001.85</v>
      </c>
      <c r="L17" s="139">
        <f>ROUND('[2]Monthly Program Costs'!AE294,2)</f>
        <v>221367.52</v>
      </c>
      <c r="M17" s="77"/>
    </row>
    <row r="18" spans="1:15" x14ac:dyDescent="0.35">
      <c r="C18" s="100"/>
      <c r="D18" s="150"/>
      <c r="E18" s="32"/>
      <c r="F18" s="32"/>
      <c r="G18" s="32"/>
      <c r="H18" s="29"/>
      <c r="I18" s="32"/>
      <c r="J18" s="11"/>
      <c r="K18" s="17"/>
      <c r="L18" s="17"/>
      <c r="M18" s="11"/>
    </row>
    <row r="19" spans="1:15" x14ac:dyDescent="0.35">
      <c r="A19" s="40" t="s">
        <v>47</v>
      </c>
      <c r="B19" s="40"/>
      <c r="C19" s="102"/>
      <c r="D19" s="279"/>
      <c r="E19" s="32"/>
      <c r="F19" s="32"/>
      <c r="G19" s="32"/>
      <c r="H19" s="29"/>
      <c r="I19" s="32"/>
      <c r="J19" s="11"/>
      <c r="K19" s="17"/>
      <c r="L19" s="17"/>
      <c r="M19" s="11"/>
    </row>
    <row r="20" spans="1:15" x14ac:dyDescent="0.35">
      <c r="A20" s="47" t="s">
        <v>24</v>
      </c>
      <c r="C20" s="103">
        <v>-827460900</v>
      </c>
      <c r="D20" s="280"/>
      <c r="E20" s="112">
        <f>+'PCR Cycle 2'!D26</f>
        <v>202004293.37319997</v>
      </c>
      <c r="F20" s="112">
        <f>+'PCR Cycle 2'!E26</f>
        <v>271393107.21899998</v>
      </c>
      <c r="G20" s="112">
        <f>+'PCR Cycle 2'!F26</f>
        <v>360441057.07150012</v>
      </c>
      <c r="H20" s="186">
        <f>+'PCR Cycle 2'!G26</f>
        <v>380949932.8064999</v>
      </c>
      <c r="I20" s="189">
        <f>+'PCR Cycle 2'!H26</f>
        <v>377839856.90309995</v>
      </c>
      <c r="J20" s="181">
        <f>+'PCR Cycle 2'!I26</f>
        <v>264400723.9138</v>
      </c>
      <c r="K20" s="177">
        <f>+'PCR Cycle 2'!J26</f>
        <v>223399953</v>
      </c>
      <c r="L20" s="140">
        <f>+'PCR Cycle 2'!K26</f>
        <v>309715994</v>
      </c>
      <c r="M20" s="78">
        <f>+'PCR Cycle 2'!L26</f>
        <v>389443511</v>
      </c>
    </row>
    <row r="21" spans="1:15" x14ac:dyDescent="0.35">
      <c r="A21" s="47" t="s">
        <v>108</v>
      </c>
      <c r="C21" s="103">
        <v>-300825499</v>
      </c>
      <c r="D21" s="280"/>
      <c r="E21" s="112">
        <f>+'PCR Cycle 2'!D27</f>
        <v>78540956.580800012</v>
      </c>
      <c r="F21" s="112">
        <f>+'PCR Cycle 2'!E27</f>
        <v>95126746.503500015</v>
      </c>
      <c r="G21" s="112">
        <f>+'PCR Cycle 2'!F27</f>
        <v>110787713.46610002</v>
      </c>
      <c r="H21" s="186">
        <f>+'PCR Cycle 2'!G27</f>
        <v>115862337.72690004</v>
      </c>
      <c r="I21" s="189">
        <f>+'PCR Cycle 2'!H27</f>
        <v>116599258.20039998</v>
      </c>
      <c r="J21" s="181">
        <f>+'PCR Cycle 2'!I27</f>
        <v>99435544.620699972</v>
      </c>
      <c r="K21" s="177">
        <f>+'PCR Cycle 2'!J27</f>
        <v>89874848</v>
      </c>
      <c r="L21" s="140">
        <f>+'PCR Cycle 2'!K27</f>
        <v>92294683</v>
      </c>
      <c r="M21" s="78">
        <f>+'PCR Cycle 2'!L27</f>
        <v>95990283</v>
      </c>
    </row>
    <row r="22" spans="1:15" x14ac:dyDescent="0.35">
      <c r="A22" s="47" t="s">
        <v>109</v>
      </c>
      <c r="C22" s="103">
        <v>-299596233</v>
      </c>
      <c r="D22" s="280"/>
      <c r="E22" s="112">
        <f>+'PCR Cycle 2'!D28</f>
        <v>82135295.806399986</v>
      </c>
      <c r="F22" s="112">
        <f>+'PCR Cycle 2'!E28</f>
        <v>95165840.026300013</v>
      </c>
      <c r="G22" s="112">
        <f>+'PCR Cycle 2'!F28</f>
        <v>104981508.77219999</v>
      </c>
      <c r="H22" s="186">
        <f>+'PCR Cycle 2'!G28</f>
        <v>107773155.5526</v>
      </c>
      <c r="I22" s="189">
        <f>+'PCR Cycle 2'!H28</f>
        <v>116616352.05589999</v>
      </c>
      <c r="J22" s="181">
        <f>+'PCR Cycle 2'!I28</f>
        <v>100850650.63220003</v>
      </c>
      <c r="K22" s="177">
        <f>+'PCR Cycle 2'!J28</f>
        <v>89507591</v>
      </c>
      <c r="L22" s="140">
        <f>+'PCR Cycle 2'!K28</f>
        <v>91917539</v>
      </c>
      <c r="M22" s="78">
        <f>+'PCR Cycle 2'!L28</f>
        <v>95598037</v>
      </c>
    </row>
    <row r="23" spans="1:15" x14ac:dyDescent="0.35">
      <c r="A23" s="47" t="s">
        <v>110</v>
      </c>
      <c r="C23" s="103">
        <v>-211393285</v>
      </c>
      <c r="D23" s="280"/>
      <c r="E23" s="112">
        <f>+'PCR Cycle 2'!D29</f>
        <v>58379875.777100004</v>
      </c>
      <c r="F23" s="112">
        <f>+'PCR Cycle 2'!E29</f>
        <v>61917432.705699988</v>
      </c>
      <c r="G23" s="112">
        <f>+'PCR Cycle 2'!F29</f>
        <v>65859003.062300004</v>
      </c>
      <c r="H23" s="186">
        <f>+'PCR Cycle 2'!G29</f>
        <v>64057287.943400003</v>
      </c>
      <c r="I23" s="189">
        <f>+'PCR Cycle 2'!H29</f>
        <v>76663120.753800005</v>
      </c>
      <c r="J23" s="181">
        <f>+'PCR Cycle 2'!I29</f>
        <v>69888958.966200009</v>
      </c>
      <c r="K23" s="177">
        <f>+'PCR Cycle 2'!J29</f>
        <v>63156014</v>
      </c>
      <c r="L23" s="140">
        <f>+'PCR Cycle 2'!K29</f>
        <v>64856458</v>
      </c>
      <c r="M23" s="78">
        <f>+'PCR Cycle 2'!L29</f>
        <v>67453395</v>
      </c>
    </row>
    <row r="24" spans="1:15" x14ac:dyDescent="0.35">
      <c r="C24" s="100"/>
      <c r="D24" s="150"/>
      <c r="E24" s="32"/>
      <c r="F24" s="32"/>
      <c r="G24" s="32"/>
      <c r="H24" s="29"/>
      <c r="I24" s="32"/>
      <c r="J24" s="11"/>
      <c r="K24" s="17"/>
      <c r="L24" s="17"/>
      <c r="M24" s="11"/>
    </row>
    <row r="25" spans="1:15" x14ac:dyDescent="0.35">
      <c r="A25" s="47" t="s">
        <v>34</v>
      </c>
      <c r="C25" s="100"/>
      <c r="D25" s="150"/>
      <c r="E25" s="18"/>
      <c r="F25" s="18"/>
      <c r="G25" s="18"/>
      <c r="H25" s="92"/>
      <c r="I25" s="18"/>
      <c r="J25" s="11"/>
      <c r="K25" s="58"/>
      <c r="L25" s="58"/>
      <c r="M25" s="59"/>
      <c r="N25" s="64" t="s">
        <v>50</v>
      </c>
      <c r="O25" s="40"/>
    </row>
    <row r="26" spans="1:15" x14ac:dyDescent="0.35">
      <c r="A26" s="47" t="s">
        <v>24</v>
      </c>
      <c r="C26" s="98">
        <v>-2134849.11</v>
      </c>
      <c r="D26" s="278"/>
      <c r="E26" s="110">
        <f>ROUND('[4]May 2021'!$F$68+'[4]May 2021'!$F$75,2)</f>
        <v>519151.28</v>
      </c>
      <c r="F26" s="110">
        <f>ROUND('[4]Jun 2021'!$F$68+'[4]Jun 2021'!$F$75,2)</f>
        <v>697480.32</v>
      </c>
      <c r="G26" s="110">
        <f>ROUND('[4]Jul 2021'!$F$68+'[4]Jul 2021'!$F$75,2)</f>
        <v>926333.21</v>
      </c>
      <c r="H26" s="187">
        <f>ROUND('[4]Aug 2021'!$F$68+'[4]Aug 2021'!$F$75,2)</f>
        <v>921903.34</v>
      </c>
      <c r="I26" s="56">
        <f>ROUND('[4]Sep 2021'!$F$68+'[4]Sep 2021'!$F$75,2)</f>
        <v>914381.12</v>
      </c>
      <c r="J26" s="179">
        <f>ROUND('[4]Oct 2021'!$F$68+'[4]Oct 2021'!$F$75,2)</f>
        <v>639850.15</v>
      </c>
      <c r="K26" s="124">
        <f t="shared" ref="K26:M29" si="2">ROUND(K20*$N26,2)</f>
        <v>540627.89</v>
      </c>
      <c r="L26" s="42">
        <f t="shared" si="2"/>
        <v>749512.71</v>
      </c>
      <c r="M26" s="62">
        <f t="shared" si="2"/>
        <v>942453.3</v>
      </c>
      <c r="N26" s="73">
        <v>2.4199999999999998E-3</v>
      </c>
    </row>
    <row r="27" spans="1:15" x14ac:dyDescent="0.35">
      <c r="A27" s="47" t="s">
        <v>108</v>
      </c>
      <c r="C27" s="98">
        <v>-613684.02</v>
      </c>
      <c r="D27" s="278"/>
      <c r="E27" s="110">
        <f>ROUND('[4]May 2021'!$F$69+'[4]May 2021'!$F$76,2)</f>
        <v>164141.38</v>
      </c>
      <c r="F27" s="110">
        <f>ROUND('[4]Jun 2021'!$F$69+'[4]Jun 2021'!$F$76,2)</f>
        <v>198814.89</v>
      </c>
      <c r="G27" s="110">
        <f>ROUND('[4]Jul 2021'!$F$69+'[4]Jul 2021'!$F$76,2)</f>
        <v>231545.89</v>
      </c>
      <c r="H27" s="187">
        <f>ROUND('[4]Aug 2021'!$F$69+'[4]Aug 2021'!$F$76,2)</f>
        <v>160025.81</v>
      </c>
      <c r="I27" s="56">
        <f>ROUND('[4]Sep 2021'!$F$69+'[4]Sep 2021'!$F$76,2)</f>
        <v>160934.13</v>
      </c>
      <c r="J27" s="179">
        <f>ROUND('[4]Oct 2021'!$F$69+'[4]Oct 2021'!$F$76,2)</f>
        <v>137226.47</v>
      </c>
      <c r="K27" s="124">
        <f t="shared" si="2"/>
        <v>124027.29</v>
      </c>
      <c r="L27" s="42">
        <f t="shared" si="2"/>
        <v>127366.66</v>
      </c>
      <c r="M27" s="62">
        <f t="shared" si="2"/>
        <v>132466.59</v>
      </c>
      <c r="N27" s="73">
        <v>1.3799999999999999E-3</v>
      </c>
    </row>
    <row r="28" spans="1:15" x14ac:dyDescent="0.35">
      <c r="A28" s="47" t="s">
        <v>109</v>
      </c>
      <c r="C28" s="98">
        <v>-578220.73</v>
      </c>
      <c r="D28" s="278"/>
      <c r="E28" s="110">
        <f>ROUND('[4]May 2021'!$F$70+'[4]May 2021'!$F$77,2)</f>
        <v>186447.12</v>
      </c>
      <c r="F28" s="110">
        <f>ROUND('[4]Jun 2021'!$F$70+'[4]Jun 2021'!$F$77,2)</f>
        <v>216026.46</v>
      </c>
      <c r="G28" s="110">
        <f>ROUND('[4]Jul 2021'!$F$70+'[4]Jul 2021'!$F$77,2)</f>
        <v>238308.03</v>
      </c>
      <c r="H28" s="187">
        <f>ROUND('[4]Aug 2021'!$F$70+'[4]Aug 2021'!$F$77,2)</f>
        <v>267087.96000000002</v>
      </c>
      <c r="I28" s="56">
        <f>ROUND('[4]Sep 2021'!$F$70+'[4]Sep 2021'!$F$77,2)</f>
        <v>288462.74</v>
      </c>
      <c r="J28" s="179">
        <f>ROUND('[4]Oct 2021'!$F$70+'[4]Oct 2021'!$F$77,2)</f>
        <v>250109.62</v>
      </c>
      <c r="K28" s="124">
        <f t="shared" si="2"/>
        <v>221978.83</v>
      </c>
      <c r="L28" s="42">
        <f t="shared" si="2"/>
        <v>227955.5</v>
      </c>
      <c r="M28" s="62">
        <f t="shared" si="2"/>
        <v>237083.13</v>
      </c>
      <c r="N28" s="73">
        <v>2.48E-3</v>
      </c>
    </row>
    <row r="29" spans="1:15" x14ac:dyDescent="0.35">
      <c r="A29" s="47" t="s">
        <v>110</v>
      </c>
      <c r="C29" s="98">
        <v>-541166.81000000006</v>
      </c>
      <c r="D29" s="278"/>
      <c r="E29" s="110">
        <f>ROUND('[4]May 2021'!$F$71+'[4]May 2021'!$F$78,2)</f>
        <v>179226.22</v>
      </c>
      <c r="F29" s="110">
        <f>ROUND('[4]Jun 2021'!$F$71+'[4]Jun 2021'!$F$78,2)</f>
        <v>190086.52</v>
      </c>
      <c r="G29" s="110">
        <f>ROUND('[4]Jul 2021'!$F$71+'[4]Jul 2021'!$F$78,2)</f>
        <v>202187.14</v>
      </c>
      <c r="H29" s="187">
        <f>ROUND('[4]Aug 2021'!$F$71+'[4]Aug 2021'!$F$78,2)</f>
        <v>128114.58</v>
      </c>
      <c r="I29" s="56">
        <f>ROUND('[4]Sep 2021'!$F$71+'[4]Sep 2021'!$F$78,2)</f>
        <v>158368.32999999999</v>
      </c>
      <c r="J29" s="179">
        <f>ROUND('[4]Oct 2021'!$F$71+'[4]Oct 2021'!$F$78,2)</f>
        <v>142217.28</v>
      </c>
      <c r="K29" s="124">
        <f t="shared" si="2"/>
        <v>126312.03</v>
      </c>
      <c r="L29" s="42">
        <f t="shared" si="2"/>
        <v>129712.92</v>
      </c>
      <c r="M29" s="62">
        <f t="shared" si="2"/>
        <v>134906.79</v>
      </c>
      <c r="N29" s="73">
        <v>2E-3</v>
      </c>
    </row>
    <row r="30" spans="1:15" x14ac:dyDescent="0.35">
      <c r="C30" s="68"/>
      <c r="D30" s="69"/>
      <c r="E30" s="18"/>
      <c r="F30" s="18"/>
      <c r="G30" s="18"/>
      <c r="H30" s="92"/>
      <c r="I30" s="18"/>
      <c r="J30" s="11"/>
      <c r="K30" s="57"/>
      <c r="L30" s="57"/>
      <c r="M30" s="13"/>
      <c r="N30" s="4"/>
    </row>
    <row r="31" spans="1:15" ht="15" thickBot="1" x14ac:dyDescent="0.4">
      <c r="A31" s="47" t="s">
        <v>14</v>
      </c>
      <c r="C31" s="104">
        <v>-7.75</v>
      </c>
      <c r="D31" s="281">
        <v>0</v>
      </c>
      <c r="E31" s="113">
        <v>179.84000000000003</v>
      </c>
      <c r="F31" s="113">
        <v>727.07999999999993</v>
      </c>
      <c r="G31" s="114">
        <v>1030.31</v>
      </c>
      <c r="H31" s="27">
        <v>1178.7800000000002</v>
      </c>
      <c r="I31" s="123">
        <v>1280.7699999999998</v>
      </c>
      <c r="J31" s="180">
        <v>1436.7399999999998</v>
      </c>
      <c r="K31" s="178">
        <v>1884.0299999999997</v>
      </c>
      <c r="L31" s="141">
        <v>2479.7900000000004</v>
      </c>
      <c r="M31" s="82"/>
    </row>
    <row r="32" spans="1:15" x14ac:dyDescent="0.35">
      <c r="C32" s="100"/>
      <c r="D32" s="150"/>
      <c r="E32" s="32"/>
      <c r="F32" s="32"/>
      <c r="G32" s="32"/>
      <c r="H32" s="29"/>
      <c r="I32" s="32"/>
      <c r="J32" s="11"/>
      <c r="K32" s="17"/>
      <c r="L32" s="17"/>
      <c r="M32" s="11"/>
    </row>
    <row r="33" spans="1:14" x14ac:dyDescent="0.35">
      <c r="A33" s="47" t="s">
        <v>52</v>
      </c>
      <c r="C33" s="100"/>
      <c r="D33" s="150"/>
      <c r="E33" s="32"/>
      <c r="F33" s="32"/>
      <c r="G33" s="32"/>
      <c r="H33" s="29"/>
      <c r="I33" s="32"/>
      <c r="J33" s="11"/>
      <c r="K33" s="17"/>
      <c r="L33" s="17"/>
      <c r="M33" s="11"/>
    </row>
    <row r="34" spans="1:14" x14ac:dyDescent="0.35">
      <c r="A34" s="47" t="s">
        <v>24</v>
      </c>
      <c r="C34" s="41">
        <f t="shared" ref="C34:M34" si="3">C14-C26</f>
        <v>561094.50999999978</v>
      </c>
      <c r="D34" s="124">
        <f t="shared" ref="D34" si="4">D14-D26</f>
        <v>0</v>
      </c>
      <c r="E34" s="42">
        <f t="shared" si="3"/>
        <v>974501.13000000012</v>
      </c>
      <c r="F34" s="42">
        <f t="shared" si="3"/>
        <v>228802.82999999996</v>
      </c>
      <c r="G34" s="109">
        <f t="shared" si="3"/>
        <v>241573.83000000007</v>
      </c>
      <c r="H34" s="41">
        <f t="shared" si="3"/>
        <v>-117196.70000000007</v>
      </c>
      <c r="I34" s="42">
        <f t="shared" si="3"/>
        <v>9189.9099999999162</v>
      </c>
      <c r="J34" s="62">
        <f t="shared" si="3"/>
        <v>187525.92999999993</v>
      </c>
      <c r="K34" s="124">
        <f t="shared" si="3"/>
        <v>631785.7699999999</v>
      </c>
      <c r="L34" s="42">
        <f t="shared" si="3"/>
        <v>44151.900000000023</v>
      </c>
      <c r="M34" s="50">
        <f t="shared" si="3"/>
        <v>-942453.3</v>
      </c>
    </row>
    <row r="35" spans="1:14" x14ac:dyDescent="0.35">
      <c r="A35" s="47" t="s">
        <v>108</v>
      </c>
      <c r="C35" s="41">
        <f t="shared" ref="C35:M35" si="5">C15-C27</f>
        <v>279194.26</v>
      </c>
      <c r="D35" s="124">
        <f t="shared" ref="D35" si="6">D15-D27</f>
        <v>0</v>
      </c>
      <c r="E35" s="42">
        <f t="shared" si="5"/>
        <v>-50938.73000000001</v>
      </c>
      <c r="F35" s="42">
        <f t="shared" si="5"/>
        <v>-100593.29000000001</v>
      </c>
      <c r="G35" s="109">
        <f t="shared" si="5"/>
        <v>-10348.010000000009</v>
      </c>
      <c r="H35" s="41">
        <f t="shared" si="5"/>
        <v>-996.44000000000233</v>
      </c>
      <c r="I35" s="42">
        <f t="shared" si="5"/>
        <v>10521.850000000006</v>
      </c>
      <c r="J35" s="62">
        <f t="shared" si="5"/>
        <v>-34114.510000000009</v>
      </c>
      <c r="K35" s="124">
        <f t="shared" si="5"/>
        <v>56747.770000000004</v>
      </c>
      <c r="L35" s="42">
        <f t="shared" si="5"/>
        <v>65791.820000000007</v>
      </c>
      <c r="M35" s="50">
        <f t="shared" si="5"/>
        <v>-132466.59</v>
      </c>
    </row>
    <row r="36" spans="1:14" x14ac:dyDescent="0.35">
      <c r="A36" s="47" t="s">
        <v>109</v>
      </c>
      <c r="C36" s="41">
        <f t="shared" ref="C36:M36" si="7">C16-C28</f>
        <v>75689.049999999988</v>
      </c>
      <c r="D36" s="124">
        <f t="shared" ref="D36" si="8">D16-D28</f>
        <v>0</v>
      </c>
      <c r="E36" s="42">
        <f t="shared" si="7"/>
        <v>-112314.9</v>
      </c>
      <c r="F36" s="42">
        <f t="shared" si="7"/>
        <v>147603.81000000003</v>
      </c>
      <c r="G36" s="109">
        <f t="shared" si="7"/>
        <v>245300.78</v>
      </c>
      <c r="H36" s="41">
        <f t="shared" si="7"/>
        <v>-14954.040000000037</v>
      </c>
      <c r="I36" s="42">
        <f t="shared" si="7"/>
        <v>309342.79000000004</v>
      </c>
      <c r="J36" s="62">
        <f t="shared" si="7"/>
        <v>-63700.109999999986</v>
      </c>
      <c r="K36" s="124">
        <f t="shared" si="7"/>
        <v>40398.76999999999</v>
      </c>
      <c r="L36" s="42">
        <f t="shared" si="7"/>
        <v>66316.929999999993</v>
      </c>
      <c r="M36" s="50">
        <f t="shared" si="7"/>
        <v>-237083.13</v>
      </c>
    </row>
    <row r="37" spans="1:14" x14ac:dyDescent="0.35">
      <c r="A37" s="47" t="s">
        <v>110</v>
      </c>
      <c r="C37" s="41">
        <f t="shared" ref="C37:M37" si="9">C17-C29</f>
        <v>160651.85000000009</v>
      </c>
      <c r="D37" s="124">
        <f t="shared" ref="D37" si="10">D17-D29</f>
        <v>0</v>
      </c>
      <c r="E37" s="42">
        <f t="shared" si="9"/>
        <v>-7238.6100000001315</v>
      </c>
      <c r="F37" s="42">
        <f t="shared" si="9"/>
        <v>-95056.489999999816</v>
      </c>
      <c r="G37" s="109">
        <f t="shared" si="9"/>
        <v>-123780.56000000003</v>
      </c>
      <c r="H37" s="41">
        <f t="shared" si="9"/>
        <v>49249.7</v>
      </c>
      <c r="I37" s="42">
        <f t="shared" si="9"/>
        <v>-54458.619999999995</v>
      </c>
      <c r="J37" s="62">
        <f t="shared" si="9"/>
        <v>-87906.860000000015</v>
      </c>
      <c r="K37" s="124">
        <f t="shared" si="9"/>
        <v>70689.820000000007</v>
      </c>
      <c r="L37" s="42">
        <f t="shared" si="9"/>
        <v>91654.599999999991</v>
      </c>
      <c r="M37" s="50">
        <f t="shared" si="9"/>
        <v>-134906.79</v>
      </c>
    </row>
    <row r="38" spans="1:14" x14ac:dyDescent="0.35">
      <c r="C38" s="100"/>
      <c r="D38" s="150"/>
      <c r="E38" s="32"/>
      <c r="F38" s="32"/>
      <c r="G38" s="32"/>
      <c r="H38" s="29"/>
      <c r="I38" s="32"/>
      <c r="J38" s="11"/>
      <c r="K38" s="17"/>
      <c r="L38" s="17"/>
      <c r="M38" s="11"/>
    </row>
    <row r="39" spans="1:14" ht="15" thickBot="1" x14ac:dyDescent="0.4">
      <c r="A39" s="47" t="s">
        <v>53</v>
      </c>
      <c r="C39" s="105"/>
      <c r="D39" s="282"/>
      <c r="E39" s="32"/>
      <c r="F39" s="32"/>
      <c r="G39" s="32"/>
      <c r="H39" s="29"/>
      <c r="I39" s="32"/>
      <c r="J39" s="11"/>
      <c r="K39" s="17"/>
      <c r="L39" s="17"/>
      <c r="M39" s="11"/>
    </row>
    <row r="40" spans="1:14" x14ac:dyDescent="0.35">
      <c r="A40" s="47" t="s">
        <v>24</v>
      </c>
      <c r="B40" s="117">
        <v>-793063.17999999982</v>
      </c>
      <c r="C40" s="42">
        <f t="shared" ref="C40:M40" si="11">B40+C34+B47</f>
        <v>-231968.67000000004</v>
      </c>
      <c r="D40" s="42">
        <f t="shared" ref="D40:D43" si="12">C40+D34+C47</f>
        <v>-231722.27000000005</v>
      </c>
      <c r="E40" s="42">
        <f t="shared" ref="E40:E43" si="13">D40+E34+D47</f>
        <v>742778.8600000001</v>
      </c>
      <c r="F40" s="42">
        <f t="shared" si="11"/>
        <v>971868.42</v>
      </c>
      <c r="G40" s="109">
        <f t="shared" si="11"/>
        <v>1214397.23</v>
      </c>
      <c r="H40" s="41">
        <f t="shared" si="11"/>
        <v>1098424.8399999999</v>
      </c>
      <c r="I40" s="42">
        <f t="shared" si="11"/>
        <v>1108906.5799999998</v>
      </c>
      <c r="J40" s="62">
        <f t="shared" si="11"/>
        <v>1297659.9399999997</v>
      </c>
      <c r="K40" s="124">
        <f t="shared" si="11"/>
        <v>1930784.7099999995</v>
      </c>
      <c r="L40" s="42">
        <f t="shared" si="11"/>
        <v>1976732.7199999995</v>
      </c>
      <c r="M40" s="50">
        <f t="shared" si="11"/>
        <v>1036453.4299999995</v>
      </c>
    </row>
    <row r="41" spans="1:14" x14ac:dyDescent="0.35">
      <c r="A41" s="47" t="s">
        <v>108</v>
      </c>
      <c r="B41" s="248">
        <v>-222200.07999999996</v>
      </c>
      <c r="C41" s="42">
        <f t="shared" ref="C41:M41" si="14">B41+C35+B48</f>
        <v>56994.180000000051</v>
      </c>
      <c r="D41" s="42">
        <f t="shared" si="12"/>
        <v>56885.360000000052</v>
      </c>
      <c r="E41" s="42">
        <f t="shared" si="13"/>
        <v>5946.630000000041</v>
      </c>
      <c r="F41" s="42">
        <f t="shared" si="14"/>
        <v>-94611.409999999974</v>
      </c>
      <c r="G41" s="109">
        <f t="shared" si="14"/>
        <v>-105008.76999999999</v>
      </c>
      <c r="H41" s="41">
        <f t="shared" si="14"/>
        <v>-106116.98</v>
      </c>
      <c r="I41" s="42">
        <f t="shared" si="14"/>
        <v>-95713.049999999988</v>
      </c>
      <c r="J41" s="62">
        <f t="shared" si="14"/>
        <v>-129939.79</v>
      </c>
      <c r="K41" s="124">
        <f t="shared" si="14"/>
        <v>-73317.569999999992</v>
      </c>
      <c r="L41" s="42">
        <f t="shared" si="14"/>
        <v>-7638.8499999999858</v>
      </c>
      <c r="M41" s="50">
        <f t="shared" si="14"/>
        <v>-140150.51999999996</v>
      </c>
    </row>
    <row r="42" spans="1:14" x14ac:dyDescent="0.35">
      <c r="A42" s="47" t="s">
        <v>109</v>
      </c>
      <c r="B42" s="248">
        <v>126780.78999999994</v>
      </c>
      <c r="C42" s="42">
        <f t="shared" ref="C42:M42" si="15">B42+C36+B49</f>
        <v>202469.83999999991</v>
      </c>
      <c r="D42" s="42">
        <f t="shared" si="12"/>
        <v>201801.6999999999</v>
      </c>
      <c r="E42" s="42">
        <f t="shared" si="13"/>
        <v>89486.799999999901</v>
      </c>
      <c r="F42" s="42">
        <f t="shared" si="15"/>
        <v>237254.03999999992</v>
      </c>
      <c r="G42" s="109">
        <f t="shared" si="15"/>
        <v>482736.85999999993</v>
      </c>
      <c r="H42" s="41">
        <f t="shared" si="15"/>
        <v>468185.93999999989</v>
      </c>
      <c r="I42" s="42">
        <f t="shared" si="15"/>
        <v>778059.80999999994</v>
      </c>
      <c r="J42" s="62">
        <f t="shared" si="15"/>
        <v>715052.59</v>
      </c>
      <c r="K42" s="124">
        <f t="shared" si="15"/>
        <v>756282.08</v>
      </c>
      <c r="L42" s="42">
        <f t="shared" si="15"/>
        <v>823417.7</v>
      </c>
      <c r="M42" s="50">
        <f t="shared" si="15"/>
        <v>587213.50999999989</v>
      </c>
    </row>
    <row r="43" spans="1:14" ht="15" thickBot="1" x14ac:dyDescent="0.4">
      <c r="A43" s="47" t="s">
        <v>110</v>
      </c>
      <c r="B43" s="118">
        <v>-429868.14000000013</v>
      </c>
      <c r="C43" s="42">
        <f t="shared" ref="C43:M43" si="16">B43+C37+B50</f>
        <v>-269216.29000000004</v>
      </c>
      <c r="D43" s="42">
        <f t="shared" si="12"/>
        <v>-268693.49000000005</v>
      </c>
      <c r="E43" s="42">
        <f t="shared" si="13"/>
        <v>-275932.10000000021</v>
      </c>
      <c r="F43" s="42">
        <f t="shared" si="16"/>
        <v>-371294.15</v>
      </c>
      <c r="G43" s="109">
        <f t="shared" si="16"/>
        <v>-495435.2900000001</v>
      </c>
      <c r="H43" s="41">
        <f t="shared" si="16"/>
        <v>-446670.95000000007</v>
      </c>
      <c r="I43" s="42">
        <f t="shared" si="16"/>
        <v>-501655.78000000009</v>
      </c>
      <c r="J43" s="62">
        <f t="shared" si="16"/>
        <v>-590089.96000000008</v>
      </c>
      <c r="K43" s="124">
        <f t="shared" si="16"/>
        <v>-520007.56000000006</v>
      </c>
      <c r="L43" s="42">
        <f t="shared" si="16"/>
        <v>-428970.63000000006</v>
      </c>
      <c r="M43" s="50">
        <f t="shared" si="16"/>
        <v>-564405.5</v>
      </c>
    </row>
    <row r="44" spans="1:14" x14ac:dyDescent="0.35">
      <c r="C44" s="100"/>
      <c r="D44" s="150"/>
      <c r="E44" s="32"/>
      <c r="F44" s="32"/>
      <c r="G44" s="32"/>
      <c r="H44" s="29"/>
      <c r="I44" s="32"/>
      <c r="J44" s="11"/>
      <c r="K44" s="17"/>
      <c r="L44" s="17"/>
      <c r="M44" s="11"/>
    </row>
    <row r="45" spans="1:14" x14ac:dyDescent="0.35">
      <c r="A45" s="40" t="s">
        <v>49</v>
      </c>
      <c r="B45" s="40"/>
      <c r="C45" s="105"/>
      <c r="D45" s="282"/>
      <c r="E45" s="84">
        <f>+'PCR Cycle 2'!D47</f>
        <v>1.1220900000000001E-3</v>
      </c>
      <c r="F45" s="84">
        <f>+'PCR Cycle 2'!E47</f>
        <v>1.1137199999999999E-3</v>
      </c>
      <c r="G45" s="84">
        <f>+'PCR Cycle 2'!F47</f>
        <v>1.11951E-3</v>
      </c>
      <c r="H45" s="85">
        <f>+'PCR Cycle 2'!G47</f>
        <v>1.11651E-3</v>
      </c>
      <c r="I45" s="84">
        <f>+'PCR Cycle 2'!H47</f>
        <v>1.1114899999999999E-3</v>
      </c>
      <c r="J45" s="93">
        <f>+'PCR Cycle 2'!I47</f>
        <v>1.1122199999999999E-3</v>
      </c>
      <c r="K45" s="84">
        <f>+'PCR Cycle 2'!J47</f>
        <v>1.1122199999999999E-3</v>
      </c>
      <c r="L45" s="84">
        <f>+'PCR Cycle 2'!K47</f>
        <v>1.1122199999999999E-3</v>
      </c>
      <c r="M45" s="93"/>
    </row>
    <row r="46" spans="1:14" x14ac:dyDescent="0.35">
      <c r="A46" s="40" t="s">
        <v>37</v>
      </c>
      <c r="B46" s="40"/>
      <c r="C46" s="100"/>
      <c r="D46" s="150"/>
      <c r="E46" s="32"/>
      <c r="F46" s="32"/>
      <c r="G46" s="32"/>
      <c r="H46" s="29"/>
      <c r="I46" s="32"/>
      <c r="J46" s="11"/>
      <c r="K46" s="17"/>
      <c r="L46" s="17"/>
      <c r="M46" s="11"/>
      <c r="N46" s="72"/>
    </row>
    <row r="47" spans="1:14" x14ac:dyDescent="0.35">
      <c r="A47" s="47" t="s">
        <v>24</v>
      </c>
      <c r="C47" s="41">
        <v>246.4</v>
      </c>
      <c r="D47" s="124"/>
      <c r="E47" s="42">
        <f>ROUND((C40+C47+D47+E34/2)*E$45,2)</f>
        <v>286.73</v>
      </c>
      <c r="F47" s="42">
        <f t="shared" ref="F47:L50" si="17">ROUND((E40+E47+F34/2)*F$45,2)</f>
        <v>954.98</v>
      </c>
      <c r="G47" s="109">
        <f t="shared" si="17"/>
        <v>1224.31</v>
      </c>
      <c r="H47" s="41">
        <f t="shared" si="17"/>
        <v>1291.83</v>
      </c>
      <c r="I47" s="124">
        <f t="shared" si="17"/>
        <v>1227.43</v>
      </c>
      <c r="J47" s="62">
        <f t="shared" si="17"/>
        <v>1339</v>
      </c>
      <c r="K47" s="124">
        <f t="shared" si="17"/>
        <v>1796.11</v>
      </c>
      <c r="L47" s="124">
        <f t="shared" si="17"/>
        <v>2174.0100000000002</v>
      </c>
      <c r="M47" s="50"/>
    </row>
    <row r="48" spans="1:14" x14ac:dyDescent="0.35">
      <c r="A48" s="47" t="s">
        <v>108</v>
      </c>
      <c r="C48" s="249">
        <v>-108.82</v>
      </c>
      <c r="D48" s="283"/>
      <c r="E48" s="42">
        <f t="shared" ref="E48:E50" si="18">ROUND((C41+C48+D48+E35/2)*E$45,2)</f>
        <v>35.25</v>
      </c>
      <c r="F48" s="42">
        <f t="shared" si="17"/>
        <v>-49.35</v>
      </c>
      <c r="G48" s="109">
        <f t="shared" si="17"/>
        <v>-111.77</v>
      </c>
      <c r="H48" s="41">
        <f t="shared" si="17"/>
        <v>-117.92</v>
      </c>
      <c r="I48" s="124">
        <f t="shared" si="17"/>
        <v>-112.23</v>
      </c>
      <c r="J48" s="62">
        <f t="shared" si="17"/>
        <v>-125.55</v>
      </c>
      <c r="K48" s="124">
        <f t="shared" si="17"/>
        <v>-113.1</v>
      </c>
      <c r="L48" s="124">
        <f t="shared" si="17"/>
        <v>-45.08</v>
      </c>
      <c r="M48" s="50"/>
    </row>
    <row r="49" spans="1:13" x14ac:dyDescent="0.35">
      <c r="A49" s="47" t="s">
        <v>109</v>
      </c>
      <c r="C49" s="249">
        <v>-668.1400000000001</v>
      </c>
      <c r="D49" s="283"/>
      <c r="E49" s="42">
        <f t="shared" si="18"/>
        <v>163.43</v>
      </c>
      <c r="F49" s="42">
        <f t="shared" si="17"/>
        <v>182.04</v>
      </c>
      <c r="G49" s="109">
        <f t="shared" si="17"/>
        <v>403.12</v>
      </c>
      <c r="H49" s="41">
        <f t="shared" si="17"/>
        <v>531.08000000000004</v>
      </c>
      <c r="I49" s="124">
        <f t="shared" si="17"/>
        <v>692.89</v>
      </c>
      <c r="J49" s="62">
        <f t="shared" si="17"/>
        <v>830.72</v>
      </c>
      <c r="K49" s="124">
        <f t="shared" si="17"/>
        <v>818.69</v>
      </c>
      <c r="L49" s="124">
        <f t="shared" si="17"/>
        <v>878.94</v>
      </c>
      <c r="M49" s="50"/>
    </row>
    <row r="50" spans="1:13" ht="15" thickBot="1" x14ac:dyDescent="0.4">
      <c r="A50" s="47" t="s">
        <v>110</v>
      </c>
      <c r="C50" s="115">
        <v>522.79999999999995</v>
      </c>
      <c r="D50" s="283"/>
      <c r="E50" s="42">
        <f t="shared" si="18"/>
        <v>-305.56</v>
      </c>
      <c r="F50" s="42">
        <f t="shared" si="17"/>
        <v>-360.58</v>
      </c>
      <c r="G50" s="109">
        <f t="shared" si="17"/>
        <v>-485.36</v>
      </c>
      <c r="H50" s="41">
        <f t="shared" si="17"/>
        <v>-526.21</v>
      </c>
      <c r="I50" s="124">
        <f t="shared" si="17"/>
        <v>-527.32000000000005</v>
      </c>
      <c r="J50" s="62">
        <f t="shared" si="17"/>
        <v>-607.41999999999996</v>
      </c>
      <c r="K50" s="124">
        <f t="shared" si="17"/>
        <v>-617.66999999999996</v>
      </c>
      <c r="L50" s="124">
        <f t="shared" si="17"/>
        <v>-528.08000000000004</v>
      </c>
      <c r="M50" s="50"/>
    </row>
    <row r="51" spans="1:13" ht="15.5" thickTop="1" thickBot="1" x14ac:dyDescent="0.4">
      <c r="A51" s="55" t="s">
        <v>22</v>
      </c>
      <c r="B51" s="55"/>
      <c r="C51" s="116">
        <v>0</v>
      </c>
      <c r="D51" s="284"/>
      <c r="E51" s="33">
        <f t="shared" ref="E51:M51" si="19">SUM(E47:E50)+SUM(E40:E43)-E54</f>
        <v>0</v>
      </c>
      <c r="F51" s="33">
        <f t="shared" si="19"/>
        <v>0</v>
      </c>
      <c r="G51" s="51">
        <f t="shared" si="19"/>
        <v>0</v>
      </c>
      <c r="H51" s="125">
        <f t="shared" si="19"/>
        <v>0</v>
      </c>
      <c r="I51" s="33">
        <f t="shared" si="19"/>
        <v>0</v>
      </c>
      <c r="J51" s="63">
        <f t="shared" si="19"/>
        <v>0</v>
      </c>
      <c r="K51" s="165">
        <f t="shared" si="19"/>
        <v>0</v>
      </c>
      <c r="L51" s="33">
        <f t="shared" si="19"/>
        <v>0</v>
      </c>
      <c r="M51" s="97">
        <f t="shared" si="19"/>
        <v>0</v>
      </c>
    </row>
    <row r="52" spans="1:13" ht="15.5" thickTop="1" thickBot="1" x14ac:dyDescent="0.4">
      <c r="A52" s="55" t="s">
        <v>23</v>
      </c>
      <c r="B52" s="55"/>
      <c r="C52" s="108">
        <v>0</v>
      </c>
      <c r="D52" s="285"/>
      <c r="E52" s="33">
        <f t="shared" ref="E52:M52" si="20">SUM(E47:E50)-E31</f>
        <v>9.9999999999909051E-3</v>
      </c>
      <c r="F52" s="33">
        <f t="shared" si="20"/>
        <v>1.0000000000218279E-2</v>
      </c>
      <c r="G52" s="51">
        <f t="shared" si="20"/>
        <v>-1.0000000000218279E-2</v>
      </c>
      <c r="H52" s="52">
        <f t="shared" si="20"/>
        <v>0</v>
      </c>
      <c r="I52" s="33">
        <f t="shared" si="20"/>
        <v>0</v>
      </c>
      <c r="J52" s="63">
        <f t="shared" si="20"/>
        <v>1.0000000000218279E-2</v>
      </c>
      <c r="K52" s="165">
        <f t="shared" si="20"/>
        <v>0</v>
      </c>
      <c r="L52" s="33">
        <f t="shared" si="20"/>
        <v>0</v>
      </c>
      <c r="M52" s="97">
        <f t="shared" si="20"/>
        <v>0</v>
      </c>
    </row>
    <row r="53" spans="1:13" ht="15.5" thickTop="1" thickBot="1" x14ac:dyDescent="0.4">
      <c r="C53" s="100"/>
      <c r="D53" s="150"/>
      <c r="E53" s="17"/>
      <c r="F53" s="17"/>
      <c r="G53" s="17"/>
      <c r="H53" s="10"/>
      <c r="I53" s="17"/>
      <c r="J53" s="11"/>
      <c r="K53" s="17"/>
      <c r="L53" s="17"/>
      <c r="M53" s="11"/>
    </row>
    <row r="54" spans="1:13" ht="15" thickBot="1" x14ac:dyDescent="0.4">
      <c r="A54" s="47" t="s">
        <v>36</v>
      </c>
      <c r="B54" s="120">
        <f>SUM(B40:B43)</f>
        <v>-1318350.6099999999</v>
      </c>
      <c r="C54" s="41">
        <f t="shared" ref="C54:M54" si="21">(SUM(C14:C17)-SUM(C26:C29))+SUM(C47:C50)+B54</f>
        <v>-241728.69999999995</v>
      </c>
      <c r="D54" s="124"/>
      <c r="E54" s="42">
        <f>(SUM(E14:E17)-SUM(E26:E29))+SUM(E47:E50)+C54</f>
        <v>562460.03999999992</v>
      </c>
      <c r="F54" s="42">
        <f t="shared" si="21"/>
        <v>743943.99000000022</v>
      </c>
      <c r="G54" s="109">
        <f t="shared" si="21"/>
        <v>1097720.3300000003</v>
      </c>
      <c r="H54" s="41">
        <f t="shared" si="21"/>
        <v>1015001.6300000004</v>
      </c>
      <c r="I54" s="42">
        <f t="shared" si="21"/>
        <v>1290878.3300000003</v>
      </c>
      <c r="J54" s="62">
        <f t="shared" si="21"/>
        <v>1294119.53</v>
      </c>
      <c r="K54" s="124">
        <f t="shared" si="21"/>
        <v>2095625.69</v>
      </c>
      <c r="L54" s="42">
        <f t="shared" si="21"/>
        <v>2366020.73</v>
      </c>
      <c r="M54" s="62">
        <f t="shared" si="21"/>
        <v>919110.91999999993</v>
      </c>
    </row>
    <row r="55" spans="1:13" x14ac:dyDescent="0.35">
      <c r="A55" s="47" t="s">
        <v>12</v>
      </c>
      <c r="C55" s="121"/>
      <c r="D55" s="17"/>
      <c r="E55" s="57"/>
      <c r="F55" s="57"/>
      <c r="G55" s="57"/>
      <c r="H55" s="12"/>
      <c r="I55" s="57"/>
      <c r="J55" s="11"/>
      <c r="K55" s="17"/>
      <c r="L55" s="17"/>
      <c r="M55" s="11"/>
    </row>
    <row r="56" spans="1:13" ht="15" thickBot="1" x14ac:dyDescent="0.4">
      <c r="B56" s="17"/>
      <c r="C56" s="44"/>
      <c r="D56" s="45"/>
      <c r="E56" s="45"/>
      <c r="F56" s="45"/>
      <c r="G56" s="45"/>
      <c r="H56" s="44"/>
      <c r="I56" s="45"/>
      <c r="J56" s="46"/>
      <c r="K56" s="45"/>
      <c r="L56" s="45"/>
      <c r="M56" s="46"/>
    </row>
    <row r="58" spans="1:13" x14ac:dyDescent="0.35">
      <c r="A58" s="70" t="s">
        <v>11</v>
      </c>
      <c r="B58" s="70"/>
      <c r="C58" s="70"/>
      <c r="D58" s="70"/>
    </row>
    <row r="59" spans="1:13" ht="63" customHeight="1" x14ac:dyDescent="0.35">
      <c r="A59" s="304" t="s">
        <v>201</v>
      </c>
      <c r="B59" s="304"/>
      <c r="C59" s="304"/>
      <c r="D59" s="304"/>
      <c r="E59" s="304"/>
      <c r="F59" s="304"/>
      <c r="G59" s="304"/>
      <c r="H59" s="304"/>
      <c r="I59" s="304"/>
      <c r="J59" s="304"/>
      <c r="K59" s="237"/>
      <c r="L59" s="237"/>
      <c r="M59" s="237"/>
    </row>
    <row r="60" spans="1:13" ht="33.75" customHeight="1" x14ac:dyDescent="0.35">
      <c r="A60" s="304" t="s">
        <v>162</v>
      </c>
      <c r="B60" s="304"/>
      <c r="C60" s="304"/>
      <c r="D60" s="304"/>
      <c r="E60" s="304"/>
      <c r="F60" s="304"/>
      <c r="G60" s="304"/>
      <c r="H60" s="304"/>
      <c r="I60" s="304"/>
      <c r="J60" s="304"/>
      <c r="K60" s="237"/>
      <c r="L60" s="237"/>
      <c r="M60" s="237"/>
    </row>
    <row r="61" spans="1:13" ht="33.75" customHeight="1" x14ac:dyDescent="0.35">
      <c r="A61" s="304" t="s">
        <v>163</v>
      </c>
      <c r="B61" s="304"/>
      <c r="C61" s="304"/>
      <c r="D61" s="304"/>
      <c r="E61" s="304"/>
      <c r="F61" s="304"/>
      <c r="G61" s="304"/>
      <c r="H61" s="304"/>
      <c r="I61" s="304"/>
      <c r="J61" s="304"/>
      <c r="K61" s="237"/>
      <c r="L61" s="237"/>
      <c r="M61" s="237"/>
    </row>
    <row r="62" spans="1:13" x14ac:dyDescent="0.35">
      <c r="A62" s="3" t="s">
        <v>31</v>
      </c>
      <c r="B62" s="3"/>
      <c r="C62" s="3"/>
      <c r="D62" s="3"/>
      <c r="J62" s="4"/>
    </row>
    <row r="63" spans="1:13" x14ac:dyDescent="0.35">
      <c r="A63" s="64" t="s">
        <v>193</v>
      </c>
      <c r="B63" s="3"/>
      <c r="C63" s="3"/>
      <c r="D63" s="3"/>
      <c r="J63" s="4"/>
    </row>
    <row r="64" spans="1:13" x14ac:dyDescent="0.35">
      <c r="A64" s="3" t="s">
        <v>51</v>
      </c>
      <c r="B64" s="3"/>
      <c r="C64" s="3"/>
      <c r="D64" s="3"/>
      <c r="J64" s="4"/>
    </row>
    <row r="65" spans="1:14" x14ac:dyDescent="0.35">
      <c r="A65" s="3"/>
    </row>
    <row r="66" spans="1:14" ht="36" customHeight="1" x14ac:dyDescent="0.35">
      <c r="A66" s="310"/>
      <c r="B66" s="310"/>
      <c r="C66" s="310"/>
      <c r="D66" s="310"/>
      <c r="E66" s="310"/>
      <c r="F66" s="310"/>
      <c r="G66" s="310"/>
    </row>
    <row r="74" spans="1:14" x14ac:dyDescent="0.35">
      <c r="N74" s="8"/>
    </row>
  </sheetData>
  <mergeCells count="7">
    <mergeCell ref="A66:G66"/>
    <mergeCell ref="A61:J61"/>
    <mergeCell ref="E10:G10"/>
    <mergeCell ref="H10:J10"/>
    <mergeCell ref="K10:M10"/>
    <mergeCell ref="A59:J59"/>
    <mergeCell ref="A60:J60"/>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workbookViewId="0"/>
  </sheetViews>
  <sheetFormatPr defaultRowHeight="14.5" x14ac:dyDescent="0.35"/>
  <cols>
    <col min="1" max="1" width="24.7265625" customWidth="1"/>
    <col min="2" max="2" width="16.1796875" customWidth="1"/>
    <col min="3" max="3" width="15.1796875" customWidth="1"/>
  </cols>
  <sheetData>
    <row r="1" spans="1:23" s="47" customFormat="1" x14ac:dyDescent="0.35">
      <c r="A1" s="3" t="str">
        <f>+'PPC Cycle 3'!A1</f>
        <v>Evergy Missouri West, Inc. - DSIM Rider Update Filed 12/02/2021</v>
      </c>
    </row>
    <row r="2" spans="1:23" x14ac:dyDescent="0.35">
      <c r="A2" s="9" t="str">
        <f>+'PPC Cycle 3'!A2</f>
        <v>Projections for Cycle 3 January - December 2022 DSIM</v>
      </c>
    </row>
    <row r="3" spans="1:23" s="47" customFormat="1" x14ac:dyDescent="0.35">
      <c r="A3" s="9"/>
    </row>
    <row r="4" spans="1:23" ht="40.5" customHeight="1" x14ac:dyDescent="0.35">
      <c r="B4" s="299" t="s">
        <v>64</v>
      </c>
      <c r="C4" s="299"/>
    </row>
    <row r="5" spans="1:23" ht="29" x14ac:dyDescent="0.35">
      <c r="B5" s="151" t="s">
        <v>65</v>
      </c>
      <c r="C5" s="6" t="s">
        <v>29</v>
      </c>
    </row>
    <row r="6" spans="1:23" x14ac:dyDescent="0.35">
      <c r="A6" s="20" t="s">
        <v>24</v>
      </c>
      <c r="B6" s="24">
        <f>SUM('[3]Monthly TD Calc'!$BT$285:$CE$285)</f>
        <v>40202658.599692136</v>
      </c>
      <c r="C6" s="87">
        <f>SUM('[3]Monthly TD Calc'!$BT$326:$CE$326)</f>
        <v>2333398.0699999998</v>
      </c>
    </row>
    <row r="7" spans="1:23" x14ac:dyDescent="0.35">
      <c r="A7" s="31" t="s">
        <v>25</v>
      </c>
      <c r="B7" s="24">
        <f>+B13</f>
        <v>62663410.39324788</v>
      </c>
      <c r="C7" s="87">
        <f>+C13</f>
        <v>2091543.9600000002</v>
      </c>
    </row>
    <row r="8" spans="1:23" x14ac:dyDescent="0.35">
      <c r="A8" s="20" t="s">
        <v>5</v>
      </c>
      <c r="B8" s="25">
        <f>SUM(B6:B7)</f>
        <v>102866068.99294001</v>
      </c>
      <c r="C8" s="22">
        <f>SUM(C6:C7)</f>
        <v>4424942.03</v>
      </c>
    </row>
    <row r="9" spans="1:23" s="47" customFormat="1" x14ac:dyDescent="0.35">
      <c r="A9" s="20"/>
    </row>
    <row r="10" spans="1:23" s="47" customFormat="1" x14ac:dyDescent="0.35">
      <c r="A10" s="20" t="s">
        <v>108</v>
      </c>
      <c r="B10" s="24">
        <f>SUM('[3]Monthly TD Calc'!$BT$286:$CE$286)</f>
        <v>20695057.040450174</v>
      </c>
      <c r="C10" s="87">
        <f>SUM('[3]Monthly TD Calc'!$BT327:$CE327)</f>
        <v>1017989.48</v>
      </c>
    </row>
    <row r="11" spans="1:23" s="47" customFormat="1" x14ac:dyDescent="0.35">
      <c r="A11" s="20" t="s">
        <v>109</v>
      </c>
      <c r="B11" s="24">
        <f>SUM('[3]Monthly TD Calc'!$BT$288:$CE$288)</f>
        <v>30929581.128088001</v>
      </c>
      <c r="C11" s="87">
        <f>SUM('[3]Monthly TD Calc'!$BT329:$CE329)</f>
        <v>909638.14000000013</v>
      </c>
    </row>
    <row r="12" spans="1:23" s="47" customFormat="1" x14ac:dyDescent="0.35">
      <c r="A12" s="20" t="s">
        <v>110</v>
      </c>
      <c r="B12" s="24">
        <f>SUM('[3]Monthly TD Calc'!$BT$289:$CE$289)</f>
        <v>11038772.224709706</v>
      </c>
      <c r="C12" s="87">
        <f>SUM('[3]Monthly TD Calc'!$BT330:$CE330)</f>
        <v>163916.34000000003</v>
      </c>
    </row>
    <row r="13" spans="1:23" x14ac:dyDescent="0.35">
      <c r="A13" s="31" t="s">
        <v>112</v>
      </c>
      <c r="B13" s="25">
        <f>SUM(B10:B12)</f>
        <v>62663410.39324788</v>
      </c>
      <c r="C13" s="22">
        <f>SUM(C10:C12)</f>
        <v>2091543.9600000002</v>
      </c>
    </row>
    <row r="14" spans="1:23" x14ac:dyDescent="0.35">
      <c r="A14" s="47"/>
      <c r="B14" s="47"/>
      <c r="C14" s="47"/>
    </row>
    <row r="15" spans="1:23" x14ac:dyDescent="0.35">
      <c r="A15" s="70" t="s">
        <v>30</v>
      </c>
      <c r="B15" s="20"/>
      <c r="C15" s="21"/>
      <c r="N15" s="1"/>
      <c r="O15" s="1"/>
      <c r="P15" s="1"/>
      <c r="Q15" s="1"/>
      <c r="R15" s="1"/>
      <c r="S15" s="1"/>
      <c r="T15" s="1"/>
      <c r="U15" s="1"/>
      <c r="V15" s="1"/>
      <c r="W15" s="1"/>
    </row>
    <row r="16" spans="1:23" s="40" customFormat="1" x14ac:dyDescent="0.35">
      <c r="A16" s="311" t="s">
        <v>173</v>
      </c>
      <c r="B16" s="311"/>
      <c r="C16" s="311"/>
      <c r="D16" s="311"/>
      <c r="E16" s="311"/>
      <c r="F16" s="311"/>
      <c r="G16" s="311"/>
      <c r="H16" s="311"/>
      <c r="I16" s="311"/>
      <c r="J16" s="311"/>
      <c r="K16" s="311"/>
      <c r="L16" s="311"/>
      <c r="M16" s="311"/>
    </row>
    <row r="17" spans="1:13" s="40" customFormat="1" x14ac:dyDescent="0.35">
      <c r="A17" s="311" t="s">
        <v>174</v>
      </c>
      <c r="B17" s="311"/>
      <c r="C17" s="311"/>
      <c r="D17" s="311"/>
      <c r="E17" s="311"/>
      <c r="F17" s="311"/>
      <c r="G17" s="311"/>
      <c r="H17" s="311"/>
      <c r="I17" s="311"/>
      <c r="J17" s="311"/>
      <c r="K17" s="311"/>
      <c r="L17" s="311"/>
      <c r="M17" s="311"/>
    </row>
    <row r="29" spans="1:13" x14ac:dyDescent="0.35">
      <c r="E29" s="274"/>
    </row>
    <row r="37" spans="2:3" x14ac:dyDescent="0.35">
      <c r="B37" s="8"/>
      <c r="C37" s="8"/>
    </row>
    <row r="41" spans="2:3" x14ac:dyDescent="0.3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8"/>
  <sheetViews>
    <sheetView workbookViewId="0"/>
  </sheetViews>
  <sheetFormatPr defaultColWidth="9.1796875" defaultRowHeight="14.5" x14ac:dyDescent="0.35"/>
  <cols>
    <col min="1" max="1" width="24.7265625" style="47" customWidth="1"/>
    <col min="2" max="2" width="16.1796875" style="47" customWidth="1"/>
    <col min="3" max="3" width="15.1796875" style="47" customWidth="1"/>
    <col min="4" max="16384" width="9.1796875" style="47"/>
  </cols>
  <sheetData>
    <row r="1" spans="1:23" x14ac:dyDescent="0.35">
      <c r="A1" s="3" t="str">
        <f>+'PPC Cycle 3'!A1</f>
        <v>Evergy Missouri West, Inc. - DSIM Rider Update Filed 12/02/2021</v>
      </c>
    </row>
    <row r="2" spans="1:23" x14ac:dyDescent="0.35">
      <c r="A2" s="9" t="str">
        <f>+'PPC Cycle 3'!A2</f>
        <v>Projections for Cycle 3 January - December 2022 DSIM</v>
      </c>
    </row>
    <row r="3" spans="1:23" x14ac:dyDescent="0.35">
      <c r="A3" s="9"/>
    </row>
    <row r="4" spans="1:23" ht="40.5" customHeight="1" x14ac:dyDescent="0.35">
      <c r="B4" s="299" t="s">
        <v>114</v>
      </c>
      <c r="C4" s="299"/>
    </row>
    <row r="5" spans="1:23" ht="29" x14ac:dyDescent="0.35">
      <c r="B5" s="151" t="s">
        <v>65</v>
      </c>
      <c r="C5" s="49" t="s">
        <v>29</v>
      </c>
    </row>
    <row r="6" spans="1:23" x14ac:dyDescent="0.35">
      <c r="A6" s="20" t="s">
        <v>24</v>
      </c>
      <c r="B6" s="24">
        <f>SUM('[2]Monthly TD Calc'!$AC461:$AN461)</f>
        <v>102635918.98202652</v>
      </c>
      <c r="C6" s="87">
        <f>ROUND(SUM('[2]Monthly TD Calc'!$AC563:$AN563),2)</f>
        <v>5933370.9800000004</v>
      </c>
    </row>
    <row r="7" spans="1:23" x14ac:dyDescent="0.35">
      <c r="A7" s="20" t="s">
        <v>108</v>
      </c>
      <c r="B7" s="24">
        <f>SUM('[2]Monthly TD Calc'!$AC462:$AN462)</f>
        <v>18072785.733029488</v>
      </c>
      <c r="C7" s="87">
        <f>ROUND(SUM('[2]Monthly TD Calc'!$AC564:$AN564),2)</f>
        <v>944375.02</v>
      </c>
    </row>
    <row r="8" spans="1:23" x14ac:dyDescent="0.35">
      <c r="A8" s="20" t="s">
        <v>109</v>
      </c>
      <c r="B8" s="24">
        <f>SUM('[2]Monthly TD Calc'!$AC464:$AN464)</f>
        <v>28224143.105893843</v>
      </c>
      <c r="C8" s="87">
        <f>ROUND(SUM('[2]Monthly TD Calc'!$AC566:$AN566),2)</f>
        <v>881211.63</v>
      </c>
    </row>
    <row r="9" spans="1:23" x14ac:dyDescent="0.35">
      <c r="A9" s="20" t="s">
        <v>110</v>
      </c>
      <c r="B9" s="24">
        <f>SUM('[2]Monthly TD Calc'!$AC465:$AN465)</f>
        <v>16732883.622632872</v>
      </c>
      <c r="C9" s="87">
        <f>ROUND(SUM('[2]Monthly TD Calc'!$AC567:$AN567),2)</f>
        <v>228963.17</v>
      </c>
    </row>
    <row r="10" spans="1:23" x14ac:dyDescent="0.35">
      <c r="A10" s="31" t="s">
        <v>5</v>
      </c>
      <c r="B10" s="25">
        <f>SUM(B6:B9)</f>
        <v>165665731.44358271</v>
      </c>
      <c r="C10" s="25">
        <f>SUM(C6:C9)</f>
        <v>7987920.7999999998</v>
      </c>
    </row>
    <row r="12" spans="1:23" x14ac:dyDescent="0.35">
      <c r="A12" s="70" t="s">
        <v>30</v>
      </c>
      <c r="B12" s="20"/>
      <c r="C12" s="21"/>
      <c r="N12" s="1"/>
      <c r="O12" s="1"/>
      <c r="P12" s="1"/>
      <c r="Q12" s="1"/>
      <c r="R12" s="1"/>
      <c r="S12" s="1"/>
      <c r="T12" s="1"/>
      <c r="U12" s="1"/>
      <c r="V12" s="1"/>
      <c r="W12" s="1"/>
    </row>
    <row r="13" spans="1:23" s="40" customFormat="1" x14ac:dyDescent="0.35">
      <c r="A13" s="311" t="s">
        <v>200</v>
      </c>
      <c r="B13" s="311"/>
      <c r="C13" s="311"/>
      <c r="D13" s="311"/>
      <c r="E13" s="311"/>
      <c r="F13" s="311"/>
      <c r="G13" s="311"/>
      <c r="H13" s="311"/>
      <c r="I13" s="311"/>
      <c r="J13" s="311"/>
      <c r="K13" s="311"/>
      <c r="L13" s="311"/>
      <c r="M13" s="311"/>
    </row>
    <row r="14" spans="1:23" s="40" customFormat="1" x14ac:dyDescent="0.35">
      <c r="A14" s="311" t="s">
        <v>199</v>
      </c>
      <c r="B14" s="311"/>
      <c r="C14" s="311"/>
      <c r="D14" s="311"/>
      <c r="E14" s="311"/>
      <c r="F14" s="311"/>
      <c r="G14" s="311"/>
      <c r="H14" s="311"/>
      <c r="I14" s="311"/>
      <c r="J14" s="311"/>
      <c r="K14" s="311"/>
      <c r="L14" s="311"/>
      <c r="M14" s="311"/>
    </row>
    <row r="29" spans="5:5" x14ac:dyDescent="0.35">
      <c r="E29" s="274"/>
    </row>
    <row r="34" spans="2:3" x14ac:dyDescent="0.35">
      <c r="B34" s="8"/>
      <c r="C34" s="8"/>
    </row>
    <row r="38" spans="2:3" x14ac:dyDescent="0.35">
      <c r="B38" s="8"/>
      <c r="C38" s="8"/>
    </row>
  </sheetData>
  <mergeCells count="3">
    <mergeCell ref="B4:C4"/>
    <mergeCell ref="A13:M13"/>
    <mergeCell ref="A14:M14"/>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3"/>
  <sheetViews>
    <sheetView zoomScaleNormal="100" workbookViewId="0">
      <pane xSplit="1" ySplit="2" topLeftCell="B3" activePane="bottomRight" state="frozen"/>
      <selection activeCell="K4" sqref="K4"/>
      <selection pane="topRight" activeCell="K4" sqref="K4"/>
      <selection pane="bottomLeft" activeCell="K4" sqref="K4"/>
      <selection pane="bottomRight" activeCell="B3" sqref="B3"/>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hidden="1" customWidth="1" outlineLevel="1"/>
    <col min="5" max="5" width="15.453125" style="47" customWidth="1" collapsed="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6" style="47"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Missouri West, Inc. - DSIM Rider Update Filed 12/02/2021</v>
      </c>
      <c r="B1" s="3"/>
      <c r="C1" s="3"/>
      <c r="D1" s="3"/>
    </row>
    <row r="2" spans="1:35" x14ac:dyDescent="0.35">
      <c r="E2" s="3" t="s">
        <v>61</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SUM(C18:M18)</f>
        <v>758761.15820000018</v>
      </c>
      <c r="F4" s="137">
        <f>N24</f>
        <v>22568627.476296593</v>
      </c>
      <c r="G4" s="22">
        <f>SUM(C30:L30)</f>
        <v>1437872.7499999998</v>
      </c>
      <c r="H4" s="22">
        <f>G4-E4</f>
        <v>679111.59179999959</v>
      </c>
      <c r="I4" s="22">
        <f>+B42</f>
        <v>-14785.704999999645</v>
      </c>
      <c r="J4" s="22">
        <f>SUM(C47:L47)</f>
        <v>4075.5</v>
      </c>
      <c r="K4" s="26">
        <f>SUM(H4:J4)</f>
        <v>668401.38679999998</v>
      </c>
      <c r="L4" s="48">
        <f>+K4-M42</f>
        <v>0</v>
      </c>
    </row>
    <row r="5" spans="1:35" ht="15" thickBot="1" x14ac:dyDescent="0.4">
      <c r="A5" s="20" t="s">
        <v>25</v>
      </c>
      <c r="B5" s="20"/>
      <c r="C5" s="20"/>
      <c r="D5" s="20"/>
      <c r="E5" s="22">
        <f>SUM(C19:M21)</f>
        <v>641660.44199999992</v>
      </c>
      <c r="F5" s="137">
        <f>SUM(N25:N27)</f>
        <v>34191204.352776945</v>
      </c>
      <c r="G5" s="22">
        <f>SUM(C31:L33)</f>
        <v>1201547.72</v>
      </c>
      <c r="H5" s="22">
        <f>G5-E5</f>
        <v>559887.27800000005</v>
      </c>
      <c r="I5" s="22">
        <f>+B43</f>
        <v>-20438.167720000045</v>
      </c>
      <c r="J5" s="22">
        <f>SUM(C48:L48)</f>
        <v>2769.45</v>
      </c>
      <c r="K5" s="26">
        <f>SUM(H5:J5)</f>
        <v>542218.56027999998</v>
      </c>
      <c r="L5" s="48">
        <f>+K5-M43</f>
        <v>0</v>
      </c>
    </row>
    <row r="6" spans="1:35" ht="15.5" thickTop="1" thickBot="1" x14ac:dyDescent="0.4">
      <c r="E6" s="28">
        <f t="shared" ref="E6" si="0">SUM(E4:E5)</f>
        <v>1400421.6002000002</v>
      </c>
      <c r="F6" s="138">
        <f t="shared" ref="F6:I6" si="1">SUM(F4:F5)</f>
        <v>56759831.829073533</v>
      </c>
      <c r="G6" s="28">
        <f t="shared" si="1"/>
        <v>2639420.4699999997</v>
      </c>
      <c r="H6" s="28">
        <f t="shared" si="1"/>
        <v>1238998.8697999995</v>
      </c>
      <c r="I6" s="28">
        <f t="shared" si="1"/>
        <v>-35223.872719999694</v>
      </c>
      <c r="J6" s="28">
        <f>SUM(J4:J5)</f>
        <v>6844.95</v>
      </c>
      <c r="K6" s="28">
        <f>SUM(K4:K5)</f>
        <v>1210619.9470799998</v>
      </c>
      <c r="T6" s="5"/>
    </row>
    <row r="7" spans="1:35" ht="44" thickTop="1" x14ac:dyDescent="0.35">
      <c r="K7" s="231"/>
      <c r="L7" s="230" t="s">
        <v>125</v>
      </c>
    </row>
    <row r="8" spans="1:35" x14ac:dyDescent="0.35">
      <c r="A8" s="20" t="s">
        <v>108</v>
      </c>
      <c r="K8" s="26">
        <f>ROUND($K$5*L8,2)</f>
        <v>212600.04</v>
      </c>
      <c r="L8" s="228">
        <f>+'PCR Cycle 2'!K8</f>
        <v>0.39209287804949344</v>
      </c>
    </row>
    <row r="9" spans="1:35" x14ac:dyDescent="0.35">
      <c r="A9" s="20" t="s">
        <v>109</v>
      </c>
      <c r="K9" s="26">
        <f t="shared" ref="K9:K10" si="2">ROUND($K$5*L9,2)</f>
        <v>246361.93</v>
      </c>
      <c r="L9" s="228">
        <f>+'PCR Cycle 2'!K9</f>
        <v>0.45435908608374953</v>
      </c>
    </row>
    <row r="10" spans="1:35" ht="15" thickBot="1" x14ac:dyDescent="0.4">
      <c r="A10" s="20" t="s">
        <v>110</v>
      </c>
      <c r="J10" s="4"/>
      <c r="K10" s="26">
        <f t="shared" si="2"/>
        <v>83256.59</v>
      </c>
      <c r="L10" s="228">
        <f>+'PCR Cycle 2'!K10</f>
        <v>0.15354803586675725</v>
      </c>
      <c r="V10" s="4"/>
    </row>
    <row r="11" spans="1:35" ht="15.5" thickTop="1" thickBot="1" x14ac:dyDescent="0.4">
      <c r="A11" s="20" t="s">
        <v>112</v>
      </c>
      <c r="K11" s="28">
        <f>SUM(K8:K10)</f>
        <v>542218.55999999994</v>
      </c>
      <c r="L11" s="229">
        <f>SUM(L8:L10)</f>
        <v>1.0000000000000002</v>
      </c>
      <c r="V11" s="4"/>
      <c r="W11" s="5"/>
    </row>
    <row r="12" spans="1:35" ht="15.5" thickTop="1" thickBot="1" x14ac:dyDescent="0.4">
      <c r="V12" s="4"/>
      <c r="W12" s="5"/>
    </row>
    <row r="13" spans="1:35" ht="102" thickBot="1" x14ac:dyDescent="0.4">
      <c r="B13" s="119" t="str">
        <f>+'PCR Cycle 2'!B13</f>
        <v>Cumulative Over/Under Carryover From 06/01/2021 Filing</v>
      </c>
      <c r="C13" s="152" t="str">
        <f>+'PCR Cycle 2'!C13:F13</f>
        <v>Reverse May 2021 - July 2021  Forecast From 06/01/2021 Filing</v>
      </c>
      <c r="D13" s="215"/>
      <c r="E13" s="305" t="s">
        <v>33</v>
      </c>
      <c r="F13" s="305"/>
      <c r="G13" s="306"/>
      <c r="H13" s="312" t="s">
        <v>33</v>
      </c>
      <c r="I13" s="313"/>
      <c r="J13" s="314"/>
      <c r="K13" s="301" t="s">
        <v>8</v>
      </c>
      <c r="L13" s="302"/>
      <c r="M13" s="303"/>
    </row>
    <row r="14" spans="1:35" x14ac:dyDescent="0.35">
      <c r="A14" s="47" t="s">
        <v>63</v>
      </c>
      <c r="C14" s="106"/>
      <c r="D14" s="216"/>
      <c r="E14" s="19">
        <f>+'PCR Cycle 2'!D14</f>
        <v>44347</v>
      </c>
      <c r="F14" s="19">
        <f t="shared" ref="F14:M14" si="3">EOMONTH(E14,1)</f>
        <v>44377</v>
      </c>
      <c r="G14" s="19">
        <f t="shared" si="3"/>
        <v>44408</v>
      </c>
      <c r="H14" s="14">
        <f t="shared" si="3"/>
        <v>44439</v>
      </c>
      <c r="I14" s="19">
        <f t="shared" si="3"/>
        <v>44469</v>
      </c>
      <c r="J14" s="15">
        <f t="shared" si="3"/>
        <v>44500</v>
      </c>
      <c r="K14" s="19">
        <f t="shared" si="3"/>
        <v>44530</v>
      </c>
      <c r="L14" s="19">
        <f t="shared" si="3"/>
        <v>44561</v>
      </c>
      <c r="M14" s="15">
        <f t="shared" si="3"/>
        <v>44592</v>
      </c>
      <c r="Z14" s="1"/>
      <c r="AA14" s="1"/>
      <c r="AB14" s="1"/>
      <c r="AC14" s="1"/>
      <c r="AD14" s="1"/>
      <c r="AE14" s="1"/>
      <c r="AF14" s="1"/>
      <c r="AG14" s="1"/>
      <c r="AH14" s="1"/>
      <c r="AI14" s="1"/>
    </row>
    <row r="15" spans="1:35" x14ac:dyDescent="0.35">
      <c r="A15" s="47" t="s">
        <v>5</v>
      </c>
      <c r="C15" s="196">
        <v>-891001.41999999993</v>
      </c>
      <c r="D15" s="199">
        <f>+D30+D33</f>
        <v>0</v>
      </c>
      <c r="E15" s="110">
        <f t="shared" ref="E15:L15" si="4">SUM(E30:E33)</f>
        <v>348934.06</v>
      </c>
      <c r="F15" s="110">
        <f t="shared" si="4"/>
        <v>542067.36</v>
      </c>
      <c r="G15" s="111">
        <f t="shared" si="4"/>
        <v>602241.13</v>
      </c>
      <c r="H15" s="16">
        <f t="shared" si="4"/>
        <v>586040.64</v>
      </c>
      <c r="I15" s="56">
        <f t="shared" si="4"/>
        <v>498588.54</v>
      </c>
      <c r="J15" s="166">
        <f t="shared" si="4"/>
        <v>322343.54999999993</v>
      </c>
      <c r="K15" s="159">
        <f t="shared" si="4"/>
        <v>312243.95999999996</v>
      </c>
      <c r="L15" s="79">
        <f t="shared" si="4"/>
        <v>317962.65000000002</v>
      </c>
      <c r="M15" s="80"/>
    </row>
    <row r="16" spans="1:35" x14ac:dyDescent="0.35">
      <c r="C16" s="100"/>
      <c r="D16" s="200"/>
      <c r="E16" s="17"/>
      <c r="F16" s="17"/>
      <c r="G16" s="17"/>
      <c r="H16" s="10"/>
      <c r="I16" s="17"/>
      <c r="J16" s="11"/>
      <c r="K16" s="32"/>
      <c r="L16" s="32"/>
      <c r="M16" s="30"/>
    </row>
    <row r="17" spans="1:15" x14ac:dyDescent="0.35">
      <c r="A17" s="47" t="s">
        <v>62</v>
      </c>
      <c r="C17" s="100"/>
      <c r="D17" s="200"/>
      <c r="E17" s="18"/>
      <c r="F17" s="18"/>
      <c r="G17" s="18"/>
      <c r="H17" s="92"/>
      <c r="I17" s="18"/>
      <c r="J17" s="167"/>
      <c r="K17" s="32"/>
      <c r="L17" s="32"/>
      <c r="M17" s="30"/>
      <c r="N17" s="3" t="s">
        <v>68</v>
      </c>
      <c r="O17" s="40"/>
    </row>
    <row r="18" spans="1:15" x14ac:dyDescent="0.35">
      <c r="A18" s="47" t="s">
        <v>24</v>
      </c>
      <c r="C18" s="196">
        <v>-703341.7649999999</v>
      </c>
      <c r="D18" s="199">
        <v>0</v>
      </c>
      <c r="E18" s="135">
        <f>+'[4]May 2021'!$F$52</f>
        <v>165623.90999999997</v>
      </c>
      <c r="F18" s="135">
        <f>+'[4]Jun 2021'!$F$52</f>
        <v>222537.15000000002</v>
      </c>
      <c r="G18" s="135">
        <f>+'[4]Jul 2021'!$F$52</f>
        <v>295593.74000000005</v>
      </c>
      <c r="H18" s="16">
        <f>+'[4]Aug 2021'!$F$52</f>
        <v>152402.73000000001</v>
      </c>
      <c r="I18" s="122">
        <f>+'[4]Sep 2021'!$F$52</f>
        <v>151160.29</v>
      </c>
      <c r="J18" s="171">
        <f>+'[4]Oct 2021'!$F$52</f>
        <v>105761.31999999999</v>
      </c>
      <c r="K18" s="124">
        <f>'PCR Cycle 2'!J26*'TDR Cycle 2'!$N18</f>
        <v>89359.981200000009</v>
      </c>
      <c r="L18" s="42">
        <f>'PCR Cycle 2'!K26*'TDR Cycle 2'!$N18</f>
        <v>123886.39760000001</v>
      </c>
      <c r="M18" s="62">
        <f>'PCR Cycle 2'!L26*'TDR Cycle 2'!$N18</f>
        <v>155777.4044</v>
      </c>
      <c r="N18" s="73">
        <v>4.0000000000000002E-4</v>
      </c>
      <c r="O18" s="4"/>
    </row>
    <row r="19" spans="1:15" x14ac:dyDescent="0.35">
      <c r="A19" s="47" t="s">
        <v>108</v>
      </c>
      <c r="C19" s="196">
        <v>-336924.55887999997</v>
      </c>
      <c r="D19" s="199"/>
      <c r="E19" s="135">
        <f>+'[4]May 2021'!$F$53</f>
        <v>96062.77</v>
      </c>
      <c r="F19" s="135">
        <f>+'[4]Jun 2021'!$F$53</f>
        <v>116247.55</v>
      </c>
      <c r="G19" s="135">
        <f>+'[4]Jul 2021'!$F$53</f>
        <v>135429.04</v>
      </c>
      <c r="H19" s="16">
        <f>+'[4]Aug 2021'!$F$53</f>
        <v>59457.13</v>
      </c>
      <c r="I19" s="122">
        <f>+'[4]Sep 2021'!$F$53</f>
        <v>59630.259841622006</v>
      </c>
      <c r="J19" s="171">
        <f>+'[4]Oct 2021'!$F$53</f>
        <v>50849.18</v>
      </c>
      <c r="K19" s="124">
        <f>'PCR Cycle 2'!J27*'TDR Cycle 2'!$N19</f>
        <v>45836.172479999994</v>
      </c>
      <c r="L19" s="42">
        <f>'PCR Cycle 2'!K27*'TDR Cycle 2'!$N19</f>
        <v>47070.288329999996</v>
      </c>
      <c r="M19" s="62">
        <f>'PCR Cycle 2'!L27*'TDR Cycle 2'!$N19</f>
        <v>48955.04432999999</v>
      </c>
      <c r="N19" s="73">
        <v>5.0999999999999993E-4</v>
      </c>
      <c r="O19" s="4"/>
    </row>
    <row r="20" spans="1:15" x14ac:dyDescent="0.35">
      <c r="A20" s="47" t="s">
        <v>109</v>
      </c>
      <c r="C20" s="196">
        <v>-200729.47611000002</v>
      </c>
      <c r="D20" s="199"/>
      <c r="E20" s="135">
        <f>+'[4]May 2021'!$F$54</f>
        <v>60131.360000000001</v>
      </c>
      <c r="F20" s="135">
        <f>+'[4]Jun 2021'!$F$54</f>
        <v>69604.84</v>
      </c>
      <c r="G20" s="135">
        <f>+'[4]Jul 2021'!$F$54</f>
        <v>76807.310000000012</v>
      </c>
      <c r="H20" s="16">
        <f>+'[4]Aug 2021'!$F$54</f>
        <v>47906.41</v>
      </c>
      <c r="I20" s="122">
        <f>+'[4]Sep 2021'!$F$54</f>
        <v>52498.518664571813</v>
      </c>
      <c r="J20" s="171">
        <f>+'[4]Oct 2021'!$F$54</f>
        <v>44526.32</v>
      </c>
      <c r="K20" s="124">
        <f>'PCR Cycle 2'!J28*'TDR Cycle 2'!$N20</f>
        <v>39383.340040000003</v>
      </c>
      <c r="L20" s="42">
        <f>'PCR Cycle 2'!K28*'TDR Cycle 2'!$N20</f>
        <v>40443.71716</v>
      </c>
      <c r="M20" s="62">
        <f>'PCR Cycle 2'!L28*'TDR Cycle 2'!$N20</f>
        <v>42063.136279999999</v>
      </c>
      <c r="N20" s="73">
        <v>4.4000000000000002E-4</v>
      </c>
      <c r="O20" s="4"/>
    </row>
    <row r="21" spans="1:15" x14ac:dyDescent="0.35">
      <c r="A21" s="47" t="s">
        <v>110</v>
      </c>
      <c r="C21" s="196">
        <v>-42278.656999999999</v>
      </c>
      <c r="D21" s="199">
        <v>0</v>
      </c>
      <c r="E21" s="135">
        <f>+'[4]May 2021'!$F$55</f>
        <v>13489.11</v>
      </c>
      <c r="F21" s="135">
        <f>+'[4]Jun 2021'!$F$55</f>
        <v>14289.220000000001</v>
      </c>
      <c r="G21" s="135">
        <f>+'[4]Jul 2021'!$F$55</f>
        <v>15201.47</v>
      </c>
      <c r="H21" s="16">
        <f>+'[4]Aug 2021'!$F$55</f>
        <v>7102.75</v>
      </c>
      <c r="I21" s="122">
        <f>+'[4]Sep 2021'!$F$55</f>
        <v>9050.9514938061802</v>
      </c>
      <c r="J21" s="171">
        <f>+'[4]Oct 2021'!$F$55</f>
        <v>8056</v>
      </c>
      <c r="K21" s="124">
        <f>'PCR Cycle 2'!J29*'TDR Cycle 2'!$N21</f>
        <v>6947.1615400000001</v>
      </c>
      <c r="L21" s="42">
        <f>'PCR Cycle 2'!K29*'TDR Cycle 2'!$N21</f>
        <v>7134.2103800000004</v>
      </c>
      <c r="M21" s="62">
        <f>'PCR Cycle 2'!L29*'TDR Cycle 2'!$N21</f>
        <v>7419.87345</v>
      </c>
      <c r="N21" s="73">
        <v>1.1E-4</v>
      </c>
      <c r="O21" s="4"/>
    </row>
    <row r="22" spans="1:15" x14ac:dyDescent="0.35">
      <c r="C22" s="68"/>
      <c r="D22" s="201"/>
      <c r="E22" s="69"/>
      <c r="F22" s="69"/>
      <c r="G22" s="69"/>
      <c r="H22" s="68"/>
      <c r="I22" s="69"/>
      <c r="J22" s="169"/>
      <c r="K22" s="57"/>
      <c r="L22" s="57"/>
      <c r="M22" s="13"/>
      <c r="O22" s="4"/>
    </row>
    <row r="23" spans="1:15" x14ac:dyDescent="0.35">
      <c r="A23" s="40" t="s">
        <v>66</v>
      </c>
      <c r="B23" s="40"/>
      <c r="C23" s="68"/>
      <c r="D23" s="201"/>
      <c r="E23" s="57"/>
      <c r="F23" s="57"/>
      <c r="G23" s="57"/>
      <c r="H23" s="12"/>
      <c r="I23" s="57"/>
      <c r="J23" s="170"/>
      <c r="K23" s="57"/>
      <c r="L23" s="57"/>
      <c r="M23" s="13"/>
      <c r="N23" s="7"/>
    </row>
    <row r="24" spans="1:15" x14ac:dyDescent="0.35">
      <c r="A24" s="47" t="s">
        <v>24</v>
      </c>
      <c r="C24" s="197">
        <v>-7471425.5156057086</v>
      </c>
      <c r="D24" s="202"/>
      <c r="E24" s="112">
        <f>+'[3]Monthly TD Calc'!BL285</f>
        <v>3622617.1364313252</v>
      </c>
      <c r="F24" s="112">
        <f>+'[3]Monthly TD Calc'!BM285</f>
        <v>3848808.3791743834</v>
      </c>
      <c r="G24" s="126">
        <f>+'[3]Monthly TD Calc'!BN285</f>
        <v>4524482.8033801541</v>
      </c>
      <c r="H24" s="75">
        <f>+'[3]Monthly TD Calc'!BO285</f>
        <v>4254139.1572805867</v>
      </c>
      <c r="I24" s="76">
        <f>+'[3]Monthly TD Calc'!BP285</f>
        <v>3438765.3625207683</v>
      </c>
      <c r="J24" s="171">
        <f>+'[3]Monthly TD Calc'!BQ285</f>
        <v>3350801.0955900047</v>
      </c>
      <c r="K24" s="160">
        <f>+'[3]Monthly TD Calc'!BR285</f>
        <v>3200897.113468044</v>
      </c>
      <c r="L24" s="143">
        <f>+'[3]Monthly TD Calc'!BS285</f>
        <v>3799541.9440570329</v>
      </c>
      <c r="M24" s="81"/>
      <c r="N24" s="60">
        <f>SUM(C24:L24)</f>
        <v>22568627.476296593</v>
      </c>
    </row>
    <row r="25" spans="1:15" x14ac:dyDescent="0.35">
      <c r="A25" s="47" t="s">
        <v>108</v>
      </c>
      <c r="C25" s="197">
        <v>-3857736.6930329697</v>
      </c>
      <c r="D25" s="202"/>
      <c r="E25" s="112">
        <f>+'[3]Monthly TD Calc'!BL286</f>
        <v>1929862.7740866141</v>
      </c>
      <c r="F25" s="112">
        <f>+'[3]Monthly TD Calc'!BM286</f>
        <v>1927873.9189463556</v>
      </c>
      <c r="G25" s="126">
        <f>+'[3]Monthly TD Calc'!BN286</f>
        <v>1997647.6114853616</v>
      </c>
      <c r="H25" s="75">
        <f>+'[3]Monthly TD Calc'!BO286</f>
        <v>2027066.2414548299</v>
      </c>
      <c r="I25" s="76">
        <f>+'[3]Monthly TD Calc'!BP286</f>
        <v>1834054.3366449273</v>
      </c>
      <c r="J25" s="171">
        <f>+'[3]Monthly TD Calc'!BQ286</f>
        <v>1888743.4323475384</v>
      </c>
      <c r="K25" s="160">
        <f>+'[3]Monthly TD Calc'!BR286</f>
        <v>1783272.6144496959</v>
      </c>
      <c r="L25" s="143">
        <f>+'[3]Monthly TD Calc'!BS286</f>
        <v>1777961.0361499267</v>
      </c>
      <c r="M25" s="81"/>
      <c r="N25" s="60">
        <f t="shared" ref="N25:N27" si="5">SUM(C25:L25)</f>
        <v>11308745.272532281</v>
      </c>
    </row>
    <row r="26" spans="1:15" x14ac:dyDescent="0.35">
      <c r="A26" s="47" t="s">
        <v>109</v>
      </c>
      <c r="C26" s="197">
        <v>-5722496.8780121692</v>
      </c>
      <c r="D26" s="202"/>
      <c r="E26" s="112">
        <f>+'[3]Monthly TD Calc'!BL288</f>
        <v>2890409.8209900213</v>
      </c>
      <c r="F26" s="112">
        <f>+'[3]Monthly TD Calc'!BM288</f>
        <v>2832087.0570221478</v>
      </c>
      <c r="G26" s="126">
        <f>+'[3]Monthly TD Calc'!BN288</f>
        <v>2914197.0369588025</v>
      </c>
      <c r="H26" s="75">
        <f>+'[3]Monthly TD Calc'!BO288</f>
        <v>2970935.0270213811</v>
      </c>
      <c r="I26" s="76">
        <f>+'[3]Monthly TD Calc'!BP288</f>
        <v>2715680.539241707</v>
      </c>
      <c r="J26" s="171">
        <f>+'[3]Monthly TD Calc'!BQ288</f>
        <v>2862809.8842250369</v>
      </c>
      <c r="K26" s="160">
        <f>+'[3]Monthly TD Calc'!BR288</f>
        <v>2703012.0649789949</v>
      </c>
      <c r="L26" s="143">
        <f>+'[3]Monthly TD Calc'!BS288</f>
        <v>2698632.3480119267</v>
      </c>
      <c r="M26" s="81"/>
      <c r="N26" s="60">
        <f t="shared" si="5"/>
        <v>16865266.900437847</v>
      </c>
    </row>
    <row r="27" spans="1:15" x14ac:dyDescent="0.35">
      <c r="A27" s="47" t="s">
        <v>110</v>
      </c>
      <c r="C27" s="197">
        <v>-2042366.6808370957</v>
      </c>
      <c r="D27" s="202"/>
      <c r="E27" s="112">
        <f>+'[3]Monthly TD Calc'!BL289</f>
        <v>1031776.4605094917</v>
      </c>
      <c r="F27" s="112">
        <f>+'[3]Monthly TD Calc'!BM289</f>
        <v>1010590.2203276039</v>
      </c>
      <c r="G27" s="126">
        <f>+'[3]Monthly TD Calc'!BN289</f>
        <v>1039178.5305886413</v>
      </c>
      <c r="H27" s="75">
        <f>+'[3]Monthly TD Calc'!BO289</f>
        <v>1060465.2308712879</v>
      </c>
      <c r="I27" s="76">
        <f>+'[3]Monthly TD Calc'!BP289</f>
        <v>967808.71359927149</v>
      </c>
      <c r="J27" s="171">
        <f>+'[3]Monthly TD Calc'!BQ289</f>
        <v>1022288.2013225708</v>
      </c>
      <c r="K27" s="160">
        <f>+'[3]Monthly TD Calc'!BR289</f>
        <v>964706.0990347442</v>
      </c>
      <c r="L27" s="143">
        <f>+'[3]Monthly TD Calc'!BS289</f>
        <v>962745.40439030575</v>
      </c>
      <c r="M27" s="81"/>
      <c r="N27" s="60">
        <f t="shared" si="5"/>
        <v>6017192.179806821</v>
      </c>
    </row>
    <row r="28" spans="1:15" x14ac:dyDescent="0.35">
      <c r="C28" s="68"/>
      <c r="D28" s="201"/>
      <c r="E28" s="69"/>
      <c r="F28" s="69"/>
      <c r="G28" s="69"/>
      <c r="H28" s="68"/>
      <c r="I28" s="69"/>
      <c r="J28" s="169"/>
      <c r="K28" s="57"/>
      <c r="L28" s="57"/>
      <c r="M28" s="13"/>
    </row>
    <row r="29" spans="1:15" x14ac:dyDescent="0.35">
      <c r="A29" s="47" t="s">
        <v>69</v>
      </c>
      <c r="C29" s="37"/>
      <c r="D29" s="203"/>
      <c r="E29" s="38"/>
      <c r="F29" s="38"/>
      <c r="G29" s="38"/>
      <c r="H29" s="37"/>
      <c r="I29" s="38"/>
      <c r="J29" s="172"/>
      <c r="K29" s="53"/>
      <c r="L29" s="53"/>
      <c r="M29" s="39"/>
    </row>
    <row r="30" spans="1:15" x14ac:dyDescent="0.35">
      <c r="A30" s="47" t="s">
        <v>24</v>
      </c>
      <c r="C30" s="196">
        <v>-475141.51</v>
      </c>
      <c r="D30" s="199"/>
      <c r="E30" s="110">
        <f>ROUND('[3]Monthly TD Calc'!BL326,2)</f>
        <v>172528.95</v>
      </c>
      <c r="F30" s="110">
        <f>ROUND('[3]Monthly TD Calc'!BM326,2)</f>
        <v>302612.56</v>
      </c>
      <c r="G30" s="111">
        <f>ROUND('[3]Monthly TD Calc'!BN326,2)</f>
        <v>360467.8</v>
      </c>
      <c r="H30" s="16">
        <f>ROUND('[3]Monthly TD Calc'!BO326,2)</f>
        <v>338929.39</v>
      </c>
      <c r="I30" s="56">
        <f>ROUND('[3]Monthly TD Calc'!BP326,2)</f>
        <v>271074.44</v>
      </c>
      <c r="J30" s="171">
        <f>ROUND('[3]Monthly TD Calc'!BQ326,2)</f>
        <v>153317.57999999999</v>
      </c>
      <c r="K30" s="161">
        <f>ROUND('[3]Monthly TD Calc'!BR326,2)</f>
        <v>149696.35999999999</v>
      </c>
      <c r="L30" s="142">
        <f>ROUND('[3]Monthly TD Calc'!BS326,2)</f>
        <v>164387.18</v>
      </c>
      <c r="M30" s="80"/>
    </row>
    <row r="31" spans="1:15" x14ac:dyDescent="0.35">
      <c r="A31" s="47" t="s">
        <v>108</v>
      </c>
      <c r="C31" s="196">
        <v>-206638.61</v>
      </c>
      <c r="D31" s="199"/>
      <c r="E31" s="110">
        <f>ROUND('[3]Monthly TD Calc'!BL327,2)</f>
        <v>80341.75</v>
      </c>
      <c r="F31" s="110">
        <f>ROUND('[3]Monthly TD Calc'!BM327,2)</f>
        <v>126296.86</v>
      </c>
      <c r="G31" s="111">
        <f>ROUND('[3]Monthly TD Calc'!BN327,2)</f>
        <v>128643.41</v>
      </c>
      <c r="H31" s="16">
        <f>ROUND('[3]Monthly TD Calc'!BO327,2)</f>
        <v>130888.34</v>
      </c>
      <c r="I31" s="56">
        <f>ROUND('[3]Monthly TD Calc'!BP327,2)</f>
        <v>119321.89</v>
      </c>
      <c r="J31" s="171">
        <f>ROUND('[3]Monthly TD Calc'!BQ327,2)</f>
        <v>77840.95</v>
      </c>
      <c r="K31" s="161">
        <f>ROUND('[3]Monthly TD Calc'!BR327,2)</f>
        <v>74091.149999999994</v>
      </c>
      <c r="L31" s="142">
        <f>ROUND('[3]Monthly TD Calc'!BS327,2)</f>
        <v>67343.210000000006</v>
      </c>
      <c r="M31" s="80"/>
    </row>
    <row r="32" spans="1:15" x14ac:dyDescent="0.35">
      <c r="A32" s="47" t="s">
        <v>109</v>
      </c>
      <c r="C32" s="196">
        <v>-177648.91999999998</v>
      </c>
      <c r="D32" s="199"/>
      <c r="E32" s="110">
        <f>ROUND('[3]Monthly TD Calc'!BL329,2)</f>
        <v>81992.95</v>
      </c>
      <c r="F32" s="110">
        <f>ROUND('[3]Monthly TD Calc'!BM329,2)</f>
        <v>95655.97</v>
      </c>
      <c r="G32" s="111">
        <f>ROUND('[3]Monthly TD Calc'!BN329,2)</f>
        <v>95158.56</v>
      </c>
      <c r="H32" s="16">
        <f>ROUND('[3]Monthly TD Calc'!BO329,2)</f>
        <v>97995.36</v>
      </c>
      <c r="I32" s="56">
        <f>ROUND('[3]Monthly TD Calc'!BP329,2)</f>
        <v>91010.55</v>
      </c>
      <c r="J32" s="171">
        <f>ROUND('[3]Monthly TD Calc'!BQ329,2)</f>
        <v>77920.800000000003</v>
      </c>
      <c r="K32" s="161">
        <f>ROUND('[3]Monthly TD Calc'!BR329,2)</f>
        <v>75716.31</v>
      </c>
      <c r="L32" s="142">
        <f>ROUND('[3]Monthly TD Calc'!BS329,2)</f>
        <v>72630.33</v>
      </c>
      <c r="M32" s="80"/>
    </row>
    <row r="33" spans="1:15" x14ac:dyDescent="0.35">
      <c r="A33" s="47" t="s">
        <v>110</v>
      </c>
      <c r="C33" s="196">
        <v>-31572.38</v>
      </c>
      <c r="D33" s="199"/>
      <c r="E33" s="110">
        <f>ROUND('[3]Monthly TD Calc'!BL330,2)</f>
        <v>14070.41</v>
      </c>
      <c r="F33" s="110">
        <f>ROUND('[3]Monthly TD Calc'!BM330,2)</f>
        <v>17501.97</v>
      </c>
      <c r="G33" s="111">
        <f>ROUND('[3]Monthly TD Calc'!BN330,2)</f>
        <v>17971.36</v>
      </c>
      <c r="H33" s="16">
        <f>ROUND('[3]Monthly TD Calc'!BO330,2)</f>
        <v>18227.55</v>
      </c>
      <c r="I33" s="56">
        <f>ROUND('[3]Monthly TD Calc'!BP330,2)</f>
        <v>17181.66</v>
      </c>
      <c r="J33" s="171">
        <f>ROUND('[3]Monthly TD Calc'!BQ330,2)</f>
        <v>13264.22</v>
      </c>
      <c r="K33" s="161">
        <f>ROUND('[3]Monthly TD Calc'!BR330,2)</f>
        <v>12740.14</v>
      </c>
      <c r="L33" s="142">
        <f>ROUND('[3]Monthly TD Calc'!BS330,2)</f>
        <v>13601.93</v>
      </c>
      <c r="M33" s="80"/>
      <c r="O33" s="48"/>
    </row>
    <row r="34" spans="1:15" x14ac:dyDescent="0.35">
      <c r="C34" s="100"/>
      <c r="D34" s="200"/>
      <c r="E34" s="18"/>
      <c r="F34" s="18"/>
      <c r="G34" s="18"/>
      <c r="H34" s="92"/>
      <c r="I34" s="18"/>
      <c r="J34" s="167"/>
      <c r="K34" s="57"/>
      <c r="L34" s="57"/>
      <c r="M34" s="13"/>
    </row>
    <row r="35" spans="1:15" ht="15" thickBot="1" x14ac:dyDescent="0.4">
      <c r="A35" s="3" t="s">
        <v>15</v>
      </c>
      <c r="B35" s="3"/>
      <c r="C35" s="198">
        <v>-883.63</v>
      </c>
      <c r="D35" s="204"/>
      <c r="E35" s="135">
        <v>407.28999999999996</v>
      </c>
      <c r="F35" s="135">
        <v>478.78</v>
      </c>
      <c r="G35" s="136">
        <v>592.96</v>
      </c>
      <c r="H35" s="27">
        <v>814.45</v>
      </c>
      <c r="I35" s="123">
        <v>1114.79</v>
      </c>
      <c r="J35" s="173">
        <v>1305.53</v>
      </c>
      <c r="K35" s="162">
        <v>1442.5900000000001</v>
      </c>
      <c r="L35" s="144">
        <v>1572.1799999999998</v>
      </c>
      <c r="M35" s="83"/>
    </row>
    <row r="36" spans="1:15" x14ac:dyDescent="0.35">
      <c r="C36" s="65"/>
      <c r="D36" s="207"/>
      <c r="E36" s="67"/>
      <c r="F36" s="67"/>
      <c r="G36" s="34"/>
      <c r="H36" s="65"/>
      <c r="I36" s="34"/>
      <c r="J36" s="174"/>
      <c r="K36" s="35"/>
      <c r="L36" s="35"/>
      <c r="M36" s="61"/>
    </row>
    <row r="37" spans="1:15" x14ac:dyDescent="0.35">
      <c r="A37" s="47" t="s">
        <v>52</v>
      </c>
      <c r="C37" s="66"/>
      <c r="D37" s="208"/>
      <c r="E37" s="36"/>
      <c r="F37" s="36"/>
      <c r="G37" s="36"/>
      <c r="H37" s="66"/>
      <c r="I37" s="36"/>
      <c r="J37" s="175"/>
      <c r="K37" s="35"/>
      <c r="L37" s="35"/>
      <c r="M37" s="61"/>
    </row>
    <row r="38" spans="1:15" x14ac:dyDescent="0.35">
      <c r="A38" s="47" t="s">
        <v>24</v>
      </c>
      <c r="C38" s="205">
        <f t="shared" ref="C38:M38" si="6">C30-C18</f>
        <v>228200.25499999989</v>
      </c>
      <c r="D38" s="209">
        <f t="shared" si="6"/>
        <v>0</v>
      </c>
      <c r="E38" s="42">
        <f t="shared" si="6"/>
        <v>6905.0400000000373</v>
      </c>
      <c r="F38" s="42">
        <f t="shared" si="6"/>
        <v>80075.409999999974</v>
      </c>
      <c r="G38" s="109">
        <f t="shared" si="6"/>
        <v>64874.059999999939</v>
      </c>
      <c r="H38" s="41">
        <f t="shared" si="6"/>
        <v>186526.66</v>
      </c>
      <c r="I38" s="42">
        <f t="shared" si="6"/>
        <v>119914.15</v>
      </c>
      <c r="J38" s="62">
        <f t="shared" si="6"/>
        <v>47556.259999999995</v>
      </c>
      <c r="K38" s="124">
        <f t="shared" si="6"/>
        <v>60336.378799999977</v>
      </c>
      <c r="L38" s="42">
        <f t="shared" si="6"/>
        <v>40500.782399999982</v>
      </c>
      <c r="M38" s="62">
        <f t="shared" si="6"/>
        <v>-155777.4044</v>
      </c>
    </row>
    <row r="39" spans="1:15" x14ac:dyDescent="0.35">
      <c r="A39" s="47" t="s">
        <v>25</v>
      </c>
      <c r="C39" s="205">
        <f>SUM(C31:C33)-SUM(C19:C21)</f>
        <v>164072.78198999999</v>
      </c>
      <c r="D39" s="209">
        <f t="shared" ref="D39:M39" si="7">SUM(D31:D33)-SUM(D19:D21)</f>
        <v>0</v>
      </c>
      <c r="E39" s="42">
        <f t="shared" si="7"/>
        <v>6721.8700000000244</v>
      </c>
      <c r="F39" s="42">
        <f t="shared" si="7"/>
        <v>39313.19</v>
      </c>
      <c r="G39" s="109">
        <f t="shared" si="7"/>
        <v>14335.50999999998</v>
      </c>
      <c r="H39" s="41">
        <f t="shared" si="7"/>
        <v>132644.96</v>
      </c>
      <c r="I39" s="42">
        <f t="shared" si="7"/>
        <v>106334.37000000001</v>
      </c>
      <c r="J39" s="62">
        <f t="shared" si="7"/>
        <v>65594.47</v>
      </c>
      <c r="K39" s="124">
        <f t="shared" si="7"/>
        <v>70380.925939999986</v>
      </c>
      <c r="L39" s="42">
        <f t="shared" si="7"/>
        <v>58927.254130000001</v>
      </c>
      <c r="M39" s="62">
        <f t="shared" si="7"/>
        <v>-98438.05405999998</v>
      </c>
    </row>
    <row r="40" spans="1:15" x14ac:dyDescent="0.35">
      <c r="C40" s="100"/>
      <c r="D40" s="200"/>
      <c r="E40" s="17"/>
      <c r="F40" s="17"/>
      <c r="G40" s="17"/>
      <c r="H40" s="10"/>
      <c r="I40" s="17"/>
      <c r="J40" s="11"/>
      <c r="K40" s="17"/>
      <c r="L40" s="17"/>
      <c r="M40" s="11"/>
    </row>
    <row r="41" spans="1:15" ht="15" thickBot="1" x14ac:dyDescent="0.4">
      <c r="A41" s="47" t="s">
        <v>53</v>
      </c>
      <c r="C41" s="100"/>
      <c r="D41" s="200"/>
      <c r="E41" s="17"/>
      <c r="F41" s="17"/>
      <c r="G41" s="17"/>
      <c r="H41" s="10"/>
      <c r="I41" s="17"/>
      <c r="J41" s="11"/>
      <c r="K41" s="17"/>
      <c r="L41" s="17"/>
      <c r="M41" s="11"/>
    </row>
    <row r="42" spans="1:15" x14ac:dyDescent="0.35">
      <c r="A42" s="47" t="s">
        <v>24</v>
      </c>
      <c r="B42" s="117">
        <v>-14785.704999999645</v>
      </c>
      <c r="C42" s="205">
        <f t="shared" ref="C42:E43" si="8">+B42+C38+B47</f>
        <v>213414.55000000025</v>
      </c>
      <c r="D42" s="209">
        <f t="shared" si="8"/>
        <v>212887.13000000024</v>
      </c>
      <c r="E42" s="42">
        <f t="shared" si="8"/>
        <v>219792.17000000027</v>
      </c>
      <c r="F42" s="42">
        <f t="shared" ref="F42:M42" si="9">+E42+F38+E47</f>
        <v>300110.33000000025</v>
      </c>
      <c r="G42" s="109">
        <f t="shared" si="9"/>
        <v>365274.04000000021</v>
      </c>
      <c r="H42" s="41">
        <f t="shared" si="9"/>
        <v>552173.31000000017</v>
      </c>
      <c r="I42" s="42">
        <f t="shared" si="9"/>
        <v>672599.8400000002</v>
      </c>
      <c r="J42" s="62">
        <f t="shared" si="9"/>
        <v>720837.05000000016</v>
      </c>
      <c r="K42" s="124">
        <f t="shared" si="9"/>
        <v>781948.70880000014</v>
      </c>
      <c r="L42" s="42">
        <f t="shared" si="9"/>
        <v>823285.64120000019</v>
      </c>
      <c r="M42" s="62">
        <f t="shared" si="9"/>
        <v>668401.38680000021</v>
      </c>
    </row>
    <row r="43" spans="1:15" ht="15" thickBot="1" x14ac:dyDescent="0.4">
      <c r="A43" s="47" t="s">
        <v>25</v>
      </c>
      <c r="B43" s="118">
        <v>-20438.167720000045</v>
      </c>
      <c r="C43" s="205">
        <f t="shared" si="8"/>
        <v>143634.61426999993</v>
      </c>
      <c r="D43" s="209">
        <f t="shared" si="8"/>
        <v>143278.40426999994</v>
      </c>
      <c r="E43" s="42">
        <f t="shared" si="8"/>
        <v>150000.27426999997</v>
      </c>
      <c r="F43" s="42">
        <f t="shared" ref="F43:M43" si="10">+E43+F39+E48</f>
        <v>189478.00426999998</v>
      </c>
      <c r="G43" s="109">
        <f t="shared" si="10"/>
        <v>204002.64426999996</v>
      </c>
      <c r="H43" s="41">
        <f t="shared" si="10"/>
        <v>336867.96426999994</v>
      </c>
      <c r="I43" s="42">
        <f t="shared" si="10"/>
        <v>443504.40426999994</v>
      </c>
      <c r="J43" s="62">
        <f t="shared" si="10"/>
        <v>509532.7342699999</v>
      </c>
      <c r="K43" s="124">
        <f t="shared" si="10"/>
        <v>580443.89020999987</v>
      </c>
      <c r="L43" s="42">
        <f t="shared" si="10"/>
        <v>639977.58433999983</v>
      </c>
      <c r="M43" s="62">
        <f t="shared" si="10"/>
        <v>542218.56027999986</v>
      </c>
    </row>
    <row r="44" spans="1:15" x14ac:dyDescent="0.35">
      <c r="C44" s="100"/>
      <c r="D44" s="200"/>
      <c r="E44" s="17"/>
      <c r="F44" s="17"/>
      <c r="G44" s="17"/>
      <c r="H44" s="10"/>
      <c r="I44" s="17"/>
      <c r="J44" s="11"/>
      <c r="K44" s="17"/>
      <c r="L44" s="17"/>
      <c r="M44" s="11"/>
    </row>
    <row r="45" spans="1:15" x14ac:dyDescent="0.35">
      <c r="A45" s="40" t="s">
        <v>124</v>
      </c>
      <c r="B45" s="40"/>
      <c r="C45" s="105"/>
      <c r="D45" s="210"/>
      <c r="E45" s="84">
        <f>+'PCR Cycle 2'!D47</f>
        <v>1.1220900000000001E-3</v>
      </c>
      <c r="F45" s="84">
        <f>+'PCR Cycle 2'!E47</f>
        <v>1.1137199999999999E-3</v>
      </c>
      <c r="G45" s="84">
        <f>+'PCR Cycle 2'!F47</f>
        <v>1.11951E-3</v>
      </c>
      <c r="H45" s="85">
        <f>+'PCR Cycle 2'!G47</f>
        <v>1.11651E-3</v>
      </c>
      <c r="I45" s="84">
        <f>+'PCR Cycle 2'!H47</f>
        <v>1.1114899999999999E-3</v>
      </c>
      <c r="J45" s="93">
        <f>+'PCR Cycle 2'!I47</f>
        <v>1.1122199999999999E-3</v>
      </c>
      <c r="K45" s="84">
        <f>+'PCR Cycle 2'!J47</f>
        <v>1.1122199999999999E-3</v>
      </c>
      <c r="L45" s="84">
        <f>+'PCR Cycle 2'!K47</f>
        <v>1.1122199999999999E-3</v>
      </c>
      <c r="M45" s="86"/>
    </row>
    <row r="46" spans="1:15" x14ac:dyDescent="0.35">
      <c r="A46" s="40" t="s">
        <v>37</v>
      </c>
      <c r="B46" s="40"/>
      <c r="C46" s="107"/>
      <c r="D46" s="211"/>
      <c r="E46" s="84"/>
      <c r="F46" s="84"/>
      <c r="G46" s="84"/>
      <c r="H46" s="85"/>
      <c r="I46" s="84"/>
      <c r="J46" s="86"/>
      <c r="K46" s="84"/>
      <c r="L46" s="84"/>
      <c r="M46" s="86"/>
    </row>
    <row r="47" spans="1:15" x14ac:dyDescent="0.35">
      <c r="A47" s="47" t="s">
        <v>24</v>
      </c>
      <c r="C47" s="205">
        <v>-527.42000000000007</v>
      </c>
      <c r="D47" s="209"/>
      <c r="E47" s="42">
        <f>ROUND((D42+D47+E38/2)*E$45,2)</f>
        <v>242.75</v>
      </c>
      <c r="F47" s="42">
        <f t="shared" ref="F47:F48" si="11">ROUND((E42+E47+F38/2)*F$45,2)</f>
        <v>289.64999999999998</v>
      </c>
      <c r="G47" s="109">
        <f t="shared" ref="G47:G48" si="12">ROUND((F42+F47+G38/2)*G$45,2)</f>
        <v>372.61</v>
      </c>
      <c r="H47" s="41">
        <f t="shared" ref="H47:H48" si="13">ROUND((G42+G47+H38/2)*H$45,2)</f>
        <v>512.38</v>
      </c>
      <c r="I47" s="124">
        <f t="shared" ref="I47:J48" si="14">ROUND((H42+H47+I38/2)*I$45,2)</f>
        <v>680.95</v>
      </c>
      <c r="J47" s="62">
        <f t="shared" si="14"/>
        <v>775.28</v>
      </c>
      <c r="K47" s="163">
        <f t="shared" ref="K47:K48" si="15">ROUND((J42+J47+K38/2)*K$45,2)</f>
        <v>836.15</v>
      </c>
      <c r="L47" s="109">
        <f t="shared" ref="L47:L48" si="16">ROUND((K42+K47+L38/2)*L$45,2)</f>
        <v>893.15</v>
      </c>
      <c r="M47" s="62">
        <f t="shared" ref="M47:M48" si="17">ROUND((L42+L47+M38/2)*M$45,2)</f>
        <v>0</v>
      </c>
    </row>
    <row r="48" spans="1:15" ht="15" thickBot="1" x14ac:dyDescent="0.4">
      <c r="A48" s="47" t="s">
        <v>25</v>
      </c>
      <c r="C48" s="205">
        <v>-356.21000000000004</v>
      </c>
      <c r="D48" s="209"/>
      <c r="E48" s="42">
        <f>ROUND((D43+D48+E39/2)*E$45,2)</f>
        <v>164.54</v>
      </c>
      <c r="F48" s="42">
        <f t="shared" si="11"/>
        <v>189.13</v>
      </c>
      <c r="G48" s="109">
        <f t="shared" si="12"/>
        <v>220.36</v>
      </c>
      <c r="H48" s="41">
        <f t="shared" si="13"/>
        <v>302.07</v>
      </c>
      <c r="I48" s="124">
        <f t="shared" si="14"/>
        <v>433.86</v>
      </c>
      <c r="J48" s="62">
        <f t="shared" si="14"/>
        <v>530.23</v>
      </c>
      <c r="K48" s="163">
        <f t="shared" si="15"/>
        <v>606.44000000000005</v>
      </c>
      <c r="L48" s="109">
        <f t="shared" si="16"/>
        <v>679.03</v>
      </c>
      <c r="M48" s="62">
        <f t="shared" si="17"/>
        <v>0</v>
      </c>
    </row>
    <row r="49" spans="1:13" ht="15.5" thickTop="1" thickBot="1" x14ac:dyDescent="0.4">
      <c r="A49" s="55" t="s">
        <v>22</v>
      </c>
      <c r="B49" s="55"/>
      <c r="C49" s="206">
        <v>0</v>
      </c>
      <c r="D49" s="212"/>
      <c r="E49" s="43">
        <f>SUM(E47:E48)+SUM(E42:E43)-E52</f>
        <v>0</v>
      </c>
      <c r="F49" s="43">
        <f t="shared" ref="F49:M49" si="18">SUM(F47:F48)+SUM(F42:F43)-F52</f>
        <v>0</v>
      </c>
      <c r="G49" s="51">
        <f t="shared" si="18"/>
        <v>0</v>
      </c>
      <c r="H49" s="52">
        <f t="shared" si="18"/>
        <v>0</v>
      </c>
      <c r="I49" s="43">
        <f t="shared" si="18"/>
        <v>0</v>
      </c>
      <c r="J49" s="63">
        <f t="shared" si="18"/>
        <v>0</v>
      </c>
      <c r="K49" s="164">
        <f t="shared" si="18"/>
        <v>0</v>
      </c>
      <c r="L49" s="51">
        <f t="shared" si="18"/>
        <v>0</v>
      </c>
      <c r="M49" s="63">
        <f t="shared" si="18"/>
        <v>0</v>
      </c>
    </row>
    <row r="50" spans="1:13" ht="15.5" thickTop="1" thickBot="1" x14ac:dyDescent="0.4">
      <c r="A50" s="55" t="s">
        <v>23</v>
      </c>
      <c r="B50" s="55"/>
      <c r="C50" s="206">
        <v>0</v>
      </c>
      <c r="D50" s="212"/>
      <c r="E50" s="43">
        <f>SUM(E47:E48)-E35</f>
        <v>0</v>
      </c>
      <c r="F50" s="43">
        <f t="shared" ref="F50:J50" si="19">SUM(F47:F48)-F35</f>
        <v>0</v>
      </c>
      <c r="G50" s="51">
        <f t="shared" ref="G50:I50" si="20">SUM(G47:G48)-G35</f>
        <v>9.9999999999909051E-3</v>
      </c>
      <c r="H50" s="52">
        <f t="shared" si="20"/>
        <v>0</v>
      </c>
      <c r="I50" s="43">
        <f t="shared" si="20"/>
        <v>1.999999999998181E-2</v>
      </c>
      <c r="J50" s="63">
        <f t="shared" si="19"/>
        <v>-1.999999999998181E-2</v>
      </c>
      <c r="K50" s="165">
        <f t="shared" ref="K50:M50" si="21">SUM(K47:K48)-K35</f>
        <v>0</v>
      </c>
      <c r="L50" s="43">
        <f t="shared" si="21"/>
        <v>0</v>
      </c>
      <c r="M50" s="43">
        <f t="shared" si="21"/>
        <v>0</v>
      </c>
    </row>
    <row r="51" spans="1:13" ht="15.5" thickTop="1" thickBot="1" x14ac:dyDescent="0.4">
      <c r="C51" s="100"/>
      <c r="D51" s="200"/>
      <c r="E51" s="17"/>
      <c r="F51" s="17"/>
      <c r="G51" s="17"/>
      <c r="H51" s="10"/>
      <c r="I51" s="17"/>
      <c r="J51" s="11"/>
      <c r="K51" s="17"/>
      <c r="L51" s="17"/>
      <c r="M51" s="11"/>
    </row>
    <row r="52" spans="1:13" ht="15" thickBot="1" x14ac:dyDescent="0.4">
      <c r="A52" s="47" t="s">
        <v>36</v>
      </c>
      <c r="B52" s="120">
        <f>+B42+B43</f>
        <v>-35223.872719999694</v>
      </c>
      <c r="C52" s="205">
        <f t="shared" ref="C52:M52" si="22">(C15-SUM(C18:C21))+SUM(C47:C48)+B52</f>
        <v>356165.53427</v>
      </c>
      <c r="D52" s="209">
        <f t="shared" si="22"/>
        <v>356165.53427</v>
      </c>
      <c r="E52" s="42">
        <f t="shared" si="22"/>
        <v>370199.73427000002</v>
      </c>
      <c r="F52" s="42">
        <f t="shared" si="22"/>
        <v>490067.11427000002</v>
      </c>
      <c r="G52" s="109">
        <f t="shared" si="22"/>
        <v>569869.65427000006</v>
      </c>
      <c r="H52" s="41">
        <f t="shared" si="22"/>
        <v>889855.72427000012</v>
      </c>
      <c r="I52" s="42">
        <f t="shared" si="22"/>
        <v>1117219.0542700002</v>
      </c>
      <c r="J52" s="62">
        <f t="shared" si="22"/>
        <v>1231675.2942700002</v>
      </c>
      <c r="K52" s="163">
        <f t="shared" si="22"/>
        <v>1363835.1890100001</v>
      </c>
      <c r="L52" s="109">
        <f t="shared" si="22"/>
        <v>1464835.4055400002</v>
      </c>
      <c r="M52" s="62">
        <f t="shared" si="22"/>
        <v>1210619.9470800001</v>
      </c>
    </row>
    <row r="53" spans="1:13" x14ac:dyDescent="0.35">
      <c r="A53" s="47" t="s">
        <v>12</v>
      </c>
      <c r="C53" s="121"/>
      <c r="D53" s="213"/>
      <c r="E53" s="17"/>
      <c r="F53" s="17"/>
      <c r="G53" s="17"/>
      <c r="H53" s="10"/>
      <c r="I53" s="17"/>
      <c r="J53" s="11"/>
      <c r="K53" s="17"/>
      <c r="L53" s="17"/>
      <c r="M53" s="11"/>
    </row>
    <row r="54" spans="1:13" ht="15" thickBot="1" x14ac:dyDescent="0.4">
      <c r="A54" s="38"/>
      <c r="B54" s="38"/>
      <c r="C54" s="147"/>
      <c r="D54" s="214"/>
      <c r="E54" s="45"/>
      <c r="F54" s="45"/>
      <c r="G54" s="45"/>
      <c r="H54" s="44"/>
      <c r="I54" s="45"/>
      <c r="J54" s="46"/>
      <c r="K54" s="45"/>
      <c r="L54" s="45"/>
      <c r="M54" s="46"/>
    </row>
    <row r="56" spans="1:13" x14ac:dyDescent="0.35">
      <c r="A56" s="70" t="s">
        <v>11</v>
      </c>
      <c r="B56" s="70"/>
      <c r="C56" s="70"/>
      <c r="D56" s="70"/>
    </row>
    <row r="57" spans="1:13" ht="34.5" customHeight="1" x14ac:dyDescent="0.35">
      <c r="A57" s="304" t="s">
        <v>194</v>
      </c>
      <c r="B57" s="304"/>
      <c r="C57" s="304"/>
      <c r="D57" s="304"/>
      <c r="E57" s="304"/>
      <c r="F57" s="304"/>
      <c r="G57" s="304"/>
      <c r="H57" s="304"/>
      <c r="I57" s="304"/>
      <c r="J57" s="304"/>
      <c r="K57" s="195"/>
      <c r="L57" s="145"/>
      <c r="M57" s="145"/>
    </row>
    <row r="58" spans="1:13" ht="42.75" customHeight="1" x14ac:dyDescent="0.35">
      <c r="A58" s="304" t="s">
        <v>166</v>
      </c>
      <c r="B58" s="304"/>
      <c r="C58" s="304"/>
      <c r="D58" s="304"/>
      <c r="E58" s="304"/>
      <c r="F58" s="304"/>
      <c r="G58" s="304"/>
      <c r="H58" s="304"/>
      <c r="I58" s="304"/>
      <c r="J58" s="304"/>
      <c r="K58" s="304"/>
      <c r="L58" s="145"/>
      <c r="M58" s="145"/>
    </row>
    <row r="59" spans="1:13" ht="33.75" customHeight="1" x14ac:dyDescent="0.35">
      <c r="A59" s="304" t="s">
        <v>195</v>
      </c>
      <c r="B59" s="304"/>
      <c r="C59" s="304"/>
      <c r="D59" s="304"/>
      <c r="E59" s="304"/>
      <c r="F59" s="304"/>
      <c r="G59" s="304"/>
      <c r="H59" s="304"/>
      <c r="I59" s="304"/>
      <c r="J59" s="304"/>
      <c r="K59" s="195"/>
      <c r="L59" s="145"/>
      <c r="M59" s="145"/>
    </row>
    <row r="60" spans="1:13" x14ac:dyDescent="0.35">
      <c r="A60" s="3" t="s">
        <v>67</v>
      </c>
      <c r="B60" s="3"/>
      <c r="C60" s="3"/>
      <c r="D60" s="3"/>
    </row>
    <row r="61" spans="1:13" x14ac:dyDescent="0.35">
      <c r="A61" s="64" t="s">
        <v>196</v>
      </c>
      <c r="B61" s="3"/>
      <c r="C61" s="3"/>
      <c r="D61" s="3"/>
    </row>
    <row r="62" spans="1:13" x14ac:dyDescent="0.35">
      <c r="A62" s="3" t="s">
        <v>70</v>
      </c>
      <c r="B62" s="3"/>
      <c r="C62" s="3"/>
      <c r="D62" s="3"/>
    </row>
    <row r="63" spans="1:13" x14ac:dyDescent="0.35">
      <c r="A63" s="3" t="s">
        <v>197</v>
      </c>
      <c r="B63" s="3"/>
      <c r="C63" s="3"/>
      <c r="D63" s="3"/>
    </row>
  </sheetData>
  <mergeCells count="6">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66"/>
  <sheetViews>
    <sheetView zoomScaleNormal="100" workbookViewId="0">
      <pane xSplit="1" ySplit="2" topLeftCell="B3" activePane="bottomRight" state="frozen"/>
      <selection activeCell="K4" sqref="K4"/>
      <selection pane="topRight" activeCell="K4" sqref="K4"/>
      <selection pane="bottomLeft" activeCell="K4" sqref="K4"/>
      <selection pane="bottomRight" activeCell="B3" sqref="B3"/>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hidden="1" customWidth="1" outlineLevel="1"/>
    <col min="5" max="5" width="15.453125" style="47" customWidth="1" collapsed="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0.7265625" style="47" bestFit="1"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Missouri West, Inc. - DSIM Rider Update Filed 12/02/2021</v>
      </c>
      <c r="B1" s="3"/>
      <c r="C1" s="3"/>
      <c r="D1" s="3"/>
    </row>
    <row r="2" spans="1:35" x14ac:dyDescent="0.35">
      <c r="E2" s="3" t="s">
        <v>140</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SUM(C15:M15)</f>
        <v>2872705.4068199997</v>
      </c>
      <c r="F4" s="137">
        <f>N21</f>
        <v>50064431.127744302</v>
      </c>
      <c r="G4" s="22">
        <f>SUM(C27:L27)</f>
        <v>2598420.0699999994</v>
      </c>
      <c r="H4" s="22">
        <f>G4-E4</f>
        <v>-274285.33682000032</v>
      </c>
      <c r="I4" s="22">
        <f>+B41</f>
        <v>-147520.69400000005</v>
      </c>
      <c r="J4" s="22">
        <f>SUM(C48:L48)</f>
        <v>498.87</v>
      </c>
      <c r="K4" s="26">
        <f>SUM(H4:J4)</f>
        <v>-421307.16082000034</v>
      </c>
      <c r="L4" s="48">
        <f>+K4-M41</f>
        <v>0</v>
      </c>
    </row>
    <row r="5" spans="1:35" x14ac:dyDescent="0.35">
      <c r="A5" s="20" t="s">
        <v>108</v>
      </c>
      <c r="B5" s="20"/>
      <c r="C5" s="20"/>
      <c r="D5" s="20"/>
      <c r="E5" s="22">
        <f>SUM(C16:M16)</f>
        <v>362282.31916000001</v>
      </c>
      <c r="F5" s="137">
        <f>N22</f>
        <v>5191270.0196507005</v>
      </c>
      <c r="G5" s="22">
        <f>SUM(C28:L28)</f>
        <v>289801.68</v>
      </c>
      <c r="H5" s="22">
        <f t="shared" ref="H5:H6" si="0">G5-E5</f>
        <v>-72480.639160000021</v>
      </c>
      <c r="I5" s="22">
        <f>+B42</f>
        <v>-154825.82969999997</v>
      </c>
      <c r="J5" s="22">
        <f>SUM(C49:L49)</f>
        <v>-1181.72</v>
      </c>
      <c r="K5" s="26">
        <f t="shared" ref="K5:K6" si="1">SUM(H5:J5)</f>
        <v>-228488.18885999999</v>
      </c>
      <c r="L5" s="48">
        <f t="shared" ref="L5:L6" si="2">+K5-M42</f>
        <v>0</v>
      </c>
    </row>
    <row r="6" spans="1:35" x14ac:dyDescent="0.35">
      <c r="A6" s="20" t="s">
        <v>109</v>
      </c>
      <c r="B6" s="20"/>
      <c r="C6" s="20"/>
      <c r="D6" s="20"/>
      <c r="E6" s="22">
        <f>SUM(C17:M17)</f>
        <v>289280.33219999995</v>
      </c>
      <c r="F6" s="137">
        <f>N23</f>
        <v>7887239.497378286</v>
      </c>
      <c r="G6" s="22">
        <f>SUM(C29:L29)</f>
        <v>252460.11</v>
      </c>
      <c r="H6" s="22">
        <f t="shared" si="0"/>
        <v>-36820.22219999996</v>
      </c>
      <c r="I6" s="22">
        <f>+B43</f>
        <v>-57024.659609999988</v>
      </c>
      <c r="J6" s="22">
        <f>SUM(C50:L50)</f>
        <v>-422.94</v>
      </c>
      <c r="K6" s="26">
        <f t="shared" si="1"/>
        <v>-94267.82180999995</v>
      </c>
      <c r="L6" s="48">
        <f t="shared" si="2"/>
        <v>0</v>
      </c>
    </row>
    <row r="7" spans="1:35" ht="15" thickBot="1" x14ac:dyDescent="0.4">
      <c r="A7" s="20" t="s">
        <v>110</v>
      </c>
      <c r="B7" s="20"/>
      <c r="C7" s="20"/>
      <c r="D7" s="20"/>
      <c r="E7" s="22">
        <f>SUM(C18:M18)</f>
        <v>93344.009080000003</v>
      </c>
      <c r="F7" s="137">
        <f>N24</f>
        <v>4176566.442287364</v>
      </c>
      <c r="G7" s="22">
        <f>SUM(C30:L30)</f>
        <v>59847.92</v>
      </c>
      <c r="H7" s="22">
        <f>G7-E7</f>
        <v>-33496.089080000005</v>
      </c>
      <c r="I7" s="22">
        <f>+B44</f>
        <v>-29059.38565</v>
      </c>
      <c r="J7" s="22">
        <f>SUM(C51:L51)</f>
        <v>-291.15000000000003</v>
      </c>
      <c r="K7" s="26">
        <f>SUM(H7:J7)</f>
        <v>-62846.624730000003</v>
      </c>
      <c r="L7" s="48">
        <f>+K7-M44</f>
        <v>0</v>
      </c>
    </row>
    <row r="8" spans="1:35" ht="15.5" thickTop="1" thickBot="1" x14ac:dyDescent="0.4">
      <c r="E8" s="28">
        <f t="shared" ref="E8:K8" si="3">SUM(E4:E7)</f>
        <v>3617612.0672599999</v>
      </c>
      <c r="F8" s="138">
        <f t="shared" si="3"/>
        <v>67319507.08706066</v>
      </c>
      <c r="G8" s="28">
        <f t="shared" si="3"/>
        <v>3200529.7799999993</v>
      </c>
      <c r="H8" s="28">
        <f t="shared" si="3"/>
        <v>-417082.2872600003</v>
      </c>
      <c r="I8" s="28">
        <f t="shared" si="3"/>
        <v>-388430.56896</v>
      </c>
      <c r="J8" s="28">
        <f t="shared" si="3"/>
        <v>-1396.94</v>
      </c>
      <c r="K8" s="28">
        <f t="shared" si="3"/>
        <v>-806909.79622000037</v>
      </c>
      <c r="T8" s="5"/>
    </row>
    <row r="9" spans="1:35" ht="15.5" thickTop="1" thickBot="1" x14ac:dyDescent="0.4">
      <c r="V9" s="4"/>
      <c r="W9" s="5"/>
    </row>
    <row r="10" spans="1:35" ht="102" thickBot="1" x14ac:dyDescent="0.4">
      <c r="B10" s="119" t="str">
        <f>+'PCR Cycle 2'!B13</f>
        <v>Cumulative Over/Under Carryover From 06/01/2021 Filing</v>
      </c>
      <c r="C10" s="152" t="str">
        <f>+'PCR Cycle 2'!C13</f>
        <v>Reverse May 2021 - July 2021  Forecast From 06/01/2021 Filing</v>
      </c>
      <c r="D10" s="215"/>
      <c r="E10" s="315" t="s">
        <v>33</v>
      </c>
      <c r="F10" s="305"/>
      <c r="G10" s="306"/>
      <c r="H10" s="312" t="s">
        <v>33</v>
      </c>
      <c r="I10" s="313"/>
      <c r="J10" s="314"/>
      <c r="K10" s="301" t="s">
        <v>8</v>
      </c>
      <c r="L10" s="302"/>
      <c r="M10" s="303"/>
    </row>
    <row r="11" spans="1:35" x14ac:dyDescent="0.35">
      <c r="A11" s="47" t="s">
        <v>63</v>
      </c>
      <c r="C11" s="106"/>
      <c r="D11" s="216"/>
      <c r="E11" s="19">
        <f>+'PCR Cycle 2'!D14</f>
        <v>44347</v>
      </c>
      <c r="F11" s="19">
        <f t="shared" ref="F11:M11" si="4">EOMONTH(E11,1)</f>
        <v>44377</v>
      </c>
      <c r="G11" s="19">
        <f t="shared" si="4"/>
        <v>44408</v>
      </c>
      <c r="H11" s="14">
        <f t="shared" si="4"/>
        <v>44439</v>
      </c>
      <c r="I11" s="19">
        <f t="shared" si="4"/>
        <v>44469</v>
      </c>
      <c r="J11" s="15">
        <f t="shared" si="4"/>
        <v>44500</v>
      </c>
      <c r="K11" s="19">
        <f t="shared" si="4"/>
        <v>44530</v>
      </c>
      <c r="L11" s="19">
        <f t="shared" si="4"/>
        <v>44561</v>
      </c>
      <c r="M11" s="15">
        <f t="shared" si="4"/>
        <v>44592</v>
      </c>
      <c r="Z11" s="1"/>
      <c r="AA11" s="1"/>
      <c r="AB11" s="1"/>
      <c r="AC11" s="1"/>
      <c r="AD11" s="1"/>
      <c r="AE11" s="1"/>
      <c r="AF11" s="1"/>
      <c r="AG11" s="1"/>
      <c r="AH11" s="1"/>
      <c r="AI11" s="1"/>
    </row>
    <row r="12" spans="1:35" x14ac:dyDescent="0.35">
      <c r="A12" s="47" t="s">
        <v>5</v>
      </c>
      <c r="C12" s="196">
        <v>-824706.31</v>
      </c>
      <c r="D12" s="199"/>
      <c r="E12" s="110">
        <f t="shared" ref="E12:L12" si="5">SUM(E27:E30)</f>
        <v>318881.73</v>
      </c>
      <c r="F12" s="110">
        <f t="shared" si="5"/>
        <v>510869.11</v>
      </c>
      <c r="G12" s="111">
        <f t="shared" si="5"/>
        <v>643417.53</v>
      </c>
      <c r="H12" s="16">
        <f t="shared" si="5"/>
        <v>695848.99</v>
      </c>
      <c r="I12" s="56">
        <f t="shared" si="5"/>
        <v>628865.91</v>
      </c>
      <c r="J12" s="166">
        <f t="shared" si="5"/>
        <v>406653.17</v>
      </c>
      <c r="K12" s="159">
        <f t="shared" si="5"/>
        <v>386018.03</v>
      </c>
      <c r="L12" s="79">
        <f t="shared" si="5"/>
        <v>434681.61999999994</v>
      </c>
      <c r="M12" s="80"/>
    </row>
    <row r="13" spans="1:35" x14ac:dyDescent="0.35">
      <c r="C13" s="100"/>
      <c r="D13" s="200"/>
      <c r="E13" s="17"/>
      <c r="F13" s="17"/>
      <c r="G13" s="17"/>
      <c r="H13" s="10"/>
      <c r="I13" s="17"/>
      <c r="J13" s="11"/>
      <c r="K13" s="32"/>
      <c r="L13" s="32"/>
      <c r="M13" s="30"/>
    </row>
    <row r="14" spans="1:35" x14ac:dyDescent="0.35">
      <c r="A14" s="47" t="s">
        <v>62</v>
      </c>
      <c r="C14" s="100"/>
      <c r="D14" s="200"/>
      <c r="E14" s="18"/>
      <c r="F14" s="18"/>
      <c r="G14" s="18"/>
      <c r="H14" s="92"/>
      <c r="I14" s="18"/>
      <c r="J14" s="167"/>
      <c r="K14" s="32"/>
      <c r="L14" s="32"/>
      <c r="M14" s="30"/>
      <c r="N14" s="3" t="s">
        <v>68</v>
      </c>
      <c r="O14" s="40"/>
    </row>
    <row r="15" spans="1:35" x14ac:dyDescent="0.35">
      <c r="A15" s="47" t="s">
        <v>24</v>
      </c>
      <c r="C15" s="196">
        <v>-546124.19400000002</v>
      </c>
      <c r="D15" s="199">
        <v>0</v>
      </c>
      <c r="E15" s="135">
        <f>ROUND('[4]May 2021'!$F$82,2)</f>
        <v>220174.27</v>
      </c>
      <c r="F15" s="135">
        <f>ROUND('[4]Jun 2021'!$F$82,2)</f>
        <v>295816.68</v>
      </c>
      <c r="G15" s="135">
        <f>ROUND('[4]Jul 2021'!$F$82,2)</f>
        <v>392857.97</v>
      </c>
      <c r="H15" s="16">
        <f>ROUND('[4]Aug 2021'!$F$82,2)</f>
        <v>491406.12</v>
      </c>
      <c r="I15" s="122">
        <f>ROUND('[4]Sep 2021'!$F$82,2)</f>
        <v>487396.5</v>
      </c>
      <c r="J15" s="171">
        <f>ROUND('[4]Oct 2021'!$F$82,2)</f>
        <v>341076.36</v>
      </c>
      <c r="K15" s="124">
        <f>'PCR Cycle 2'!J26*'TDR Cycle 3'!$N15</f>
        <v>288185.93936999998</v>
      </c>
      <c r="L15" s="42">
        <f>'PCR Cycle 2'!K26*'TDR Cycle 3'!$N15</f>
        <v>399533.63225999998</v>
      </c>
      <c r="M15" s="62">
        <f>'PCR Cycle 2'!L26*'TDR Cycle 3'!$N15</f>
        <v>502382.12918999995</v>
      </c>
      <c r="N15" s="73">
        <v>1.2899999999999999E-3</v>
      </c>
      <c r="O15" s="4"/>
    </row>
    <row r="16" spans="1:35" x14ac:dyDescent="0.35">
      <c r="A16" s="47" t="s">
        <v>108</v>
      </c>
      <c r="C16" s="196">
        <v>-90247.64969999998</v>
      </c>
      <c r="D16" s="199">
        <v>0</v>
      </c>
      <c r="E16" s="135">
        <f>ROUND('[4]May 2021'!$F$83,2)</f>
        <v>42403.41</v>
      </c>
      <c r="F16" s="135">
        <f>ROUND('[4]Jun 2021'!$F$83,2)</f>
        <v>51368.36</v>
      </c>
      <c r="G16" s="135">
        <f>ROUND('[4]Jul 2021'!$F$83,2)</f>
        <v>59823.33</v>
      </c>
      <c r="H16" s="16">
        <f>ROUND('[4]Aug 2021'!$F$83,2)</f>
        <v>56776.54</v>
      </c>
      <c r="I16" s="122">
        <f>ROUND('[4]Sep 2021'!$F$83,2)</f>
        <v>57138.96</v>
      </c>
      <c r="J16" s="171">
        <f>ROUND('[4]Oct 2021'!$F$83,2)</f>
        <v>48721.06</v>
      </c>
      <c r="K16" s="124">
        <f>'PCR Cycle 2'!J27*'TDR Cycle 3'!$N16</f>
        <v>44038.675519999997</v>
      </c>
      <c r="L16" s="42">
        <f>'PCR Cycle 2'!K27*'TDR Cycle 3'!$N16</f>
        <v>45224.394670000001</v>
      </c>
      <c r="M16" s="62">
        <f>'PCR Cycle 2'!L27*'TDR Cycle 3'!$N16</f>
        <v>47035.238669999999</v>
      </c>
      <c r="N16" s="73">
        <v>4.8999999999999998E-4</v>
      </c>
      <c r="O16" s="4"/>
    </row>
    <row r="17" spans="1:15" x14ac:dyDescent="0.35">
      <c r="A17" s="47" t="s">
        <v>109</v>
      </c>
      <c r="C17" s="196">
        <v>-50931.35961</v>
      </c>
      <c r="D17" s="199">
        <v>0</v>
      </c>
      <c r="E17" s="135">
        <f>ROUND('[4]May 2021'!$F$84,2)</f>
        <v>23819.24</v>
      </c>
      <c r="F17" s="135">
        <f>ROUND('[4]Jun 2021'!$F$84,2)</f>
        <v>27598.09</v>
      </c>
      <c r="G17" s="135">
        <f>ROUND('[4]Jul 2021'!$F$84,2)</f>
        <v>30444.639999999999</v>
      </c>
      <c r="H17" s="16">
        <f>ROUND('[4]Aug 2021'!$F$84,2)</f>
        <v>46216.160000000003</v>
      </c>
      <c r="I17" s="122">
        <f>ROUND('[4]Sep 2021'!$F$84,2)</f>
        <v>49647.82</v>
      </c>
      <c r="J17" s="171">
        <f>ROUND('[4]Oct 2021'!$F$84,2)</f>
        <v>43365.78</v>
      </c>
      <c r="K17" s="124">
        <f>'PCR Cycle 2'!J28*'TDR Cycle 3'!$N17</f>
        <v>38488.264129999996</v>
      </c>
      <c r="L17" s="42">
        <f>'PCR Cycle 2'!K28*'TDR Cycle 3'!$N17</f>
        <v>39524.541769999996</v>
      </c>
      <c r="M17" s="62">
        <f>'PCR Cycle 2'!L28*'TDR Cycle 3'!$N17</f>
        <v>41107.155910000001</v>
      </c>
      <c r="N17" s="73">
        <v>4.2999999999999999E-4</v>
      </c>
      <c r="O17" s="4"/>
    </row>
    <row r="18" spans="1:15" x14ac:dyDescent="0.35">
      <c r="A18" s="47" t="s">
        <v>110</v>
      </c>
      <c r="C18" s="196">
        <v>-19025.395650000002</v>
      </c>
      <c r="D18" s="199">
        <v>0</v>
      </c>
      <c r="E18" s="135">
        <f>ROUND('[4]May 2021'!$F$85,2)</f>
        <v>11092.18</v>
      </c>
      <c r="F18" s="135">
        <f>ROUND('[4]Jun 2021'!$F$85,2)</f>
        <v>11764.31</v>
      </c>
      <c r="G18" s="135">
        <f>ROUND('[4]Jul 2021'!$F$85,2)</f>
        <v>12513.21</v>
      </c>
      <c r="H18" s="16">
        <f>ROUND('[4]Aug 2021'!$F$85,2)</f>
        <v>12170.88</v>
      </c>
      <c r="I18" s="122">
        <f>ROUND('[4]Sep 2021'!$F$85,2)</f>
        <v>14565.99</v>
      </c>
      <c r="J18" s="171">
        <f>ROUND('[4]Oct 2021'!$F$85,2)</f>
        <v>13124.32</v>
      </c>
      <c r="K18" s="124">
        <f>'PCR Cycle 2'!J29*'TDR Cycle 3'!$N18</f>
        <v>11999.642660000001</v>
      </c>
      <c r="L18" s="42">
        <f>'PCR Cycle 2'!K29*'TDR Cycle 3'!$N18</f>
        <v>12322.72702</v>
      </c>
      <c r="M18" s="62">
        <f>'PCR Cycle 2'!L29*'TDR Cycle 3'!$N18</f>
        <v>12816.145050000001</v>
      </c>
      <c r="N18" s="73">
        <v>1.9000000000000001E-4</v>
      </c>
      <c r="O18" s="4"/>
    </row>
    <row r="19" spans="1:15" x14ac:dyDescent="0.35">
      <c r="C19" s="68"/>
      <c r="D19" s="201"/>
      <c r="E19" s="69"/>
      <c r="F19" s="69"/>
      <c r="G19" s="69"/>
      <c r="H19" s="68"/>
      <c r="I19" s="69"/>
      <c r="J19" s="169"/>
      <c r="K19" s="57"/>
      <c r="L19" s="57"/>
      <c r="M19" s="13"/>
      <c r="O19" s="4"/>
    </row>
    <row r="20" spans="1:15" x14ac:dyDescent="0.35">
      <c r="A20" s="40" t="s">
        <v>66</v>
      </c>
      <c r="B20" s="40"/>
      <c r="C20" s="68"/>
      <c r="D20" s="201"/>
      <c r="E20" s="57"/>
      <c r="F20" s="57"/>
      <c r="G20" s="57"/>
      <c r="H20" s="12"/>
      <c r="I20" s="57"/>
      <c r="J20" s="170"/>
      <c r="K20" s="57"/>
      <c r="L20" s="57"/>
      <c r="M20" s="13"/>
      <c r="N20" s="7"/>
    </row>
    <row r="21" spans="1:15" x14ac:dyDescent="0.35">
      <c r="A21" s="47" t="s">
        <v>24</v>
      </c>
      <c r="C21" s="197"/>
      <c r="D21" s="202"/>
      <c r="E21" s="112">
        <f>+'[12]Monthly TD Calc'!U$460</f>
        <v>5130519.2597398022</v>
      </c>
      <c r="F21" s="112">
        <f>+'[12]Monthly TD Calc'!V$460</f>
        <v>5104345.3737871926</v>
      </c>
      <c r="G21" s="126">
        <f>+'[12]Monthly TD Calc'!W$460</f>
        <v>6449855.2234592149</v>
      </c>
      <c r="H21" s="75">
        <f>+'[12]Monthly TD Calc'!X$460</f>
        <v>6927699.357277967</v>
      </c>
      <c r="I21" s="76">
        <f>+'[12]Monthly TD Calc'!Y$460</f>
        <v>6255864.6355466619</v>
      </c>
      <c r="J21" s="171">
        <f>+'[12]Monthly TD Calc'!Z$460</f>
        <v>6640270.6415015422</v>
      </c>
      <c r="K21" s="160">
        <f>+'[2]Monthly TD Calc'!AA461</f>
        <v>6050282.7732116552</v>
      </c>
      <c r="L21" s="143">
        <f>+'[2]Monthly TD Calc'!AB461</f>
        <v>7505593.8632202586</v>
      </c>
      <c r="M21" s="81"/>
      <c r="N21" s="60">
        <f>SUM(C21:L21)</f>
        <v>50064431.127744302</v>
      </c>
    </row>
    <row r="22" spans="1:15" x14ac:dyDescent="0.35">
      <c r="A22" s="47" t="s">
        <v>108</v>
      </c>
      <c r="C22" s="197">
        <v>-1484929.1683997381</v>
      </c>
      <c r="D22" s="202"/>
      <c r="E22" s="112">
        <f>+'[12]Monthly TD Calc'!U$461</f>
        <v>714699.77902094228</v>
      </c>
      <c r="F22" s="112">
        <f>+'[12]Monthly TD Calc'!V$461</f>
        <v>706432.81682545121</v>
      </c>
      <c r="G22" s="126">
        <f>+'[12]Monthly TD Calc'!W$461</f>
        <v>772460.97647978913</v>
      </c>
      <c r="H22" s="75">
        <f>+'[12]Monthly TD Calc'!X$461</f>
        <v>831543.72373137367</v>
      </c>
      <c r="I22" s="76">
        <f>+'[12]Monthly TD Calc'!Y$461</f>
        <v>791264.56190521515</v>
      </c>
      <c r="J22" s="171">
        <f>+'[12]Monthly TD Calc'!Z$461</f>
        <v>883679.47133778059</v>
      </c>
      <c r="K22" s="160">
        <f>+'[2]Monthly TD Calc'!AA462</f>
        <v>923931.09326427255</v>
      </c>
      <c r="L22" s="143">
        <f>+'[2]Monthly TD Calc'!AB462</f>
        <v>1052186.7654856148</v>
      </c>
      <c r="M22" s="81"/>
      <c r="N22" s="60">
        <f t="shared" ref="N22:N24" si="6">SUM(C22:L22)</f>
        <v>5191270.0196507005</v>
      </c>
    </row>
    <row r="23" spans="1:15" x14ac:dyDescent="0.35">
      <c r="A23" s="47" t="s">
        <v>109</v>
      </c>
      <c r="C23" s="197">
        <v>-1632017.0577240759</v>
      </c>
      <c r="D23" s="202"/>
      <c r="E23" s="112">
        <f>+'[12]Monthly TD Calc'!U$463</f>
        <v>752865.67450834368</v>
      </c>
      <c r="F23" s="112">
        <f>+'[12]Monthly TD Calc'!V$463</f>
        <v>819775.770358457</v>
      </c>
      <c r="G23" s="126">
        <f>+'[12]Monthly TD Calc'!W$463</f>
        <v>1024827.603648814</v>
      </c>
      <c r="H23" s="75">
        <f>+'[12]Monthly TD Calc'!X$463</f>
        <v>1163084.0266808462</v>
      </c>
      <c r="I23" s="76">
        <f>+'[12]Monthly TD Calc'!Y$463</f>
        <v>1208312.8617681235</v>
      </c>
      <c r="J23" s="171">
        <f>+'[12]Monthly TD Calc'!Z$463</f>
        <v>1421435.224553542</v>
      </c>
      <c r="K23" s="160">
        <f>+'[2]Monthly TD Calc'!AA464</f>
        <v>1465815.4262001989</v>
      </c>
      <c r="L23" s="143">
        <f>+'[2]Monthly TD Calc'!AB464</f>
        <v>1663139.9673840371</v>
      </c>
      <c r="M23" s="81"/>
      <c r="N23" s="60">
        <f t="shared" si="6"/>
        <v>7887239.497378286</v>
      </c>
    </row>
    <row r="24" spans="1:15" x14ac:dyDescent="0.35">
      <c r="A24" s="47" t="s">
        <v>110</v>
      </c>
      <c r="C24" s="197">
        <v>-1192259.1793811591</v>
      </c>
      <c r="D24" s="202"/>
      <c r="E24" s="112">
        <f>+'[12]Monthly TD Calc'!U$464</f>
        <v>578191.54920025263</v>
      </c>
      <c r="F24" s="112">
        <f>+'[12]Monthly TD Calc'!V$464</f>
        <v>596809.34536830254</v>
      </c>
      <c r="G24" s="126">
        <f>+'[12]Monthly TD Calc'!W$464</f>
        <v>620117.16768313153</v>
      </c>
      <c r="H24" s="75">
        <f>+'[12]Monthly TD Calc'!X$464</f>
        <v>654975.41987988167</v>
      </c>
      <c r="I24" s="76">
        <f>+'[12]Monthly TD Calc'!Y$464</f>
        <v>634196.01664871292</v>
      </c>
      <c r="J24" s="171">
        <f>+'[12]Monthly TD Calc'!Z$464</f>
        <v>683475.51351457241</v>
      </c>
      <c r="K24" s="160">
        <f>+'[2]Monthly TD Calc'!AA465</f>
        <v>726047.4259070257</v>
      </c>
      <c r="L24" s="143">
        <f>+'[2]Monthly TD Calc'!AB465</f>
        <v>875013.18346664426</v>
      </c>
      <c r="M24" s="81"/>
      <c r="N24" s="60">
        <f t="shared" si="6"/>
        <v>4176566.442287364</v>
      </c>
    </row>
    <row r="25" spans="1:15" x14ac:dyDescent="0.35">
      <c r="C25" s="68"/>
      <c r="D25" s="201"/>
      <c r="E25" s="69"/>
      <c r="F25" s="69"/>
      <c r="G25" s="69"/>
      <c r="H25" s="68"/>
      <c r="I25" s="69"/>
      <c r="J25" s="169"/>
      <c r="K25" s="57"/>
      <c r="L25" s="57"/>
      <c r="M25" s="13"/>
    </row>
    <row r="26" spans="1:15" x14ac:dyDescent="0.35">
      <c r="A26" s="47" t="s">
        <v>69</v>
      </c>
      <c r="C26" s="37"/>
      <c r="D26" s="203"/>
      <c r="E26" s="38"/>
      <c r="F26" s="38"/>
      <c r="G26" s="38"/>
      <c r="H26" s="37"/>
      <c r="I26" s="38"/>
      <c r="J26" s="172"/>
      <c r="K26" s="53"/>
      <c r="L26" s="53"/>
      <c r="M26" s="39"/>
    </row>
    <row r="27" spans="1:15" x14ac:dyDescent="0.35">
      <c r="A27" s="47" t="s">
        <v>24</v>
      </c>
      <c r="C27" s="196">
        <v>-665102.4</v>
      </c>
      <c r="D27" s="199"/>
      <c r="E27" s="110">
        <f>ROUND('[12]Monthly TD Calc'!U$562,2)</f>
        <v>256054.86</v>
      </c>
      <c r="F27" s="110">
        <f>ROUND('[12]Monthly TD Calc'!V$562,2)</f>
        <v>420491.17</v>
      </c>
      <c r="G27" s="111">
        <f>ROUND('[12]Monthly TD Calc'!W$562,2)</f>
        <v>542735.53</v>
      </c>
      <c r="H27" s="16">
        <f>ROUND('[12]Monthly TD Calc'!X$562,2)</f>
        <v>584928.46</v>
      </c>
      <c r="I27" s="56">
        <f>ROUND('[12]Monthly TD Calc'!Y$562,2)</f>
        <v>518401.73</v>
      </c>
      <c r="J27" s="256">
        <f>ROUND('[12]Monthly TD Calc'!Z$562,2)</f>
        <v>316805.09999999998</v>
      </c>
      <c r="K27" s="161">
        <f>ROUND('[2]Monthly TD Calc'!AA563,2)</f>
        <v>291084.90000000002</v>
      </c>
      <c r="L27" s="142">
        <f>ROUND('[2]Monthly TD Calc'!AB563,2)</f>
        <v>333020.71999999997</v>
      </c>
      <c r="M27" s="80"/>
    </row>
    <row r="28" spans="1:15" x14ac:dyDescent="0.35">
      <c r="A28" s="47" t="s">
        <v>108</v>
      </c>
      <c r="C28" s="196">
        <v>-86961.01999999999</v>
      </c>
      <c r="D28" s="199"/>
      <c r="E28" s="110">
        <f>ROUND('[12]Monthly TD Calc'!U$563,2)</f>
        <v>32395.56</v>
      </c>
      <c r="F28" s="110">
        <f>ROUND('[12]Monthly TD Calc'!V$563,2)</f>
        <v>50595.06</v>
      </c>
      <c r="G28" s="111">
        <f>ROUND('[12]Monthly TD Calc'!W$563,2)</f>
        <v>54396.05</v>
      </c>
      <c r="H28" s="16">
        <f>ROUND('[12]Monthly TD Calc'!X$563,2)</f>
        <v>58731.09</v>
      </c>
      <c r="I28" s="56">
        <f>ROUND('[12]Monthly TD Calc'!Y$563,2)</f>
        <v>56192.53</v>
      </c>
      <c r="J28" s="256">
        <f>ROUND('[12]Monthly TD Calc'!Z$563,2)</f>
        <v>39728.82</v>
      </c>
      <c r="K28" s="161">
        <f>ROUND('[2]Monthly TD Calc'!AA564,2)</f>
        <v>41774.67</v>
      </c>
      <c r="L28" s="142">
        <f>ROUND('[2]Monthly TD Calc'!AB564,2)</f>
        <v>42948.92</v>
      </c>
      <c r="M28" s="80"/>
    </row>
    <row r="29" spans="1:15" x14ac:dyDescent="0.35">
      <c r="A29" s="47" t="s">
        <v>109</v>
      </c>
      <c r="C29" s="196">
        <v>-55277.979999999996</v>
      </c>
      <c r="D29" s="199"/>
      <c r="E29" s="110">
        <f>ROUND('[12]Monthly TD Calc'!U$565,2)</f>
        <v>23104.29</v>
      </c>
      <c r="F29" s="110">
        <f>ROUND('[12]Monthly TD Calc'!V$565,2)</f>
        <v>30159.58</v>
      </c>
      <c r="G29" s="111">
        <f>ROUND('[12]Monthly TD Calc'!W$565,2)</f>
        <v>36241.74</v>
      </c>
      <c r="H29" s="16">
        <f>ROUND('[12]Monthly TD Calc'!X$565,2)</f>
        <v>41551.550000000003</v>
      </c>
      <c r="I29" s="56">
        <f>ROUND('[12]Monthly TD Calc'!Y$565,2)</f>
        <v>43631.16</v>
      </c>
      <c r="J29" s="256">
        <f>ROUND('[12]Monthly TD Calc'!Z$565,2)</f>
        <v>41586.76</v>
      </c>
      <c r="K29" s="161">
        <f>ROUND('[2]Monthly TD Calc'!AA566,2)</f>
        <v>44033.27</v>
      </c>
      <c r="L29" s="142">
        <f>ROUND('[2]Monthly TD Calc'!AB566,2)</f>
        <v>47429.74</v>
      </c>
      <c r="M29" s="80"/>
    </row>
    <row r="30" spans="1:15" x14ac:dyDescent="0.35">
      <c r="A30" s="47" t="s">
        <v>110</v>
      </c>
      <c r="C30" s="196">
        <v>-17364.91</v>
      </c>
      <c r="D30" s="199"/>
      <c r="E30" s="110">
        <f>ROUND('[12]Monthly TD Calc'!U$566,2)</f>
        <v>7327.02</v>
      </c>
      <c r="F30" s="110">
        <f>ROUND('[12]Monthly TD Calc'!V$566,2)</f>
        <v>9623.2999999999993</v>
      </c>
      <c r="G30" s="111">
        <f>ROUND('[12]Monthly TD Calc'!W$566,2)</f>
        <v>10044.209999999999</v>
      </c>
      <c r="H30" s="16">
        <f>ROUND('[12]Monthly TD Calc'!X$566,2)</f>
        <v>10637.89</v>
      </c>
      <c r="I30" s="56">
        <f>ROUND('[12]Monthly TD Calc'!Y$566,2)</f>
        <v>10640.49</v>
      </c>
      <c r="J30" s="256">
        <f>ROUND('[12]Monthly TD Calc'!Z$566,2)</f>
        <v>8532.49</v>
      </c>
      <c r="K30" s="161">
        <f>ROUND('[2]Monthly TD Calc'!AA567,2)</f>
        <v>9125.19</v>
      </c>
      <c r="L30" s="142">
        <f>ROUND('[2]Monthly TD Calc'!AB567,2)</f>
        <v>11282.24</v>
      </c>
      <c r="M30" s="80"/>
      <c r="O30" s="48"/>
    </row>
    <row r="31" spans="1:15" x14ac:dyDescent="0.35">
      <c r="C31" s="100"/>
      <c r="D31" s="200"/>
      <c r="E31" s="18"/>
      <c r="F31" s="18"/>
      <c r="G31" s="18"/>
      <c r="H31" s="92"/>
      <c r="I31" s="18"/>
      <c r="J31" s="167"/>
      <c r="K31" s="57"/>
      <c r="L31" s="57"/>
      <c r="M31" s="13"/>
    </row>
    <row r="32" spans="1:15" ht="15" thickBot="1" x14ac:dyDescent="0.4">
      <c r="A32" s="3" t="s">
        <v>15</v>
      </c>
      <c r="B32" s="3"/>
      <c r="C32" s="198">
        <v>757.81999999999994</v>
      </c>
      <c r="D32" s="204">
        <v>0.14999999999999947</v>
      </c>
      <c r="E32" s="135">
        <v>-555.84</v>
      </c>
      <c r="F32" s="135">
        <v>-471.16</v>
      </c>
      <c r="G32" s="136">
        <v>-321.83000000000004</v>
      </c>
      <c r="H32" s="27">
        <v>-188.98999999999998</v>
      </c>
      <c r="I32" s="123">
        <v>-127.55999999999997</v>
      </c>
      <c r="J32" s="173">
        <v>-138.63000000000002</v>
      </c>
      <c r="K32" s="162">
        <v>-158.98000000000002</v>
      </c>
      <c r="L32" s="144">
        <v>-191.77</v>
      </c>
      <c r="M32" s="83"/>
    </row>
    <row r="33" spans="1:13" x14ac:dyDescent="0.35">
      <c r="C33" s="65"/>
      <c r="D33" s="207"/>
      <c r="E33" s="67"/>
      <c r="F33" s="67"/>
      <c r="G33" s="34"/>
      <c r="H33" s="65"/>
      <c r="I33" s="34"/>
      <c r="J33" s="174"/>
      <c r="K33" s="35"/>
      <c r="L33" s="35"/>
      <c r="M33" s="61"/>
    </row>
    <row r="34" spans="1:13" x14ac:dyDescent="0.35">
      <c r="A34" s="47" t="s">
        <v>52</v>
      </c>
      <c r="C34" s="66"/>
      <c r="D34" s="208"/>
      <c r="E34" s="36"/>
      <c r="F34" s="36"/>
      <c r="G34" s="36"/>
      <c r="H34" s="66"/>
      <c r="I34" s="36"/>
      <c r="J34" s="175"/>
      <c r="K34" s="35"/>
      <c r="L34" s="35"/>
      <c r="M34" s="61"/>
    </row>
    <row r="35" spans="1:13" x14ac:dyDescent="0.35">
      <c r="A35" s="47" t="s">
        <v>24</v>
      </c>
      <c r="C35" s="205">
        <f t="shared" ref="C35:M35" si="7">C27-C15</f>
        <v>-118978.20600000001</v>
      </c>
      <c r="D35" s="209">
        <f t="shared" si="7"/>
        <v>0</v>
      </c>
      <c r="E35" s="42">
        <f t="shared" si="7"/>
        <v>35880.589999999997</v>
      </c>
      <c r="F35" s="42">
        <f t="shared" si="7"/>
        <v>124674.48999999999</v>
      </c>
      <c r="G35" s="109">
        <f t="shared" si="7"/>
        <v>149877.56000000006</v>
      </c>
      <c r="H35" s="41">
        <f t="shared" si="7"/>
        <v>93522.339999999967</v>
      </c>
      <c r="I35" s="42">
        <f t="shared" si="7"/>
        <v>31005.229999999981</v>
      </c>
      <c r="J35" s="62">
        <f t="shared" si="7"/>
        <v>-24271.260000000009</v>
      </c>
      <c r="K35" s="124">
        <f t="shared" si="7"/>
        <v>2898.9606300000451</v>
      </c>
      <c r="L35" s="42">
        <f t="shared" si="7"/>
        <v>-66512.912260000012</v>
      </c>
      <c r="M35" s="62">
        <f t="shared" si="7"/>
        <v>-502382.12918999995</v>
      </c>
    </row>
    <row r="36" spans="1:13" x14ac:dyDescent="0.35">
      <c r="A36" s="47" t="s">
        <v>108</v>
      </c>
      <c r="C36" s="205">
        <f t="shared" ref="C36:M36" si="8">C28-C16</f>
        <v>3286.6296999999904</v>
      </c>
      <c r="D36" s="209">
        <f t="shared" si="8"/>
        <v>0</v>
      </c>
      <c r="E36" s="42">
        <f t="shared" si="8"/>
        <v>-10007.850000000002</v>
      </c>
      <c r="F36" s="42">
        <f t="shared" si="8"/>
        <v>-773.30000000000291</v>
      </c>
      <c r="G36" s="109">
        <f t="shared" si="8"/>
        <v>-5427.2799999999988</v>
      </c>
      <c r="H36" s="41">
        <f t="shared" si="8"/>
        <v>1954.5499999999956</v>
      </c>
      <c r="I36" s="42">
        <f t="shared" si="8"/>
        <v>-946.43000000000029</v>
      </c>
      <c r="J36" s="62">
        <f t="shared" si="8"/>
        <v>-8992.239999999998</v>
      </c>
      <c r="K36" s="124">
        <f t="shared" si="8"/>
        <v>-2264.0055199999988</v>
      </c>
      <c r="L36" s="42">
        <f t="shared" si="8"/>
        <v>-2275.4746700000032</v>
      </c>
      <c r="M36" s="62">
        <f t="shared" si="8"/>
        <v>-47035.238669999999</v>
      </c>
    </row>
    <row r="37" spans="1:13" x14ac:dyDescent="0.35">
      <c r="A37" s="47" t="s">
        <v>109</v>
      </c>
      <c r="C37" s="205">
        <f t="shared" ref="C37:M37" si="9">C29-C17</f>
        <v>-4346.6203899999964</v>
      </c>
      <c r="D37" s="209">
        <f t="shared" si="9"/>
        <v>0</v>
      </c>
      <c r="E37" s="42">
        <f t="shared" si="9"/>
        <v>-714.95000000000073</v>
      </c>
      <c r="F37" s="42">
        <f t="shared" si="9"/>
        <v>2561.4900000000016</v>
      </c>
      <c r="G37" s="109">
        <f t="shared" si="9"/>
        <v>5797.0999999999985</v>
      </c>
      <c r="H37" s="41">
        <f t="shared" si="9"/>
        <v>-4664.6100000000006</v>
      </c>
      <c r="I37" s="42">
        <f t="shared" si="9"/>
        <v>-6016.6599999999962</v>
      </c>
      <c r="J37" s="62">
        <f t="shared" si="9"/>
        <v>-1779.0199999999968</v>
      </c>
      <c r="K37" s="124">
        <f t="shared" si="9"/>
        <v>5545.0058700000009</v>
      </c>
      <c r="L37" s="42">
        <f t="shared" si="9"/>
        <v>7905.1982300000018</v>
      </c>
      <c r="M37" s="62">
        <f t="shared" si="9"/>
        <v>-41107.155910000001</v>
      </c>
    </row>
    <row r="38" spans="1:13" x14ac:dyDescent="0.35">
      <c r="A38" s="47" t="s">
        <v>110</v>
      </c>
      <c r="C38" s="205">
        <f t="shared" ref="C38:M38" si="10">C30-C18</f>
        <v>1660.4856500000024</v>
      </c>
      <c r="D38" s="209">
        <f t="shared" si="10"/>
        <v>0</v>
      </c>
      <c r="E38" s="42">
        <f t="shared" si="10"/>
        <v>-3765.16</v>
      </c>
      <c r="F38" s="42">
        <f t="shared" si="10"/>
        <v>-2141.0100000000002</v>
      </c>
      <c r="G38" s="109">
        <f t="shared" si="10"/>
        <v>-2469</v>
      </c>
      <c r="H38" s="41">
        <f t="shared" si="10"/>
        <v>-1532.9899999999998</v>
      </c>
      <c r="I38" s="42">
        <f t="shared" si="10"/>
        <v>-3925.5</v>
      </c>
      <c r="J38" s="62">
        <f t="shared" si="10"/>
        <v>-4591.83</v>
      </c>
      <c r="K38" s="124">
        <f t="shared" si="10"/>
        <v>-2874.4526600000008</v>
      </c>
      <c r="L38" s="42">
        <f t="shared" si="10"/>
        <v>-1040.4870200000005</v>
      </c>
      <c r="M38" s="62">
        <f t="shared" si="10"/>
        <v>-12816.145050000001</v>
      </c>
    </row>
    <row r="39" spans="1:13" x14ac:dyDescent="0.35">
      <c r="C39" s="100"/>
      <c r="D39" s="200"/>
      <c r="E39" s="17"/>
      <c r="F39" s="17"/>
      <c r="G39" s="17"/>
      <c r="H39" s="10"/>
      <c r="I39" s="17"/>
      <c r="J39" s="11"/>
      <c r="K39" s="17"/>
      <c r="L39" s="17"/>
      <c r="M39" s="11"/>
    </row>
    <row r="40" spans="1:13" ht="15" thickBot="1" x14ac:dyDescent="0.4">
      <c r="A40" s="47" t="s">
        <v>53</v>
      </c>
      <c r="C40" s="100"/>
      <c r="D40" s="200"/>
      <c r="E40" s="17"/>
      <c r="F40" s="17"/>
      <c r="G40" s="17"/>
      <c r="H40" s="10"/>
      <c r="I40" s="17"/>
      <c r="J40" s="11"/>
      <c r="K40" s="17"/>
      <c r="L40" s="17"/>
      <c r="M40" s="11"/>
    </row>
    <row r="41" spans="1:13" x14ac:dyDescent="0.35">
      <c r="A41" s="47" t="s">
        <v>24</v>
      </c>
      <c r="B41" s="117">
        <v>-147520.69400000005</v>
      </c>
      <c r="C41" s="205">
        <f t="shared" ref="C41:M41" si="11">+B41+C35+B48</f>
        <v>-266498.90000000002</v>
      </c>
      <c r="D41" s="209">
        <f t="shared" si="11"/>
        <v>-266233.07</v>
      </c>
      <c r="E41" s="42">
        <f t="shared" si="11"/>
        <v>-230352.48</v>
      </c>
      <c r="F41" s="42">
        <f t="shared" si="11"/>
        <v>-105956.60000000002</v>
      </c>
      <c r="G41" s="109">
        <f t="shared" si="11"/>
        <v>43733.530000000035</v>
      </c>
      <c r="H41" s="41">
        <f t="shared" si="11"/>
        <v>137220.94</v>
      </c>
      <c r="I41" s="42">
        <f t="shared" si="11"/>
        <v>168327.16999999998</v>
      </c>
      <c r="J41" s="62">
        <f t="shared" si="11"/>
        <v>144225.76999999996</v>
      </c>
      <c r="K41" s="124">
        <f t="shared" si="11"/>
        <v>147298.64063000001</v>
      </c>
      <c r="L41" s="42">
        <f t="shared" si="11"/>
        <v>80947.948369999998</v>
      </c>
      <c r="M41" s="62">
        <f t="shared" si="11"/>
        <v>-421307.16081999993</v>
      </c>
    </row>
    <row r="42" spans="1:13" x14ac:dyDescent="0.35">
      <c r="A42" s="47" t="s">
        <v>108</v>
      </c>
      <c r="B42" s="248">
        <v>-154825.82969999997</v>
      </c>
      <c r="C42" s="205">
        <f t="shared" ref="C42:M42" si="12">+B42+C36+B49</f>
        <v>-151539.19999999998</v>
      </c>
      <c r="D42" s="209">
        <f t="shared" si="12"/>
        <v>-151219.9</v>
      </c>
      <c r="E42" s="42">
        <f t="shared" si="12"/>
        <v>-161227.75</v>
      </c>
      <c r="F42" s="42">
        <f t="shared" si="12"/>
        <v>-162176.34999999998</v>
      </c>
      <c r="G42" s="109">
        <f t="shared" si="12"/>
        <v>-167783.81999999998</v>
      </c>
      <c r="H42" s="41">
        <f t="shared" si="12"/>
        <v>-166014.06999999998</v>
      </c>
      <c r="I42" s="42">
        <f t="shared" si="12"/>
        <v>-167146.94999999998</v>
      </c>
      <c r="J42" s="62">
        <f t="shared" si="12"/>
        <v>-176324.44999999998</v>
      </c>
      <c r="K42" s="124">
        <f t="shared" si="12"/>
        <v>-178779.56551999997</v>
      </c>
      <c r="L42" s="42">
        <f t="shared" si="12"/>
        <v>-181252.62018999996</v>
      </c>
      <c r="M42" s="62">
        <f t="shared" si="12"/>
        <v>-228488.18885999994</v>
      </c>
    </row>
    <row r="43" spans="1:13" x14ac:dyDescent="0.35">
      <c r="A43" s="47" t="s">
        <v>109</v>
      </c>
      <c r="B43" s="248">
        <v>-57024.659609999988</v>
      </c>
      <c r="C43" s="205">
        <f t="shared" ref="C43:M43" si="13">+B43+C37+B50</f>
        <v>-61371.279999999984</v>
      </c>
      <c r="D43" s="209">
        <f t="shared" si="13"/>
        <v>-61255.719999999987</v>
      </c>
      <c r="E43" s="42">
        <f t="shared" si="13"/>
        <v>-61970.669999999984</v>
      </c>
      <c r="F43" s="42">
        <f t="shared" si="13"/>
        <v>-59478.319999999978</v>
      </c>
      <c r="G43" s="109">
        <f t="shared" si="13"/>
        <v>-53748.889999999978</v>
      </c>
      <c r="H43" s="41">
        <f t="shared" si="13"/>
        <v>-58476.919999999976</v>
      </c>
      <c r="I43" s="42">
        <f t="shared" si="13"/>
        <v>-64556.269999999975</v>
      </c>
      <c r="J43" s="62">
        <f t="shared" si="13"/>
        <v>-66403.699999999983</v>
      </c>
      <c r="K43" s="124">
        <f t="shared" si="13"/>
        <v>-60931.564129999984</v>
      </c>
      <c r="L43" s="42">
        <f t="shared" si="13"/>
        <v>-53097.215899999981</v>
      </c>
      <c r="M43" s="62">
        <f t="shared" si="13"/>
        <v>-94267.821809999979</v>
      </c>
    </row>
    <row r="44" spans="1:13" ht="15" thickBot="1" x14ac:dyDescent="0.4">
      <c r="A44" s="47" t="s">
        <v>110</v>
      </c>
      <c r="B44" s="118">
        <v>-29059.38565</v>
      </c>
      <c r="C44" s="205">
        <f t="shared" ref="C44:M44" si="14">+B44+C38+B51</f>
        <v>-27398.899999999998</v>
      </c>
      <c r="D44" s="209">
        <f t="shared" si="14"/>
        <v>-27341.769999999997</v>
      </c>
      <c r="E44" s="42">
        <f t="shared" si="14"/>
        <v>-31106.929999999997</v>
      </c>
      <c r="F44" s="42">
        <f t="shared" si="14"/>
        <v>-33280.729999999996</v>
      </c>
      <c r="G44" s="109">
        <f t="shared" si="14"/>
        <v>-35785.599999999999</v>
      </c>
      <c r="H44" s="41">
        <f t="shared" si="14"/>
        <v>-37357.269999999997</v>
      </c>
      <c r="I44" s="42">
        <f t="shared" si="14"/>
        <v>-41323.619999999995</v>
      </c>
      <c r="J44" s="62">
        <f t="shared" si="14"/>
        <v>-45959.199999999997</v>
      </c>
      <c r="K44" s="124">
        <f t="shared" si="14"/>
        <v>-48882.212659999997</v>
      </c>
      <c r="L44" s="42">
        <f t="shared" si="14"/>
        <v>-49975.469679999995</v>
      </c>
      <c r="M44" s="62">
        <f t="shared" si="14"/>
        <v>-62846.624729999996</v>
      </c>
    </row>
    <row r="45" spans="1:13" x14ac:dyDescent="0.35">
      <c r="C45" s="100"/>
      <c r="D45" s="200"/>
      <c r="E45" s="17"/>
      <c r="F45" s="17"/>
      <c r="G45" s="17"/>
      <c r="H45" s="10"/>
      <c r="I45" s="17"/>
      <c r="J45" s="11"/>
      <c r="K45" s="17"/>
      <c r="L45" s="17"/>
      <c r="M45" s="11"/>
    </row>
    <row r="46" spans="1:13" x14ac:dyDescent="0.35">
      <c r="A46" s="40" t="s">
        <v>124</v>
      </c>
      <c r="B46" s="40"/>
      <c r="C46" s="105"/>
      <c r="D46" s="210"/>
      <c r="E46" s="84">
        <f>+'PCR Cycle 2'!D47</f>
        <v>1.1220900000000001E-3</v>
      </c>
      <c r="F46" s="84">
        <f>+'PCR Cycle 2'!E47</f>
        <v>1.1137199999999999E-3</v>
      </c>
      <c r="G46" s="84">
        <f>+'PCR Cycle 2'!F47</f>
        <v>1.11951E-3</v>
      </c>
      <c r="H46" s="85">
        <f>+'PCR Cycle 2'!G47</f>
        <v>1.11651E-3</v>
      </c>
      <c r="I46" s="84">
        <f>+'PCR Cycle 2'!H47</f>
        <v>1.1114899999999999E-3</v>
      </c>
      <c r="J46" s="93">
        <f>+'PCR Cycle 2'!I47</f>
        <v>1.1122199999999999E-3</v>
      </c>
      <c r="K46" s="84">
        <f>+'PCR Cycle 2'!J47</f>
        <v>1.1122199999999999E-3</v>
      </c>
      <c r="L46" s="84">
        <f>+'PCR Cycle 2'!K47</f>
        <v>1.1122199999999999E-3</v>
      </c>
      <c r="M46" s="86"/>
    </row>
    <row r="47" spans="1:13" x14ac:dyDescent="0.35">
      <c r="A47" s="40" t="s">
        <v>37</v>
      </c>
      <c r="B47" s="40"/>
      <c r="C47" s="107"/>
      <c r="D47" s="211"/>
      <c r="E47" s="84"/>
      <c r="F47" s="84"/>
      <c r="G47" s="84"/>
      <c r="H47" s="85"/>
      <c r="I47" s="84"/>
      <c r="J47" s="86"/>
      <c r="K47" s="84"/>
      <c r="L47" s="84"/>
      <c r="M47" s="86"/>
    </row>
    <row r="48" spans="1:13" x14ac:dyDescent="0.35">
      <c r="A48" s="47" t="s">
        <v>24</v>
      </c>
      <c r="C48" s="205">
        <v>265.83000000000004</v>
      </c>
      <c r="D48" s="209"/>
      <c r="E48" s="42">
        <f t="shared" ref="E48:M48" si="15">ROUND((D41+D48+E35/2)*E$46,2)</f>
        <v>-278.61</v>
      </c>
      <c r="F48" s="42">
        <f t="shared" si="15"/>
        <v>-187.43</v>
      </c>
      <c r="G48" s="109">
        <f t="shared" si="15"/>
        <v>-34.93</v>
      </c>
      <c r="H48" s="41">
        <f t="shared" si="15"/>
        <v>101</v>
      </c>
      <c r="I48" s="124">
        <f t="shared" si="15"/>
        <v>169.86</v>
      </c>
      <c r="J48" s="62">
        <f t="shared" si="15"/>
        <v>173.91</v>
      </c>
      <c r="K48" s="163">
        <f t="shared" si="15"/>
        <v>162.22</v>
      </c>
      <c r="L48" s="109">
        <f t="shared" si="15"/>
        <v>127.02</v>
      </c>
      <c r="M48" s="62">
        <f t="shared" si="15"/>
        <v>0</v>
      </c>
    </row>
    <row r="49" spans="1:13" x14ac:dyDescent="0.35">
      <c r="A49" s="47" t="s">
        <v>108</v>
      </c>
      <c r="C49" s="205">
        <v>319.3</v>
      </c>
      <c r="D49" s="209"/>
      <c r="E49" s="42">
        <f t="shared" ref="E49:L49" si="16">ROUND((D42+D49+E36/2)*E$46,2)</f>
        <v>-175.3</v>
      </c>
      <c r="F49" s="42">
        <f t="shared" si="16"/>
        <v>-180.19</v>
      </c>
      <c r="G49" s="109">
        <f t="shared" si="16"/>
        <v>-184.8</v>
      </c>
      <c r="H49" s="41">
        <f t="shared" si="16"/>
        <v>-186.45</v>
      </c>
      <c r="I49" s="124">
        <f t="shared" si="16"/>
        <v>-185.26</v>
      </c>
      <c r="J49" s="62">
        <f t="shared" si="16"/>
        <v>-191.11</v>
      </c>
      <c r="K49" s="163">
        <f t="shared" si="16"/>
        <v>-197.58</v>
      </c>
      <c r="L49" s="109">
        <f t="shared" si="16"/>
        <v>-200.33</v>
      </c>
      <c r="M49" s="62"/>
    </row>
    <row r="50" spans="1:13" x14ac:dyDescent="0.35">
      <c r="A50" s="47" t="s">
        <v>109</v>
      </c>
      <c r="C50" s="205">
        <v>115.56</v>
      </c>
      <c r="D50" s="209"/>
      <c r="E50" s="42">
        <f t="shared" ref="E50:L50" si="17">ROUND((D43+D50+E37/2)*E$46,2)</f>
        <v>-69.14</v>
      </c>
      <c r="F50" s="42">
        <f t="shared" si="17"/>
        <v>-67.67</v>
      </c>
      <c r="G50" s="109">
        <f t="shared" si="17"/>
        <v>-63.42</v>
      </c>
      <c r="H50" s="41">
        <f t="shared" si="17"/>
        <v>-62.69</v>
      </c>
      <c r="I50" s="124">
        <f t="shared" si="17"/>
        <v>-68.41</v>
      </c>
      <c r="J50" s="62">
        <f t="shared" si="17"/>
        <v>-72.87</v>
      </c>
      <c r="K50" s="163">
        <f t="shared" si="17"/>
        <v>-70.849999999999994</v>
      </c>
      <c r="L50" s="109">
        <f t="shared" si="17"/>
        <v>-63.45</v>
      </c>
      <c r="M50" s="62"/>
    </row>
    <row r="51" spans="1:13" ht="15" thickBot="1" x14ac:dyDescent="0.4">
      <c r="A51" s="47" t="s">
        <v>110</v>
      </c>
      <c r="C51" s="205">
        <v>57.129999999999995</v>
      </c>
      <c r="D51" s="209"/>
      <c r="E51" s="42">
        <f t="shared" ref="E51:L51" si="18">ROUND((D44+D51+E38/2)*E$46,2)</f>
        <v>-32.79</v>
      </c>
      <c r="F51" s="42">
        <f t="shared" si="18"/>
        <v>-35.869999999999997</v>
      </c>
      <c r="G51" s="109">
        <f t="shared" si="18"/>
        <v>-38.68</v>
      </c>
      <c r="H51" s="41">
        <f t="shared" si="18"/>
        <v>-40.85</v>
      </c>
      <c r="I51" s="124">
        <f t="shared" si="18"/>
        <v>-43.75</v>
      </c>
      <c r="J51" s="62">
        <f t="shared" si="18"/>
        <v>-48.56</v>
      </c>
      <c r="K51" s="163">
        <f t="shared" si="18"/>
        <v>-52.77</v>
      </c>
      <c r="L51" s="109">
        <f t="shared" si="18"/>
        <v>-55.01</v>
      </c>
      <c r="M51" s="62">
        <f>ROUND((L44+L51+M38/2)*M$46,2)</f>
        <v>0</v>
      </c>
    </row>
    <row r="52" spans="1:13" ht="15.5" thickTop="1" thickBot="1" x14ac:dyDescent="0.4">
      <c r="A52" s="55" t="s">
        <v>22</v>
      </c>
      <c r="B52" s="55"/>
      <c r="C52" s="206">
        <v>0</v>
      </c>
      <c r="D52" s="212"/>
      <c r="E52" s="43">
        <f t="shared" ref="E52:M52" si="19">SUM(E48:E51)+SUM(E41:E44)-E55</f>
        <v>0</v>
      </c>
      <c r="F52" s="43">
        <f t="shared" si="19"/>
        <v>0</v>
      </c>
      <c r="G52" s="51">
        <f t="shared" si="19"/>
        <v>0</v>
      </c>
      <c r="H52" s="52">
        <f t="shared" si="19"/>
        <v>2.6193447411060333E-10</v>
      </c>
      <c r="I52" s="43">
        <f t="shared" si="19"/>
        <v>1.1641532182693481E-10</v>
      </c>
      <c r="J52" s="63">
        <f t="shared" si="19"/>
        <v>0</v>
      </c>
      <c r="K52" s="164">
        <f t="shared" si="19"/>
        <v>0</v>
      </c>
      <c r="L52" s="51">
        <f t="shared" si="19"/>
        <v>0</v>
      </c>
      <c r="M52" s="63">
        <f t="shared" si="19"/>
        <v>0</v>
      </c>
    </row>
    <row r="53" spans="1:13" ht="15.5" thickTop="1" thickBot="1" x14ac:dyDescent="0.4">
      <c r="A53" s="55" t="s">
        <v>23</v>
      </c>
      <c r="B53" s="55"/>
      <c r="C53" s="206">
        <v>0</v>
      </c>
      <c r="D53" s="212"/>
      <c r="E53" s="43">
        <f t="shared" ref="E53:M53" si="20">SUM(E48:E51)-E32</f>
        <v>0</v>
      </c>
      <c r="F53" s="43">
        <f t="shared" si="20"/>
        <v>0</v>
      </c>
      <c r="G53" s="51">
        <f t="shared" si="20"/>
        <v>0</v>
      </c>
      <c r="H53" s="52">
        <f t="shared" si="20"/>
        <v>0</v>
      </c>
      <c r="I53" s="43">
        <f t="shared" si="20"/>
        <v>0</v>
      </c>
      <c r="J53" s="63">
        <f t="shared" si="20"/>
        <v>0</v>
      </c>
      <c r="K53" s="165">
        <f>SUM(K48:K51)-K32</f>
        <v>0</v>
      </c>
      <c r="L53" s="43">
        <f t="shared" si="20"/>
        <v>0</v>
      </c>
      <c r="M53" s="43">
        <f t="shared" si="20"/>
        <v>0</v>
      </c>
    </row>
    <row r="54" spans="1:13" ht="15.5" thickTop="1" thickBot="1" x14ac:dyDescent="0.4">
      <c r="C54" s="100"/>
      <c r="D54" s="200"/>
      <c r="E54" s="17"/>
      <c r="F54" s="17"/>
      <c r="G54" s="17"/>
      <c r="H54" s="10"/>
      <c r="I54" s="17"/>
      <c r="J54" s="11"/>
      <c r="K54" s="17"/>
      <c r="L54" s="17"/>
      <c r="M54" s="11"/>
    </row>
    <row r="55" spans="1:13" ht="15" thickBot="1" x14ac:dyDescent="0.4">
      <c r="A55" s="47" t="s">
        <v>36</v>
      </c>
      <c r="B55" s="120">
        <f>SUM(B41:B44)</f>
        <v>-388430.56896</v>
      </c>
      <c r="C55" s="205">
        <f t="shared" ref="C55:M55" si="21">(C12-SUM(C15:C18))+SUM(C48:C51)+B55</f>
        <v>-506050.46000000008</v>
      </c>
      <c r="D55" s="209">
        <f t="shared" si="21"/>
        <v>-506050.46000000008</v>
      </c>
      <c r="E55" s="42">
        <f t="shared" si="21"/>
        <v>-485213.6700000001</v>
      </c>
      <c r="F55" s="42">
        <f t="shared" si="21"/>
        <v>-361363.16000000015</v>
      </c>
      <c r="G55" s="109">
        <f t="shared" si="21"/>
        <v>-213906.61000000013</v>
      </c>
      <c r="H55" s="41">
        <f t="shared" si="21"/>
        <v>-124816.31000000022</v>
      </c>
      <c r="I55" s="42">
        <f t="shared" si="21"/>
        <v>-104827.23000000008</v>
      </c>
      <c r="J55" s="62">
        <f t="shared" si="21"/>
        <v>-144600.21000000005</v>
      </c>
      <c r="K55" s="163">
        <f t="shared" si="21"/>
        <v>-141453.68168000004</v>
      </c>
      <c r="L55" s="109">
        <f t="shared" si="21"/>
        <v>-203569.12740000008</v>
      </c>
      <c r="M55" s="62">
        <f t="shared" si="21"/>
        <v>-806909.79622000013</v>
      </c>
    </row>
    <row r="56" spans="1:13" x14ac:dyDescent="0.35">
      <c r="A56" s="47" t="s">
        <v>12</v>
      </c>
      <c r="C56" s="121"/>
      <c r="D56" s="213"/>
      <c r="E56" s="17"/>
      <c r="F56" s="17"/>
      <c r="G56" s="17"/>
      <c r="H56" s="10"/>
      <c r="I56" s="17"/>
      <c r="J56" s="11"/>
      <c r="K56" s="17"/>
      <c r="L56" s="17"/>
      <c r="M56" s="11"/>
    </row>
    <row r="57" spans="1:13" ht="15" thickBot="1" x14ac:dyDescent="0.4">
      <c r="A57" s="38"/>
      <c r="B57" s="38"/>
      <c r="C57" s="147"/>
      <c r="D57" s="214"/>
      <c r="E57" s="45"/>
      <c r="F57" s="45"/>
      <c r="G57" s="45"/>
      <c r="H57" s="44"/>
      <c r="I57" s="45"/>
      <c r="J57" s="46"/>
      <c r="K57" s="45"/>
      <c r="L57" s="45"/>
      <c r="M57" s="46"/>
    </row>
    <row r="59" spans="1:13" x14ac:dyDescent="0.35">
      <c r="A59" s="70" t="s">
        <v>11</v>
      </c>
      <c r="B59" s="70"/>
      <c r="C59" s="70"/>
      <c r="D59" s="70"/>
    </row>
    <row r="60" spans="1:13" ht="34.5" customHeight="1" x14ac:dyDescent="0.35">
      <c r="A60" s="304" t="s">
        <v>198</v>
      </c>
      <c r="B60" s="304"/>
      <c r="C60" s="304"/>
      <c r="D60" s="304"/>
      <c r="E60" s="304"/>
      <c r="F60" s="304"/>
      <c r="G60" s="304"/>
      <c r="H60" s="304"/>
      <c r="I60" s="304"/>
      <c r="J60" s="304"/>
      <c r="K60" s="257"/>
      <c r="L60" s="237"/>
      <c r="M60" s="237"/>
    </row>
    <row r="61" spans="1:13" ht="42.75" customHeight="1" x14ac:dyDescent="0.35">
      <c r="A61" s="304" t="s">
        <v>166</v>
      </c>
      <c r="B61" s="304"/>
      <c r="C61" s="304"/>
      <c r="D61" s="304"/>
      <c r="E61" s="304"/>
      <c r="F61" s="304"/>
      <c r="G61" s="304"/>
      <c r="H61" s="304"/>
      <c r="I61" s="304"/>
      <c r="J61" s="304"/>
      <c r="K61" s="304"/>
      <c r="L61" s="237"/>
      <c r="M61" s="237"/>
    </row>
    <row r="62" spans="1:13" ht="33.75" customHeight="1" x14ac:dyDescent="0.35">
      <c r="A62" s="304" t="s">
        <v>202</v>
      </c>
      <c r="B62" s="304"/>
      <c r="C62" s="304"/>
      <c r="D62" s="304"/>
      <c r="E62" s="304"/>
      <c r="F62" s="304"/>
      <c r="G62" s="304"/>
      <c r="H62" s="304"/>
      <c r="I62" s="304"/>
      <c r="J62" s="304"/>
      <c r="K62" s="257"/>
      <c r="L62" s="237"/>
      <c r="M62" s="237"/>
    </row>
    <row r="63" spans="1:13" x14ac:dyDescent="0.35">
      <c r="A63" s="64" t="s">
        <v>67</v>
      </c>
      <c r="B63" s="64"/>
      <c r="C63" s="64"/>
      <c r="D63" s="64"/>
      <c r="E63" s="40"/>
      <c r="F63" s="40"/>
      <c r="G63" s="40"/>
      <c r="H63" s="40"/>
      <c r="I63" s="40"/>
      <c r="J63" s="40"/>
      <c r="K63" s="40"/>
    </row>
    <row r="64" spans="1:13" x14ac:dyDescent="0.35">
      <c r="A64" s="64" t="s">
        <v>196</v>
      </c>
      <c r="B64" s="64"/>
      <c r="C64" s="64"/>
      <c r="D64" s="64"/>
      <c r="E64" s="40"/>
      <c r="F64" s="40"/>
      <c r="G64" s="40"/>
      <c r="H64" s="40"/>
      <c r="I64" s="40"/>
      <c r="J64" s="40"/>
      <c r="K64" s="40"/>
    </row>
    <row r="65" spans="1:11" x14ac:dyDescent="0.35">
      <c r="A65" s="64" t="s">
        <v>70</v>
      </c>
      <c r="B65" s="64"/>
      <c r="C65" s="64"/>
      <c r="D65" s="64"/>
      <c r="E65" s="40"/>
      <c r="F65" s="40"/>
      <c r="G65" s="40"/>
      <c r="H65" s="40"/>
      <c r="I65" s="40"/>
      <c r="J65" s="40"/>
      <c r="K65" s="40"/>
    </row>
    <row r="66" spans="1:11" x14ac:dyDescent="0.35">
      <c r="A66" s="3"/>
      <c r="B66" s="3"/>
      <c r="C66" s="3"/>
      <c r="D66" s="3"/>
    </row>
  </sheetData>
  <mergeCells count="6">
    <mergeCell ref="A62:J62"/>
    <mergeCell ref="E10:G10"/>
    <mergeCell ref="H10:J10"/>
    <mergeCell ref="K10:M10"/>
    <mergeCell ref="A60:J60"/>
    <mergeCell ref="A61:K61"/>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1A6497F0A034408B121D2E9E1ADC67" ma:contentTypeVersion="" ma:contentTypeDescription="Create a new document." ma:contentTypeScope="" ma:versionID="731bbba90d1839119a2601583754d8cb">
  <xsd:schema xmlns:xsd="http://www.w3.org/2001/XMLSchema" xmlns:xs="http://www.w3.org/2001/XMLSchema" xmlns:p="http://schemas.microsoft.com/office/2006/metadata/properties" xmlns:ns2="c85253b9-0a55-49a1-98ad-b5b6252d7079" xmlns:ns3="42a0a5c2-94d1-43c3-962b-eaf68dcf55f1" xmlns:ns4="b95115da-3ec3-4f45-8f03-fcf4d770a292" targetNamespace="http://schemas.microsoft.com/office/2006/metadata/properties" ma:root="true" ma:fieldsID="0850ed191024ed28ce63e0182e48fad8" ns2:_="" ns3:_="" ns4:_="">
    <xsd:import namespace="c85253b9-0a55-49a1-98ad-b5b6252d7079"/>
    <xsd:import namespace="42a0a5c2-94d1-43c3-962b-eaf68dcf55f1"/>
    <xsd:import namespace="b95115da-3ec3-4f45-8f03-fcf4d770a292"/>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42a0a5c2-94d1-43c3-962b-eaf68dcf55f1"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5115da-3ec3-4f45-8f03-fcf4d770a2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Sequence_x0020_Number xmlns="42a0a5c2-94d1-43c3-962b-eaf68dcf55f1" xsi:nil="true"/>
    <Document_x0020_Type xmlns="c85253b9-0a55-49a1-98ad-b5b6252d7079">Question</Document_x0020_Type>
  </documentManagement>
</p:properties>
</file>

<file path=customXml/itemProps1.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2.xml><?xml version="1.0" encoding="utf-8"?>
<ds:datastoreItem xmlns:ds="http://schemas.openxmlformats.org/officeDocument/2006/customXml" ds:itemID="{403DC706-E339-4BC2-8F10-616F6ADE1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42a0a5c2-94d1-43c3-962b-eaf68dcf55f1"/>
    <ds:schemaRef ds:uri="b95115da-3ec3-4f45-8f03-fcf4d770a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E680F6-EEBC-41A4-AEB5-0B773B5EACA2}">
  <ds:schemaRefs>
    <ds:schemaRef ds:uri="c85253b9-0a55-49a1-98ad-b5b6252d7079"/>
    <ds:schemaRef ds:uri="http://purl.org/dc/dcmitype/"/>
    <ds:schemaRef ds:uri="http://purl.org/dc/elements/1.1/"/>
    <ds:schemaRef ds:uri="http://schemas.microsoft.com/office/2006/metadata/properties"/>
    <ds:schemaRef ds:uri="b95115da-3ec3-4f45-8f03-fcf4d770a292"/>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2a0a5c2-94d1-43c3-962b-eaf68dcf55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tariff tables</vt:lpstr>
      <vt:lpstr>DSIM Cycle Tables</vt:lpstr>
      <vt:lpstr>PPC Cycle 3</vt:lpstr>
      <vt:lpstr>PCR Cycle 2</vt:lpstr>
      <vt:lpstr>PCR Cycle 3</vt:lpstr>
      <vt:lpstr>PTD Cycle 2</vt:lpstr>
      <vt:lpstr>PTD Cycle 3</vt:lpstr>
      <vt:lpstr>TDR Cycle 2</vt:lpstr>
      <vt:lpstr>TDR Cycle 3</vt:lpstr>
      <vt:lpstr>EO Cycle 2</vt:lpstr>
      <vt:lpstr>EO Cycle 3</vt:lpstr>
      <vt:lpstr>EOR Cycle 2</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2021-11-30T21:51:18Z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0x010100011A6497F0A034408B121D2E9E1ADC67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2021-11-30T21:51:17Z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50b79c54-f87a-4133-b375-7e8573768f18</vt:lpwstr>
  </property>
  <property fmtid="{D5CDD505-2E9C-101B-9397-08002B2CF9AE}" pid="11" name="MSIP_Label_d275ac46-98b9-4d64-949f-e82ee8dc823c_ContentBits">
    <vt:lpwstr>3</vt:lpwstr>
  </property>
</Properties>
</file>