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Evergy/Shared Documents/03983 - Evergy 2021 ROE - Missouri/Testimony/Direct/Metro/Exhibits/"/>
    </mc:Choice>
  </mc:AlternateContent>
  <xr:revisionPtr revIDLastSave="1" documentId="8_{4E77C86F-CC59-42DF-AA91-EC8F0AEC2119}" xr6:coauthVersionLast="47" xr6:coauthVersionMax="47" xr10:uidLastSave="{E26D4C50-CFF7-498F-855F-D23A39CEF31A}"/>
  <bookViews>
    <workbookView xWindow="48480" yWindow="-120" windowWidth="38640" windowHeight="15840" tabRatio="859" firstSheet="6" activeTab="14" xr2:uid="{00000000-000D-0000-FFFF-FFFF00000000}"/>
  </bookViews>
  <sheets>
    <sheet name="AEB-1 Summary" sheetId="51" r:id="rId1"/>
    <sheet name="AEB-2 Proxy Selection" sheetId="52" r:id="rId2"/>
    <sheet name="AEB-3 Constant DCF" sheetId="35" r:id="rId3"/>
    <sheet name="AEB-4 CAPM" sheetId="94" r:id="rId4"/>
    <sheet name="AEB-5 CAPM LT Beta" sheetId="95" r:id="rId5"/>
    <sheet name="AEB-6 Market Return" sheetId="4" r:id="rId6"/>
    <sheet name="AEB-7 Risk Premium" sheetId="96" r:id="rId7"/>
    <sheet name="AEB-8 CapEx 1" sheetId="98" r:id="rId8"/>
    <sheet name="AEB-8 CapEx 2" sheetId="99" r:id="rId9"/>
    <sheet name="AEB-9 Regulatory Risk" sheetId="100" r:id="rId10"/>
    <sheet name="AEB-10 Fixed Cost Recovery" sheetId="101" r:id="rId11"/>
    <sheet name="AEB-11 RRA Reg Env" sheetId="102" r:id="rId12"/>
    <sheet name="AEB-12 S&amp;P Cred Sup" sheetId="104" r:id="rId13"/>
    <sheet name="AEB-13 Metro Capital Projected" sheetId="106" r:id="rId14"/>
    <sheet name="AEB-13 Metro Capital Actual" sheetId="105" r:id="rId15"/>
    <sheet name="AEB-13 Cost of Debt" sheetId="107" r:id="rId16"/>
    <sheet name="AEB-14 Capital Structure" sheetId="97" r:id="rId17"/>
    <sheet name="AEB-15 Cost of Debt" sheetId="108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14" hidden="1">'AEB-13 Metro Capital Actual'!$A$54:$A$55</definedName>
    <definedName name="__123Graph_A" localSheetId="13" hidden="1">'AEB-13 Metro Capital Projected'!$A$54:$A$55</definedName>
    <definedName name="__123Graph_B" localSheetId="14" hidden="1">'AEB-13 Metro Capital Actual'!$C$55:$C$56</definedName>
    <definedName name="__123Graph_B" localSheetId="13" hidden="1">'AEB-13 Metro Capital Projected'!$C$55:$C$56</definedName>
    <definedName name="__123Graph_D" localSheetId="14" hidden="1">[1]TOPrs!#REF!</definedName>
    <definedName name="__123Graph_D" localSheetId="13" hidden="1">[1]TOPrs!#REF!</definedName>
    <definedName name="__123Graph_D" hidden="1">[1]TOPrs!#REF!</definedName>
    <definedName name="__123Graph_X" localSheetId="14" hidden="1">'AEB-13 Metro Capital Actual'!$A$54:$A$55</definedName>
    <definedName name="__123Graph_X" localSheetId="13" hidden="1">'AEB-13 Metro Capital Projected'!$A$54:$A$55</definedName>
    <definedName name="__FDS_HYPERLINK_TOGGLE_STATE__" hidden="1">"ON"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3" hidden="1">#REF!</definedName>
    <definedName name="_Fill" hidden="1">#REF!</definedName>
    <definedName name="_xlnm._FilterDatabase" localSheetId="10" hidden="1">'AEB-10 Fixed Cost Recovery'!$A$8:$E$101</definedName>
    <definedName name="_xlnm._FilterDatabase" localSheetId="15" hidden="1">'AEB-13 Cost of Debt'!$A$8:$W$8</definedName>
    <definedName name="_xlnm._FilterDatabase" localSheetId="17" hidden="1">'AEB-15 Cost of Debt'!$A$6:$M$6</definedName>
    <definedName name="_xlnm._FilterDatabase" localSheetId="9" hidden="1">'AEB-9 Regulatory Risk'!$A$8:$D$87</definedName>
    <definedName name="_Key1" localSheetId="11" hidden="1">#REF!</definedName>
    <definedName name="_Key1" localSheetId="12" hidden="1">#REF!</definedName>
    <definedName name="_Key1" hidden="1">#REF!</definedName>
    <definedName name="_Key11" localSheetId="11" hidden="1">#REF!</definedName>
    <definedName name="_Key11" localSheetId="12" hidden="1">#REF!</definedName>
    <definedName name="_Key11" hidden="1">#REF!</definedName>
    <definedName name="_key2" localSheetId="11" hidden="1">#REF!</definedName>
    <definedName name="_key2" localSheetId="12" hidden="1">#REF!</definedName>
    <definedName name="_Key2" hidden="1">#REF!</definedName>
    <definedName name="_new23" localSheetId="11" hidden="1">{#N/A,#N/A,FALSE,"SCA";#N/A,#N/A,FALSE,"NCA";#N/A,#N/A,FALSE,"SAZ";#N/A,#N/A,FALSE,"CAZ";#N/A,#N/A,FALSE,"SNV";#N/A,#N/A,FALSE,"NNV";#N/A,#N/A,FALSE,"PP";#N/A,#N/A,FALSE,"SA"}</definedName>
    <definedName name="_new23" localSheetId="12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1" hidden="1">{#N/A,#N/A,FALSE,"SCA";#N/A,#N/A,FALSE,"NCA";#N/A,#N/A,FALSE,"SAZ";#N/A,#N/A,FALSE,"CAZ";#N/A,#N/A,FALSE,"SNV";#N/A,#N/A,FALSE,"NNV";#N/A,#N/A,FALSE,"PP";#N/A,#N/A,FALSE,"SA"}</definedName>
    <definedName name="_new37" localSheetId="12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1" hidden="1">{#N/A,#N/A,FALSE,"SCA";#N/A,#N/A,FALSE,"NCA";#N/A,#N/A,FALSE,"SAZ";#N/A,#N/A,FALSE,"CAZ";#N/A,#N/A,FALSE,"SNV";#N/A,#N/A,FALSE,"NNV";#N/A,#N/A,FALSE,"PP";#N/A,#N/A,FALSE,"SA"}</definedName>
    <definedName name="_new43" localSheetId="12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1" hidden="1">{#N/A,#N/A,FALSE,"SCA";#N/A,#N/A,FALSE,"NCA";#N/A,#N/A,FALSE,"SAZ";#N/A,#N/A,FALSE,"CAZ";#N/A,#N/A,FALSE,"SNV";#N/A,#N/A,FALSE,"NNV";#N/A,#N/A,FALSE,"PP";#N/A,#N/A,FALSE,"SA"}</definedName>
    <definedName name="_new57" localSheetId="12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1" hidden="1">{#N/A,#N/A,FALSE,"SCA";#N/A,#N/A,FALSE,"NCA";#N/A,#N/A,FALSE,"SAZ";#N/A,#N/A,FALSE,"CAZ";#N/A,#N/A,FALSE,"SNV";#N/A,#N/A,FALSE,"NNV";#N/A,#N/A,FALSE,"PP";#N/A,#N/A,FALSE,"SA"}</definedName>
    <definedName name="_new58" localSheetId="12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1" hidden="1">{#N/A,#N/A,FALSE,"SCA";#N/A,#N/A,FALSE,"NCA";#N/A,#N/A,FALSE,"SAZ";#N/A,#N/A,FALSE,"CAZ";#N/A,#N/A,FALSE,"SNV";#N/A,#N/A,FALSE,"NNV";#N/A,#N/A,FALSE,"PP";#N/A,#N/A,FALSE,"SA"}</definedName>
    <definedName name="_new71" localSheetId="12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1" hidden="1">{#N/A,#N/A,FALSE,"SCA";#N/A,#N/A,FALSE,"NCA";#N/A,#N/A,FALSE,"SAZ";#N/A,#N/A,FALSE,"CAZ";#N/A,#N/A,FALSE,"SNV";#N/A,#N/A,FALSE,"NNV";#N/A,#N/A,FALSE,"PP";#N/A,#N/A,FALSE,"SA"}</definedName>
    <definedName name="_new72" localSheetId="12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1" hidden="1">#REF!</definedName>
    <definedName name="_Sort" localSheetId="12" hidden="1">#REF!</definedName>
    <definedName name="_Sort" hidden="1">#REF!</definedName>
    <definedName name="_Table2_Out" localSheetId="10" hidden="1">#REF!</definedName>
    <definedName name="_Table2_Out" localSheetId="17" hidden="1">#REF!</definedName>
    <definedName name="_Table2_Out" localSheetId="9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1" hidden="1">[2]DATABASE!#REF!</definedName>
    <definedName name="ACwvu.DATABASE." localSheetId="12" hidden="1">[2]DATABASE!#REF!</definedName>
    <definedName name="ACwvu.DATABASE." hidden="1">[2]DATABASE!#REF!</definedName>
    <definedName name="ACwvu.OP." localSheetId="11" hidden="1">#REF!</definedName>
    <definedName name="ACwvu.OP." localSheetId="12" hidden="1">#REF!</definedName>
    <definedName name="ACwvu.OP." hidden="1">#REF!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Average_Number_of_Days_in_a_Month" localSheetId="10">'AEB-10 Fixed Cost Recovery'!$B$115</definedName>
    <definedName name="BLPH2" localSheetId="11" hidden="1">'[3]Commercial Paper'!#REF!</definedName>
    <definedName name="BLPH2" localSheetId="12" hidden="1">'[3]Commercial Paper'!#REF!</definedName>
    <definedName name="BLPH2" hidden="1">'[3]Commercial Paper'!#REF!</definedName>
    <definedName name="BLPH3" localSheetId="11" hidden="1">'[3]Commercial Paper'!#REF!</definedName>
    <definedName name="BLPH3" localSheetId="12" hidden="1">'[3]Commercial Paper'!#REF!</definedName>
    <definedName name="BLPH3" hidden="1">'[3]Commercial Paper'!#REF!</definedName>
    <definedName name="BLPH4" localSheetId="11" hidden="1">'[3]Commercial Paper'!#REF!</definedName>
    <definedName name="BLPH4" localSheetId="12" hidden="1">'[3]Commercial Paper'!#REF!</definedName>
    <definedName name="BLPH4" hidden="1">'[3]Commercial Paper'!#REF!</definedName>
    <definedName name="BLPH5" localSheetId="11" hidden="1">'[3]Commercial Paper'!#REF!</definedName>
    <definedName name="BLPH5" localSheetId="12" hidden="1">'[3]Commercial Paper'!#REF!</definedName>
    <definedName name="BLPH5" hidden="1">'[3]Commercial Paper'!#REF!</definedName>
    <definedName name="BLPH6" localSheetId="11" hidden="1">'[3]Commercial Paper'!#REF!</definedName>
    <definedName name="BLPH6" localSheetId="12" hidden="1">'[3]Commercial Paper'!#REF!</definedName>
    <definedName name="BLPH6" hidden="1">'[3]Commercial Paper'!#REF!</definedName>
    <definedName name="c.LTMYear" localSheetId="10" hidden="1">#REF!</definedName>
    <definedName name="c.LTMYear" localSheetId="17" hidden="1">#REF!</definedName>
    <definedName name="c.LTMYear" localSheetId="9" hidden="1">#REF!</definedName>
    <definedName name="c.LTMYear" hidden="1">#REF!</definedName>
    <definedName name="CIQWBGuid" hidden="1">"Peoples Gas ROE - 12-20-2019.xlsx"</definedName>
    <definedName name="Common" localSheetId="11" hidden="1">{#N/A,#N/A,FALSE,"SCA";#N/A,#N/A,FALSE,"NCA";#N/A,#N/A,FALSE,"SAZ";#N/A,#N/A,FALSE,"CAZ";#N/A,#N/A,FALSE,"SNV";#N/A,#N/A,FALSE,"NNV";#N/A,#N/A,FALSE,"PP";#N/A,#N/A,FALSE,"SA"}</definedName>
    <definedName name="Common" localSheetId="12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1" hidden="1">#REF!</definedName>
    <definedName name="cover" localSheetId="12" hidden="1">#REF!</definedName>
    <definedName name="cover" hidden="1">#REF!</definedName>
    <definedName name="d" localSheetId="11" hidden="1">#REF!</definedName>
    <definedName name="d" localSheetId="12" hidden="1">#REF!</definedName>
    <definedName name="d" localSheetId="17" hidden="1">#REF!</definedName>
    <definedName name="d" hidden="1">#REF!</definedName>
    <definedName name="er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1" hidden="1">#REF!</definedName>
    <definedName name="f" localSheetId="12" hidden="1">#REF!</definedName>
    <definedName name="f" localSheetId="17" hidden="1">#REF!</definedName>
    <definedName name="f" hidden="1">#REF!</definedName>
    <definedName name="fdv" localSheetId="10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1" hidden="1">#REF!</definedName>
    <definedName name="ff" localSheetId="12" hidden="1">#REF!</definedName>
    <definedName name="ff" localSheetId="17" hidden="1">#REF!</definedName>
    <definedName name="ff" hidden="1">#REF!</definedName>
    <definedName name="fffff" localSheetId="11" hidden="1">#REF!</definedName>
    <definedName name="fffff" localSheetId="12" hidden="1">#REF!</definedName>
    <definedName name="fffff" hidden="1">#REF!</definedName>
    <definedName name="fffffffffffffffffffff" localSheetId="11" hidden="1">#REF!</definedName>
    <definedName name="fffffffffffffffffffff" localSheetId="12" hidden="1">#REF!</definedName>
    <definedName name="fffffffffffffffffffff" hidden="1">#REF!</definedName>
    <definedName name="FuelCycle" localSheetId="10" hidden="1">{#N/A,#N/A,FALSE,"AltFuel"}</definedName>
    <definedName name="FuelCycle" localSheetId="17" hidden="1">{#N/A,#N/A,FALSE,"AltFuel"}</definedName>
    <definedName name="FuelCycle" localSheetId="9" hidden="1">{#N/A,#N/A,FALSE,"AltFuel"}</definedName>
    <definedName name="FuelCycle" hidden="1">{#N/A,#N/A,FALSE,"AltFuel"}</definedName>
    <definedName name="hn._I006" localSheetId="10" hidden="1">#REF!</definedName>
    <definedName name="hn._I006" localSheetId="17" hidden="1">#REF!</definedName>
    <definedName name="hn._I006" localSheetId="9" hidden="1">#REF!</definedName>
    <definedName name="hn._I006" hidden="1">#REF!</definedName>
    <definedName name="hn._I018" localSheetId="10" hidden="1">#REF!</definedName>
    <definedName name="hn._I018" localSheetId="17" hidden="1">#REF!</definedName>
    <definedName name="hn._I018" localSheetId="9" hidden="1">#REF!</definedName>
    <definedName name="hn._I018" hidden="1">#REF!</definedName>
    <definedName name="hn._I024" localSheetId="10" hidden="1">#REF!</definedName>
    <definedName name="hn._I024" localSheetId="17" hidden="1">#REF!</definedName>
    <definedName name="hn._I024" localSheetId="9" hidden="1">#REF!</definedName>
    <definedName name="hn._I024" hidden="1">#REF!</definedName>
    <definedName name="hn._I028" localSheetId="10" hidden="1">#REF!</definedName>
    <definedName name="hn._I028" localSheetId="17" hidden="1">#REF!</definedName>
    <definedName name="hn._I028" localSheetId="9" hidden="1">#REF!</definedName>
    <definedName name="hn._I028" hidden="1">#REF!</definedName>
    <definedName name="hn._I029" localSheetId="10" hidden="1">#REF!</definedName>
    <definedName name="hn._I029" localSheetId="17" hidden="1">#REF!</definedName>
    <definedName name="hn._I029" localSheetId="9" hidden="1">#REF!</definedName>
    <definedName name="hn._I029" hidden="1">#REF!</definedName>
    <definedName name="hn._I030" localSheetId="10" hidden="1">#REF!</definedName>
    <definedName name="hn._I030" localSheetId="17" hidden="1">#REF!</definedName>
    <definedName name="hn._I030" localSheetId="9" hidden="1">#REF!</definedName>
    <definedName name="hn._I030" hidden="1">#REF!</definedName>
    <definedName name="hn._I031" localSheetId="10" hidden="1">#REF!</definedName>
    <definedName name="hn._I031" localSheetId="17" hidden="1">#REF!</definedName>
    <definedName name="hn._I031" localSheetId="9" hidden="1">#REF!</definedName>
    <definedName name="hn._I031" hidden="1">#REF!</definedName>
    <definedName name="hn._I059" localSheetId="10" hidden="1">#REF!</definedName>
    <definedName name="hn._I059" localSheetId="17" hidden="1">#REF!</definedName>
    <definedName name="hn._I059" localSheetId="9" hidden="1">#REF!</definedName>
    <definedName name="hn._I059" hidden="1">#REF!</definedName>
    <definedName name="hn._I071" localSheetId="10" hidden="1">#REF!</definedName>
    <definedName name="hn._I071" localSheetId="17" hidden="1">#REF!</definedName>
    <definedName name="hn._I071" localSheetId="9" hidden="1">#REF!</definedName>
    <definedName name="hn._I071" hidden="1">#REF!</definedName>
    <definedName name="hn._I075" localSheetId="10" hidden="1">#REF!</definedName>
    <definedName name="hn._I075" localSheetId="17" hidden="1">#REF!</definedName>
    <definedName name="hn._I075" localSheetId="9" hidden="1">#REF!</definedName>
    <definedName name="hn._I075" hidden="1">#REF!</definedName>
    <definedName name="hn._I083" localSheetId="10" hidden="1">#REF!</definedName>
    <definedName name="hn._I083" localSheetId="17" hidden="1">#REF!</definedName>
    <definedName name="hn._I083" localSheetId="9" hidden="1">#REF!</definedName>
    <definedName name="hn._I083" hidden="1">#REF!</definedName>
    <definedName name="hn._I085" localSheetId="10" hidden="1">#REF!</definedName>
    <definedName name="hn._I085" localSheetId="17" hidden="1">#REF!</definedName>
    <definedName name="hn._I085" localSheetId="9" hidden="1">#REF!</definedName>
    <definedName name="hn._I085" hidden="1">#REF!</definedName>
    <definedName name="hn._P001" localSheetId="10" hidden="1">#REF!</definedName>
    <definedName name="hn._P001" localSheetId="17" hidden="1">#REF!</definedName>
    <definedName name="hn._P001" localSheetId="9" hidden="1">#REF!</definedName>
    <definedName name="hn._P001" hidden="1">#REF!</definedName>
    <definedName name="hn._P004" localSheetId="10" hidden="1">#REF!</definedName>
    <definedName name="hn._P004" localSheetId="17" hidden="1">#REF!</definedName>
    <definedName name="hn._P004" localSheetId="9" hidden="1">#REF!</definedName>
    <definedName name="hn._P004" hidden="1">#REF!</definedName>
    <definedName name="hn._P014" localSheetId="10" hidden="1">#REF!</definedName>
    <definedName name="hn._P014" localSheetId="17" hidden="1">#REF!</definedName>
    <definedName name="hn._P014" localSheetId="9" hidden="1">#REF!</definedName>
    <definedName name="hn._P014" hidden="1">#REF!</definedName>
    <definedName name="hn._P016" localSheetId="10" hidden="1">#REF!</definedName>
    <definedName name="hn._P016" localSheetId="17" hidden="1">#REF!</definedName>
    <definedName name="hn._P016" localSheetId="9" hidden="1">#REF!</definedName>
    <definedName name="hn._P016" hidden="1">#REF!</definedName>
    <definedName name="hn._P021" localSheetId="10" hidden="1">#REF!</definedName>
    <definedName name="hn._P021" localSheetId="17" hidden="1">#REF!</definedName>
    <definedName name="hn._P021" localSheetId="9" hidden="1">#REF!</definedName>
    <definedName name="hn._P021" hidden="1">#REF!</definedName>
    <definedName name="hn._P024" localSheetId="10" hidden="1">#REF!</definedName>
    <definedName name="hn._P024" localSheetId="17" hidden="1">#REF!</definedName>
    <definedName name="hn._P024" localSheetId="9" hidden="1">#REF!</definedName>
    <definedName name="hn._P024" hidden="1">#REF!</definedName>
    <definedName name="hn.Add015" localSheetId="10" hidden="1">#REF!</definedName>
    <definedName name="hn.Add015" localSheetId="17" hidden="1">#REF!</definedName>
    <definedName name="hn.Add015" localSheetId="9" hidden="1">#REF!</definedName>
    <definedName name="hn.Add015" hidden="1">#REF!</definedName>
    <definedName name="hn.Delete015" localSheetId="10" hidden="1">#REF!,#REF!,#REF!,#REF!,#REF!</definedName>
    <definedName name="hn.Delete015" localSheetId="17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0" hidden="1">#REF!</definedName>
    <definedName name="hn.PrivateLTMYear" localSheetId="17" hidden="1">#REF!</definedName>
    <definedName name="hn.PrivateLTMYear" localSheetId="9" hidden="1">#REF!</definedName>
    <definedName name="hn.PrivateLTMYear" hidden="1">#REF!</definedName>
    <definedName name="IncomeStatement" localSheetId="10" hidden="1">{#N/A,#N/A,FALSE,"FinStateUS"}</definedName>
    <definedName name="IncomeStatement" localSheetId="17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0" hidden="1">{"IncStatement 6 years",#N/A,FALSE,"FinStateUS"}</definedName>
    <definedName name="IncomeStatement6Years" localSheetId="17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1" hidden="1">{#N/A,#N/A,FALSE,"SCA";#N/A,#N/A,FALSE,"NCA";#N/A,#N/A,FALSE,"SAZ";#N/A,#N/A,FALSE,"CAZ";#N/A,#N/A,FALSE,"SNV";#N/A,#N/A,FALSE,"NNV";#N/A,#N/A,FALSE,"PP";#N/A,#N/A,FALSE,"SA"}</definedName>
    <definedName name="je" localSheetId="12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I" localSheetId="11" hidden="1">#REF!,#REF!</definedName>
    <definedName name="KI" localSheetId="12" hidden="1">#REF!,#REF!</definedName>
    <definedName name="KI" hidden="1">#REF!,#REF!</definedName>
    <definedName name="KL" localSheetId="11" hidden="1">#REF!</definedName>
    <definedName name="KL" localSheetId="12" hidden="1">#REF!</definedName>
    <definedName name="KL" hidden="1">#REF!</definedName>
    <definedName name="l" localSheetId="11" hidden="1">#REF!</definedName>
    <definedName name="l" localSheetId="12" hidden="1">#REF!</definedName>
    <definedName name="l" hidden="1">#REF!</definedName>
    <definedName name="NADA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1" hidden="1">{#N/A,#N/A,FALSE,"SCA";#N/A,#N/A,FALSE,"NCA";#N/A,#N/A,FALSE,"SAZ";#N/A,#N/A,FALSE,"CAZ";#N/A,#N/A,FALSE,"SNV";#N/A,#N/A,FALSE,"NNV";#N/A,#N/A,FALSE,"PP";#N/A,#N/A,FALSE,"SA"}</definedName>
    <definedName name="NONE" localSheetId="12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11" hidden="1">{#N/A,#N/A,FALSE,"SCA";#N/A,#N/A,FALSE,"NCA";#N/A,#N/A,FALSE,"SAZ";#N/A,#N/A,FALSE,"CAZ";#N/A,#N/A,FALSE,"SNV";#N/A,#N/A,FALSE,"NNV";#N/A,#N/A,FALSE,"PP";#N/A,#N/A,FALSE,"SA"}</definedName>
    <definedName name="PERO" localSheetId="12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hidden="1">[4]PopCache!$A$1:$A$2</definedName>
    <definedName name="_xlnm.Print_Area" localSheetId="0">'AEB-1 Summary'!$A$1:$F$36</definedName>
    <definedName name="_xlnm.Print_Area" localSheetId="11">'AEB-11 RRA Reg Env'!$B$1:$E$89</definedName>
    <definedName name="_xlnm.Print_Area" localSheetId="12">'AEB-12 S&amp;P Cred Sup'!$B$1:$E$89</definedName>
    <definedName name="_xlnm.Print_Area" localSheetId="14">'AEB-13 Metro Capital Actual'!$A$1:$J$28</definedName>
    <definedName name="_xlnm.Print_Area" localSheetId="13">'AEB-13 Metro Capital Projected'!$A$1:$J$28</definedName>
    <definedName name="_xlnm.Print_Area" localSheetId="16">'AEB-14 Capital Structure'!$A$1:$H$38</definedName>
    <definedName name="_xlnm.Print_Area" localSheetId="1">'AEB-2 Proxy Selection'!$A$1:$L$34</definedName>
    <definedName name="_xlnm.Print_Area" localSheetId="2">'AEB-3 Constant DCF'!$A$1:$Q$111</definedName>
    <definedName name="_xlnm.Print_Area" localSheetId="3">'AEB-4 CAPM'!$B$1:$I$296</definedName>
    <definedName name="_xlnm.Print_Area" localSheetId="5">'AEB-6 Market Return'!$A$1:$J$538</definedName>
    <definedName name="_xlnm.Print_Area" localSheetId="6">'AEB-7 Risk Premium'!$B$1:$E$147,'AEB-7 Risk Premium'!$F$1:$O$65</definedName>
    <definedName name="_xlnm.Print_Area" localSheetId="7">'AEB-8 CapEx 1'!$A$1:$J$101</definedName>
    <definedName name="_xlnm.Print_Area" localSheetId="8">'AEB-8 CapEx 2'!$A$1:$J$55</definedName>
    <definedName name="_xlnm.Print_Area" localSheetId="9">'AEB-9 Regulatory Risk'!$A$5:$W$111</definedName>
    <definedName name="_xlnm.Print_Titles" localSheetId="10">'AEB-10 Fixed Cost Recovery'!$1:$8</definedName>
    <definedName name="_xlnm.Print_Titles" localSheetId="11">'AEB-11 RRA Reg Env'!$1:$8</definedName>
    <definedName name="_xlnm.Print_Titles" localSheetId="12">'AEB-12 S&amp;P Cred Sup'!$1:$8</definedName>
    <definedName name="_xlnm.Print_Titles" localSheetId="5">'AEB-6 Market Return'!$12:$18</definedName>
    <definedName name="_xlnm.Print_Titles" localSheetId="6">'AEB-7 Risk Premium'!$1:$5</definedName>
    <definedName name="_xlnm.Print_Titles" localSheetId="7">'AEB-8 CapEx 1'!$2:$10</definedName>
    <definedName name="_xlnm.Print_Titles" localSheetId="9">'AEB-9 Regulatory Risk'!$A:$D,'AEB-9 Regulatory Risk'!$5:$8</definedName>
    <definedName name="rk" localSheetId="11" hidden="1">{#N/A,#N/A,FALSE,"SCA";#N/A,#N/A,FALSE,"NCA";#N/A,#N/A,FALSE,"SAZ";#N/A,#N/A,FALSE,"CAZ";#N/A,#N/A,FALSE,"SNV";#N/A,#N/A,FALSE,"NNV";#N/A,#N/A,FALSE,"PP";#N/A,#N/A,FALSE,"SA"}</definedName>
    <definedName name="rk" localSheetId="12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1" hidden="1">#REF!</definedName>
    <definedName name="S" localSheetId="12" hidden="1">#REF!</definedName>
    <definedName name="S" hidden="1">#REF!</definedName>
    <definedName name="SI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wvu.DATABASE." localSheetId="11" hidden="1">[2]DATABASE!#REF!</definedName>
    <definedName name="Swvu.DATABASE." localSheetId="12" hidden="1">[2]DATABASE!#REF!</definedName>
    <definedName name="Swvu.DATABASE." hidden="1">[2]DATABASE!#REF!</definedName>
    <definedName name="Swvu.OP." localSheetId="11" hidden="1">#REF!</definedName>
    <definedName name="Swvu.OP." localSheetId="12" hidden="1">#REF!</definedName>
    <definedName name="Swvu.OP." hidden="1">#REF!</definedName>
    <definedName name="TEST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4" hidden="1">[5]TOPrs!#REF!</definedName>
    <definedName name="test" localSheetId="13" hidden="1">[5]TOPrs!#REF!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10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1" hidden="1">{"pb",#N/A,FALSE,"Sheet3";"pd",#N/A,FALSE,"Sheet3";"pe",#N/A,FALSE,"Sheet3"}</definedName>
    <definedName name="wrn.agexpense." localSheetId="12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1" hidden="1">{#N/A,#N/A,FALSE,"SCA";#N/A,#N/A,FALSE,"NCA";#N/A,#N/A,FALSE,"SAZ";#N/A,#N/A,FALSE,"CAZ";#N/A,#N/A,FALSE,"SNV";#N/A,#N/A,FALSE,"NNV";#N/A,#N/A,FALSE,"PP";#N/A,#N/A,FALSE,"SA"}</definedName>
    <definedName name="wrn.AllRjs." localSheetId="12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1" hidden="1">{#N/A,#N/A,FALSE,"SCA";#N/A,#N/A,FALSE,"NCA";#N/A,#N/A,FALSE,"SAZ";#N/A,#N/A,FALSE,"CAZ";#N/A,#N/A,FALSE,"SNV";#N/A,#N/A,FALSE,"NNV";#N/A,#N/A,FALSE,"PP";#N/A,#N/A,FALSE,"SA"}</definedName>
    <definedName name="wrn.alrjs." localSheetId="12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0" hidden="1">{#N/A,#N/A,FALSE,"AltFuel"}</definedName>
    <definedName name="wrn.Fuel._.Cycle." localSheetId="17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0" hidden="1">{#N/A,#N/A,FALSE,"FinStateUS"}</definedName>
    <definedName name="wrn.IncStatement._.15._.years." localSheetId="17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0" hidden="1">{"IncStatement 6 years",#N/A,FALSE,"FinStateUS"}</definedName>
    <definedName name="wrn.IncStatement._.6._.years." localSheetId="17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1" hidden="1">{"PF",#N/A,FALSE,"Sheet4";"PG",#N/A,FALSE,"Sheet4";"PH",#N/A,FALSE,"Sheet4";"PI",#N/A,FALSE,"Sheet4";"PJ",#N/A,FALSE,"Sheet4"}</definedName>
    <definedName name="wrn.OMEXPENSE." localSheetId="12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0" hidden="1">{"page1",#N/A,FALSE,"A";"page2",#N/A,FALSE,"A"}</definedName>
    <definedName name="wrn.one." localSheetId="17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PPJOURNAL._.ENTRY." localSheetId="11" hidden="1">{"PPDEFERREDBAL",#N/A,FALSE,"PRIOR PERIOD ADJMT";#N/A,#N/A,FALSE,"PRIOR PERIOD ADJMT";"PPJOURNALENTRY",#N/A,FALSE,"PRIOR PERIOD ADJMT"}</definedName>
    <definedName name="wrn.PPJOURNAL._.ENTRY." localSheetId="12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1" hidden="1">{"print1",#N/A,FALSE,"D21CUSTS"}</definedName>
    <definedName name="wrn.printtable1." localSheetId="12" hidden="1">{"print1",#N/A,FALSE,"D21CUSTS"}</definedName>
    <definedName name="wrn.printtable1." localSheetId="17" hidden="1">{"print1",#N/A,FALSE,"D21CUSTS"}</definedName>
    <definedName name="wrn.printtable1." hidden="1">{"print1",#N/A,FALSE,"D21CUSTS"}</definedName>
    <definedName name="wrn.printtable2." localSheetId="11" hidden="1">{"print2",#N/A,FALSE,"D21CUSTS"}</definedName>
    <definedName name="wrn.printtable2." localSheetId="12" hidden="1">{"print2",#N/A,FALSE,"D21CUSTS"}</definedName>
    <definedName name="wrn.printtable2." localSheetId="17" hidden="1">{"print2",#N/A,FALSE,"D21CUSTS"}</definedName>
    <definedName name="wrn.printtable2." hidden="1">{"print2",#N/A,FALSE,"D21CUSTS"}</definedName>
    <definedName name="wrn.printtable3." localSheetId="11" hidden="1">{"print3",#N/A,FALSE,"D21CUSTS"}</definedName>
    <definedName name="wrn.printtable3." localSheetId="12" hidden="1">{"print3",#N/A,FALSE,"D21CUSTS"}</definedName>
    <definedName name="wrn.printtable3." localSheetId="17" hidden="1">{"print3",#N/A,FALSE,"D21CUSTS"}</definedName>
    <definedName name="wrn.printtable3." hidden="1">{"print3",#N/A,FALSE,"D21CUSTS"}</definedName>
    <definedName name="wrn.printtable4." localSheetId="11" hidden="1">{"print4",#N/A,FALSE,"D21CUSTS"}</definedName>
    <definedName name="wrn.printtable4." localSheetId="12" hidden="1">{"print4",#N/A,FALSE,"D21CUSTS"}</definedName>
    <definedName name="wrn.printtable4." localSheetId="17" hidden="1">{"print4",#N/A,FALSE,"D21CUSTS"}</definedName>
    <definedName name="wrn.printtable4." hidden="1">{"print4",#N/A,FALSE,"D21CUSTS"}</definedName>
    <definedName name="wrn.PRIOR._.PERIOD._.ADJMT." localSheetId="11" hidden="1">{#N/A,#N/A,FALSE,"PRIOR PERIOD ADJMT"}</definedName>
    <definedName name="wrn.PRIOR._.PERIOD._.ADJMT." localSheetId="12" hidden="1">{#N/A,#N/A,FALSE,"PRIOR PERIOD ADJMT"}</definedName>
    <definedName name="wrn.PRIOR._.PERIOD._.ADJMT." localSheetId="17" hidden="1">{#N/A,#N/A,FALSE,"PRIOR PERIOD ADJMT"}</definedName>
    <definedName name="wrn.PRIOR._.PERIOD._.ADJMT." hidden="1">{#N/A,#N/A,FALSE,"PRIOR PERIOD ADJMT"}</definedName>
    <definedName name="wrn.Projected._.Def._.Adjustments.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1" hidden="1">{"print1",#N/A,FALSE,"D21CUSTS";"print2",#N/A,FALSE,"D21CUSTS";"print3",#N/A,FALSE,"D21CUSTS";"print4",#N/A,FALSE,"D21CUSTS"}</definedName>
    <definedName name="wrn.tables." localSheetId="12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1" hidden="1">#REF!</definedName>
    <definedName name="X" localSheetId="12" hidden="1">#REF!</definedName>
    <definedName name="X" hidden="1">#REF!</definedName>
    <definedName name="Y" localSheetId="11" hidden="1">#REF!</definedName>
    <definedName name="Y" localSheetId="12" hidden="1">#REF!</definedName>
    <definedName name="Y" hidden="1">#REF!</definedName>
    <definedName name="Z" localSheetId="11" hidden="1">#REF!</definedName>
    <definedName name="Z" localSheetId="12" hidden="1">#REF!</definedName>
    <definedName name="Z" hidden="1">#REF!</definedName>
    <definedName name="Z_055ABE5A_5E06_11D2_8EED_0008C7BCAF29_.wvu.PrintArea" localSheetId="11" hidden="1">#REF!</definedName>
    <definedName name="Z_055ABE5A_5E06_11D2_8EED_0008C7BCAF29_.wvu.PrintArea" localSheetId="12" hidden="1">#REF!</definedName>
    <definedName name="Z_055ABE5A_5E06_11D2_8EED_0008C7BCAF29_.wvu.PrintArea" hidden="1">#REF!</definedName>
    <definedName name="Z_055ABE5A_5E06_11D2_8EED_0008C7BCAF29_.wvu.PrintTitles" localSheetId="11" hidden="1">#REF!</definedName>
    <definedName name="Z_055ABE5A_5E06_11D2_8EED_0008C7BCAF29_.wvu.PrintTitles" localSheetId="12" hidden="1">#REF!</definedName>
    <definedName name="Z_055ABE5A_5E06_11D2_8EED_0008C7BCAF29_.wvu.PrintTitles" hidden="1">#REF!</definedName>
    <definedName name="Z_055ABE69_5E06_11D2_8EED_0008C7BCAF29_.wvu.PrintArea" localSheetId="11" hidden="1">#REF!</definedName>
    <definedName name="Z_055ABE69_5E06_11D2_8EED_0008C7BCAF29_.wvu.PrintArea" localSheetId="12" hidden="1">#REF!</definedName>
    <definedName name="Z_055ABE69_5E06_11D2_8EED_0008C7BCAF29_.wvu.PrintArea" hidden="1">#REF!</definedName>
    <definedName name="Z_055ABE69_5E06_11D2_8EED_0008C7BCAF29_.wvu.PrintTitles" localSheetId="11" hidden="1">#REF!</definedName>
    <definedName name="Z_055ABE69_5E06_11D2_8EED_0008C7BCAF29_.wvu.PrintTitles" localSheetId="12" hidden="1">#REF!</definedName>
    <definedName name="Z_055ABE69_5E06_11D2_8EED_0008C7BCAF29_.wvu.PrintTitles" hidden="1">#REF!</definedName>
    <definedName name="Z_055ABE76_5E06_11D2_8EED_0008C7BCAF29_.wvu.PrintArea" localSheetId="11" hidden="1">#REF!</definedName>
    <definedName name="Z_055ABE76_5E06_11D2_8EED_0008C7BCAF29_.wvu.PrintArea" localSheetId="12" hidden="1">#REF!</definedName>
    <definedName name="Z_055ABE76_5E06_11D2_8EED_0008C7BCAF29_.wvu.PrintArea" hidden="1">#REF!</definedName>
    <definedName name="Z_055ABE76_5E06_11D2_8EED_0008C7BCAF29_.wvu.PrintTitles" localSheetId="11" hidden="1">#REF!,#REF!</definedName>
    <definedName name="Z_055ABE76_5E06_11D2_8EED_0008C7BCAF29_.wvu.PrintTitles" localSheetId="12" hidden="1">#REF!,#REF!</definedName>
    <definedName name="Z_055ABE76_5E06_11D2_8EED_0008C7BCAF29_.wvu.PrintTitles" hidden="1">#REF!,#REF!</definedName>
    <definedName name="Z_055ABE84_5E06_11D2_8EED_0008C7BCAF29_.wvu.PrintArea" localSheetId="11" hidden="1">#REF!</definedName>
    <definedName name="Z_055ABE84_5E06_11D2_8EED_0008C7BCAF29_.wvu.PrintArea" localSheetId="12" hidden="1">#REF!</definedName>
    <definedName name="Z_055ABE84_5E06_11D2_8EED_0008C7BCAF29_.wvu.PrintArea" hidden="1">#REF!</definedName>
    <definedName name="Z_055ABE84_5E06_11D2_8EED_0008C7BCAF29_.wvu.PrintTitles" localSheetId="11" hidden="1">#REF!</definedName>
    <definedName name="Z_055ABE84_5E06_11D2_8EED_0008C7BCAF29_.wvu.PrintTitles" localSheetId="12" hidden="1">#REF!</definedName>
    <definedName name="Z_055ABE84_5E06_11D2_8EED_0008C7BCAF29_.wvu.PrintTitles" hidden="1">#REF!</definedName>
    <definedName name="Z_055ABE93_5E06_11D2_8EED_0008C7BCAF29_.wvu.PrintArea" localSheetId="11" hidden="1">#REF!</definedName>
    <definedName name="Z_055ABE93_5E06_11D2_8EED_0008C7BCAF29_.wvu.PrintArea" localSheetId="12" hidden="1">#REF!</definedName>
    <definedName name="Z_055ABE93_5E06_11D2_8EED_0008C7BCAF29_.wvu.PrintArea" hidden="1">#REF!</definedName>
    <definedName name="Z_055ABE93_5E06_11D2_8EED_0008C7BCAF29_.wvu.PrintTitles" localSheetId="11" hidden="1">#REF!</definedName>
    <definedName name="Z_055ABE93_5E06_11D2_8EED_0008C7BCAF29_.wvu.PrintTitles" localSheetId="12" hidden="1">#REF!</definedName>
    <definedName name="Z_055ABE93_5E06_11D2_8EED_0008C7BCAF29_.wvu.PrintTitles" hidden="1">#REF!</definedName>
    <definedName name="Z_055ABEA0_5E06_11D2_8EED_0008C7BCAF29_.wvu.PrintArea" localSheetId="11" hidden="1">#REF!</definedName>
    <definedName name="Z_055ABEA0_5E06_11D2_8EED_0008C7BCAF29_.wvu.PrintArea" localSheetId="12" hidden="1">#REF!</definedName>
    <definedName name="Z_055ABEA0_5E06_11D2_8EED_0008C7BCAF29_.wvu.PrintArea" hidden="1">#REF!</definedName>
    <definedName name="Z_055ABEA0_5E06_11D2_8EED_0008C7BCAF29_.wvu.PrintTitles" localSheetId="11" hidden="1">#REF!,#REF!</definedName>
    <definedName name="Z_055ABEA0_5E06_11D2_8EED_0008C7BCAF29_.wvu.PrintTitles" localSheetId="12" hidden="1">#REF!,#REF!</definedName>
    <definedName name="Z_055ABEA0_5E06_11D2_8EED_0008C7BCAF29_.wvu.PrintTitles" hidden="1">#REF!,#REF!</definedName>
    <definedName name="Z_05DE23E1_1046_11D2_8E70_0008C77C0743_.wvu.PrintArea" localSheetId="11" hidden="1">#REF!</definedName>
    <definedName name="Z_05DE23E1_1046_11D2_8E70_0008C77C0743_.wvu.PrintArea" localSheetId="12" hidden="1">#REF!</definedName>
    <definedName name="Z_05DE23E1_1046_11D2_8E70_0008C77C0743_.wvu.PrintArea" hidden="1">#REF!</definedName>
    <definedName name="Z_05DE23E1_1046_11D2_8E70_0008C77C0743_.wvu.PrintTitles" localSheetId="11" hidden="1">#REF!,#REF!</definedName>
    <definedName name="Z_05DE23E1_1046_11D2_8E70_0008C77C0743_.wvu.PrintTitles" localSheetId="12" hidden="1">#REF!,#REF!</definedName>
    <definedName name="Z_05DE23E1_1046_11D2_8E70_0008C77C0743_.wvu.PrintTitles" hidden="1">#REF!,#REF!</definedName>
    <definedName name="Z_05DE23E4_1046_11D2_8E70_0008C77C0743_.wvu.PrintArea" localSheetId="11" hidden="1">#REF!</definedName>
    <definedName name="Z_05DE23E4_1046_11D2_8E70_0008C77C0743_.wvu.PrintArea" localSheetId="12" hidden="1">#REF!</definedName>
    <definedName name="Z_05DE23E4_1046_11D2_8E70_0008C77C0743_.wvu.PrintArea" hidden="1">#REF!</definedName>
    <definedName name="Z_05DE23E4_1046_11D2_8E70_0008C77C0743_.wvu.PrintTitles" localSheetId="11" hidden="1">#REF!</definedName>
    <definedName name="Z_05DE23E4_1046_11D2_8E70_0008C77C0743_.wvu.PrintTitles" localSheetId="12" hidden="1">#REF!</definedName>
    <definedName name="Z_05DE23E4_1046_11D2_8E70_0008C77C0743_.wvu.PrintTitles" hidden="1">#REF!</definedName>
    <definedName name="Z_05DE23E9_1046_11D2_8E70_0008C77C0743_.wvu.PrintArea" localSheetId="11" hidden="1">#REF!</definedName>
    <definedName name="Z_05DE23E9_1046_11D2_8E70_0008C77C0743_.wvu.PrintArea" localSheetId="12" hidden="1">#REF!</definedName>
    <definedName name="Z_05DE23E9_1046_11D2_8E70_0008C77C0743_.wvu.PrintArea" hidden="1">#REF!</definedName>
    <definedName name="Z_05DE23E9_1046_11D2_8E70_0008C77C0743_.wvu.PrintTitles" localSheetId="11" hidden="1">#REF!,#REF!</definedName>
    <definedName name="Z_05DE23E9_1046_11D2_8E70_0008C77C0743_.wvu.PrintTitles" localSheetId="12" hidden="1">#REF!,#REF!</definedName>
    <definedName name="Z_05DE23E9_1046_11D2_8E70_0008C77C0743_.wvu.PrintTitles" hidden="1">#REF!,#REF!</definedName>
    <definedName name="Z_05DE23EB_1046_11D2_8E70_0008C77C0743_.wvu.PrintArea" localSheetId="11" hidden="1">#REF!</definedName>
    <definedName name="Z_05DE23EB_1046_11D2_8E70_0008C77C0743_.wvu.PrintArea" localSheetId="12" hidden="1">#REF!</definedName>
    <definedName name="Z_05DE23EB_1046_11D2_8E70_0008C77C0743_.wvu.PrintArea" hidden="1">#REF!</definedName>
    <definedName name="Z_05DE23EB_1046_11D2_8E70_0008C77C0743_.wvu.PrintTitles" localSheetId="11" hidden="1">#REF!,#REF!</definedName>
    <definedName name="Z_05DE23EB_1046_11D2_8E70_0008C77C0743_.wvu.PrintTitles" localSheetId="12" hidden="1">#REF!,#REF!</definedName>
    <definedName name="Z_05DE23EB_1046_11D2_8E70_0008C77C0743_.wvu.PrintTitles" hidden="1">#REF!,#REF!</definedName>
    <definedName name="Z_05DE23EE_1046_11D2_8E70_0008C77C0743_.wvu.PrintArea" localSheetId="11" hidden="1">#REF!</definedName>
    <definedName name="Z_05DE23EE_1046_11D2_8E70_0008C77C0743_.wvu.PrintArea" localSheetId="12" hidden="1">#REF!</definedName>
    <definedName name="Z_05DE23EE_1046_11D2_8E70_0008C77C0743_.wvu.PrintArea" hidden="1">#REF!</definedName>
    <definedName name="Z_05DE23EE_1046_11D2_8E70_0008C77C0743_.wvu.PrintTitles" localSheetId="11" hidden="1">#REF!</definedName>
    <definedName name="Z_05DE23EE_1046_11D2_8E70_0008C77C0743_.wvu.PrintTitles" localSheetId="12" hidden="1">#REF!</definedName>
    <definedName name="Z_05DE23EE_1046_11D2_8E70_0008C77C0743_.wvu.PrintTitles" hidden="1">#REF!</definedName>
    <definedName name="Z_05DE23F3_1046_11D2_8E70_0008C77C0743_.wvu.PrintArea" localSheetId="11" hidden="1">#REF!</definedName>
    <definedName name="Z_05DE23F3_1046_11D2_8E70_0008C77C0743_.wvu.PrintArea" localSheetId="12" hidden="1">#REF!</definedName>
    <definedName name="Z_05DE23F3_1046_11D2_8E70_0008C77C0743_.wvu.PrintArea" hidden="1">#REF!</definedName>
    <definedName name="Z_05DE23F3_1046_11D2_8E70_0008C77C0743_.wvu.PrintTitles" localSheetId="11" hidden="1">#REF!,#REF!</definedName>
    <definedName name="Z_05DE23F3_1046_11D2_8E70_0008C77C0743_.wvu.PrintTitles" localSheetId="12" hidden="1">#REF!,#REF!</definedName>
    <definedName name="Z_05DE23F3_1046_11D2_8E70_0008C77C0743_.wvu.PrintTitles" hidden="1">#REF!,#REF!</definedName>
    <definedName name="Z_05DE23F6_1046_11D2_8E70_0008C77C0743_.wvu.PrintArea" localSheetId="11" hidden="1">#REF!</definedName>
    <definedName name="Z_05DE23F6_1046_11D2_8E70_0008C77C0743_.wvu.PrintArea" localSheetId="12" hidden="1">#REF!</definedName>
    <definedName name="Z_05DE23F6_1046_11D2_8E70_0008C77C0743_.wvu.PrintArea" hidden="1">#REF!</definedName>
    <definedName name="Z_05DE23F6_1046_11D2_8E70_0008C77C0743_.wvu.PrintTitles" localSheetId="11" hidden="1">#REF!,#REF!</definedName>
    <definedName name="Z_05DE23F6_1046_11D2_8E70_0008C77C0743_.wvu.PrintTitles" localSheetId="12" hidden="1">#REF!,#REF!</definedName>
    <definedName name="Z_05DE23F6_1046_11D2_8E70_0008C77C0743_.wvu.PrintTitles" hidden="1">#REF!,#REF!</definedName>
    <definedName name="Z_0CE6A482_5DEF_11D2_8EC3_0008C77C0743_.wvu.PrintArea" localSheetId="11" hidden="1">#REF!</definedName>
    <definedName name="Z_0CE6A482_5DEF_11D2_8EC3_0008C77C0743_.wvu.PrintArea" localSheetId="12" hidden="1">#REF!</definedName>
    <definedName name="Z_0CE6A482_5DEF_11D2_8EC3_0008C77C0743_.wvu.PrintArea" hidden="1">#REF!</definedName>
    <definedName name="Z_0CE6A482_5DEF_11D2_8EC3_0008C77C0743_.wvu.PrintTitles" localSheetId="11" hidden="1">#REF!</definedName>
    <definedName name="Z_0CE6A482_5DEF_11D2_8EC3_0008C77C0743_.wvu.PrintTitles" localSheetId="12" hidden="1">#REF!</definedName>
    <definedName name="Z_0CE6A482_5DEF_11D2_8EC3_0008C77C0743_.wvu.PrintTitles" hidden="1">#REF!</definedName>
    <definedName name="Z_0CE6A491_5DEF_11D2_8EC3_0008C77C0743_.wvu.PrintArea" localSheetId="11" hidden="1">#REF!</definedName>
    <definedName name="Z_0CE6A491_5DEF_11D2_8EC3_0008C77C0743_.wvu.PrintArea" localSheetId="12" hidden="1">#REF!</definedName>
    <definedName name="Z_0CE6A491_5DEF_11D2_8EC3_0008C77C0743_.wvu.PrintArea" hidden="1">#REF!</definedName>
    <definedName name="Z_0CE6A491_5DEF_11D2_8EC3_0008C77C0743_.wvu.PrintTitles" localSheetId="11" hidden="1">#REF!</definedName>
    <definedName name="Z_0CE6A491_5DEF_11D2_8EC3_0008C77C0743_.wvu.PrintTitles" localSheetId="12" hidden="1">#REF!</definedName>
    <definedName name="Z_0CE6A491_5DEF_11D2_8EC3_0008C77C0743_.wvu.PrintTitles" hidden="1">#REF!</definedName>
    <definedName name="Z_0CE6A49E_5DEF_11D2_8EC3_0008C77C0743_.wvu.PrintArea" localSheetId="11" hidden="1">#REF!</definedName>
    <definedName name="Z_0CE6A49E_5DEF_11D2_8EC3_0008C77C0743_.wvu.PrintArea" localSheetId="12" hidden="1">#REF!</definedName>
    <definedName name="Z_0CE6A49E_5DEF_11D2_8EC3_0008C77C0743_.wvu.PrintArea" hidden="1">#REF!</definedName>
    <definedName name="Z_0CE6A49E_5DEF_11D2_8EC3_0008C77C0743_.wvu.PrintTitles" localSheetId="11" hidden="1">#REF!,#REF!</definedName>
    <definedName name="Z_0CE6A49E_5DEF_11D2_8EC3_0008C77C0743_.wvu.PrintTitles" localSheetId="12" hidden="1">#REF!,#REF!</definedName>
    <definedName name="Z_0CE6A49E_5DEF_11D2_8EC3_0008C77C0743_.wvu.PrintTitles" hidden="1">#REF!,#REF!</definedName>
    <definedName name="Z_0CE6A4AB_5DEF_11D2_8EC3_0008C77C0743_.wvu.PrintArea" localSheetId="11" hidden="1">#REF!</definedName>
    <definedName name="Z_0CE6A4AB_5DEF_11D2_8EC3_0008C77C0743_.wvu.PrintArea" localSheetId="12" hidden="1">#REF!</definedName>
    <definedName name="Z_0CE6A4AB_5DEF_11D2_8EC3_0008C77C0743_.wvu.PrintArea" hidden="1">#REF!</definedName>
    <definedName name="Z_0CE6A4AB_5DEF_11D2_8EC3_0008C77C0743_.wvu.PrintTitles" localSheetId="11" hidden="1">#REF!</definedName>
    <definedName name="Z_0CE6A4AB_5DEF_11D2_8EC3_0008C77C0743_.wvu.PrintTitles" localSheetId="12" hidden="1">#REF!</definedName>
    <definedName name="Z_0CE6A4AB_5DEF_11D2_8EC3_0008C77C0743_.wvu.PrintTitles" hidden="1">#REF!</definedName>
    <definedName name="Z_0CE6A4BA_5DEF_11D2_8EC3_0008C77C0743_.wvu.PrintArea" localSheetId="11" hidden="1">#REF!</definedName>
    <definedName name="Z_0CE6A4BA_5DEF_11D2_8EC3_0008C77C0743_.wvu.PrintArea" localSheetId="12" hidden="1">#REF!</definedName>
    <definedName name="Z_0CE6A4BA_5DEF_11D2_8EC3_0008C77C0743_.wvu.PrintArea" hidden="1">#REF!</definedName>
    <definedName name="Z_0CE6A4BA_5DEF_11D2_8EC3_0008C77C0743_.wvu.PrintTitles" localSheetId="11" hidden="1">#REF!</definedName>
    <definedName name="Z_0CE6A4BA_5DEF_11D2_8EC3_0008C77C0743_.wvu.PrintTitles" localSheetId="12" hidden="1">#REF!</definedName>
    <definedName name="Z_0CE6A4BA_5DEF_11D2_8EC3_0008C77C0743_.wvu.PrintTitles" hidden="1">#REF!</definedName>
    <definedName name="Z_0CE6A4C7_5DEF_11D2_8EC3_0008C77C0743_.wvu.PrintArea" localSheetId="11" hidden="1">#REF!</definedName>
    <definedName name="Z_0CE6A4C7_5DEF_11D2_8EC3_0008C77C0743_.wvu.PrintArea" localSheetId="12" hidden="1">#REF!</definedName>
    <definedName name="Z_0CE6A4C7_5DEF_11D2_8EC3_0008C77C0743_.wvu.PrintArea" hidden="1">#REF!</definedName>
    <definedName name="Z_0CE6A4C7_5DEF_11D2_8EC3_0008C77C0743_.wvu.PrintTitles" localSheetId="11" hidden="1">#REF!,#REF!</definedName>
    <definedName name="Z_0CE6A4C7_5DEF_11D2_8EC3_0008C77C0743_.wvu.PrintTitles" localSheetId="12" hidden="1">#REF!,#REF!</definedName>
    <definedName name="Z_0CE6A4C7_5DEF_11D2_8EC3_0008C77C0743_.wvu.PrintTitles" hidden="1">#REF!,#REF!</definedName>
    <definedName name="Z_0CE6A4D4_5DEF_11D2_8EC3_0008C77C0743_.wvu.PrintArea" localSheetId="11" hidden="1">#REF!</definedName>
    <definedName name="Z_0CE6A4D4_5DEF_11D2_8EC3_0008C77C0743_.wvu.PrintArea" localSheetId="12" hidden="1">#REF!</definedName>
    <definedName name="Z_0CE6A4D4_5DEF_11D2_8EC3_0008C77C0743_.wvu.PrintArea" hidden="1">#REF!</definedName>
    <definedName name="Z_0CE6A4D4_5DEF_11D2_8EC3_0008C77C0743_.wvu.PrintTitles" localSheetId="11" hidden="1">#REF!</definedName>
    <definedName name="Z_0CE6A4D4_5DEF_11D2_8EC3_0008C77C0743_.wvu.PrintTitles" localSheetId="12" hidden="1">#REF!</definedName>
    <definedName name="Z_0CE6A4D4_5DEF_11D2_8EC3_0008C77C0743_.wvu.PrintTitles" hidden="1">#REF!</definedName>
    <definedName name="Z_0CE6A4E3_5DEF_11D2_8EC3_0008C77C0743_.wvu.PrintArea" localSheetId="11" hidden="1">#REF!</definedName>
    <definedName name="Z_0CE6A4E3_5DEF_11D2_8EC3_0008C77C0743_.wvu.PrintArea" localSheetId="12" hidden="1">#REF!</definedName>
    <definedName name="Z_0CE6A4E3_5DEF_11D2_8EC3_0008C77C0743_.wvu.PrintArea" hidden="1">#REF!</definedName>
    <definedName name="Z_0CE6A4E3_5DEF_11D2_8EC3_0008C77C0743_.wvu.PrintTitles" localSheetId="11" hidden="1">#REF!</definedName>
    <definedName name="Z_0CE6A4E3_5DEF_11D2_8EC3_0008C77C0743_.wvu.PrintTitles" localSheetId="12" hidden="1">#REF!</definedName>
    <definedName name="Z_0CE6A4E3_5DEF_11D2_8EC3_0008C77C0743_.wvu.PrintTitles" hidden="1">#REF!</definedName>
    <definedName name="Z_0CE6A4F0_5DEF_11D2_8EC3_0008C77C0743_.wvu.PrintArea" localSheetId="11" hidden="1">#REF!</definedName>
    <definedName name="Z_0CE6A4F0_5DEF_11D2_8EC3_0008C77C0743_.wvu.PrintArea" localSheetId="12" hidden="1">#REF!</definedName>
    <definedName name="Z_0CE6A4F0_5DEF_11D2_8EC3_0008C77C0743_.wvu.PrintArea" hidden="1">#REF!</definedName>
    <definedName name="Z_0CE6A4F0_5DEF_11D2_8EC3_0008C77C0743_.wvu.PrintTitles" localSheetId="11" hidden="1">#REF!,#REF!</definedName>
    <definedName name="Z_0CE6A4F0_5DEF_11D2_8EC3_0008C77C0743_.wvu.PrintTitles" localSheetId="12" hidden="1">#REF!,#REF!</definedName>
    <definedName name="Z_0CE6A4F0_5DEF_11D2_8EC3_0008C77C0743_.wvu.PrintTitles" hidden="1">#REF!,#REF!</definedName>
    <definedName name="Z_0CE6A4FD_5DEF_11D2_8EC3_0008C77C0743_.wvu.PrintArea" localSheetId="11" hidden="1">#REF!</definedName>
    <definedName name="Z_0CE6A4FD_5DEF_11D2_8EC3_0008C77C0743_.wvu.PrintArea" localSheetId="12" hidden="1">#REF!</definedName>
    <definedName name="Z_0CE6A4FD_5DEF_11D2_8EC3_0008C77C0743_.wvu.PrintArea" hidden="1">#REF!</definedName>
    <definedName name="Z_0CE6A4FD_5DEF_11D2_8EC3_0008C77C0743_.wvu.PrintTitles" localSheetId="11" hidden="1">#REF!</definedName>
    <definedName name="Z_0CE6A4FD_5DEF_11D2_8EC3_0008C77C0743_.wvu.PrintTitles" localSheetId="12" hidden="1">#REF!</definedName>
    <definedName name="Z_0CE6A4FD_5DEF_11D2_8EC3_0008C77C0743_.wvu.PrintTitles" hidden="1">#REF!</definedName>
    <definedName name="Z_0CE6A50C_5DEF_11D2_8EC3_0008C77C0743_.wvu.PrintArea" localSheetId="11" hidden="1">#REF!</definedName>
    <definedName name="Z_0CE6A50C_5DEF_11D2_8EC3_0008C77C0743_.wvu.PrintArea" localSheetId="12" hidden="1">#REF!</definedName>
    <definedName name="Z_0CE6A50C_5DEF_11D2_8EC3_0008C77C0743_.wvu.PrintArea" hidden="1">#REF!</definedName>
    <definedName name="Z_0CE6A50C_5DEF_11D2_8EC3_0008C77C0743_.wvu.PrintTitles" localSheetId="11" hidden="1">#REF!</definedName>
    <definedName name="Z_0CE6A50C_5DEF_11D2_8EC3_0008C77C0743_.wvu.PrintTitles" localSheetId="12" hidden="1">#REF!</definedName>
    <definedName name="Z_0CE6A50C_5DEF_11D2_8EC3_0008C77C0743_.wvu.PrintTitles" hidden="1">#REF!</definedName>
    <definedName name="Z_0CE6A519_5DEF_11D2_8EC3_0008C77C0743_.wvu.PrintArea" localSheetId="11" hidden="1">#REF!</definedName>
    <definedName name="Z_0CE6A519_5DEF_11D2_8EC3_0008C77C0743_.wvu.PrintArea" localSheetId="12" hidden="1">#REF!</definedName>
    <definedName name="Z_0CE6A519_5DEF_11D2_8EC3_0008C77C0743_.wvu.PrintArea" hidden="1">#REF!</definedName>
    <definedName name="Z_0CE6A519_5DEF_11D2_8EC3_0008C77C0743_.wvu.PrintTitles" localSheetId="11" hidden="1">#REF!,#REF!</definedName>
    <definedName name="Z_0CE6A519_5DEF_11D2_8EC3_0008C77C0743_.wvu.PrintTitles" localSheetId="12" hidden="1">#REF!,#REF!</definedName>
    <definedName name="Z_0CE6A519_5DEF_11D2_8EC3_0008C77C0743_.wvu.PrintTitles" hidden="1">#REF!,#REF!</definedName>
    <definedName name="Z_0E8DEF60_5D61_11D2_8EEB_0008C7BCAF29_.wvu.PrintArea" localSheetId="11" hidden="1">#REF!</definedName>
    <definedName name="Z_0E8DEF60_5D61_11D2_8EEB_0008C7BCAF29_.wvu.PrintArea" localSheetId="12" hidden="1">#REF!</definedName>
    <definedName name="Z_0E8DEF60_5D61_11D2_8EEB_0008C7BCAF29_.wvu.PrintArea" hidden="1">#REF!</definedName>
    <definedName name="Z_0E8DEF60_5D61_11D2_8EEB_0008C7BCAF29_.wvu.PrintTitles" localSheetId="11" hidden="1">#REF!,#REF!</definedName>
    <definedName name="Z_0E8DEF60_5D61_11D2_8EEB_0008C7BCAF29_.wvu.PrintTitles" localSheetId="12" hidden="1">#REF!,#REF!</definedName>
    <definedName name="Z_0E8DEF60_5D61_11D2_8EEB_0008C7BCAF29_.wvu.PrintTitles" hidden="1">#REF!,#REF!</definedName>
    <definedName name="Z_0E8DEF63_5D61_11D2_8EEB_0008C7BCAF29_.wvu.PrintArea" localSheetId="11" hidden="1">#REF!</definedName>
    <definedName name="Z_0E8DEF63_5D61_11D2_8EEB_0008C7BCAF29_.wvu.PrintArea" localSheetId="12" hidden="1">#REF!</definedName>
    <definedName name="Z_0E8DEF63_5D61_11D2_8EEB_0008C7BCAF29_.wvu.PrintArea" hidden="1">#REF!</definedName>
    <definedName name="Z_0E8DEF63_5D61_11D2_8EEB_0008C7BCAF29_.wvu.PrintTitles" localSheetId="11" hidden="1">#REF!</definedName>
    <definedName name="Z_0E8DEF63_5D61_11D2_8EEB_0008C7BCAF29_.wvu.PrintTitles" localSheetId="12" hidden="1">#REF!</definedName>
    <definedName name="Z_0E8DEF63_5D61_11D2_8EEB_0008C7BCAF29_.wvu.PrintTitles" hidden="1">#REF!</definedName>
    <definedName name="Z_0E8DEF68_5D61_11D2_8EEB_0008C7BCAF29_.wvu.PrintArea" localSheetId="11" hidden="1">#REF!</definedName>
    <definedName name="Z_0E8DEF68_5D61_11D2_8EEB_0008C7BCAF29_.wvu.PrintArea" localSheetId="12" hidden="1">#REF!</definedName>
    <definedName name="Z_0E8DEF68_5D61_11D2_8EEB_0008C7BCAF29_.wvu.PrintArea" hidden="1">#REF!</definedName>
    <definedName name="Z_0E8DEF68_5D61_11D2_8EEB_0008C7BCAF29_.wvu.PrintTitles" localSheetId="11" hidden="1">#REF!,#REF!</definedName>
    <definedName name="Z_0E8DEF68_5D61_11D2_8EEB_0008C7BCAF29_.wvu.PrintTitles" localSheetId="12" hidden="1">#REF!,#REF!</definedName>
    <definedName name="Z_0E8DEF68_5D61_11D2_8EEB_0008C7BCAF29_.wvu.PrintTitles" hidden="1">#REF!,#REF!</definedName>
    <definedName name="Z_0E8DEF6A_5D61_11D2_8EEB_0008C7BCAF29_.wvu.PrintArea" localSheetId="11" hidden="1">#REF!</definedName>
    <definedName name="Z_0E8DEF6A_5D61_11D2_8EEB_0008C7BCAF29_.wvu.PrintArea" localSheetId="12" hidden="1">#REF!</definedName>
    <definedName name="Z_0E8DEF6A_5D61_11D2_8EEB_0008C7BCAF29_.wvu.PrintArea" hidden="1">#REF!</definedName>
    <definedName name="Z_0E8DEF6A_5D61_11D2_8EEB_0008C7BCAF29_.wvu.PrintTitles" localSheetId="11" hidden="1">#REF!,#REF!</definedName>
    <definedName name="Z_0E8DEF6A_5D61_11D2_8EEB_0008C7BCAF29_.wvu.PrintTitles" localSheetId="12" hidden="1">#REF!,#REF!</definedName>
    <definedName name="Z_0E8DEF6A_5D61_11D2_8EEB_0008C7BCAF29_.wvu.PrintTitles" hidden="1">#REF!,#REF!</definedName>
    <definedName name="Z_0E8DEF6D_5D61_11D2_8EEB_0008C7BCAF29_.wvu.PrintArea" localSheetId="11" hidden="1">#REF!</definedName>
    <definedName name="Z_0E8DEF6D_5D61_11D2_8EEB_0008C7BCAF29_.wvu.PrintArea" localSheetId="12" hidden="1">#REF!</definedName>
    <definedName name="Z_0E8DEF6D_5D61_11D2_8EEB_0008C7BCAF29_.wvu.PrintArea" hidden="1">#REF!</definedName>
    <definedName name="Z_0E8DEF6D_5D61_11D2_8EEB_0008C7BCAF29_.wvu.PrintTitles" localSheetId="11" hidden="1">#REF!</definedName>
    <definedName name="Z_0E8DEF6D_5D61_11D2_8EEB_0008C7BCAF29_.wvu.PrintTitles" localSheetId="12" hidden="1">#REF!</definedName>
    <definedName name="Z_0E8DEF6D_5D61_11D2_8EEB_0008C7BCAF29_.wvu.PrintTitles" hidden="1">#REF!</definedName>
    <definedName name="Z_0E8DEF72_5D61_11D2_8EEB_0008C7BCAF29_.wvu.PrintArea" localSheetId="11" hidden="1">#REF!</definedName>
    <definedName name="Z_0E8DEF72_5D61_11D2_8EEB_0008C7BCAF29_.wvu.PrintArea" localSheetId="12" hidden="1">#REF!</definedName>
    <definedName name="Z_0E8DEF72_5D61_11D2_8EEB_0008C7BCAF29_.wvu.PrintArea" hidden="1">#REF!</definedName>
    <definedName name="Z_0E8DEF72_5D61_11D2_8EEB_0008C7BCAF29_.wvu.PrintTitles" localSheetId="11" hidden="1">#REF!,#REF!</definedName>
    <definedName name="Z_0E8DEF72_5D61_11D2_8EEB_0008C7BCAF29_.wvu.PrintTitles" localSheetId="12" hidden="1">#REF!,#REF!</definedName>
    <definedName name="Z_0E8DEF72_5D61_11D2_8EEB_0008C7BCAF29_.wvu.PrintTitles" hidden="1">#REF!,#REF!</definedName>
    <definedName name="Z_0E8DEF75_5D61_11D2_8EEB_0008C7BCAF29_.wvu.PrintArea" localSheetId="11" hidden="1">#REF!</definedName>
    <definedName name="Z_0E8DEF75_5D61_11D2_8EEB_0008C7BCAF29_.wvu.PrintArea" localSheetId="12" hidden="1">#REF!</definedName>
    <definedName name="Z_0E8DEF75_5D61_11D2_8EEB_0008C7BCAF29_.wvu.PrintArea" hidden="1">#REF!</definedName>
    <definedName name="Z_0E8DEF75_5D61_11D2_8EEB_0008C7BCAF29_.wvu.PrintTitles" localSheetId="11" hidden="1">#REF!,#REF!</definedName>
    <definedName name="Z_0E8DEF75_5D61_11D2_8EEB_0008C7BCAF29_.wvu.PrintTitles" localSheetId="12" hidden="1">#REF!,#REF!</definedName>
    <definedName name="Z_0E8DEF75_5D61_11D2_8EEB_0008C7BCAF29_.wvu.PrintTitles" hidden="1">#REF!,#REF!</definedName>
    <definedName name="Z_179EFDC8_A1B1_11D3_8FA9_0008C7809E09_.wvu.PrintArea" localSheetId="11" hidden="1">#REF!</definedName>
    <definedName name="Z_179EFDC8_A1B1_11D3_8FA9_0008C7809E09_.wvu.PrintArea" localSheetId="12" hidden="1">#REF!</definedName>
    <definedName name="Z_179EFDC8_A1B1_11D3_8FA9_0008C7809E09_.wvu.PrintArea" hidden="1">#REF!</definedName>
    <definedName name="Z_179EFDC8_A1B1_11D3_8FA9_0008C7809E09_.wvu.PrintTitles" localSheetId="11" hidden="1">#REF!,#REF!</definedName>
    <definedName name="Z_179EFDC8_A1B1_11D3_8FA9_0008C7809E09_.wvu.PrintTitles" localSheetId="12" hidden="1">#REF!,#REF!</definedName>
    <definedName name="Z_179EFDC8_A1B1_11D3_8FA9_0008C7809E09_.wvu.PrintTitles" hidden="1">#REF!,#REF!</definedName>
    <definedName name="Z_179EFDC9_A1B1_11D3_8FA9_0008C7809E09_.wvu.PrintArea" localSheetId="11" hidden="1">#REF!</definedName>
    <definedName name="Z_179EFDC9_A1B1_11D3_8FA9_0008C7809E09_.wvu.PrintArea" localSheetId="12" hidden="1">#REF!</definedName>
    <definedName name="Z_179EFDC9_A1B1_11D3_8FA9_0008C7809E09_.wvu.PrintArea" hidden="1">#REF!</definedName>
    <definedName name="Z_179EFDC9_A1B1_11D3_8FA9_0008C7809E09_.wvu.PrintTitles" localSheetId="11" hidden="1">#REF!,#REF!</definedName>
    <definedName name="Z_179EFDC9_A1B1_11D3_8FA9_0008C7809E09_.wvu.PrintTitles" localSheetId="12" hidden="1">#REF!,#REF!</definedName>
    <definedName name="Z_179EFDC9_A1B1_11D3_8FA9_0008C7809E09_.wvu.PrintTitles" hidden="1">#REF!,#REF!</definedName>
    <definedName name="Z_179EFDCA_A1B1_11D3_8FA9_0008C7809E09_.wvu.PrintArea" localSheetId="11" hidden="1">#REF!</definedName>
    <definedName name="Z_179EFDCA_A1B1_11D3_8FA9_0008C7809E09_.wvu.PrintArea" localSheetId="12" hidden="1">#REF!</definedName>
    <definedName name="Z_179EFDCA_A1B1_11D3_8FA9_0008C7809E09_.wvu.PrintArea" hidden="1">#REF!</definedName>
    <definedName name="Z_179EFDCA_A1B1_11D3_8FA9_0008C7809E09_.wvu.PrintTitles" localSheetId="11" hidden="1">#REF!,#REF!</definedName>
    <definedName name="Z_179EFDCA_A1B1_11D3_8FA9_0008C7809E09_.wvu.PrintTitles" localSheetId="12" hidden="1">#REF!,#REF!</definedName>
    <definedName name="Z_179EFDCA_A1B1_11D3_8FA9_0008C7809E09_.wvu.PrintTitles" hidden="1">#REF!,#REF!</definedName>
    <definedName name="Z_179EFDCB_A1B1_11D3_8FA9_0008C7809E09_.wvu.PrintArea" localSheetId="11" hidden="1">#REF!</definedName>
    <definedName name="Z_179EFDCB_A1B1_11D3_8FA9_0008C7809E09_.wvu.PrintArea" localSheetId="12" hidden="1">#REF!</definedName>
    <definedName name="Z_179EFDCB_A1B1_11D3_8FA9_0008C7809E09_.wvu.PrintArea" hidden="1">#REF!</definedName>
    <definedName name="Z_179EFDCB_A1B1_11D3_8FA9_0008C7809E09_.wvu.PrintTitles" localSheetId="11" hidden="1">#REF!,#REF!</definedName>
    <definedName name="Z_179EFDCB_A1B1_11D3_8FA9_0008C7809E09_.wvu.PrintTitles" localSheetId="12" hidden="1">#REF!,#REF!</definedName>
    <definedName name="Z_179EFDCB_A1B1_11D3_8FA9_0008C7809E09_.wvu.PrintTitles" hidden="1">#REF!,#REF!</definedName>
    <definedName name="Z_179EFDCC_A1B1_11D3_8FA9_0008C7809E09_.wvu.PrintArea" localSheetId="11" hidden="1">#REF!</definedName>
    <definedName name="Z_179EFDCC_A1B1_11D3_8FA9_0008C7809E09_.wvu.PrintArea" localSheetId="12" hidden="1">#REF!</definedName>
    <definedName name="Z_179EFDCC_A1B1_11D3_8FA9_0008C7809E09_.wvu.PrintArea" hidden="1">#REF!</definedName>
    <definedName name="Z_179EFDCC_A1B1_11D3_8FA9_0008C7809E09_.wvu.PrintTitles" localSheetId="11" hidden="1">#REF!,#REF!</definedName>
    <definedName name="Z_179EFDCC_A1B1_11D3_8FA9_0008C7809E09_.wvu.PrintTitles" localSheetId="12" hidden="1">#REF!,#REF!</definedName>
    <definedName name="Z_179EFDCC_A1B1_11D3_8FA9_0008C7809E09_.wvu.PrintTitles" hidden="1">#REF!,#REF!</definedName>
    <definedName name="Z_179EFDCD_A1B1_11D3_8FA9_0008C7809E09_.wvu.PrintArea" localSheetId="11" hidden="1">#REF!</definedName>
    <definedName name="Z_179EFDCD_A1B1_11D3_8FA9_0008C7809E09_.wvu.PrintArea" localSheetId="12" hidden="1">#REF!</definedName>
    <definedName name="Z_179EFDCD_A1B1_11D3_8FA9_0008C7809E09_.wvu.PrintArea" hidden="1">#REF!</definedName>
    <definedName name="Z_179EFDCD_A1B1_11D3_8FA9_0008C7809E09_.wvu.PrintTitles" localSheetId="11" hidden="1">#REF!,#REF!</definedName>
    <definedName name="Z_179EFDCD_A1B1_11D3_8FA9_0008C7809E09_.wvu.PrintTitles" localSheetId="12" hidden="1">#REF!,#REF!</definedName>
    <definedName name="Z_179EFDCD_A1B1_11D3_8FA9_0008C7809E09_.wvu.PrintTitles" hidden="1">#REF!,#REF!</definedName>
    <definedName name="Z_179EFDCE_A1B1_11D3_8FA9_0008C7809E09_.wvu.PrintArea" localSheetId="11" hidden="1">#REF!</definedName>
    <definedName name="Z_179EFDCE_A1B1_11D3_8FA9_0008C7809E09_.wvu.PrintArea" localSheetId="12" hidden="1">#REF!</definedName>
    <definedName name="Z_179EFDCE_A1B1_11D3_8FA9_0008C7809E09_.wvu.PrintArea" hidden="1">#REF!</definedName>
    <definedName name="Z_179EFDCE_A1B1_11D3_8FA9_0008C7809E09_.wvu.PrintTitles" localSheetId="11" hidden="1">#REF!,#REF!</definedName>
    <definedName name="Z_179EFDCE_A1B1_11D3_8FA9_0008C7809E09_.wvu.PrintTitles" localSheetId="12" hidden="1">#REF!,#REF!</definedName>
    <definedName name="Z_179EFDCE_A1B1_11D3_8FA9_0008C7809E09_.wvu.PrintTitles" hidden="1">#REF!,#REF!</definedName>
    <definedName name="Z_179EFDCF_A1B1_11D3_8FA9_0008C7809E09_.wvu.PrintArea" localSheetId="11" hidden="1">#REF!</definedName>
    <definedName name="Z_179EFDCF_A1B1_11D3_8FA9_0008C7809E09_.wvu.PrintArea" localSheetId="12" hidden="1">#REF!</definedName>
    <definedName name="Z_179EFDCF_A1B1_11D3_8FA9_0008C7809E09_.wvu.PrintArea" hidden="1">#REF!</definedName>
    <definedName name="Z_179EFDCF_A1B1_11D3_8FA9_0008C7809E09_.wvu.PrintTitles" localSheetId="11" hidden="1">#REF!,#REF!</definedName>
    <definedName name="Z_179EFDCF_A1B1_11D3_8FA9_0008C7809E09_.wvu.PrintTitles" localSheetId="12" hidden="1">#REF!,#REF!</definedName>
    <definedName name="Z_179EFDCF_A1B1_11D3_8FA9_0008C7809E09_.wvu.PrintTitles" hidden="1">#REF!,#REF!</definedName>
    <definedName name="Z_179EFDD0_A1B1_11D3_8FA9_0008C7809E09_.wvu.PrintArea" localSheetId="11" hidden="1">#REF!</definedName>
    <definedName name="Z_179EFDD0_A1B1_11D3_8FA9_0008C7809E09_.wvu.PrintArea" localSheetId="12" hidden="1">#REF!</definedName>
    <definedName name="Z_179EFDD0_A1B1_11D3_8FA9_0008C7809E09_.wvu.PrintArea" hidden="1">#REF!</definedName>
    <definedName name="Z_179EFDD0_A1B1_11D3_8FA9_0008C7809E09_.wvu.PrintTitles" localSheetId="11" hidden="1">#REF!,#REF!</definedName>
    <definedName name="Z_179EFDD0_A1B1_11D3_8FA9_0008C7809E09_.wvu.PrintTitles" localSheetId="12" hidden="1">#REF!,#REF!</definedName>
    <definedName name="Z_179EFDD0_A1B1_11D3_8FA9_0008C7809E09_.wvu.PrintTitles" hidden="1">#REF!,#REF!</definedName>
    <definedName name="Z_179EFDD1_A1B1_11D3_8FA9_0008C7809E09_.wvu.PrintArea" localSheetId="11" hidden="1">#REF!</definedName>
    <definedName name="Z_179EFDD1_A1B1_11D3_8FA9_0008C7809E09_.wvu.PrintArea" localSheetId="12" hidden="1">#REF!</definedName>
    <definedName name="Z_179EFDD1_A1B1_11D3_8FA9_0008C7809E09_.wvu.PrintArea" hidden="1">#REF!</definedName>
    <definedName name="Z_179EFDD1_A1B1_11D3_8FA9_0008C7809E09_.wvu.PrintTitles" localSheetId="11" hidden="1">#REF!,#REF!</definedName>
    <definedName name="Z_179EFDD1_A1B1_11D3_8FA9_0008C7809E09_.wvu.PrintTitles" localSheetId="12" hidden="1">#REF!,#REF!</definedName>
    <definedName name="Z_179EFDD1_A1B1_11D3_8FA9_0008C7809E09_.wvu.PrintTitles" hidden="1">#REF!,#REF!</definedName>
    <definedName name="Z_179EFDD2_A1B1_11D3_8FA9_0008C7809E09_.wvu.PrintArea" localSheetId="11" hidden="1">#REF!</definedName>
    <definedName name="Z_179EFDD2_A1B1_11D3_8FA9_0008C7809E09_.wvu.PrintArea" localSheetId="12" hidden="1">#REF!</definedName>
    <definedName name="Z_179EFDD2_A1B1_11D3_8FA9_0008C7809E09_.wvu.PrintArea" hidden="1">#REF!</definedName>
    <definedName name="Z_179EFDD2_A1B1_11D3_8FA9_0008C7809E09_.wvu.PrintTitles" localSheetId="11" hidden="1">#REF!,#REF!</definedName>
    <definedName name="Z_179EFDD2_A1B1_11D3_8FA9_0008C7809E09_.wvu.PrintTitles" localSheetId="12" hidden="1">#REF!,#REF!</definedName>
    <definedName name="Z_179EFDD2_A1B1_11D3_8FA9_0008C7809E09_.wvu.PrintTitles" hidden="1">#REF!,#REF!</definedName>
    <definedName name="Z_179EFDD3_A1B1_11D3_8FA9_0008C7809E09_.wvu.PrintArea" localSheetId="11" hidden="1">#REF!</definedName>
    <definedName name="Z_179EFDD3_A1B1_11D3_8FA9_0008C7809E09_.wvu.PrintArea" localSheetId="12" hidden="1">#REF!</definedName>
    <definedName name="Z_179EFDD3_A1B1_11D3_8FA9_0008C7809E09_.wvu.PrintArea" hidden="1">#REF!</definedName>
    <definedName name="Z_179EFDD3_A1B1_11D3_8FA9_0008C7809E09_.wvu.PrintTitles" localSheetId="11" hidden="1">#REF!,#REF!</definedName>
    <definedName name="Z_179EFDD3_A1B1_11D3_8FA9_0008C7809E09_.wvu.PrintTitles" localSheetId="12" hidden="1">#REF!,#REF!</definedName>
    <definedName name="Z_179EFDD3_A1B1_11D3_8FA9_0008C7809E09_.wvu.PrintTitles" hidden="1">#REF!,#REF!</definedName>
    <definedName name="Z_179EFDD4_A1B1_11D3_8FA9_0008C7809E09_.wvu.PrintArea" localSheetId="11" hidden="1">#REF!</definedName>
    <definedName name="Z_179EFDD4_A1B1_11D3_8FA9_0008C7809E09_.wvu.PrintArea" localSheetId="12" hidden="1">#REF!</definedName>
    <definedName name="Z_179EFDD4_A1B1_11D3_8FA9_0008C7809E09_.wvu.PrintArea" hidden="1">#REF!</definedName>
    <definedName name="Z_179EFDD4_A1B1_11D3_8FA9_0008C7809E09_.wvu.PrintTitles" localSheetId="11" hidden="1">#REF!,#REF!</definedName>
    <definedName name="Z_179EFDD4_A1B1_11D3_8FA9_0008C7809E09_.wvu.PrintTitles" localSheetId="12" hidden="1">#REF!,#REF!</definedName>
    <definedName name="Z_179EFDD4_A1B1_11D3_8FA9_0008C7809E09_.wvu.PrintTitles" hidden="1">#REF!,#REF!</definedName>
    <definedName name="Z_179EFDD5_A1B1_11D3_8FA9_0008C7809E09_.wvu.PrintArea" localSheetId="11" hidden="1">#REF!</definedName>
    <definedName name="Z_179EFDD5_A1B1_11D3_8FA9_0008C7809E09_.wvu.PrintArea" localSheetId="12" hidden="1">#REF!</definedName>
    <definedName name="Z_179EFDD5_A1B1_11D3_8FA9_0008C7809E09_.wvu.PrintArea" hidden="1">#REF!</definedName>
    <definedName name="Z_179EFDD5_A1B1_11D3_8FA9_0008C7809E09_.wvu.PrintTitles" localSheetId="11" hidden="1">#REF!,#REF!</definedName>
    <definedName name="Z_179EFDD5_A1B1_11D3_8FA9_0008C7809E09_.wvu.PrintTitles" localSheetId="12" hidden="1">#REF!,#REF!</definedName>
    <definedName name="Z_179EFDD5_A1B1_11D3_8FA9_0008C7809E09_.wvu.PrintTitles" hidden="1">#REF!,#REF!</definedName>
    <definedName name="Z_179EFDD6_A1B1_11D3_8FA9_0008C7809E09_.wvu.PrintArea" localSheetId="11" hidden="1">#REF!</definedName>
    <definedName name="Z_179EFDD6_A1B1_11D3_8FA9_0008C7809E09_.wvu.PrintArea" localSheetId="12" hidden="1">#REF!</definedName>
    <definedName name="Z_179EFDD6_A1B1_11D3_8FA9_0008C7809E09_.wvu.PrintArea" hidden="1">#REF!</definedName>
    <definedName name="Z_179EFDD6_A1B1_11D3_8FA9_0008C7809E09_.wvu.PrintTitles" localSheetId="11" hidden="1">#REF!,#REF!</definedName>
    <definedName name="Z_179EFDD6_A1B1_11D3_8FA9_0008C7809E09_.wvu.PrintTitles" localSheetId="12" hidden="1">#REF!,#REF!</definedName>
    <definedName name="Z_179EFDD6_A1B1_11D3_8FA9_0008C7809E09_.wvu.PrintTitles" hidden="1">#REF!,#REF!</definedName>
    <definedName name="Z_179EFDD7_A1B1_11D3_8FA9_0008C7809E09_.wvu.PrintArea" localSheetId="11" hidden="1">#REF!</definedName>
    <definedName name="Z_179EFDD7_A1B1_11D3_8FA9_0008C7809E09_.wvu.PrintArea" localSheetId="12" hidden="1">#REF!</definedName>
    <definedName name="Z_179EFDD7_A1B1_11D3_8FA9_0008C7809E09_.wvu.PrintArea" hidden="1">#REF!</definedName>
    <definedName name="Z_179EFDD7_A1B1_11D3_8FA9_0008C7809E09_.wvu.PrintTitles" localSheetId="11" hidden="1">#REF!,#REF!</definedName>
    <definedName name="Z_179EFDD7_A1B1_11D3_8FA9_0008C7809E09_.wvu.PrintTitles" localSheetId="12" hidden="1">#REF!,#REF!</definedName>
    <definedName name="Z_179EFDD7_A1B1_11D3_8FA9_0008C7809E09_.wvu.PrintTitles" hidden="1">#REF!,#REF!</definedName>
    <definedName name="Z_179EFDD8_A1B1_11D3_8FA9_0008C7809E09_.wvu.PrintArea" localSheetId="11" hidden="1">#REF!</definedName>
    <definedName name="Z_179EFDD8_A1B1_11D3_8FA9_0008C7809E09_.wvu.PrintArea" localSheetId="12" hidden="1">#REF!</definedName>
    <definedName name="Z_179EFDD8_A1B1_11D3_8FA9_0008C7809E09_.wvu.PrintArea" hidden="1">#REF!</definedName>
    <definedName name="Z_179EFDD8_A1B1_11D3_8FA9_0008C7809E09_.wvu.PrintTitles" localSheetId="11" hidden="1">#REF!,#REF!</definedName>
    <definedName name="Z_179EFDD8_A1B1_11D3_8FA9_0008C7809E09_.wvu.PrintTitles" localSheetId="12" hidden="1">#REF!,#REF!</definedName>
    <definedName name="Z_179EFDD8_A1B1_11D3_8FA9_0008C7809E09_.wvu.PrintTitles" hidden="1">#REF!,#REF!</definedName>
    <definedName name="Z_179EFDD9_A1B1_11D3_8FA9_0008C7809E09_.wvu.PrintArea" localSheetId="11" hidden="1">#REF!</definedName>
    <definedName name="Z_179EFDD9_A1B1_11D3_8FA9_0008C7809E09_.wvu.PrintArea" localSheetId="12" hidden="1">#REF!</definedName>
    <definedName name="Z_179EFDD9_A1B1_11D3_8FA9_0008C7809E09_.wvu.PrintArea" hidden="1">#REF!</definedName>
    <definedName name="Z_179EFDD9_A1B1_11D3_8FA9_0008C7809E09_.wvu.PrintTitles" localSheetId="11" hidden="1">#REF!,#REF!</definedName>
    <definedName name="Z_179EFDD9_A1B1_11D3_8FA9_0008C7809E09_.wvu.PrintTitles" localSheetId="12" hidden="1">#REF!,#REF!</definedName>
    <definedName name="Z_179EFDD9_A1B1_11D3_8FA9_0008C7809E09_.wvu.PrintTitles" hidden="1">#REF!,#REF!</definedName>
    <definedName name="Z_179EFDDA_A1B1_11D3_8FA9_0008C7809E09_.wvu.PrintArea" localSheetId="11" hidden="1">#REF!</definedName>
    <definedName name="Z_179EFDDA_A1B1_11D3_8FA9_0008C7809E09_.wvu.PrintArea" localSheetId="12" hidden="1">#REF!</definedName>
    <definedName name="Z_179EFDDA_A1B1_11D3_8FA9_0008C7809E09_.wvu.PrintArea" hidden="1">#REF!</definedName>
    <definedName name="Z_179EFDDA_A1B1_11D3_8FA9_0008C7809E09_.wvu.PrintTitles" localSheetId="11" hidden="1">#REF!,#REF!</definedName>
    <definedName name="Z_179EFDDA_A1B1_11D3_8FA9_0008C7809E09_.wvu.PrintTitles" localSheetId="12" hidden="1">#REF!,#REF!</definedName>
    <definedName name="Z_179EFDDA_A1B1_11D3_8FA9_0008C7809E09_.wvu.PrintTitles" hidden="1">#REF!,#REF!</definedName>
    <definedName name="Z_179EFDDB_A1B1_11D3_8FA9_0008C7809E09_.wvu.PrintArea" localSheetId="11" hidden="1">#REF!</definedName>
    <definedName name="Z_179EFDDB_A1B1_11D3_8FA9_0008C7809E09_.wvu.PrintArea" localSheetId="12" hidden="1">#REF!</definedName>
    <definedName name="Z_179EFDDB_A1B1_11D3_8FA9_0008C7809E09_.wvu.PrintArea" hidden="1">#REF!</definedName>
    <definedName name="Z_179EFDDB_A1B1_11D3_8FA9_0008C7809E09_.wvu.PrintTitles" localSheetId="11" hidden="1">#REF!,#REF!</definedName>
    <definedName name="Z_179EFDDB_A1B1_11D3_8FA9_0008C7809E09_.wvu.PrintTitles" localSheetId="12" hidden="1">#REF!,#REF!</definedName>
    <definedName name="Z_179EFDDB_A1B1_11D3_8FA9_0008C7809E09_.wvu.PrintTitles" hidden="1">#REF!,#REF!</definedName>
    <definedName name="Z_179EFDDC_A1B1_11D3_8FA9_0008C7809E09_.wvu.PrintArea" localSheetId="11" hidden="1">#REF!</definedName>
    <definedName name="Z_179EFDDC_A1B1_11D3_8FA9_0008C7809E09_.wvu.PrintArea" localSheetId="12" hidden="1">#REF!</definedName>
    <definedName name="Z_179EFDDC_A1B1_11D3_8FA9_0008C7809E09_.wvu.PrintArea" hidden="1">#REF!</definedName>
    <definedName name="Z_179EFDDC_A1B1_11D3_8FA9_0008C7809E09_.wvu.PrintTitles" localSheetId="11" hidden="1">#REF!,#REF!</definedName>
    <definedName name="Z_179EFDDC_A1B1_11D3_8FA9_0008C7809E09_.wvu.PrintTitles" localSheetId="12" hidden="1">#REF!,#REF!</definedName>
    <definedName name="Z_179EFDDC_A1B1_11D3_8FA9_0008C7809E09_.wvu.PrintTitles" hidden="1">#REF!,#REF!</definedName>
    <definedName name="Z_179EFDDD_A1B1_11D3_8FA9_0008C7809E09_.wvu.PrintArea" localSheetId="11" hidden="1">#REF!</definedName>
    <definedName name="Z_179EFDDD_A1B1_11D3_8FA9_0008C7809E09_.wvu.PrintArea" localSheetId="12" hidden="1">#REF!</definedName>
    <definedName name="Z_179EFDDD_A1B1_11D3_8FA9_0008C7809E09_.wvu.PrintArea" hidden="1">#REF!</definedName>
    <definedName name="Z_179EFDDD_A1B1_11D3_8FA9_0008C7809E09_.wvu.PrintTitles" localSheetId="11" hidden="1">#REF!,#REF!</definedName>
    <definedName name="Z_179EFDDD_A1B1_11D3_8FA9_0008C7809E09_.wvu.PrintTitles" localSheetId="12" hidden="1">#REF!,#REF!</definedName>
    <definedName name="Z_179EFDDD_A1B1_11D3_8FA9_0008C7809E09_.wvu.PrintTitles" hidden="1">#REF!,#REF!</definedName>
    <definedName name="Z_179EFDDE_A1B1_11D3_8FA9_0008C7809E09_.wvu.PrintArea" localSheetId="11" hidden="1">#REF!</definedName>
    <definedName name="Z_179EFDDE_A1B1_11D3_8FA9_0008C7809E09_.wvu.PrintArea" localSheetId="12" hidden="1">#REF!</definedName>
    <definedName name="Z_179EFDDE_A1B1_11D3_8FA9_0008C7809E09_.wvu.PrintArea" hidden="1">#REF!</definedName>
    <definedName name="Z_179EFDDE_A1B1_11D3_8FA9_0008C7809E09_.wvu.PrintTitles" localSheetId="11" hidden="1">#REF!,#REF!</definedName>
    <definedName name="Z_179EFDDE_A1B1_11D3_8FA9_0008C7809E09_.wvu.PrintTitles" localSheetId="12" hidden="1">#REF!,#REF!</definedName>
    <definedName name="Z_179EFDDE_A1B1_11D3_8FA9_0008C7809E09_.wvu.PrintTitles" hidden="1">#REF!,#REF!</definedName>
    <definedName name="Z_179EFDDF_A1B1_11D3_8FA9_0008C7809E09_.wvu.PrintArea" localSheetId="11" hidden="1">#REF!</definedName>
    <definedName name="Z_179EFDDF_A1B1_11D3_8FA9_0008C7809E09_.wvu.PrintArea" localSheetId="12" hidden="1">#REF!</definedName>
    <definedName name="Z_179EFDDF_A1B1_11D3_8FA9_0008C7809E09_.wvu.PrintArea" hidden="1">#REF!</definedName>
    <definedName name="Z_179EFDDF_A1B1_11D3_8FA9_0008C7809E09_.wvu.PrintTitles" localSheetId="11" hidden="1">#REF!,#REF!</definedName>
    <definedName name="Z_179EFDDF_A1B1_11D3_8FA9_0008C7809E09_.wvu.PrintTitles" localSheetId="12" hidden="1">#REF!,#REF!</definedName>
    <definedName name="Z_179EFDDF_A1B1_11D3_8FA9_0008C7809E09_.wvu.PrintTitles" hidden="1">#REF!,#REF!</definedName>
    <definedName name="Z_179EFDE0_A1B1_11D3_8FA9_0008C7809E09_.wvu.PrintArea" localSheetId="11" hidden="1">#REF!</definedName>
    <definedName name="Z_179EFDE0_A1B1_11D3_8FA9_0008C7809E09_.wvu.PrintArea" localSheetId="12" hidden="1">#REF!</definedName>
    <definedName name="Z_179EFDE0_A1B1_11D3_8FA9_0008C7809E09_.wvu.PrintArea" hidden="1">#REF!</definedName>
    <definedName name="Z_179EFDE0_A1B1_11D3_8FA9_0008C7809E09_.wvu.PrintTitles" localSheetId="11" hidden="1">#REF!,#REF!</definedName>
    <definedName name="Z_179EFDE0_A1B1_11D3_8FA9_0008C7809E09_.wvu.PrintTitles" localSheetId="12" hidden="1">#REF!,#REF!</definedName>
    <definedName name="Z_179EFDE0_A1B1_11D3_8FA9_0008C7809E09_.wvu.PrintTitles" hidden="1">#REF!,#REF!</definedName>
    <definedName name="Z_179EFDE1_A1B1_11D3_8FA9_0008C7809E09_.wvu.PrintArea" localSheetId="11" hidden="1">#REF!</definedName>
    <definedName name="Z_179EFDE1_A1B1_11D3_8FA9_0008C7809E09_.wvu.PrintArea" localSheetId="12" hidden="1">#REF!</definedName>
    <definedName name="Z_179EFDE1_A1B1_11D3_8FA9_0008C7809E09_.wvu.PrintArea" hidden="1">#REF!</definedName>
    <definedName name="Z_179EFDE1_A1B1_11D3_8FA9_0008C7809E09_.wvu.PrintTitles" localSheetId="11" hidden="1">#REF!,#REF!</definedName>
    <definedName name="Z_179EFDE1_A1B1_11D3_8FA9_0008C7809E09_.wvu.PrintTitles" localSheetId="12" hidden="1">#REF!,#REF!</definedName>
    <definedName name="Z_179EFDE1_A1B1_11D3_8FA9_0008C7809E09_.wvu.PrintTitles" hidden="1">#REF!,#REF!</definedName>
    <definedName name="Z_179EFDE2_A1B1_11D3_8FA9_0008C7809E09_.wvu.PrintArea" localSheetId="11" hidden="1">#REF!</definedName>
    <definedName name="Z_179EFDE2_A1B1_11D3_8FA9_0008C7809E09_.wvu.PrintArea" localSheetId="12" hidden="1">#REF!</definedName>
    <definedName name="Z_179EFDE2_A1B1_11D3_8FA9_0008C7809E09_.wvu.PrintArea" hidden="1">#REF!</definedName>
    <definedName name="Z_179EFDE2_A1B1_11D3_8FA9_0008C7809E09_.wvu.PrintTitles" localSheetId="11" hidden="1">#REF!,#REF!</definedName>
    <definedName name="Z_179EFDE2_A1B1_11D3_8FA9_0008C7809E09_.wvu.PrintTitles" localSheetId="12" hidden="1">#REF!,#REF!</definedName>
    <definedName name="Z_179EFDE2_A1B1_11D3_8FA9_0008C7809E09_.wvu.PrintTitles" hidden="1">#REF!,#REF!</definedName>
    <definedName name="Z_179EFDE3_A1B1_11D3_8FA9_0008C7809E09_.wvu.PrintArea" localSheetId="11" hidden="1">#REF!</definedName>
    <definedName name="Z_179EFDE3_A1B1_11D3_8FA9_0008C7809E09_.wvu.PrintArea" localSheetId="12" hidden="1">#REF!</definedName>
    <definedName name="Z_179EFDE3_A1B1_11D3_8FA9_0008C7809E09_.wvu.PrintArea" hidden="1">#REF!</definedName>
    <definedName name="Z_179EFDE3_A1B1_11D3_8FA9_0008C7809E09_.wvu.PrintTitles" localSheetId="11" hidden="1">#REF!,#REF!</definedName>
    <definedName name="Z_179EFDE3_A1B1_11D3_8FA9_0008C7809E09_.wvu.PrintTitles" localSheetId="12" hidden="1">#REF!,#REF!</definedName>
    <definedName name="Z_179EFDE3_A1B1_11D3_8FA9_0008C7809E09_.wvu.PrintTitles" hidden="1">#REF!,#REF!</definedName>
    <definedName name="Z_179EFDE4_A1B1_11D3_8FA9_0008C7809E09_.wvu.PrintArea" localSheetId="11" hidden="1">#REF!</definedName>
    <definedName name="Z_179EFDE4_A1B1_11D3_8FA9_0008C7809E09_.wvu.PrintArea" localSheetId="12" hidden="1">#REF!</definedName>
    <definedName name="Z_179EFDE4_A1B1_11D3_8FA9_0008C7809E09_.wvu.PrintArea" hidden="1">#REF!</definedName>
    <definedName name="Z_179EFDE4_A1B1_11D3_8FA9_0008C7809E09_.wvu.PrintTitles" localSheetId="11" hidden="1">#REF!,#REF!</definedName>
    <definedName name="Z_179EFDE4_A1B1_11D3_8FA9_0008C7809E09_.wvu.PrintTitles" localSheetId="12" hidden="1">#REF!,#REF!</definedName>
    <definedName name="Z_179EFDE4_A1B1_11D3_8FA9_0008C7809E09_.wvu.PrintTitles" hidden="1">#REF!,#REF!</definedName>
    <definedName name="Z_179EFDE5_A1B1_11D3_8FA9_0008C7809E09_.wvu.PrintArea" localSheetId="11" hidden="1">#REF!</definedName>
    <definedName name="Z_179EFDE5_A1B1_11D3_8FA9_0008C7809E09_.wvu.PrintArea" localSheetId="12" hidden="1">#REF!</definedName>
    <definedName name="Z_179EFDE5_A1B1_11D3_8FA9_0008C7809E09_.wvu.PrintArea" hidden="1">#REF!</definedName>
    <definedName name="Z_179EFDE5_A1B1_11D3_8FA9_0008C7809E09_.wvu.PrintTitles" localSheetId="11" hidden="1">#REF!,#REF!</definedName>
    <definedName name="Z_179EFDE5_A1B1_11D3_8FA9_0008C7809E09_.wvu.PrintTitles" localSheetId="12" hidden="1">#REF!,#REF!</definedName>
    <definedName name="Z_179EFDE5_A1B1_11D3_8FA9_0008C7809E09_.wvu.PrintTitles" hidden="1">#REF!,#REF!</definedName>
    <definedName name="Z_179EFDE6_A1B1_11D3_8FA9_0008C7809E09_.wvu.PrintArea" localSheetId="11" hidden="1">#REF!</definedName>
    <definedName name="Z_179EFDE6_A1B1_11D3_8FA9_0008C7809E09_.wvu.PrintArea" localSheetId="12" hidden="1">#REF!</definedName>
    <definedName name="Z_179EFDE6_A1B1_11D3_8FA9_0008C7809E09_.wvu.PrintArea" hidden="1">#REF!</definedName>
    <definedName name="Z_179EFDE6_A1B1_11D3_8FA9_0008C7809E09_.wvu.PrintTitles" localSheetId="11" hidden="1">#REF!</definedName>
    <definedName name="Z_179EFDE6_A1B1_11D3_8FA9_0008C7809E09_.wvu.PrintTitles" localSheetId="12" hidden="1">#REF!</definedName>
    <definedName name="Z_179EFDE6_A1B1_11D3_8FA9_0008C7809E09_.wvu.PrintTitles" hidden="1">#REF!</definedName>
    <definedName name="Z_179EFDE7_A1B1_11D3_8FA9_0008C7809E09_.wvu.PrintArea" localSheetId="11" hidden="1">#REF!</definedName>
    <definedName name="Z_179EFDE7_A1B1_11D3_8FA9_0008C7809E09_.wvu.PrintArea" localSheetId="12" hidden="1">#REF!</definedName>
    <definedName name="Z_179EFDE7_A1B1_11D3_8FA9_0008C7809E09_.wvu.PrintArea" hidden="1">#REF!</definedName>
    <definedName name="Z_179EFDE7_A1B1_11D3_8FA9_0008C7809E09_.wvu.PrintTitles" localSheetId="11" hidden="1">#REF!</definedName>
    <definedName name="Z_179EFDE7_A1B1_11D3_8FA9_0008C7809E09_.wvu.PrintTitles" localSheetId="12" hidden="1">#REF!</definedName>
    <definedName name="Z_179EFDE7_A1B1_11D3_8FA9_0008C7809E09_.wvu.PrintTitles" hidden="1">#REF!</definedName>
    <definedName name="Z_179EFDE8_A1B1_11D3_8FA9_0008C7809E09_.wvu.PrintArea" localSheetId="11" hidden="1">#REF!</definedName>
    <definedName name="Z_179EFDE8_A1B1_11D3_8FA9_0008C7809E09_.wvu.PrintArea" localSheetId="12" hidden="1">#REF!</definedName>
    <definedName name="Z_179EFDE8_A1B1_11D3_8FA9_0008C7809E09_.wvu.PrintArea" hidden="1">#REF!</definedName>
    <definedName name="Z_179EFDE8_A1B1_11D3_8FA9_0008C7809E09_.wvu.PrintTitles" localSheetId="11" hidden="1">#REF!</definedName>
    <definedName name="Z_179EFDE8_A1B1_11D3_8FA9_0008C7809E09_.wvu.PrintTitles" localSheetId="12" hidden="1">#REF!</definedName>
    <definedName name="Z_179EFDE8_A1B1_11D3_8FA9_0008C7809E09_.wvu.PrintTitles" hidden="1">#REF!</definedName>
    <definedName name="Z_179EFDE9_A1B1_11D3_8FA9_0008C7809E09_.wvu.PrintArea" localSheetId="11" hidden="1">#REF!</definedName>
    <definedName name="Z_179EFDE9_A1B1_11D3_8FA9_0008C7809E09_.wvu.PrintArea" localSheetId="12" hidden="1">#REF!</definedName>
    <definedName name="Z_179EFDE9_A1B1_11D3_8FA9_0008C7809E09_.wvu.PrintArea" hidden="1">#REF!</definedName>
    <definedName name="Z_179EFDE9_A1B1_11D3_8FA9_0008C7809E09_.wvu.PrintTitles" localSheetId="11" hidden="1">#REF!</definedName>
    <definedName name="Z_179EFDE9_A1B1_11D3_8FA9_0008C7809E09_.wvu.PrintTitles" localSheetId="12" hidden="1">#REF!</definedName>
    <definedName name="Z_179EFDE9_A1B1_11D3_8FA9_0008C7809E09_.wvu.PrintTitles" hidden="1">#REF!</definedName>
    <definedName name="Z_179EFDEA_A1B1_11D3_8FA9_0008C7809E09_.wvu.PrintArea" localSheetId="11" hidden="1">#REF!</definedName>
    <definedName name="Z_179EFDEA_A1B1_11D3_8FA9_0008C7809E09_.wvu.PrintArea" localSheetId="12" hidden="1">#REF!</definedName>
    <definedName name="Z_179EFDEA_A1B1_11D3_8FA9_0008C7809E09_.wvu.PrintArea" hidden="1">#REF!</definedName>
    <definedName name="Z_179EFDEA_A1B1_11D3_8FA9_0008C7809E09_.wvu.PrintTitles" localSheetId="11" hidden="1">#REF!</definedName>
    <definedName name="Z_179EFDEA_A1B1_11D3_8FA9_0008C7809E09_.wvu.PrintTitles" localSheetId="12" hidden="1">#REF!</definedName>
    <definedName name="Z_179EFDEA_A1B1_11D3_8FA9_0008C7809E09_.wvu.PrintTitles" hidden="1">#REF!</definedName>
    <definedName name="Z_179EFDEB_A1B1_11D3_8FA9_0008C7809E09_.wvu.PrintArea" localSheetId="11" hidden="1">#REF!</definedName>
    <definedName name="Z_179EFDEB_A1B1_11D3_8FA9_0008C7809E09_.wvu.PrintArea" localSheetId="12" hidden="1">#REF!</definedName>
    <definedName name="Z_179EFDEB_A1B1_11D3_8FA9_0008C7809E09_.wvu.PrintArea" hidden="1">#REF!</definedName>
    <definedName name="Z_179EFDEB_A1B1_11D3_8FA9_0008C7809E09_.wvu.PrintTitles" localSheetId="11" hidden="1">#REF!</definedName>
    <definedName name="Z_179EFDEB_A1B1_11D3_8FA9_0008C7809E09_.wvu.PrintTitles" localSheetId="12" hidden="1">#REF!</definedName>
    <definedName name="Z_179EFDEB_A1B1_11D3_8FA9_0008C7809E09_.wvu.PrintTitles" hidden="1">#REF!</definedName>
    <definedName name="Z_179EFDEC_A1B1_11D3_8FA9_0008C7809E09_.wvu.PrintArea" localSheetId="11" hidden="1">#REF!</definedName>
    <definedName name="Z_179EFDEC_A1B1_11D3_8FA9_0008C7809E09_.wvu.PrintArea" localSheetId="12" hidden="1">#REF!</definedName>
    <definedName name="Z_179EFDEC_A1B1_11D3_8FA9_0008C7809E09_.wvu.PrintArea" hidden="1">#REF!</definedName>
    <definedName name="Z_179EFDEC_A1B1_11D3_8FA9_0008C7809E09_.wvu.PrintTitles" localSheetId="11" hidden="1">#REF!</definedName>
    <definedName name="Z_179EFDEC_A1B1_11D3_8FA9_0008C7809E09_.wvu.PrintTitles" localSheetId="12" hidden="1">#REF!</definedName>
    <definedName name="Z_179EFDEC_A1B1_11D3_8FA9_0008C7809E09_.wvu.PrintTitles" hidden="1">#REF!</definedName>
    <definedName name="Z_179EFDED_A1B1_11D3_8FA9_0008C7809E09_.wvu.PrintArea" localSheetId="11" hidden="1">#REF!</definedName>
    <definedName name="Z_179EFDED_A1B1_11D3_8FA9_0008C7809E09_.wvu.PrintArea" localSheetId="12" hidden="1">#REF!</definedName>
    <definedName name="Z_179EFDED_A1B1_11D3_8FA9_0008C7809E09_.wvu.PrintArea" hidden="1">#REF!</definedName>
    <definedName name="Z_179EFDED_A1B1_11D3_8FA9_0008C7809E09_.wvu.PrintTitles" localSheetId="11" hidden="1">#REF!</definedName>
    <definedName name="Z_179EFDED_A1B1_11D3_8FA9_0008C7809E09_.wvu.PrintTitles" localSheetId="12" hidden="1">#REF!</definedName>
    <definedName name="Z_179EFDED_A1B1_11D3_8FA9_0008C7809E09_.wvu.PrintTitles" hidden="1">#REF!</definedName>
    <definedName name="Z_179EFDEE_A1B1_11D3_8FA9_0008C7809E09_.wvu.PrintArea" localSheetId="11" hidden="1">#REF!</definedName>
    <definedName name="Z_179EFDEE_A1B1_11D3_8FA9_0008C7809E09_.wvu.PrintArea" localSheetId="12" hidden="1">#REF!</definedName>
    <definedName name="Z_179EFDEE_A1B1_11D3_8FA9_0008C7809E09_.wvu.PrintArea" hidden="1">#REF!</definedName>
    <definedName name="Z_179EFDEE_A1B1_11D3_8FA9_0008C7809E09_.wvu.PrintTitles" localSheetId="11" hidden="1">#REF!</definedName>
    <definedName name="Z_179EFDEE_A1B1_11D3_8FA9_0008C7809E09_.wvu.PrintTitles" localSheetId="12" hidden="1">#REF!</definedName>
    <definedName name="Z_179EFDEE_A1B1_11D3_8FA9_0008C7809E09_.wvu.PrintTitles" hidden="1">#REF!</definedName>
    <definedName name="Z_179EFDEF_A1B1_11D3_8FA9_0008C7809E09_.wvu.PrintArea" localSheetId="11" hidden="1">#REF!</definedName>
    <definedName name="Z_179EFDEF_A1B1_11D3_8FA9_0008C7809E09_.wvu.PrintArea" localSheetId="12" hidden="1">#REF!</definedName>
    <definedName name="Z_179EFDEF_A1B1_11D3_8FA9_0008C7809E09_.wvu.PrintArea" hidden="1">#REF!</definedName>
    <definedName name="Z_179EFDEF_A1B1_11D3_8FA9_0008C7809E09_.wvu.PrintTitles" localSheetId="11" hidden="1">#REF!</definedName>
    <definedName name="Z_179EFDEF_A1B1_11D3_8FA9_0008C7809E09_.wvu.PrintTitles" localSheetId="12" hidden="1">#REF!</definedName>
    <definedName name="Z_179EFDEF_A1B1_11D3_8FA9_0008C7809E09_.wvu.PrintTitles" hidden="1">#REF!</definedName>
    <definedName name="Z_179EFDF0_A1B1_11D3_8FA9_0008C7809E09_.wvu.PrintArea" localSheetId="11" hidden="1">#REF!</definedName>
    <definedName name="Z_179EFDF0_A1B1_11D3_8FA9_0008C7809E09_.wvu.PrintArea" localSheetId="12" hidden="1">#REF!</definedName>
    <definedName name="Z_179EFDF0_A1B1_11D3_8FA9_0008C7809E09_.wvu.PrintArea" hidden="1">#REF!</definedName>
    <definedName name="Z_179EFDF0_A1B1_11D3_8FA9_0008C7809E09_.wvu.PrintTitles" localSheetId="11" hidden="1">#REF!</definedName>
    <definedName name="Z_179EFDF0_A1B1_11D3_8FA9_0008C7809E09_.wvu.PrintTitles" localSheetId="12" hidden="1">#REF!</definedName>
    <definedName name="Z_179EFDF0_A1B1_11D3_8FA9_0008C7809E09_.wvu.PrintTitles" hidden="1">#REF!</definedName>
    <definedName name="Z_179EFDF1_A1B1_11D3_8FA9_0008C7809E09_.wvu.PrintArea" localSheetId="11" hidden="1">#REF!</definedName>
    <definedName name="Z_179EFDF1_A1B1_11D3_8FA9_0008C7809E09_.wvu.PrintArea" localSheetId="12" hidden="1">#REF!</definedName>
    <definedName name="Z_179EFDF1_A1B1_11D3_8FA9_0008C7809E09_.wvu.PrintArea" hidden="1">#REF!</definedName>
    <definedName name="Z_179EFDF1_A1B1_11D3_8FA9_0008C7809E09_.wvu.PrintTitles" localSheetId="11" hidden="1">#REF!</definedName>
    <definedName name="Z_179EFDF1_A1B1_11D3_8FA9_0008C7809E09_.wvu.PrintTitles" localSheetId="12" hidden="1">#REF!</definedName>
    <definedName name="Z_179EFDF1_A1B1_11D3_8FA9_0008C7809E09_.wvu.PrintTitles" hidden="1">#REF!</definedName>
    <definedName name="Z_179EFDF2_A1B1_11D3_8FA9_0008C7809E09_.wvu.PrintArea" localSheetId="11" hidden="1">#REF!</definedName>
    <definedName name="Z_179EFDF2_A1B1_11D3_8FA9_0008C7809E09_.wvu.PrintArea" localSheetId="12" hidden="1">#REF!</definedName>
    <definedName name="Z_179EFDF2_A1B1_11D3_8FA9_0008C7809E09_.wvu.PrintArea" hidden="1">#REF!</definedName>
    <definedName name="Z_179EFDF2_A1B1_11D3_8FA9_0008C7809E09_.wvu.PrintTitles" localSheetId="11" hidden="1">#REF!</definedName>
    <definedName name="Z_179EFDF2_A1B1_11D3_8FA9_0008C7809E09_.wvu.PrintTitles" localSheetId="12" hidden="1">#REF!</definedName>
    <definedName name="Z_179EFDF2_A1B1_11D3_8FA9_0008C7809E09_.wvu.PrintTitles" hidden="1">#REF!</definedName>
    <definedName name="Z_179EFDF3_A1B1_11D3_8FA9_0008C7809E09_.wvu.PrintArea" localSheetId="11" hidden="1">#REF!</definedName>
    <definedName name="Z_179EFDF3_A1B1_11D3_8FA9_0008C7809E09_.wvu.PrintArea" localSheetId="12" hidden="1">#REF!</definedName>
    <definedName name="Z_179EFDF3_A1B1_11D3_8FA9_0008C7809E09_.wvu.PrintArea" hidden="1">#REF!</definedName>
    <definedName name="Z_179EFDF3_A1B1_11D3_8FA9_0008C7809E09_.wvu.PrintTitles" localSheetId="11" hidden="1">#REF!,#REF!</definedName>
    <definedName name="Z_179EFDF3_A1B1_11D3_8FA9_0008C7809E09_.wvu.PrintTitles" localSheetId="12" hidden="1">#REF!,#REF!</definedName>
    <definedName name="Z_179EFDF3_A1B1_11D3_8FA9_0008C7809E09_.wvu.PrintTitles" hidden="1">#REF!,#REF!</definedName>
    <definedName name="Z_179EFDF4_A1B1_11D3_8FA9_0008C7809E09_.wvu.PrintArea" localSheetId="11" hidden="1">#REF!</definedName>
    <definedName name="Z_179EFDF4_A1B1_11D3_8FA9_0008C7809E09_.wvu.PrintArea" localSheetId="12" hidden="1">#REF!</definedName>
    <definedName name="Z_179EFDF4_A1B1_11D3_8FA9_0008C7809E09_.wvu.PrintArea" hidden="1">#REF!</definedName>
    <definedName name="Z_179EFDF4_A1B1_11D3_8FA9_0008C7809E09_.wvu.PrintTitles" localSheetId="11" hidden="1">#REF!,#REF!</definedName>
    <definedName name="Z_179EFDF4_A1B1_11D3_8FA9_0008C7809E09_.wvu.PrintTitles" localSheetId="12" hidden="1">#REF!,#REF!</definedName>
    <definedName name="Z_179EFDF4_A1B1_11D3_8FA9_0008C7809E09_.wvu.PrintTitles" hidden="1">#REF!,#REF!</definedName>
    <definedName name="Z_179EFDF5_A1B1_11D3_8FA9_0008C7809E09_.wvu.PrintArea" localSheetId="11" hidden="1">#REF!</definedName>
    <definedName name="Z_179EFDF5_A1B1_11D3_8FA9_0008C7809E09_.wvu.PrintArea" localSheetId="12" hidden="1">#REF!</definedName>
    <definedName name="Z_179EFDF5_A1B1_11D3_8FA9_0008C7809E09_.wvu.PrintArea" hidden="1">#REF!</definedName>
    <definedName name="Z_179EFDF5_A1B1_11D3_8FA9_0008C7809E09_.wvu.PrintTitles" localSheetId="11" hidden="1">#REF!,#REF!</definedName>
    <definedName name="Z_179EFDF5_A1B1_11D3_8FA9_0008C7809E09_.wvu.PrintTitles" localSheetId="12" hidden="1">#REF!,#REF!</definedName>
    <definedName name="Z_179EFDF5_A1B1_11D3_8FA9_0008C7809E09_.wvu.PrintTitles" hidden="1">#REF!,#REF!</definedName>
    <definedName name="Z_179EFDF6_A1B1_11D3_8FA9_0008C7809E09_.wvu.PrintArea" localSheetId="11" hidden="1">#REF!</definedName>
    <definedName name="Z_179EFDF6_A1B1_11D3_8FA9_0008C7809E09_.wvu.PrintArea" localSheetId="12" hidden="1">#REF!</definedName>
    <definedName name="Z_179EFDF6_A1B1_11D3_8FA9_0008C7809E09_.wvu.PrintArea" hidden="1">#REF!</definedName>
    <definedName name="Z_179EFDF6_A1B1_11D3_8FA9_0008C7809E09_.wvu.PrintTitles" localSheetId="11" hidden="1">#REF!,#REF!</definedName>
    <definedName name="Z_179EFDF6_A1B1_11D3_8FA9_0008C7809E09_.wvu.PrintTitles" localSheetId="12" hidden="1">#REF!,#REF!</definedName>
    <definedName name="Z_179EFDF6_A1B1_11D3_8FA9_0008C7809E09_.wvu.PrintTitles" hidden="1">#REF!,#REF!</definedName>
    <definedName name="Z_179EFDF7_A1B1_11D3_8FA9_0008C7809E09_.wvu.PrintArea" localSheetId="11" hidden="1">#REF!</definedName>
    <definedName name="Z_179EFDF7_A1B1_11D3_8FA9_0008C7809E09_.wvu.PrintArea" localSheetId="12" hidden="1">#REF!</definedName>
    <definedName name="Z_179EFDF7_A1B1_11D3_8FA9_0008C7809E09_.wvu.PrintArea" hidden="1">#REF!</definedName>
    <definedName name="Z_179EFDF7_A1B1_11D3_8FA9_0008C7809E09_.wvu.PrintTitles" localSheetId="11" hidden="1">#REF!,#REF!</definedName>
    <definedName name="Z_179EFDF7_A1B1_11D3_8FA9_0008C7809E09_.wvu.PrintTitles" localSheetId="12" hidden="1">#REF!,#REF!</definedName>
    <definedName name="Z_179EFDF7_A1B1_11D3_8FA9_0008C7809E09_.wvu.PrintTitles" hidden="1">#REF!,#REF!</definedName>
    <definedName name="Z_179EFDF8_A1B1_11D3_8FA9_0008C7809E09_.wvu.PrintArea" localSheetId="11" hidden="1">#REF!</definedName>
    <definedName name="Z_179EFDF8_A1B1_11D3_8FA9_0008C7809E09_.wvu.PrintArea" localSheetId="12" hidden="1">#REF!</definedName>
    <definedName name="Z_179EFDF8_A1B1_11D3_8FA9_0008C7809E09_.wvu.PrintArea" hidden="1">#REF!</definedName>
    <definedName name="Z_179EFDF8_A1B1_11D3_8FA9_0008C7809E09_.wvu.PrintTitles" localSheetId="11" hidden="1">#REF!,#REF!</definedName>
    <definedName name="Z_179EFDF8_A1B1_11D3_8FA9_0008C7809E09_.wvu.PrintTitles" localSheetId="12" hidden="1">#REF!,#REF!</definedName>
    <definedName name="Z_179EFDF8_A1B1_11D3_8FA9_0008C7809E09_.wvu.PrintTitles" hidden="1">#REF!,#REF!</definedName>
    <definedName name="Z_179EFDF9_A1B1_11D3_8FA9_0008C7809E09_.wvu.PrintArea" localSheetId="11" hidden="1">#REF!</definedName>
    <definedName name="Z_179EFDF9_A1B1_11D3_8FA9_0008C7809E09_.wvu.PrintArea" localSheetId="12" hidden="1">#REF!</definedName>
    <definedName name="Z_179EFDF9_A1B1_11D3_8FA9_0008C7809E09_.wvu.PrintArea" hidden="1">#REF!</definedName>
    <definedName name="Z_179EFDF9_A1B1_11D3_8FA9_0008C7809E09_.wvu.PrintTitles" localSheetId="11" hidden="1">#REF!,#REF!</definedName>
    <definedName name="Z_179EFDF9_A1B1_11D3_8FA9_0008C7809E09_.wvu.PrintTitles" localSheetId="12" hidden="1">#REF!,#REF!</definedName>
    <definedName name="Z_179EFDF9_A1B1_11D3_8FA9_0008C7809E09_.wvu.PrintTitles" hidden="1">#REF!,#REF!</definedName>
    <definedName name="Z_179EFDFA_A1B1_11D3_8FA9_0008C7809E09_.wvu.PrintArea" localSheetId="11" hidden="1">#REF!</definedName>
    <definedName name="Z_179EFDFA_A1B1_11D3_8FA9_0008C7809E09_.wvu.PrintArea" localSheetId="12" hidden="1">#REF!</definedName>
    <definedName name="Z_179EFDFA_A1B1_11D3_8FA9_0008C7809E09_.wvu.PrintArea" hidden="1">#REF!</definedName>
    <definedName name="Z_179EFDFA_A1B1_11D3_8FA9_0008C7809E09_.wvu.PrintTitles" localSheetId="11" hidden="1">#REF!,#REF!</definedName>
    <definedName name="Z_179EFDFA_A1B1_11D3_8FA9_0008C7809E09_.wvu.PrintTitles" localSheetId="12" hidden="1">#REF!,#REF!</definedName>
    <definedName name="Z_179EFDFA_A1B1_11D3_8FA9_0008C7809E09_.wvu.PrintTitles" hidden="1">#REF!,#REF!</definedName>
    <definedName name="Z_179EFDFB_A1B1_11D3_8FA9_0008C7809E09_.wvu.PrintArea" localSheetId="11" hidden="1">#REF!</definedName>
    <definedName name="Z_179EFDFB_A1B1_11D3_8FA9_0008C7809E09_.wvu.PrintArea" localSheetId="12" hidden="1">#REF!</definedName>
    <definedName name="Z_179EFDFB_A1B1_11D3_8FA9_0008C7809E09_.wvu.PrintArea" hidden="1">#REF!</definedName>
    <definedName name="Z_179EFDFB_A1B1_11D3_8FA9_0008C7809E09_.wvu.PrintTitles" localSheetId="11" hidden="1">#REF!,#REF!</definedName>
    <definedName name="Z_179EFDFB_A1B1_11D3_8FA9_0008C7809E09_.wvu.PrintTitles" localSheetId="12" hidden="1">#REF!,#REF!</definedName>
    <definedName name="Z_179EFDFB_A1B1_11D3_8FA9_0008C7809E09_.wvu.PrintTitles" hidden="1">#REF!,#REF!</definedName>
    <definedName name="Z_179EFDFC_A1B1_11D3_8FA9_0008C7809E09_.wvu.PrintArea" localSheetId="11" hidden="1">#REF!</definedName>
    <definedName name="Z_179EFDFC_A1B1_11D3_8FA9_0008C7809E09_.wvu.PrintArea" localSheetId="12" hidden="1">#REF!</definedName>
    <definedName name="Z_179EFDFC_A1B1_11D3_8FA9_0008C7809E09_.wvu.PrintArea" hidden="1">#REF!</definedName>
    <definedName name="Z_179EFDFC_A1B1_11D3_8FA9_0008C7809E09_.wvu.PrintTitles" localSheetId="11" hidden="1">#REF!,#REF!</definedName>
    <definedName name="Z_179EFDFC_A1B1_11D3_8FA9_0008C7809E09_.wvu.PrintTitles" localSheetId="12" hidden="1">#REF!,#REF!</definedName>
    <definedName name="Z_179EFDFC_A1B1_11D3_8FA9_0008C7809E09_.wvu.PrintTitles" hidden="1">#REF!,#REF!</definedName>
    <definedName name="Z_179EFDFD_A1B1_11D3_8FA9_0008C7809E09_.wvu.PrintArea" localSheetId="11" hidden="1">#REF!</definedName>
    <definedName name="Z_179EFDFD_A1B1_11D3_8FA9_0008C7809E09_.wvu.PrintArea" localSheetId="12" hidden="1">#REF!</definedName>
    <definedName name="Z_179EFDFD_A1B1_11D3_8FA9_0008C7809E09_.wvu.PrintArea" hidden="1">#REF!</definedName>
    <definedName name="Z_179EFDFD_A1B1_11D3_8FA9_0008C7809E09_.wvu.PrintTitles" localSheetId="11" hidden="1">#REF!,#REF!</definedName>
    <definedName name="Z_179EFDFD_A1B1_11D3_8FA9_0008C7809E09_.wvu.PrintTitles" localSheetId="12" hidden="1">#REF!,#REF!</definedName>
    <definedName name="Z_179EFDFD_A1B1_11D3_8FA9_0008C7809E09_.wvu.PrintTitles" hidden="1">#REF!,#REF!</definedName>
    <definedName name="Z_179EFDFE_A1B1_11D3_8FA9_0008C7809E09_.wvu.PrintArea" localSheetId="11" hidden="1">#REF!</definedName>
    <definedName name="Z_179EFDFE_A1B1_11D3_8FA9_0008C7809E09_.wvu.PrintArea" localSheetId="12" hidden="1">#REF!</definedName>
    <definedName name="Z_179EFDFE_A1B1_11D3_8FA9_0008C7809E09_.wvu.PrintArea" hidden="1">#REF!</definedName>
    <definedName name="Z_179EFDFE_A1B1_11D3_8FA9_0008C7809E09_.wvu.PrintTitles" localSheetId="11" hidden="1">#REF!,#REF!</definedName>
    <definedName name="Z_179EFDFE_A1B1_11D3_8FA9_0008C7809E09_.wvu.PrintTitles" localSheetId="12" hidden="1">#REF!,#REF!</definedName>
    <definedName name="Z_179EFDFE_A1B1_11D3_8FA9_0008C7809E09_.wvu.PrintTitles" hidden="1">#REF!,#REF!</definedName>
    <definedName name="Z_179EFDFF_A1B1_11D3_8FA9_0008C7809E09_.wvu.PrintArea" localSheetId="11" hidden="1">#REF!</definedName>
    <definedName name="Z_179EFDFF_A1B1_11D3_8FA9_0008C7809E09_.wvu.PrintArea" localSheetId="12" hidden="1">#REF!</definedName>
    <definedName name="Z_179EFDFF_A1B1_11D3_8FA9_0008C7809E09_.wvu.PrintArea" hidden="1">#REF!</definedName>
    <definedName name="Z_179EFDFF_A1B1_11D3_8FA9_0008C7809E09_.wvu.PrintTitles" localSheetId="11" hidden="1">#REF!,#REF!</definedName>
    <definedName name="Z_179EFDFF_A1B1_11D3_8FA9_0008C7809E09_.wvu.PrintTitles" localSheetId="12" hidden="1">#REF!,#REF!</definedName>
    <definedName name="Z_179EFDFF_A1B1_11D3_8FA9_0008C7809E09_.wvu.PrintTitles" hidden="1">#REF!,#REF!</definedName>
    <definedName name="Z_179EFE00_A1B1_11D3_8FA9_0008C7809E09_.wvu.PrintArea" localSheetId="11" hidden="1">#REF!</definedName>
    <definedName name="Z_179EFE00_A1B1_11D3_8FA9_0008C7809E09_.wvu.PrintArea" localSheetId="12" hidden="1">#REF!</definedName>
    <definedName name="Z_179EFE00_A1B1_11D3_8FA9_0008C7809E09_.wvu.PrintArea" hidden="1">#REF!</definedName>
    <definedName name="Z_179EFE00_A1B1_11D3_8FA9_0008C7809E09_.wvu.PrintTitles" localSheetId="11" hidden="1">#REF!,#REF!</definedName>
    <definedName name="Z_179EFE00_A1B1_11D3_8FA9_0008C7809E09_.wvu.PrintTitles" localSheetId="12" hidden="1">#REF!,#REF!</definedName>
    <definedName name="Z_179EFE00_A1B1_11D3_8FA9_0008C7809E09_.wvu.PrintTitles" hidden="1">#REF!,#REF!</definedName>
    <definedName name="Z_179EFE01_A1B1_11D3_8FA9_0008C7809E09_.wvu.PrintArea" localSheetId="11" hidden="1">#REF!</definedName>
    <definedName name="Z_179EFE01_A1B1_11D3_8FA9_0008C7809E09_.wvu.PrintArea" localSheetId="12" hidden="1">#REF!</definedName>
    <definedName name="Z_179EFE01_A1B1_11D3_8FA9_0008C7809E09_.wvu.PrintArea" hidden="1">#REF!</definedName>
    <definedName name="Z_179EFE01_A1B1_11D3_8FA9_0008C7809E09_.wvu.PrintTitles" localSheetId="11" hidden="1">#REF!,#REF!</definedName>
    <definedName name="Z_179EFE01_A1B1_11D3_8FA9_0008C7809E09_.wvu.PrintTitles" localSheetId="12" hidden="1">#REF!,#REF!</definedName>
    <definedName name="Z_179EFE01_A1B1_11D3_8FA9_0008C7809E09_.wvu.PrintTitles" hidden="1">#REF!,#REF!</definedName>
    <definedName name="Z_179EFE02_A1B1_11D3_8FA9_0008C7809E09_.wvu.PrintArea" localSheetId="11" hidden="1">#REF!</definedName>
    <definedName name="Z_179EFE02_A1B1_11D3_8FA9_0008C7809E09_.wvu.PrintArea" localSheetId="12" hidden="1">#REF!</definedName>
    <definedName name="Z_179EFE02_A1B1_11D3_8FA9_0008C7809E09_.wvu.PrintArea" hidden="1">#REF!</definedName>
    <definedName name="Z_179EFE02_A1B1_11D3_8FA9_0008C7809E09_.wvu.PrintTitles" localSheetId="11" hidden="1">#REF!,#REF!</definedName>
    <definedName name="Z_179EFE02_A1B1_11D3_8FA9_0008C7809E09_.wvu.PrintTitles" localSheetId="12" hidden="1">#REF!,#REF!</definedName>
    <definedName name="Z_179EFE02_A1B1_11D3_8FA9_0008C7809E09_.wvu.PrintTitles" hidden="1">#REF!,#REF!</definedName>
    <definedName name="Z_179EFE03_A1B1_11D3_8FA9_0008C7809E09_.wvu.PrintArea" localSheetId="11" hidden="1">#REF!</definedName>
    <definedName name="Z_179EFE03_A1B1_11D3_8FA9_0008C7809E09_.wvu.PrintArea" localSheetId="12" hidden="1">#REF!</definedName>
    <definedName name="Z_179EFE03_A1B1_11D3_8FA9_0008C7809E09_.wvu.PrintArea" hidden="1">#REF!</definedName>
    <definedName name="Z_179EFE03_A1B1_11D3_8FA9_0008C7809E09_.wvu.PrintTitles" localSheetId="11" hidden="1">#REF!,#REF!</definedName>
    <definedName name="Z_179EFE03_A1B1_11D3_8FA9_0008C7809E09_.wvu.PrintTitles" localSheetId="12" hidden="1">#REF!,#REF!</definedName>
    <definedName name="Z_179EFE03_A1B1_11D3_8FA9_0008C7809E09_.wvu.PrintTitles" hidden="1">#REF!,#REF!</definedName>
    <definedName name="Z_179EFE04_A1B1_11D3_8FA9_0008C7809E09_.wvu.PrintArea" localSheetId="11" hidden="1">#REF!</definedName>
    <definedName name="Z_179EFE04_A1B1_11D3_8FA9_0008C7809E09_.wvu.PrintArea" localSheetId="12" hidden="1">#REF!</definedName>
    <definedName name="Z_179EFE04_A1B1_11D3_8FA9_0008C7809E09_.wvu.PrintArea" hidden="1">#REF!</definedName>
    <definedName name="Z_179EFE04_A1B1_11D3_8FA9_0008C7809E09_.wvu.PrintTitles" localSheetId="11" hidden="1">#REF!,#REF!</definedName>
    <definedName name="Z_179EFE04_A1B1_11D3_8FA9_0008C7809E09_.wvu.PrintTitles" localSheetId="12" hidden="1">#REF!,#REF!</definedName>
    <definedName name="Z_179EFE04_A1B1_11D3_8FA9_0008C7809E09_.wvu.PrintTitles" hidden="1">#REF!,#REF!</definedName>
    <definedName name="Z_179EFE05_A1B1_11D3_8FA9_0008C7809E09_.wvu.PrintArea" localSheetId="11" hidden="1">#REF!</definedName>
    <definedName name="Z_179EFE05_A1B1_11D3_8FA9_0008C7809E09_.wvu.PrintArea" localSheetId="12" hidden="1">#REF!</definedName>
    <definedName name="Z_179EFE05_A1B1_11D3_8FA9_0008C7809E09_.wvu.PrintArea" hidden="1">#REF!</definedName>
    <definedName name="Z_179EFE05_A1B1_11D3_8FA9_0008C7809E09_.wvu.PrintTitles" localSheetId="11" hidden="1">#REF!,#REF!</definedName>
    <definedName name="Z_179EFE05_A1B1_11D3_8FA9_0008C7809E09_.wvu.PrintTitles" localSheetId="12" hidden="1">#REF!,#REF!</definedName>
    <definedName name="Z_179EFE05_A1B1_11D3_8FA9_0008C7809E09_.wvu.PrintTitles" hidden="1">#REF!,#REF!</definedName>
    <definedName name="Z_179EFE06_A1B1_11D3_8FA9_0008C7809E09_.wvu.PrintArea" localSheetId="11" hidden="1">#REF!</definedName>
    <definedName name="Z_179EFE06_A1B1_11D3_8FA9_0008C7809E09_.wvu.PrintArea" localSheetId="12" hidden="1">#REF!</definedName>
    <definedName name="Z_179EFE06_A1B1_11D3_8FA9_0008C7809E09_.wvu.PrintArea" hidden="1">#REF!</definedName>
    <definedName name="Z_179EFE06_A1B1_11D3_8FA9_0008C7809E09_.wvu.PrintTitles" localSheetId="11" hidden="1">#REF!,#REF!</definedName>
    <definedName name="Z_179EFE06_A1B1_11D3_8FA9_0008C7809E09_.wvu.PrintTitles" localSheetId="12" hidden="1">#REF!,#REF!</definedName>
    <definedName name="Z_179EFE06_A1B1_11D3_8FA9_0008C7809E09_.wvu.PrintTitles" hidden="1">#REF!,#REF!</definedName>
    <definedName name="Z_179EFE07_A1B1_11D3_8FA9_0008C7809E09_.wvu.PrintArea" localSheetId="11" hidden="1">#REF!</definedName>
    <definedName name="Z_179EFE07_A1B1_11D3_8FA9_0008C7809E09_.wvu.PrintArea" localSheetId="12" hidden="1">#REF!</definedName>
    <definedName name="Z_179EFE07_A1B1_11D3_8FA9_0008C7809E09_.wvu.PrintArea" hidden="1">#REF!</definedName>
    <definedName name="Z_179EFE07_A1B1_11D3_8FA9_0008C7809E09_.wvu.PrintTitles" localSheetId="11" hidden="1">#REF!,#REF!</definedName>
    <definedName name="Z_179EFE07_A1B1_11D3_8FA9_0008C7809E09_.wvu.PrintTitles" localSheetId="12" hidden="1">#REF!,#REF!</definedName>
    <definedName name="Z_179EFE07_A1B1_11D3_8FA9_0008C7809E09_.wvu.PrintTitles" hidden="1">#REF!,#REF!</definedName>
    <definedName name="Z_179EFE08_A1B1_11D3_8FA9_0008C7809E09_.wvu.PrintArea" localSheetId="11" hidden="1">#REF!</definedName>
    <definedName name="Z_179EFE08_A1B1_11D3_8FA9_0008C7809E09_.wvu.PrintArea" localSheetId="12" hidden="1">#REF!</definedName>
    <definedName name="Z_179EFE08_A1B1_11D3_8FA9_0008C7809E09_.wvu.PrintArea" hidden="1">#REF!</definedName>
    <definedName name="Z_179EFE08_A1B1_11D3_8FA9_0008C7809E09_.wvu.PrintTitles" localSheetId="11" hidden="1">#REF!,#REF!</definedName>
    <definedName name="Z_179EFE08_A1B1_11D3_8FA9_0008C7809E09_.wvu.PrintTitles" localSheetId="12" hidden="1">#REF!,#REF!</definedName>
    <definedName name="Z_179EFE08_A1B1_11D3_8FA9_0008C7809E09_.wvu.PrintTitles" hidden="1">#REF!,#REF!</definedName>
    <definedName name="Z_179EFE09_A1B1_11D3_8FA9_0008C7809E09_.wvu.PrintArea" localSheetId="11" hidden="1">#REF!</definedName>
    <definedName name="Z_179EFE09_A1B1_11D3_8FA9_0008C7809E09_.wvu.PrintArea" localSheetId="12" hidden="1">#REF!</definedName>
    <definedName name="Z_179EFE09_A1B1_11D3_8FA9_0008C7809E09_.wvu.PrintArea" hidden="1">#REF!</definedName>
    <definedName name="Z_179EFE09_A1B1_11D3_8FA9_0008C7809E09_.wvu.PrintTitles" localSheetId="11" hidden="1">#REF!,#REF!</definedName>
    <definedName name="Z_179EFE09_A1B1_11D3_8FA9_0008C7809E09_.wvu.PrintTitles" localSheetId="12" hidden="1">#REF!,#REF!</definedName>
    <definedName name="Z_179EFE09_A1B1_11D3_8FA9_0008C7809E09_.wvu.PrintTitles" hidden="1">#REF!,#REF!</definedName>
    <definedName name="Z_179EFE0A_A1B1_11D3_8FA9_0008C7809E09_.wvu.PrintArea" localSheetId="11" hidden="1">#REF!</definedName>
    <definedName name="Z_179EFE0A_A1B1_11D3_8FA9_0008C7809E09_.wvu.PrintArea" localSheetId="12" hidden="1">#REF!</definedName>
    <definedName name="Z_179EFE0A_A1B1_11D3_8FA9_0008C7809E09_.wvu.PrintArea" hidden="1">#REF!</definedName>
    <definedName name="Z_179EFE0A_A1B1_11D3_8FA9_0008C7809E09_.wvu.PrintTitles" localSheetId="11" hidden="1">#REF!,#REF!</definedName>
    <definedName name="Z_179EFE0A_A1B1_11D3_8FA9_0008C7809E09_.wvu.PrintTitles" localSheetId="12" hidden="1">#REF!,#REF!</definedName>
    <definedName name="Z_179EFE0A_A1B1_11D3_8FA9_0008C7809E09_.wvu.PrintTitles" hidden="1">#REF!,#REF!</definedName>
    <definedName name="Z_179EFE0B_A1B1_11D3_8FA9_0008C7809E09_.wvu.PrintArea" localSheetId="11" hidden="1">#REF!</definedName>
    <definedName name="Z_179EFE0B_A1B1_11D3_8FA9_0008C7809E09_.wvu.PrintArea" localSheetId="12" hidden="1">#REF!</definedName>
    <definedName name="Z_179EFE0B_A1B1_11D3_8FA9_0008C7809E09_.wvu.PrintArea" hidden="1">#REF!</definedName>
    <definedName name="Z_179EFE0B_A1B1_11D3_8FA9_0008C7809E09_.wvu.PrintTitles" localSheetId="11" hidden="1">#REF!,#REF!</definedName>
    <definedName name="Z_179EFE0B_A1B1_11D3_8FA9_0008C7809E09_.wvu.PrintTitles" localSheetId="12" hidden="1">#REF!,#REF!</definedName>
    <definedName name="Z_179EFE0B_A1B1_11D3_8FA9_0008C7809E09_.wvu.PrintTitles" hidden="1">#REF!,#REF!</definedName>
    <definedName name="Z_179EFE0C_A1B1_11D3_8FA9_0008C7809E09_.wvu.PrintArea" localSheetId="11" hidden="1">#REF!</definedName>
    <definedName name="Z_179EFE0C_A1B1_11D3_8FA9_0008C7809E09_.wvu.PrintArea" localSheetId="12" hidden="1">#REF!</definedName>
    <definedName name="Z_179EFE0C_A1B1_11D3_8FA9_0008C7809E09_.wvu.PrintArea" hidden="1">#REF!</definedName>
    <definedName name="Z_179EFE0C_A1B1_11D3_8FA9_0008C7809E09_.wvu.PrintTitles" localSheetId="11" hidden="1">#REF!,#REF!</definedName>
    <definedName name="Z_179EFE0C_A1B1_11D3_8FA9_0008C7809E09_.wvu.PrintTitles" localSheetId="12" hidden="1">#REF!,#REF!</definedName>
    <definedName name="Z_179EFE0C_A1B1_11D3_8FA9_0008C7809E09_.wvu.PrintTitles" hidden="1">#REF!,#REF!</definedName>
    <definedName name="Z_179EFE0D_A1B1_11D3_8FA9_0008C7809E09_.wvu.PrintArea" localSheetId="11" hidden="1">#REF!</definedName>
    <definedName name="Z_179EFE0D_A1B1_11D3_8FA9_0008C7809E09_.wvu.PrintArea" localSheetId="12" hidden="1">#REF!</definedName>
    <definedName name="Z_179EFE0D_A1B1_11D3_8FA9_0008C7809E09_.wvu.PrintArea" hidden="1">#REF!</definedName>
    <definedName name="Z_179EFE0D_A1B1_11D3_8FA9_0008C7809E09_.wvu.PrintTitles" localSheetId="11" hidden="1">#REF!,#REF!</definedName>
    <definedName name="Z_179EFE0D_A1B1_11D3_8FA9_0008C7809E09_.wvu.PrintTitles" localSheetId="12" hidden="1">#REF!,#REF!</definedName>
    <definedName name="Z_179EFE0D_A1B1_11D3_8FA9_0008C7809E09_.wvu.PrintTitles" hidden="1">#REF!,#REF!</definedName>
    <definedName name="Z_179EFE0E_A1B1_11D3_8FA9_0008C7809E09_.wvu.PrintArea" localSheetId="11" hidden="1">#REF!</definedName>
    <definedName name="Z_179EFE0E_A1B1_11D3_8FA9_0008C7809E09_.wvu.PrintArea" localSheetId="12" hidden="1">#REF!</definedName>
    <definedName name="Z_179EFE0E_A1B1_11D3_8FA9_0008C7809E09_.wvu.PrintArea" hidden="1">#REF!</definedName>
    <definedName name="Z_179EFE0E_A1B1_11D3_8FA9_0008C7809E09_.wvu.PrintTitles" localSheetId="11" hidden="1">#REF!,#REF!</definedName>
    <definedName name="Z_179EFE0E_A1B1_11D3_8FA9_0008C7809E09_.wvu.PrintTitles" localSheetId="12" hidden="1">#REF!,#REF!</definedName>
    <definedName name="Z_179EFE0E_A1B1_11D3_8FA9_0008C7809E09_.wvu.PrintTitles" hidden="1">#REF!,#REF!</definedName>
    <definedName name="Z_179EFE0F_A1B1_11D3_8FA9_0008C7809E09_.wvu.PrintArea" localSheetId="11" hidden="1">#REF!</definedName>
    <definedName name="Z_179EFE0F_A1B1_11D3_8FA9_0008C7809E09_.wvu.PrintArea" localSheetId="12" hidden="1">#REF!</definedName>
    <definedName name="Z_179EFE0F_A1B1_11D3_8FA9_0008C7809E09_.wvu.PrintArea" hidden="1">#REF!</definedName>
    <definedName name="Z_179EFE0F_A1B1_11D3_8FA9_0008C7809E09_.wvu.PrintTitles" localSheetId="11" hidden="1">#REF!,#REF!</definedName>
    <definedName name="Z_179EFE0F_A1B1_11D3_8FA9_0008C7809E09_.wvu.PrintTitles" localSheetId="12" hidden="1">#REF!,#REF!</definedName>
    <definedName name="Z_179EFE0F_A1B1_11D3_8FA9_0008C7809E09_.wvu.PrintTitles" hidden="1">#REF!,#REF!</definedName>
    <definedName name="Z_179EFE10_A1B1_11D3_8FA9_0008C7809E09_.wvu.PrintArea" localSheetId="11" hidden="1">#REF!</definedName>
    <definedName name="Z_179EFE10_A1B1_11D3_8FA9_0008C7809E09_.wvu.PrintArea" localSheetId="12" hidden="1">#REF!</definedName>
    <definedName name="Z_179EFE10_A1B1_11D3_8FA9_0008C7809E09_.wvu.PrintArea" hidden="1">#REF!</definedName>
    <definedName name="Z_179EFE10_A1B1_11D3_8FA9_0008C7809E09_.wvu.PrintTitles" localSheetId="11" hidden="1">#REF!,#REF!</definedName>
    <definedName name="Z_179EFE10_A1B1_11D3_8FA9_0008C7809E09_.wvu.PrintTitles" localSheetId="12" hidden="1">#REF!,#REF!</definedName>
    <definedName name="Z_179EFE10_A1B1_11D3_8FA9_0008C7809E09_.wvu.PrintTitles" hidden="1">#REF!,#REF!</definedName>
    <definedName name="Z_179EFE11_A1B1_11D3_8FA9_0008C7809E09_.wvu.PrintArea" localSheetId="11" hidden="1">#REF!</definedName>
    <definedName name="Z_179EFE11_A1B1_11D3_8FA9_0008C7809E09_.wvu.PrintArea" localSheetId="12" hidden="1">#REF!</definedName>
    <definedName name="Z_179EFE11_A1B1_11D3_8FA9_0008C7809E09_.wvu.PrintArea" hidden="1">#REF!</definedName>
    <definedName name="Z_179EFE11_A1B1_11D3_8FA9_0008C7809E09_.wvu.PrintTitles" localSheetId="11" hidden="1">#REF!,#REF!</definedName>
    <definedName name="Z_179EFE11_A1B1_11D3_8FA9_0008C7809E09_.wvu.PrintTitles" localSheetId="12" hidden="1">#REF!,#REF!</definedName>
    <definedName name="Z_179EFE11_A1B1_11D3_8FA9_0008C7809E09_.wvu.PrintTitles" hidden="1">#REF!,#REF!</definedName>
    <definedName name="Z_179EFE12_A1B1_11D3_8FA9_0008C7809E09_.wvu.PrintArea" localSheetId="11" hidden="1">#REF!</definedName>
    <definedName name="Z_179EFE12_A1B1_11D3_8FA9_0008C7809E09_.wvu.PrintArea" localSheetId="12" hidden="1">#REF!</definedName>
    <definedName name="Z_179EFE12_A1B1_11D3_8FA9_0008C7809E09_.wvu.PrintArea" hidden="1">#REF!</definedName>
    <definedName name="Z_179EFE12_A1B1_11D3_8FA9_0008C7809E09_.wvu.PrintTitles" localSheetId="11" hidden="1">#REF!,#REF!</definedName>
    <definedName name="Z_179EFE12_A1B1_11D3_8FA9_0008C7809E09_.wvu.PrintTitles" localSheetId="12" hidden="1">#REF!,#REF!</definedName>
    <definedName name="Z_179EFE12_A1B1_11D3_8FA9_0008C7809E09_.wvu.PrintTitles" hidden="1">#REF!,#REF!</definedName>
    <definedName name="Z_179EFE13_A1B1_11D3_8FA9_0008C7809E09_.wvu.PrintArea" localSheetId="11" hidden="1">#REF!</definedName>
    <definedName name="Z_179EFE13_A1B1_11D3_8FA9_0008C7809E09_.wvu.PrintArea" localSheetId="12" hidden="1">#REF!</definedName>
    <definedName name="Z_179EFE13_A1B1_11D3_8FA9_0008C7809E09_.wvu.PrintArea" hidden="1">#REF!</definedName>
    <definedName name="Z_179EFE13_A1B1_11D3_8FA9_0008C7809E09_.wvu.PrintTitles" localSheetId="11" hidden="1">#REF!,#REF!</definedName>
    <definedName name="Z_179EFE13_A1B1_11D3_8FA9_0008C7809E09_.wvu.PrintTitles" localSheetId="12" hidden="1">#REF!,#REF!</definedName>
    <definedName name="Z_179EFE13_A1B1_11D3_8FA9_0008C7809E09_.wvu.PrintTitles" hidden="1">#REF!,#REF!</definedName>
    <definedName name="Z_179EFE14_A1B1_11D3_8FA9_0008C7809E09_.wvu.PrintArea" localSheetId="11" hidden="1">#REF!</definedName>
    <definedName name="Z_179EFE14_A1B1_11D3_8FA9_0008C7809E09_.wvu.PrintArea" localSheetId="12" hidden="1">#REF!</definedName>
    <definedName name="Z_179EFE14_A1B1_11D3_8FA9_0008C7809E09_.wvu.PrintArea" hidden="1">#REF!</definedName>
    <definedName name="Z_179EFE14_A1B1_11D3_8FA9_0008C7809E09_.wvu.PrintTitles" localSheetId="11" hidden="1">#REF!,#REF!</definedName>
    <definedName name="Z_179EFE14_A1B1_11D3_8FA9_0008C7809E09_.wvu.PrintTitles" localSheetId="12" hidden="1">#REF!,#REF!</definedName>
    <definedName name="Z_179EFE14_A1B1_11D3_8FA9_0008C7809E09_.wvu.PrintTitles" hidden="1">#REF!,#REF!</definedName>
    <definedName name="Z_179EFE15_A1B1_11D3_8FA9_0008C7809E09_.wvu.PrintArea" localSheetId="11" hidden="1">#REF!</definedName>
    <definedName name="Z_179EFE15_A1B1_11D3_8FA9_0008C7809E09_.wvu.PrintArea" localSheetId="12" hidden="1">#REF!</definedName>
    <definedName name="Z_179EFE15_A1B1_11D3_8FA9_0008C7809E09_.wvu.PrintArea" hidden="1">#REF!</definedName>
    <definedName name="Z_179EFE15_A1B1_11D3_8FA9_0008C7809E09_.wvu.PrintTitles" localSheetId="11" hidden="1">#REF!,#REF!</definedName>
    <definedName name="Z_179EFE15_A1B1_11D3_8FA9_0008C7809E09_.wvu.PrintTitles" localSheetId="12" hidden="1">#REF!,#REF!</definedName>
    <definedName name="Z_179EFE15_A1B1_11D3_8FA9_0008C7809E09_.wvu.PrintTitles" hidden="1">#REF!,#REF!</definedName>
    <definedName name="Z_179EFE16_A1B1_11D3_8FA9_0008C7809E09_.wvu.PrintArea" localSheetId="11" hidden="1">#REF!</definedName>
    <definedName name="Z_179EFE16_A1B1_11D3_8FA9_0008C7809E09_.wvu.PrintArea" localSheetId="12" hidden="1">#REF!</definedName>
    <definedName name="Z_179EFE16_A1B1_11D3_8FA9_0008C7809E09_.wvu.PrintArea" hidden="1">#REF!</definedName>
    <definedName name="Z_179EFE16_A1B1_11D3_8FA9_0008C7809E09_.wvu.PrintTitles" localSheetId="11" hidden="1">#REF!,#REF!</definedName>
    <definedName name="Z_179EFE16_A1B1_11D3_8FA9_0008C7809E09_.wvu.PrintTitles" localSheetId="12" hidden="1">#REF!,#REF!</definedName>
    <definedName name="Z_179EFE16_A1B1_11D3_8FA9_0008C7809E09_.wvu.PrintTitles" hidden="1">#REF!,#REF!</definedName>
    <definedName name="Z_179EFE17_A1B1_11D3_8FA9_0008C7809E09_.wvu.PrintArea" localSheetId="11" hidden="1">#REF!</definedName>
    <definedName name="Z_179EFE17_A1B1_11D3_8FA9_0008C7809E09_.wvu.PrintArea" localSheetId="12" hidden="1">#REF!</definedName>
    <definedName name="Z_179EFE17_A1B1_11D3_8FA9_0008C7809E09_.wvu.PrintArea" hidden="1">#REF!</definedName>
    <definedName name="Z_179EFE17_A1B1_11D3_8FA9_0008C7809E09_.wvu.PrintTitles" localSheetId="11" hidden="1">#REF!,#REF!</definedName>
    <definedName name="Z_179EFE17_A1B1_11D3_8FA9_0008C7809E09_.wvu.PrintTitles" localSheetId="12" hidden="1">#REF!,#REF!</definedName>
    <definedName name="Z_179EFE17_A1B1_11D3_8FA9_0008C7809E09_.wvu.PrintTitles" hidden="1">#REF!,#REF!</definedName>
    <definedName name="Z_179EFE18_A1B1_11D3_8FA9_0008C7809E09_.wvu.PrintArea" localSheetId="11" hidden="1">#REF!</definedName>
    <definedName name="Z_179EFE18_A1B1_11D3_8FA9_0008C7809E09_.wvu.PrintArea" localSheetId="12" hidden="1">#REF!</definedName>
    <definedName name="Z_179EFE18_A1B1_11D3_8FA9_0008C7809E09_.wvu.PrintArea" hidden="1">#REF!</definedName>
    <definedName name="Z_179EFE18_A1B1_11D3_8FA9_0008C7809E09_.wvu.PrintTitles" localSheetId="11" hidden="1">#REF!,#REF!</definedName>
    <definedName name="Z_179EFE18_A1B1_11D3_8FA9_0008C7809E09_.wvu.PrintTitles" localSheetId="12" hidden="1">#REF!,#REF!</definedName>
    <definedName name="Z_179EFE18_A1B1_11D3_8FA9_0008C7809E09_.wvu.PrintTitles" hidden="1">#REF!,#REF!</definedName>
    <definedName name="Z_179EFE19_A1B1_11D3_8FA9_0008C7809E09_.wvu.PrintArea" localSheetId="11" hidden="1">#REF!</definedName>
    <definedName name="Z_179EFE19_A1B1_11D3_8FA9_0008C7809E09_.wvu.PrintArea" localSheetId="12" hidden="1">#REF!</definedName>
    <definedName name="Z_179EFE19_A1B1_11D3_8FA9_0008C7809E09_.wvu.PrintArea" hidden="1">#REF!</definedName>
    <definedName name="Z_179EFE19_A1B1_11D3_8FA9_0008C7809E09_.wvu.PrintTitles" localSheetId="11" hidden="1">#REF!,#REF!</definedName>
    <definedName name="Z_179EFE19_A1B1_11D3_8FA9_0008C7809E09_.wvu.PrintTitles" localSheetId="12" hidden="1">#REF!,#REF!</definedName>
    <definedName name="Z_179EFE19_A1B1_11D3_8FA9_0008C7809E09_.wvu.PrintTitles" hidden="1">#REF!,#REF!</definedName>
    <definedName name="Z_179EFE1A_A1B1_11D3_8FA9_0008C7809E09_.wvu.PrintArea" localSheetId="11" hidden="1">#REF!</definedName>
    <definedName name="Z_179EFE1A_A1B1_11D3_8FA9_0008C7809E09_.wvu.PrintArea" localSheetId="12" hidden="1">#REF!</definedName>
    <definedName name="Z_179EFE1A_A1B1_11D3_8FA9_0008C7809E09_.wvu.PrintArea" hidden="1">#REF!</definedName>
    <definedName name="Z_179EFE1A_A1B1_11D3_8FA9_0008C7809E09_.wvu.PrintTitles" localSheetId="11" hidden="1">#REF!,#REF!</definedName>
    <definedName name="Z_179EFE1A_A1B1_11D3_8FA9_0008C7809E09_.wvu.PrintTitles" localSheetId="12" hidden="1">#REF!,#REF!</definedName>
    <definedName name="Z_179EFE1A_A1B1_11D3_8FA9_0008C7809E09_.wvu.PrintTitles" hidden="1">#REF!,#REF!</definedName>
    <definedName name="Z_179EFE1B_A1B1_11D3_8FA9_0008C7809E09_.wvu.PrintArea" localSheetId="11" hidden="1">#REF!</definedName>
    <definedName name="Z_179EFE1B_A1B1_11D3_8FA9_0008C7809E09_.wvu.PrintArea" localSheetId="12" hidden="1">#REF!</definedName>
    <definedName name="Z_179EFE1B_A1B1_11D3_8FA9_0008C7809E09_.wvu.PrintArea" hidden="1">#REF!</definedName>
    <definedName name="Z_179EFE1B_A1B1_11D3_8FA9_0008C7809E09_.wvu.PrintTitles" localSheetId="11" hidden="1">#REF!,#REF!</definedName>
    <definedName name="Z_179EFE1B_A1B1_11D3_8FA9_0008C7809E09_.wvu.PrintTitles" localSheetId="12" hidden="1">#REF!,#REF!</definedName>
    <definedName name="Z_179EFE1B_A1B1_11D3_8FA9_0008C7809E09_.wvu.PrintTitles" hidden="1">#REF!,#REF!</definedName>
    <definedName name="Z_179EFE1C_A1B1_11D3_8FA9_0008C7809E09_.wvu.PrintArea" localSheetId="11" hidden="1">#REF!</definedName>
    <definedName name="Z_179EFE1C_A1B1_11D3_8FA9_0008C7809E09_.wvu.PrintArea" localSheetId="12" hidden="1">#REF!</definedName>
    <definedName name="Z_179EFE1C_A1B1_11D3_8FA9_0008C7809E09_.wvu.PrintArea" hidden="1">#REF!</definedName>
    <definedName name="Z_179EFE1C_A1B1_11D3_8FA9_0008C7809E09_.wvu.PrintTitles" localSheetId="11" hidden="1">#REF!,#REF!</definedName>
    <definedName name="Z_179EFE1C_A1B1_11D3_8FA9_0008C7809E09_.wvu.PrintTitles" localSheetId="12" hidden="1">#REF!,#REF!</definedName>
    <definedName name="Z_179EFE1C_A1B1_11D3_8FA9_0008C7809E09_.wvu.PrintTitles" hidden="1">#REF!,#REF!</definedName>
    <definedName name="Z_179EFE1D_A1B1_11D3_8FA9_0008C7809E09_.wvu.PrintArea" localSheetId="11" hidden="1">#REF!</definedName>
    <definedName name="Z_179EFE1D_A1B1_11D3_8FA9_0008C7809E09_.wvu.PrintArea" localSheetId="12" hidden="1">#REF!</definedName>
    <definedName name="Z_179EFE1D_A1B1_11D3_8FA9_0008C7809E09_.wvu.PrintArea" hidden="1">#REF!</definedName>
    <definedName name="Z_179EFE1D_A1B1_11D3_8FA9_0008C7809E09_.wvu.PrintTitles" localSheetId="11" hidden="1">#REF!,#REF!</definedName>
    <definedName name="Z_179EFE1D_A1B1_11D3_8FA9_0008C7809E09_.wvu.PrintTitles" localSheetId="12" hidden="1">#REF!,#REF!</definedName>
    <definedName name="Z_179EFE1D_A1B1_11D3_8FA9_0008C7809E09_.wvu.PrintTitles" hidden="1">#REF!,#REF!</definedName>
    <definedName name="Z_179EFE1E_A1B1_11D3_8FA9_0008C7809E09_.wvu.PrintArea" localSheetId="11" hidden="1">#REF!</definedName>
    <definedName name="Z_179EFE1E_A1B1_11D3_8FA9_0008C7809E09_.wvu.PrintArea" localSheetId="12" hidden="1">#REF!</definedName>
    <definedName name="Z_179EFE1E_A1B1_11D3_8FA9_0008C7809E09_.wvu.PrintArea" hidden="1">#REF!</definedName>
    <definedName name="Z_179EFE1E_A1B1_11D3_8FA9_0008C7809E09_.wvu.PrintTitles" localSheetId="11" hidden="1">#REF!,#REF!</definedName>
    <definedName name="Z_179EFE1E_A1B1_11D3_8FA9_0008C7809E09_.wvu.PrintTitles" localSheetId="12" hidden="1">#REF!,#REF!</definedName>
    <definedName name="Z_179EFE1E_A1B1_11D3_8FA9_0008C7809E09_.wvu.PrintTitles" hidden="1">#REF!,#REF!</definedName>
    <definedName name="Z_179EFE1F_A1B1_11D3_8FA9_0008C7809E09_.wvu.PrintArea" localSheetId="11" hidden="1">#REF!</definedName>
    <definedName name="Z_179EFE1F_A1B1_11D3_8FA9_0008C7809E09_.wvu.PrintArea" localSheetId="12" hidden="1">#REF!</definedName>
    <definedName name="Z_179EFE1F_A1B1_11D3_8FA9_0008C7809E09_.wvu.PrintArea" hidden="1">#REF!</definedName>
    <definedName name="Z_179EFE1F_A1B1_11D3_8FA9_0008C7809E09_.wvu.PrintTitles" localSheetId="11" hidden="1">#REF!,#REF!</definedName>
    <definedName name="Z_179EFE1F_A1B1_11D3_8FA9_0008C7809E09_.wvu.PrintTitles" localSheetId="12" hidden="1">#REF!,#REF!</definedName>
    <definedName name="Z_179EFE1F_A1B1_11D3_8FA9_0008C7809E09_.wvu.PrintTitles" hidden="1">#REF!,#REF!</definedName>
    <definedName name="Z_179EFE20_A1B1_11D3_8FA9_0008C7809E09_.wvu.PrintArea" localSheetId="11" hidden="1">#REF!</definedName>
    <definedName name="Z_179EFE20_A1B1_11D3_8FA9_0008C7809E09_.wvu.PrintArea" localSheetId="12" hidden="1">#REF!</definedName>
    <definedName name="Z_179EFE20_A1B1_11D3_8FA9_0008C7809E09_.wvu.PrintArea" hidden="1">#REF!</definedName>
    <definedName name="Z_179EFE20_A1B1_11D3_8FA9_0008C7809E09_.wvu.PrintTitles" localSheetId="11" hidden="1">#REF!,#REF!</definedName>
    <definedName name="Z_179EFE20_A1B1_11D3_8FA9_0008C7809E09_.wvu.PrintTitles" localSheetId="12" hidden="1">#REF!,#REF!</definedName>
    <definedName name="Z_179EFE20_A1B1_11D3_8FA9_0008C7809E09_.wvu.PrintTitles" hidden="1">#REF!,#REF!</definedName>
    <definedName name="Z_179EFE21_A1B1_11D3_8FA9_0008C7809E09_.wvu.PrintArea" localSheetId="11" hidden="1">#REF!</definedName>
    <definedName name="Z_179EFE21_A1B1_11D3_8FA9_0008C7809E09_.wvu.PrintArea" localSheetId="12" hidden="1">#REF!</definedName>
    <definedName name="Z_179EFE21_A1B1_11D3_8FA9_0008C7809E09_.wvu.PrintArea" hidden="1">#REF!</definedName>
    <definedName name="Z_179EFE21_A1B1_11D3_8FA9_0008C7809E09_.wvu.PrintTitles" localSheetId="11" hidden="1">#REF!,#REF!</definedName>
    <definedName name="Z_179EFE21_A1B1_11D3_8FA9_0008C7809E09_.wvu.PrintTitles" localSheetId="12" hidden="1">#REF!,#REF!</definedName>
    <definedName name="Z_179EFE21_A1B1_11D3_8FA9_0008C7809E09_.wvu.PrintTitles" hidden="1">#REF!,#REF!</definedName>
    <definedName name="Z_179EFE22_A1B1_11D3_8FA9_0008C7809E09_.wvu.PrintArea" localSheetId="11" hidden="1">#REF!</definedName>
    <definedName name="Z_179EFE22_A1B1_11D3_8FA9_0008C7809E09_.wvu.PrintArea" localSheetId="12" hidden="1">#REF!</definedName>
    <definedName name="Z_179EFE22_A1B1_11D3_8FA9_0008C7809E09_.wvu.PrintArea" hidden="1">#REF!</definedName>
    <definedName name="Z_179EFE22_A1B1_11D3_8FA9_0008C7809E09_.wvu.PrintTitles" localSheetId="11" hidden="1">#REF!,#REF!</definedName>
    <definedName name="Z_179EFE22_A1B1_11D3_8FA9_0008C7809E09_.wvu.PrintTitles" localSheetId="12" hidden="1">#REF!,#REF!</definedName>
    <definedName name="Z_179EFE22_A1B1_11D3_8FA9_0008C7809E09_.wvu.PrintTitles" hidden="1">#REF!,#REF!</definedName>
    <definedName name="Z_179EFE23_A1B1_11D3_8FA9_0008C7809E09_.wvu.PrintArea" localSheetId="11" hidden="1">#REF!</definedName>
    <definedName name="Z_179EFE23_A1B1_11D3_8FA9_0008C7809E09_.wvu.PrintArea" localSheetId="12" hidden="1">#REF!</definedName>
    <definedName name="Z_179EFE23_A1B1_11D3_8FA9_0008C7809E09_.wvu.PrintArea" hidden="1">#REF!</definedName>
    <definedName name="Z_179EFE23_A1B1_11D3_8FA9_0008C7809E09_.wvu.PrintTitles" localSheetId="11" hidden="1">#REF!,#REF!</definedName>
    <definedName name="Z_179EFE23_A1B1_11D3_8FA9_0008C7809E09_.wvu.PrintTitles" localSheetId="12" hidden="1">#REF!,#REF!</definedName>
    <definedName name="Z_179EFE23_A1B1_11D3_8FA9_0008C7809E09_.wvu.PrintTitles" hidden="1">#REF!,#REF!</definedName>
    <definedName name="Z_179EFE24_A1B1_11D3_8FA9_0008C7809E09_.wvu.PrintArea" localSheetId="11" hidden="1">#REF!</definedName>
    <definedName name="Z_179EFE24_A1B1_11D3_8FA9_0008C7809E09_.wvu.PrintArea" localSheetId="12" hidden="1">#REF!</definedName>
    <definedName name="Z_179EFE24_A1B1_11D3_8FA9_0008C7809E09_.wvu.PrintArea" hidden="1">#REF!</definedName>
    <definedName name="Z_179EFE24_A1B1_11D3_8FA9_0008C7809E09_.wvu.PrintTitles" localSheetId="11" hidden="1">#REF!,#REF!</definedName>
    <definedName name="Z_179EFE24_A1B1_11D3_8FA9_0008C7809E09_.wvu.PrintTitles" localSheetId="12" hidden="1">#REF!,#REF!</definedName>
    <definedName name="Z_179EFE24_A1B1_11D3_8FA9_0008C7809E09_.wvu.PrintTitles" hidden="1">#REF!,#REF!</definedName>
    <definedName name="Z_179EFE25_A1B1_11D3_8FA9_0008C7809E09_.wvu.PrintArea" localSheetId="11" hidden="1">#REF!</definedName>
    <definedName name="Z_179EFE25_A1B1_11D3_8FA9_0008C7809E09_.wvu.PrintArea" localSheetId="12" hidden="1">#REF!</definedName>
    <definedName name="Z_179EFE25_A1B1_11D3_8FA9_0008C7809E09_.wvu.PrintArea" hidden="1">#REF!</definedName>
    <definedName name="Z_179EFE25_A1B1_11D3_8FA9_0008C7809E09_.wvu.PrintTitles" localSheetId="11" hidden="1">#REF!,#REF!</definedName>
    <definedName name="Z_179EFE25_A1B1_11D3_8FA9_0008C7809E09_.wvu.PrintTitles" localSheetId="12" hidden="1">#REF!,#REF!</definedName>
    <definedName name="Z_179EFE25_A1B1_11D3_8FA9_0008C7809E09_.wvu.PrintTitles" hidden="1">#REF!,#REF!</definedName>
    <definedName name="Z_179EFE26_A1B1_11D3_8FA9_0008C7809E09_.wvu.PrintArea" localSheetId="11" hidden="1">#REF!</definedName>
    <definedName name="Z_179EFE26_A1B1_11D3_8FA9_0008C7809E09_.wvu.PrintArea" localSheetId="12" hidden="1">#REF!</definedName>
    <definedName name="Z_179EFE26_A1B1_11D3_8FA9_0008C7809E09_.wvu.PrintArea" hidden="1">#REF!</definedName>
    <definedName name="Z_179EFE26_A1B1_11D3_8FA9_0008C7809E09_.wvu.PrintTitles" localSheetId="11" hidden="1">#REF!,#REF!</definedName>
    <definedName name="Z_179EFE26_A1B1_11D3_8FA9_0008C7809E09_.wvu.PrintTitles" localSheetId="12" hidden="1">#REF!,#REF!</definedName>
    <definedName name="Z_179EFE26_A1B1_11D3_8FA9_0008C7809E09_.wvu.PrintTitles" hidden="1">#REF!,#REF!</definedName>
    <definedName name="Z_179EFE27_A1B1_11D3_8FA9_0008C7809E09_.wvu.PrintArea" localSheetId="11" hidden="1">#REF!</definedName>
    <definedName name="Z_179EFE27_A1B1_11D3_8FA9_0008C7809E09_.wvu.PrintArea" localSheetId="12" hidden="1">#REF!</definedName>
    <definedName name="Z_179EFE27_A1B1_11D3_8FA9_0008C7809E09_.wvu.PrintArea" hidden="1">#REF!</definedName>
    <definedName name="Z_179EFE27_A1B1_11D3_8FA9_0008C7809E09_.wvu.PrintTitles" localSheetId="11" hidden="1">#REF!,#REF!</definedName>
    <definedName name="Z_179EFE27_A1B1_11D3_8FA9_0008C7809E09_.wvu.PrintTitles" localSheetId="12" hidden="1">#REF!,#REF!</definedName>
    <definedName name="Z_179EFE27_A1B1_11D3_8FA9_0008C7809E09_.wvu.PrintTitles" hidden="1">#REF!,#REF!</definedName>
    <definedName name="Z_179EFE28_A1B1_11D3_8FA9_0008C7809E09_.wvu.PrintArea" localSheetId="11" hidden="1">#REF!</definedName>
    <definedName name="Z_179EFE28_A1B1_11D3_8FA9_0008C7809E09_.wvu.PrintArea" localSheetId="12" hidden="1">#REF!</definedName>
    <definedName name="Z_179EFE28_A1B1_11D3_8FA9_0008C7809E09_.wvu.PrintArea" hidden="1">#REF!</definedName>
    <definedName name="Z_179EFE28_A1B1_11D3_8FA9_0008C7809E09_.wvu.PrintTitles" localSheetId="11" hidden="1">#REF!,#REF!</definedName>
    <definedName name="Z_179EFE28_A1B1_11D3_8FA9_0008C7809E09_.wvu.PrintTitles" localSheetId="12" hidden="1">#REF!,#REF!</definedName>
    <definedName name="Z_179EFE28_A1B1_11D3_8FA9_0008C7809E09_.wvu.PrintTitles" hidden="1">#REF!,#REF!</definedName>
    <definedName name="Z_179EFE29_A1B1_11D3_8FA9_0008C7809E09_.wvu.PrintArea" localSheetId="11" hidden="1">#REF!</definedName>
    <definedName name="Z_179EFE29_A1B1_11D3_8FA9_0008C7809E09_.wvu.PrintArea" localSheetId="12" hidden="1">#REF!</definedName>
    <definedName name="Z_179EFE29_A1B1_11D3_8FA9_0008C7809E09_.wvu.PrintArea" hidden="1">#REF!</definedName>
    <definedName name="Z_179EFE29_A1B1_11D3_8FA9_0008C7809E09_.wvu.PrintTitles" localSheetId="11" hidden="1">#REF!,#REF!</definedName>
    <definedName name="Z_179EFE29_A1B1_11D3_8FA9_0008C7809E09_.wvu.PrintTitles" localSheetId="12" hidden="1">#REF!,#REF!</definedName>
    <definedName name="Z_179EFE29_A1B1_11D3_8FA9_0008C7809E09_.wvu.PrintTitles" hidden="1">#REF!,#REF!</definedName>
    <definedName name="Z_179EFE2A_A1B1_11D3_8FA9_0008C7809E09_.wvu.PrintArea" localSheetId="11" hidden="1">#REF!</definedName>
    <definedName name="Z_179EFE2A_A1B1_11D3_8FA9_0008C7809E09_.wvu.PrintArea" localSheetId="12" hidden="1">#REF!</definedName>
    <definedName name="Z_179EFE2A_A1B1_11D3_8FA9_0008C7809E09_.wvu.PrintArea" hidden="1">#REF!</definedName>
    <definedName name="Z_179EFE2A_A1B1_11D3_8FA9_0008C7809E09_.wvu.PrintTitles" localSheetId="11" hidden="1">#REF!,#REF!</definedName>
    <definedName name="Z_179EFE2A_A1B1_11D3_8FA9_0008C7809E09_.wvu.PrintTitles" localSheetId="12" hidden="1">#REF!,#REF!</definedName>
    <definedName name="Z_179EFE2A_A1B1_11D3_8FA9_0008C7809E09_.wvu.PrintTitles" hidden="1">#REF!,#REF!</definedName>
    <definedName name="Z_179EFE2B_A1B1_11D3_8FA9_0008C7809E09_.wvu.PrintArea" localSheetId="11" hidden="1">#REF!</definedName>
    <definedName name="Z_179EFE2B_A1B1_11D3_8FA9_0008C7809E09_.wvu.PrintArea" localSheetId="12" hidden="1">#REF!</definedName>
    <definedName name="Z_179EFE2B_A1B1_11D3_8FA9_0008C7809E09_.wvu.PrintArea" hidden="1">#REF!</definedName>
    <definedName name="Z_179EFE2B_A1B1_11D3_8FA9_0008C7809E09_.wvu.PrintTitles" localSheetId="11" hidden="1">#REF!,#REF!</definedName>
    <definedName name="Z_179EFE2B_A1B1_11D3_8FA9_0008C7809E09_.wvu.PrintTitles" localSheetId="12" hidden="1">#REF!,#REF!</definedName>
    <definedName name="Z_179EFE2B_A1B1_11D3_8FA9_0008C7809E09_.wvu.PrintTitles" hidden="1">#REF!,#REF!</definedName>
    <definedName name="Z_179EFE2C_A1B1_11D3_8FA9_0008C7809E09_.wvu.PrintArea" localSheetId="11" hidden="1">#REF!</definedName>
    <definedName name="Z_179EFE2C_A1B1_11D3_8FA9_0008C7809E09_.wvu.PrintArea" localSheetId="12" hidden="1">#REF!</definedName>
    <definedName name="Z_179EFE2C_A1B1_11D3_8FA9_0008C7809E09_.wvu.PrintArea" hidden="1">#REF!</definedName>
    <definedName name="Z_179EFE2C_A1B1_11D3_8FA9_0008C7809E09_.wvu.PrintTitles" localSheetId="11" hidden="1">#REF!,#REF!</definedName>
    <definedName name="Z_179EFE2C_A1B1_11D3_8FA9_0008C7809E09_.wvu.PrintTitles" localSheetId="12" hidden="1">#REF!,#REF!</definedName>
    <definedName name="Z_179EFE2C_A1B1_11D3_8FA9_0008C7809E09_.wvu.PrintTitles" hidden="1">#REF!,#REF!</definedName>
    <definedName name="Z_179EFE2D_A1B1_11D3_8FA9_0008C7809E09_.wvu.PrintArea" localSheetId="11" hidden="1">#REF!</definedName>
    <definedName name="Z_179EFE2D_A1B1_11D3_8FA9_0008C7809E09_.wvu.PrintArea" localSheetId="12" hidden="1">#REF!</definedName>
    <definedName name="Z_179EFE2D_A1B1_11D3_8FA9_0008C7809E09_.wvu.PrintArea" hidden="1">#REF!</definedName>
    <definedName name="Z_179EFE2D_A1B1_11D3_8FA9_0008C7809E09_.wvu.PrintTitles" localSheetId="11" hidden="1">#REF!,#REF!</definedName>
    <definedName name="Z_179EFE2D_A1B1_11D3_8FA9_0008C7809E09_.wvu.PrintTitles" localSheetId="12" hidden="1">#REF!,#REF!</definedName>
    <definedName name="Z_179EFE2D_A1B1_11D3_8FA9_0008C7809E09_.wvu.PrintTitles" hidden="1">#REF!,#REF!</definedName>
    <definedName name="Z_179EFE2E_A1B1_11D3_8FA9_0008C7809E09_.wvu.PrintArea" localSheetId="11" hidden="1">#REF!</definedName>
    <definedName name="Z_179EFE2E_A1B1_11D3_8FA9_0008C7809E09_.wvu.PrintArea" localSheetId="12" hidden="1">#REF!</definedName>
    <definedName name="Z_179EFE2E_A1B1_11D3_8FA9_0008C7809E09_.wvu.PrintArea" hidden="1">#REF!</definedName>
    <definedName name="Z_179EFE2E_A1B1_11D3_8FA9_0008C7809E09_.wvu.PrintTitles" localSheetId="11" hidden="1">#REF!,#REF!</definedName>
    <definedName name="Z_179EFE2E_A1B1_11D3_8FA9_0008C7809E09_.wvu.PrintTitles" localSheetId="12" hidden="1">#REF!,#REF!</definedName>
    <definedName name="Z_179EFE2E_A1B1_11D3_8FA9_0008C7809E09_.wvu.PrintTitles" hidden="1">#REF!,#REF!</definedName>
    <definedName name="Z_179EFE2F_A1B1_11D3_8FA9_0008C7809E09_.wvu.PrintArea" localSheetId="11" hidden="1">#REF!</definedName>
    <definedName name="Z_179EFE2F_A1B1_11D3_8FA9_0008C7809E09_.wvu.PrintArea" localSheetId="12" hidden="1">#REF!</definedName>
    <definedName name="Z_179EFE2F_A1B1_11D3_8FA9_0008C7809E09_.wvu.PrintArea" hidden="1">#REF!</definedName>
    <definedName name="Z_179EFE2F_A1B1_11D3_8FA9_0008C7809E09_.wvu.PrintTitles" localSheetId="11" hidden="1">#REF!</definedName>
    <definedName name="Z_179EFE2F_A1B1_11D3_8FA9_0008C7809E09_.wvu.PrintTitles" localSheetId="12" hidden="1">#REF!</definedName>
    <definedName name="Z_179EFE2F_A1B1_11D3_8FA9_0008C7809E09_.wvu.PrintTitles" hidden="1">#REF!</definedName>
    <definedName name="Z_179EFE30_A1B1_11D3_8FA9_0008C7809E09_.wvu.PrintArea" localSheetId="11" hidden="1">#REF!</definedName>
    <definedName name="Z_179EFE30_A1B1_11D3_8FA9_0008C7809E09_.wvu.PrintArea" localSheetId="12" hidden="1">#REF!</definedName>
    <definedName name="Z_179EFE30_A1B1_11D3_8FA9_0008C7809E09_.wvu.PrintArea" hidden="1">#REF!</definedName>
    <definedName name="Z_179EFE30_A1B1_11D3_8FA9_0008C7809E09_.wvu.PrintTitles" localSheetId="11" hidden="1">#REF!</definedName>
    <definedName name="Z_179EFE30_A1B1_11D3_8FA9_0008C7809E09_.wvu.PrintTitles" localSheetId="12" hidden="1">#REF!</definedName>
    <definedName name="Z_179EFE30_A1B1_11D3_8FA9_0008C7809E09_.wvu.PrintTitles" hidden="1">#REF!</definedName>
    <definedName name="Z_179EFE31_A1B1_11D3_8FA9_0008C7809E09_.wvu.PrintArea" localSheetId="11" hidden="1">#REF!</definedName>
    <definedName name="Z_179EFE31_A1B1_11D3_8FA9_0008C7809E09_.wvu.PrintArea" localSheetId="12" hidden="1">#REF!</definedName>
    <definedName name="Z_179EFE31_A1B1_11D3_8FA9_0008C7809E09_.wvu.PrintArea" hidden="1">#REF!</definedName>
    <definedName name="Z_179EFE31_A1B1_11D3_8FA9_0008C7809E09_.wvu.PrintTitles" localSheetId="11" hidden="1">#REF!</definedName>
    <definedName name="Z_179EFE31_A1B1_11D3_8FA9_0008C7809E09_.wvu.PrintTitles" localSheetId="12" hidden="1">#REF!</definedName>
    <definedName name="Z_179EFE31_A1B1_11D3_8FA9_0008C7809E09_.wvu.PrintTitles" hidden="1">#REF!</definedName>
    <definedName name="Z_179EFE32_A1B1_11D3_8FA9_0008C7809E09_.wvu.PrintArea" localSheetId="11" hidden="1">#REF!</definedName>
    <definedName name="Z_179EFE32_A1B1_11D3_8FA9_0008C7809E09_.wvu.PrintArea" localSheetId="12" hidden="1">#REF!</definedName>
    <definedName name="Z_179EFE32_A1B1_11D3_8FA9_0008C7809E09_.wvu.PrintArea" hidden="1">#REF!</definedName>
    <definedName name="Z_179EFE32_A1B1_11D3_8FA9_0008C7809E09_.wvu.PrintTitles" localSheetId="11" hidden="1">#REF!</definedName>
    <definedName name="Z_179EFE32_A1B1_11D3_8FA9_0008C7809E09_.wvu.PrintTitles" localSheetId="12" hidden="1">#REF!</definedName>
    <definedName name="Z_179EFE32_A1B1_11D3_8FA9_0008C7809E09_.wvu.PrintTitles" hidden="1">#REF!</definedName>
    <definedName name="Z_179EFE33_A1B1_11D3_8FA9_0008C7809E09_.wvu.PrintArea" localSheetId="11" hidden="1">#REF!</definedName>
    <definedName name="Z_179EFE33_A1B1_11D3_8FA9_0008C7809E09_.wvu.PrintArea" localSheetId="12" hidden="1">#REF!</definedName>
    <definedName name="Z_179EFE33_A1B1_11D3_8FA9_0008C7809E09_.wvu.PrintArea" hidden="1">#REF!</definedName>
    <definedName name="Z_179EFE33_A1B1_11D3_8FA9_0008C7809E09_.wvu.PrintTitles" localSheetId="11" hidden="1">#REF!</definedName>
    <definedName name="Z_179EFE33_A1B1_11D3_8FA9_0008C7809E09_.wvu.PrintTitles" localSheetId="12" hidden="1">#REF!</definedName>
    <definedName name="Z_179EFE33_A1B1_11D3_8FA9_0008C7809E09_.wvu.PrintTitles" hidden="1">#REF!</definedName>
    <definedName name="Z_179EFE34_A1B1_11D3_8FA9_0008C7809E09_.wvu.PrintArea" localSheetId="11" hidden="1">#REF!</definedName>
    <definedName name="Z_179EFE34_A1B1_11D3_8FA9_0008C7809E09_.wvu.PrintArea" localSheetId="12" hidden="1">#REF!</definedName>
    <definedName name="Z_179EFE34_A1B1_11D3_8FA9_0008C7809E09_.wvu.PrintArea" hidden="1">#REF!</definedName>
    <definedName name="Z_179EFE34_A1B1_11D3_8FA9_0008C7809E09_.wvu.PrintTitles" localSheetId="11" hidden="1">#REF!</definedName>
    <definedName name="Z_179EFE34_A1B1_11D3_8FA9_0008C7809E09_.wvu.PrintTitles" localSheetId="12" hidden="1">#REF!</definedName>
    <definedName name="Z_179EFE34_A1B1_11D3_8FA9_0008C7809E09_.wvu.PrintTitles" hidden="1">#REF!</definedName>
    <definedName name="Z_179EFE35_A1B1_11D3_8FA9_0008C7809E09_.wvu.PrintArea" localSheetId="11" hidden="1">#REF!</definedName>
    <definedName name="Z_179EFE35_A1B1_11D3_8FA9_0008C7809E09_.wvu.PrintArea" localSheetId="12" hidden="1">#REF!</definedName>
    <definedName name="Z_179EFE35_A1B1_11D3_8FA9_0008C7809E09_.wvu.PrintArea" hidden="1">#REF!</definedName>
    <definedName name="Z_179EFE35_A1B1_11D3_8FA9_0008C7809E09_.wvu.PrintTitles" localSheetId="11" hidden="1">#REF!</definedName>
    <definedName name="Z_179EFE35_A1B1_11D3_8FA9_0008C7809E09_.wvu.PrintTitles" localSheetId="12" hidden="1">#REF!</definedName>
    <definedName name="Z_179EFE35_A1B1_11D3_8FA9_0008C7809E09_.wvu.PrintTitles" hidden="1">#REF!</definedName>
    <definedName name="Z_179EFE36_A1B1_11D3_8FA9_0008C7809E09_.wvu.PrintArea" localSheetId="11" hidden="1">#REF!</definedName>
    <definedName name="Z_179EFE36_A1B1_11D3_8FA9_0008C7809E09_.wvu.PrintArea" localSheetId="12" hidden="1">#REF!</definedName>
    <definedName name="Z_179EFE36_A1B1_11D3_8FA9_0008C7809E09_.wvu.PrintArea" hidden="1">#REF!</definedName>
    <definedName name="Z_179EFE36_A1B1_11D3_8FA9_0008C7809E09_.wvu.PrintTitles" localSheetId="11" hidden="1">#REF!</definedName>
    <definedName name="Z_179EFE36_A1B1_11D3_8FA9_0008C7809E09_.wvu.PrintTitles" localSheetId="12" hidden="1">#REF!</definedName>
    <definedName name="Z_179EFE36_A1B1_11D3_8FA9_0008C7809E09_.wvu.PrintTitles" hidden="1">#REF!</definedName>
    <definedName name="Z_179EFE37_A1B1_11D3_8FA9_0008C7809E09_.wvu.PrintArea" localSheetId="11" hidden="1">#REF!</definedName>
    <definedName name="Z_179EFE37_A1B1_11D3_8FA9_0008C7809E09_.wvu.PrintArea" localSheetId="12" hidden="1">#REF!</definedName>
    <definedName name="Z_179EFE37_A1B1_11D3_8FA9_0008C7809E09_.wvu.PrintArea" hidden="1">#REF!</definedName>
    <definedName name="Z_179EFE37_A1B1_11D3_8FA9_0008C7809E09_.wvu.PrintTitles" localSheetId="11" hidden="1">#REF!</definedName>
    <definedName name="Z_179EFE37_A1B1_11D3_8FA9_0008C7809E09_.wvu.PrintTitles" localSheetId="12" hidden="1">#REF!</definedName>
    <definedName name="Z_179EFE37_A1B1_11D3_8FA9_0008C7809E09_.wvu.PrintTitles" hidden="1">#REF!</definedName>
    <definedName name="Z_179EFE38_A1B1_11D3_8FA9_0008C7809E09_.wvu.PrintArea" localSheetId="11" hidden="1">#REF!</definedName>
    <definedName name="Z_179EFE38_A1B1_11D3_8FA9_0008C7809E09_.wvu.PrintArea" localSheetId="12" hidden="1">#REF!</definedName>
    <definedName name="Z_179EFE38_A1B1_11D3_8FA9_0008C7809E09_.wvu.PrintArea" hidden="1">#REF!</definedName>
    <definedName name="Z_179EFE38_A1B1_11D3_8FA9_0008C7809E09_.wvu.PrintTitles" localSheetId="11" hidden="1">#REF!</definedName>
    <definedName name="Z_179EFE38_A1B1_11D3_8FA9_0008C7809E09_.wvu.PrintTitles" localSheetId="12" hidden="1">#REF!</definedName>
    <definedName name="Z_179EFE38_A1B1_11D3_8FA9_0008C7809E09_.wvu.PrintTitles" hidden="1">#REF!</definedName>
    <definedName name="Z_179EFE39_A1B1_11D3_8FA9_0008C7809E09_.wvu.PrintArea" localSheetId="11" hidden="1">#REF!</definedName>
    <definedName name="Z_179EFE39_A1B1_11D3_8FA9_0008C7809E09_.wvu.PrintArea" localSheetId="12" hidden="1">#REF!</definedName>
    <definedName name="Z_179EFE39_A1B1_11D3_8FA9_0008C7809E09_.wvu.PrintArea" hidden="1">#REF!</definedName>
    <definedName name="Z_179EFE39_A1B1_11D3_8FA9_0008C7809E09_.wvu.PrintTitles" localSheetId="11" hidden="1">#REF!</definedName>
    <definedName name="Z_179EFE39_A1B1_11D3_8FA9_0008C7809E09_.wvu.PrintTitles" localSheetId="12" hidden="1">#REF!</definedName>
    <definedName name="Z_179EFE39_A1B1_11D3_8FA9_0008C7809E09_.wvu.PrintTitles" hidden="1">#REF!</definedName>
    <definedName name="Z_179EFE3A_A1B1_11D3_8FA9_0008C7809E09_.wvu.PrintArea" localSheetId="11" hidden="1">#REF!</definedName>
    <definedName name="Z_179EFE3A_A1B1_11D3_8FA9_0008C7809E09_.wvu.PrintArea" localSheetId="12" hidden="1">#REF!</definedName>
    <definedName name="Z_179EFE3A_A1B1_11D3_8FA9_0008C7809E09_.wvu.PrintArea" hidden="1">#REF!</definedName>
    <definedName name="Z_179EFE3A_A1B1_11D3_8FA9_0008C7809E09_.wvu.PrintTitles" localSheetId="11" hidden="1">#REF!</definedName>
    <definedName name="Z_179EFE3A_A1B1_11D3_8FA9_0008C7809E09_.wvu.PrintTitles" localSheetId="12" hidden="1">#REF!</definedName>
    <definedName name="Z_179EFE3A_A1B1_11D3_8FA9_0008C7809E09_.wvu.PrintTitles" hidden="1">#REF!</definedName>
    <definedName name="Z_179EFE3B_A1B1_11D3_8FA9_0008C7809E09_.wvu.PrintArea" localSheetId="11" hidden="1">#REF!</definedName>
    <definedName name="Z_179EFE3B_A1B1_11D3_8FA9_0008C7809E09_.wvu.PrintArea" localSheetId="12" hidden="1">#REF!</definedName>
    <definedName name="Z_179EFE3B_A1B1_11D3_8FA9_0008C7809E09_.wvu.PrintArea" hidden="1">#REF!</definedName>
    <definedName name="Z_179EFE3B_A1B1_11D3_8FA9_0008C7809E09_.wvu.PrintTitles" localSheetId="11" hidden="1">#REF!</definedName>
    <definedName name="Z_179EFE3B_A1B1_11D3_8FA9_0008C7809E09_.wvu.PrintTitles" localSheetId="12" hidden="1">#REF!</definedName>
    <definedName name="Z_179EFE3B_A1B1_11D3_8FA9_0008C7809E09_.wvu.PrintTitles" hidden="1">#REF!</definedName>
    <definedName name="Z_179EFE3C_A1B1_11D3_8FA9_0008C7809E09_.wvu.PrintArea" localSheetId="11" hidden="1">#REF!</definedName>
    <definedName name="Z_179EFE3C_A1B1_11D3_8FA9_0008C7809E09_.wvu.PrintArea" localSheetId="12" hidden="1">#REF!</definedName>
    <definedName name="Z_179EFE3C_A1B1_11D3_8FA9_0008C7809E09_.wvu.PrintArea" hidden="1">#REF!</definedName>
    <definedName name="Z_179EFE3C_A1B1_11D3_8FA9_0008C7809E09_.wvu.PrintTitles" localSheetId="11" hidden="1">#REF!,#REF!</definedName>
    <definedName name="Z_179EFE3C_A1B1_11D3_8FA9_0008C7809E09_.wvu.PrintTitles" localSheetId="12" hidden="1">#REF!,#REF!</definedName>
    <definedName name="Z_179EFE3C_A1B1_11D3_8FA9_0008C7809E09_.wvu.PrintTitles" hidden="1">#REF!,#REF!</definedName>
    <definedName name="Z_179EFE3D_A1B1_11D3_8FA9_0008C7809E09_.wvu.PrintArea" localSheetId="11" hidden="1">#REF!</definedName>
    <definedName name="Z_179EFE3D_A1B1_11D3_8FA9_0008C7809E09_.wvu.PrintArea" localSheetId="12" hidden="1">#REF!</definedName>
    <definedName name="Z_179EFE3D_A1B1_11D3_8FA9_0008C7809E09_.wvu.PrintArea" hidden="1">#REF!</definedName>
    <definedName name="Z_179EFE3D_A1B1_11D3_8FA9_0008C7809E09_.wvu.PrintTitles" localSheetId="11" hidden="1">#REF!,#REF!</definedName>
    <definedName name="Z_179EFE3D_A1B1_11D3_8FA9_0008C7809E09_.wvu.PrintTitles" localSheetId="12" hidden="1">#REF!,#REF!</definedName>
    <definedName name="Z_179EFE3D_A1B1_11D3_8FA9_0008C7809E09_.wvu.PrintTitles" hidden="1">#REF!,#REF!</definedName>
    <definedName name="Z_179EFE3E_A1B1_11D3_8FA9_0008C7809E09_.wvu.PrintArea" localSheetId="11" hidden="1">#REF!</definedName>
    <definedName name="Z_179EFE3E_A1B1_11D3_8FA9_0008C7809E09_.wvu.PrintArea" localSheetId="12" hidden="1">#REF!</definedName>
    <definedName name="Z_179EFE3E_A1B1_11D3_8FA9_0008C7809E09_.wvu.PrintArea" hidden="1">#REF!</definedName>
    <definedName name="Z_179EFE3E_A1B1_11D3_8FA9_0008C7809E09_.wvu.PrintTitles" localSheetId="11" hidden="1">#REF!,#REF!</definedName>
    <definedName name="Z_179EFE3E_A1B1_11D3_8FA9_0008C7809E09_.wvu.PrintTitles" localSheetId="12" hidden="1">#REF!,#REF!</definedName>
    <definedName name="Z_179EFE3E_A1B1_11D3_8FA9_0008C7809E09_.wvu.PrintTitles" hidden="1">#REF!,#REF!</definedName>
    <definedName name="Z_179EFE3F_A1B1_11D3_8FA9_0008C7809E09_.wvu.PrintArea" localSheetId="11" hidden="1">#REF!</definedName>
    <definedName name="Z_179EFE3F_A1B1_11D3_8FA9_0008C7809E09_.wvu.PrintArea" localSheetId="12" hidden="1">#REF!</definedName>
    <definedName name="Z_179EFE3F_A1B1_11D3_8FA9_0008C7809E09_.wvu.PrintArea" hidden="1">#REF!</definedName>
    <definedName name="Z_179EFE3F_A1B1_11D3_8FA9_0008C7809E09_.wvu.PrintTitles" localSheetId="11" hidden="1">#REF!,#REF!</definedName>
    <definedName name="Z_179EFE3F_A1B1_11D3_8FA9_0008C7809E09_.wvu.PrintTitles" localSheetId="12" hidden="1">#REF!,#REF!</definedName>
    <definedName name="Z_179EFE3F_A1B1_11D3_8FA9_0008C7809E09_.wvu.PrintTitles" hidden="1">#REF!,#REF!</definedName>
    <definedName name="Z_179EFE40_A1B1_11D3_8FA9_0008C7809E09_.wvu.PrintArea" localSheetId="11" hidden="1">#REF!</definedName>
    <definedName name="Z_179EFE40_A1B1_11D3_8FA9_0008C7809E09_.wvu.PrintArea" localSheetId="12" hidden="1">#REF!</definedName>
    <definedName name="Z_179EFE40_A1B1_11D3_8FA9_0008C7809E09_.wvu.PrintArea" hidden="1">#REF!</definedName>
    <definedName name="Z_179EFE40_A1B1_11D3_8FA9_0008C7809E09_.wvu.PrintTitles" localSheetId="11" hidden="1">#REF!,#REF!</definedName>
    <definedName name="Z_179EFE40_A1B1_11D3_8FA9_0008C7809E09_.wvu.PrintTitles" localSheetId="12" hidden="1">#REF!,#REF!</definedName>
    <definedName name="Z_179EFE40_A1B1_11D3_8FA9_0008C7809E09_.wvu.PrintTitles" hidden="1">#REF!,#REF!</definedName>
    <definedName name="Z_179EFE41_A1B1_11D3_8FA9_0008C7809E09_.wvu.PrintArea" localSheetId="11" hidden="1">#REF!</definedName>
    <definedName name="Z_179EFE41_A1B1_11D3_8FA9_0008C7809E09_.wvu.PrintArea" localSheetId="12" hidden="1">#REF!</definedName>
    <definedName name="Z_179EFE41_A1B1_11D3_8FA9_0008C7809E09_.wvu.PrintArea" hidden="1">#REF!</definedName>
    <definedName name="Z_179EFE41_A1B1_11D3_8FA9_0008C7809E09_.wvu.PrintTitles" localSheetId="11" hidden="1">#REF!,#REF!</definedName>
    <definedName name="Z_179EFE41_A1B1_11D3_8FA9_0008C7809E09_.wvu.PrintTitles" localSheetId="12" hidden="1">#REF!,#REF!</definedName>
    <definedName name="Z_179EFE41_A1B1_11D3_8FA9_0008C7809E09_.wvu.PrintTitles" hidden="1">#REF!,#REF!</definedName>
    <definedName name="Z_179EFE42_A1B1_11D3_8FA9_0008C7809E09_.wvu.PrintArea" localSheetId="11" hidden="1">#REF!</definedName>
    <definedName name="Z_179EFE42_A1B1_11D3_8FA9_0008C7809E09_.wvu.PrintArea" localSheetId="12" hidden="1">#REF!</definedName>
    <definedName name="Z_179EFE42_A1B1_11D3_8FA9_0008C7809E09_.wvu.PrintArea" hidden="1">#REF!</definedName>
    <definedName name="Z_179EFE42_A1B1_11D3_8FA9_0008C7809E09_.wvu.PrintTitles" localSheetId="11" hidden="1">#REF!,#REF!</definedName>
    <definedName name="Z_179EFE42_A1B1_11D3_8FA9_0008C7809E09_.wvu.PrintTitles" localSheetId="12" hidden="1">#REF!,#REF!</definedName>
    <definedName name="Z_179EFE42_A1B1_11D3_8FA9_0008C7809E09_.wvu.PrintTitles" hidden="1">#REF!,#REF!</definedName>
    <definedName name="Z_179EFE43_A1B1_11D3_8FA9_0008C7809E09_.wvu.PrintArea" localSheetId="11" hidden="1">#REF!</definedName>
    <definedName name="Z_179EFE43_A1B1_11D3_8FA9_0008C7809E09_.wvu.PrintArea" localSheetId="12" hidden="1">#REF!</definedName>
    <definedName name="Z_179EFE43_A1B1_11D3_8FA9_0008C7809E09_.wvu.PrintArea" hidden="1">#REF!</definedName>
    <definedName name="Z_179EFE43_A1B1_11D3_8FA9_0008C7809E09_.wvu.PrintTitles" localSheetId="11" hidden="1">#REF!,#REF!</definedName>
    <definedName name="Z_179EFE43_A1B1_11D3_8FA9_0008C7809E09_.wvu.PrintTitles" localSheetId="12" hidden="1">#REF!,#REF!</definedName>
    <definedName name="Z_179EFE43_A1B1_11D3_8FA9_0008C7809E09_.wvu.PrintTitles" hidden="1">#REF!,#REF!</definedName>
    <definedName name="Z_179EFE44_A1B1_11D3_8FA9_0008C7809E09_.wvu.PrintArea" localSheetId="11" hidden="1">#REF!</definedName>
    <definedName name="Z_179EFE44_A1B1_11D3_8FA9_0008C7809E09_.wvu.PrintArea" localSheetId="12" hidden="1">#REF!</definedName>
    <definedName name="Z_179EFE44_A1B1_11D3_8FA9_0008C7809E09_.wvu.PrintArea" hidden="1">#REF!</definedName>
    <definedName name="Z_179EFE44_A1B1_11D3_8FA9_0008C7809E09_.wvu.PrintTitles" localSheetId="11" hidden="1">#REF!,#REF!</definedName>
    <definedName name="Z_179EFE44_A1B1_11D3_8FA9_0008C7809E09_.wvu.PrintTitles" localSheetId="12" hidden="1">#REF!,#REF!</definedName>
    <definedName name="Z_179EFE44_A1B1_11D3_8FA9_0008C7809E09_.wvu.PrintTitles" hidden="1">#REF!,#REF!</definedName>
    <definedName name="Z_179EFE45_A1B1_11D3_8FA9_0008C7809E09_.wvu.PrintArea" localSheetId="11" hidden="1">#REF!</definedName>
    <definedName name="Z_179EFE45_A1B1_11D3_8FA9_0008C7809E09_.wvu.PrintArea" localSheetId="12" hidden="1">#REF!</definedName>
    <definedName name="Z_179EFE45_A1B1_11D3_8FA9_0008C7809E09_.wvu.PrintArea" hidden="1">#REF!</definedName>
    <definedName name="Z_179EFE45_A1B1_11D3_8FA9_0008C7809E09_.wvu.PrintTitles" localSheetId="11" hidden="1">#REF!,#REF!</definedName>
    <definedName name="Z_179EFE45_A1B1_11D3_8FA9_0008C7809E09_.wvu.PrintTitles" localSheetId="12" hidden="1">#REF!,#REF!</definedName>
    <definedName name="Z_179EFE45_A1B1_11D3_8FA9_0008C7809E09_.wvu.PrintTitles" hidden="1">#REF!,#REF!</definedName>
    <definedName name="Z_179EFE46_A1B1_11D3_8FA9_0008C7809E09_.wvu.PrintArea" localSheetId="11" hidden="1">#REF!</definedName>
    <definedName name="Z_179EFE46_A1B1_11D3_8FA9_0008C7809E09_.wvu.PrintArea" localSheetId="12" hidden="1">#REF!</definedName>
    <definedName name="Z_179EFE46_A1B1_11D3_8FA9_0008C7809E09_.wvu.PrintArea" hidden="1">#REF!</definedName>
    <definedName name="Z_179EFE46_A1B1_11D3_8FA9_0008C7809E09_.wvu.PrintTitles" localSheetId="11" hidden="1">#REF!,#REF!</definedName>
    <definedName name="Z_179EFE46_A1B1_11D3_8FA9_0008C7809E09_.wvu.PrintTitles" localSheetId="12" hidden="1">#REF!,#REF!</definedName>
    <definedName name="Z_179EFE46_A1B1_11D3_8FA9_0008C7809E09_.wvu.PrintTitles" hidden="1">#REF!,#REF!</definedName>
    <definedName name="Z_179EFE47_A1B1_11D3_8FA9_0008C7809E09_.wvu.PrintArea" localSheetId="11" hidden="1">#REF!</definedName>
    <definedName name="Z_179EFE47_A1B1_11D3_8FA9_0008C7809E09_.wvu.PrintArea" localSheetId="12" hidden="1">#REF!</definedName>
    <definedName name="Z_179EFE47_A1B1_11D3_8FA9_0008C7809E09_.wvu.PrintArea" hidden="1">#REF!</definedName>
    <definedName name="Z_179EFE47_A1B1_11D3_8FA9_0008C7809E09_.wvu.PrintTitles" localSheetId="11" hidden="1">#REF!,#REF!</definedName>
    <definedName name="Z_179EFE47_A1B1_11D3_8FA9_0008C7809E09_.wvu.PrintTitles" localSheetId="12" hidden="1">#REF!,#REF!</definedName>
    <definedName name="Z_179EFE47_A1B1_11D3_8FA9_0008C7809E09_.wvu.PrintTitles" hidden="1">#REF!,#REF!</definedName>
    <definedName name="Z_179EFE48_A1B1_11D3_8FA9_0008C7809E09_.wvu.PrintArea" localSheetId="11" hidden="1">#REF!</definedName>
    <definedName name="Z_179EFE48_A1B1_11D3_8FA9_0008C7809E09_.wvu.PrintArea" localSheetId="12" hidden="1">#REF!</definedName>
    <definedName name="Z_179EFE48_A1B1_11D3_8FA9_0008C7809E09_.wvu.PrintArea" hidden="1">#REF!</definedName>
    <definedName name="Z_179EFE48_A1B1_11D3_8FA9_0008C7809E09_.wvu.PrintTitles" localSheetId="11" hidden="1">#REF!,#REF!</definedName>
    <definedName name="Z_179EFE48_A1B1_11D3_8FA9_0008C7809E09_.wvu.PrintTitles" localSheetId="12" hidden="1">#REF!,#REF!</definedName>
    <definedName name="Z_179EFE48_A1B1_11D3_8FA9_0008C7809E09_.wvu.PrintTitles" hidden="1">#REF!,#REF!</definedName>
    <definedName name="Z_179EFE49_A1B1_11D3_8FA9_0008C7809E09_.wvu.PrintArea" localSheetId="11" hidden="1">#REF!</definedName>
    <definedName name="Z_179EFE49_A1B1_11D3_8FA9_0008C7809E09_.wvu.PrintArea" localSheetId="12" hidden="1">#REF!</definedName>
    <definedName name="Z_179EFE49_A1B1_11D3_8FA9_0008C7809E09_.wvu.PrintArea" hidden="1">#REF!</definedName>
    <definedName name="Z_179EFE49_A1B1_11D3_8FA9_0008C7809E09_.wvu.PrintTitles" localSheetId="11" hidden="1">#REF!,#REF!</definedName>
    <definedName name="Z_179EFE49_A1B1_11D3_8FA9_0008C7809E09_.wvu.PrintTitles" localSheetId="12" hidden="1">#REF!,#REF!</definedName>
    <definedName name="Z_179EFE49_A1B1_11D3_8FA9_0008C7809E09_.wvu.PrintTitles" hidden="1">#REF!,#REF!</definedName>
    <definedName name="Z_179EFE4A_A1B1_11D3_8FA9_0008C7809E09_.wvu.PrintArea" localSheetId="11" hidden="1">#REF!</definedName>
    <definedName name="Z_179EFE4A_A1B1_11D3_8FA9_0008C7809E09_.wvu.PrintArea" localSheetId="12" hidden="1">#REF!</definedName>
    <definedName name="Z_179EFE4A_A1B1_11D3_8FA9_0008C7809E09_.wvu.PrintArea" hidden="1">#REF!</definedName>
    <definedName name="Z_179EFE4A_A1B1_11D3_8FA9_0008C7809E09_.wvu.PrintTitles" localSheetId="11" hidden="1">#REF!,#REF!</definedName>
    <definedName name="Z_179EFE4A_A1B1_11D3_8FA9_0008C7809E09_.wvu.PrintTitles" localSheetId="12" hidden="1">#REF!,#REF!</definedName>
    <definedName name="Z_179EFE4A_A1B1_11D3_8FA9_0008C7809E09_.wvu.PrintTitles" hidden="1">#REF!,#REF!</definedName>
    <definedName name="Z_179EFE4B_A1B1_11D3_8FA9_0008C7809E09_.wvu.PrintArea" localSheetId="11" hidden="1">#REF!</definedName>
    <definedName name="Z_179EFE4B_A1B1_11D3_8FA9_0008C7809E09_.wvu.PrintArea" localSheetId="12" hidden="1">#REF!</definedName>
    <definedName name="Z_179EFE4B_A1B1_11D3_8FA9_0008C7809E09_.wvu.PrintArea" hidden="1">#REF!</definedName>
    <definedName name="Z_179EFE4B_A1B1_11D3_8FA9_0008C7809E09_.wvu.PrintTitles" localSheetId="11" hidden="1">#REF!,#REF!</definedName>
    <definedName name="Z_179EFE4B_A1B1_11D3_8FA9_0008C7809E09_.wvu.PrintTitles" localSheetId="12" hidden="1">#REF!,#REF!</definedName>
    <definedName name="Z_179EFE4B_A1B1_11D3_8FA9_0008C7809E09_.wvu.PrintTitles" hidden="1">#REF!,#REF!</definedName>
    <definedName name="Z_179EFE4C_A1B1_11D3_8FA9_0008C7809E09_.wvu.PrintArea" localSheetId="11" hidden="1">#REF!</definedName>
    <definedName name="Z_179EFE4C_A1B1_11D3_8FA9_0008C7809E09_.wvu.PrintArea" localSheetId="12" hidden="1">#REF!</definedName>
    <definedName name="Z_179EFE4C_A1B1_11D3_8FA9_0008C7809E09_.wvu.PrintArea" hidden="1">#REF!</definedName>
    <definedName name="Z_179EFE4C_A1B1_11D3_8FA9_0008C7809E09_.wvu.PrintTitles" localSheetId="11" hidden="1">#REF!,#REF!</definedName>
    <definedName name="Z_179EFE4C_A1B1_11D3_8FA9_0008C7809E09_.wvu.PrintTitles" localSheetId="12" hidden="1">#REF!,#REF!</definedName>
    <definedName name="Z_179EFE4C_A1B1_11D3_8FA9_0008C7809E09_.wvu.PrintTitles" hidden="1">#REF!,#REF!</definedName>
    <definedName name="Z_179EFE4D_A1B1_11D3_8FA9_0008C7809E09_.wvu.PrintArea" localSheetId="11" hidden="1">#REF!</definedName>
    <definedName name="Z_179EFE4D_A1B1_11D3_8FA9_0008C7809E09_.wvu.PrintArea" localSheetId="12" hidden="1">#REF!</definedName>
    <definedName name="Z_179EFE4D_A1B1_11D3_8FA9_0008C7809E09_.wvu.PrintArea" hidden="1">#REF!</definedName>
    <definedName name="Z_179EFE4D_A1B1_11D3_8FA9_0008C7809E09_.wvu.PrintTitles" localSheetId="11" hidden="1">#REF!,#REF!</definedName>
    <definedName name="Z_179EFE4D_A1B1_11D3_8FA9_0008C7809E09_.wvu.PrintTitles" localSheetId="12" hidden="1">#REF!,#REF!</definedName>
    <definedName name="Z_179EFE4D_A1B1_11D3_8FA9_0008C7809E09_.wvu.PrintTitles" hidden="1">#REF!,#REF!</definedName>
    <definedName name="Z_179EFE4E_A1B1_11D3_8FA9_0008C7809E09_.wvu.PrintArea" localSheetId="11" hidden="1">#REF!</definedName>
    <definedName name="Z_179EFE4E_A1B1_11D3_8FA9_0008C7809E09_.wvu.PrintArea" localSheetId="12" hidden="1">#REF!</definedName>
    <definedName name="Z_179EFE4E_A1B1_11D3_8FA9_0008C7809E09_.wvu.PrintArea" hidden="1">#REF!</definedName>
    <definedName name="Z_179EFE4E_A1B1_11D3_8FA9_0008C7809E09_.wvu.PrintTitles" localSheetId="11" hidden="1">#REF!,#REF!</definedName>
    <definedName name="Z_179EFE4E_A1B1_11D3_8FA9_0008C7809E09_.wvu.PrintTitles" localSheetId="12" hidden="1">#REF!,#REF!</definedName>
    <definedName name="Z_179EFE4E_A1B1_11D3_8FA9_0008C7809E09_.wvu.PrintTitles" hidden="1">#REF!,#REF!</definedName>
    <definedName name="Z_179EFE4F_A1B1_11D3_8FA9_0008C7809E09_.wvu.PrintArea" localSheetId="11" hidden="1">#REF!</definedName>
    <definedName name="Z_179EFE4F_A1B1_11D3_8FA9_0008C7809E09_.wvu.PrintArea" localSheetId="12" hidden="1">#REF!</definedName>
    <definedName name="Z_179EFE4F_A1B1_11D3_8FA9_0008C7809E09_.wvu.PrintArea" hidden="1">#REF!</definedName>
    <definedName name="Z_179EFE4F_A1B1_11D3_8FA9_0008C7809E09_.wvu.PrintTitles" localSheetId="11" hidden="1">#REF!,#REF!</definedName>
    <definedName name="Z_179EFE4F_A1B1_11D3_8FA9_0008C7809E09_.wvu.PrintTitles" localSheetId="12" hidden="1">#REF!,#REF!</definedName>
    <definedName name="Z_179EFE4F_A1B1_11D3_8FA9_0008C7809E09_.wvu.PrintTitles" hidden="1">#REF!,#REF!</definedName>
    <definedName name="Z_179EFE50_A1B1_11D3_8FA9_0008C7809E09_.wvu.PrintArea" localSheetId="11" hidden="1">#REF!</definedName>
    <definedName name="Z_179EFE50_A1B1_11D3_8FA9_0008C7809E09_.wvu.PrintArea" localSheetId="12" hidden="1">#REF!</definedName>
    <definedName name="Z_179EFE50_A1B1_11D3_8FA9_0008C7809E09_.wvu.PrintArea" hidden="1">#REF!</definedName>
    <definedName name="Z_179EFE50_A1B1_11D3_8FA9_0008C7809E09_.wvu.PrintTitles" localSheetId="11" hidden="1">#REF!,#REF!</definedName>
    <definedName name="Z_179EFE50_A1B1_11D3_8FA9_0008C7809E09_.wvu.PrintTitles" localSheetId="12" hidden="1">#REF!,#REF!</definedName>
    <definedName name="Z_179EFE50_A1B1_11D3_8FA9_0008C7809E09_.wvu.PrintTitles" hidden="1">#REF!,#REF!</definedName>
    <definedName name="Z_179EFE51_A1B1_11D3_8FA9_0008C7809E09_.wvu.PrintArea" localSheetId="11" hidden="1">#REF!</definedName>
    <definedName name="Z_179EFE51_A1B1_11D3_8FA9_0008C7809E09_.wvu.PrintArea" localSheetId="12" hidden="1">#REF!</definedName>
    <definedName name="Z_179EFE51_A1B1_11D3_8FA9_0008C7809E09_.wvu.PrintArea" hidden="1">#REF!</definedName>
    <definedName name="Z_179EFE51_A1B1_11D3_8FA9_0008C7809E09_.wvu.PrintTitles" localSheetId="11" hidden="1">#REF!,#REF!</definedName>
    <definedName name="Z_179EFE51_A1B1_11D3_8FA9_0008C7809E09_.wvu.PrintTitles" localSheetId="12" hidden="1">#REF!,#REF!</definedName>
    <definedName name="Z_179EFE51_A1B1_11D3_8FA9_0008C7809E09_.wvu.PrintTitles" hidden="1">#REF!,#REF!</definedName>
    <definedName name="Z_179EFE52_A1B1_11D3_8FA9_0008C7809E09_.wvu.PrintArea" localSheetId="11" hidden="1">#REF!</definedName>
    <definedName name="Z_179EFE52_A1B1_11D3_8FA9_0008C7809E09_.wvu.PrintArea" localSheetId="12" hidden="1">#REF!</definedName>
    <definedName name="Z_179EFE52_A1B1_11D3_8FA9_0008C7809E09_.wvu.PrintArea" hidden="1">#REF!</definedName>
    <definedName name="Z_179EFE52_A1B1_11D3_8FA9_0008C7809E09_.wvu.PrintTitles" localSheetId="11" hidden="1">#REF!,#REF!</definedName>
    <definedName name="Z_179EFE52_A1B1_11D3_8FA9_0008C7809E09_.wvu.PrintTitles" localSheetId="12" hidden="1">#REF!,#REF!</definedName>
    <definedName name="Z_179EFE52_A1B1_11D3_8FA9_0008C7809E09_.wvu.PrintTitles" hidden="1">#REF!,#REF!</definedName>
    <definedName name="Z_179EFE53_A1B1_11D3_8FA9_0008C7809E09_.wvu.PrintArea" localSheetId="11" hidden="1">#REF!</definedName>
    <definedName name="Z_179EFE53_A1B1_11D3_8FA9_0008C7809E09_.wvu.PrintArea" localSheetId="12" hidden="1">#REF!</definedName>
    <definedName name="Z_179EFE53_A1B1_11D3_8FA9_0008C7809E09_.wvu.PrintArea" hidden="1">#REF!</definedName>
    <definedName name="Z_179EFE53_A1B1_11D3_8FA9_0008C7809E09_.wvu.PrintTitles" localSheetId="11" hidden="1">#REF!,#REF!</definedName>
    <definedName name="Z_179EFE53_A1B1_11D3_8FA9_0008C7809E09_.wvu.PrintTitles" localSheetId="12" hidden="1">#REF!,#REF!</definedName>
    <definedName name="Z_179EFE53_A1B1_11D3_8FA9_0008C7809E09_.wvu.PrintTitles" hidden="1">#REF!,#REF!</definedName>
    <definedName name="Z_179EFE54_A1B1_11D3_8FA9_0008C7809E09_.wvu.PrintArea" localSheetId="11" hidden="1">#REF!</definedName>
    <definedName name="Z_179EFE54_A1B1_11D3_8FA9_0008C7809E09_.wvu.PrintArea" localSheetId="12" hidden="1">#REF!</definedName>
    <definedName name="Z_179EFE54_A1B1_11D3_8FA9_0008C7809E09_.wvu.PrintArea" hidden="1">#REF!</definedName>
    <definedName name="Z_179EFE54_A1B1_11D3_8FA9_0008C7809E09_.wvu.PrintTitles" localSheetId="11" hidden="1">#REF!,#REF!</definedName>
    <definedName name="Z_179EFE54_A1B1_11D3_8FA9_0008C7809E09_.wvu.PrintTitles" localSheetId="12" hidden="1">#REF!,#REF!</definedName>
    <definedName name="Z_179EFE54_A1B1_11D3_8FA9_0008C7809E09_.wvu.PrintTitles" hidden="1">#REF!,#REF!</definedName>
    <definedName name="Z_179EFE55_A1B1_11D3_8FA9_0008C7809E09_.wvu.PrintArea" localSheetId="11" hidden="1">#REF!</definedName>
    <definedName name="Z_179EFE55_A1B1_11D3_8FA9_0008C7809E09_.wvu.PrintArea" localSheetId="12" hidden="1">#REF!</definedName>
    <definedName name="Z_179EFE55_A1B1_11D3_8FA9_0008C7809E09_.wvu.PrintArea" hidden="1">#REF!</definedName>
    <definedName name="Z_179EFE55_A1B1_11D3_8FA9_0008C7809E09_.wvu.PrintTitles" localSheetId="11" hidden="1">#REF!</definedName>
    <definedName name="Z_179EFE55_A1B1_11D3_8FA9_0008C7809E09_.wvu.PrintTitles" localSheetId="12" hidden="1">#REF!</definedName>
    <definedName name="Z_179EFE55_A1B1_11D3_8FA9_0008C7809E09_.wvu.PrintTitles" hidden="1">#REF!</definedName>
    <definedName name="Z_179EFE56_A1B1_11D3_8FA9_0008C7809E09_.wvu.PrintArea" localSheetId="11" hidden="1">#REF!</definedName>
    <definedName name="Z_179EFE56_A1B1_11D3_8FA9_0008C7809E09_.wvu.PrintArea" localSheetId="12" hidden="1">#REF!</definedName>
    <definedName name="Z_179EFE56_A1B1_11D3_8FA9_0008C7809E09_.wvu.PrintArea" hidden="1">#REF!</definedName>
    <definedName name="Z_179EFE56_A1B1_11D3_8FA9_0008C7809E09_.wvu.PrintTitles" localSheetId="11" hidden="1">#REF!,#REF!</definedName>
    <definedName name="Z_179EFE56_A1B1_11D3_8FA9_0008C7809E09_.wvu.PrintTitles" localSheetId="12" hidden="1">#REF!,#REF!</definedName>
    <definedName name="Z_179EFE56_A1B1_11D3_8FA9_0008C7809E09_.wvu.PrintTitles" hidden="1">#REF!,#REF!</definedName>
    <definedName name="Z_179EFE57_A1B1_11D3_8FA9_0008C7809E09_.wvu.PrintArea" localSheetId="11" hidden="1">#REF!</definedName>
    <definedName name="Z_179EFE57_A1B1_11D3_8FA9_0008C7809E09_.wvu.PrintArea" localSheetId="12" hidden="1">#REF!</definedName>
    <definedName name="Z_179EFE57_A1B1_11D3_8FA9_0008C7809E09_.wvu.PrintArea" hidden="1">#REF!</definedName>
    <definedName name="Z_179EFE57_A1B1_11D3_8FA9_0008C7809E09_.wvu.PrintTitles" localSheetId="11" hidden="1">#REF!,#REF!</definedName>
    <definedName name="Z_179EFE57_A1B1_11D3_8FA9_0008C7809E09_.wvu.PrintTitles" localSheetId="12" hidden="1">#REF!,#REF!</definedName>
    <definedName name="Z_179EFE57_A1B1_11D3_8FA9_0008C7809E09_.wvu.PrintTitles" hidden="1">#REF!,#REF!</definedName>
    <definedName name="Z_179EFE58_A1B1_11D3_8FA9_0008C7809E09_.wvu.PrintArea" localSheetId="11" hidden="1">#REF!</definedName>
    <definedName name="Z_179EFE58_A1B1_11D3_8FA9_0008C7809E09_.wvu.PrintArea" localSheetId="12" hidden="1">#REF!</definedName>
    <definedName name="Z_179EFE58_A1B1_11D3_8FA9_0008C7809E09_.wvu.PrintArea" hidden="1">#REF!</definedName>
    <definedName name="Z_179EFE58_A1B1_11D3_8FA9_0008C7809E09_.wvu.PrintTitles" localSheetId="11" hidden="1">#REF!,#REF!</definedName>
    <definedName name="Z_179EFE58_A1B1_11D3_8FA9_0008C7809E09_.wvu.PrintTitles" localSheetId="12" hidden="1">#REF!,#REF!</definedName>
    <definedName name="Z_179EFE58_A1B1_11D3_8FA9_0008C7809E09_.wvu.PrintTitles" hidden="1">#REF!,#REF!</definedName>
    <definedName name="Z_179EFE59_A1B1_11D3_8FA9_0008C7809E09_.wvu.PrintArea" localSheetId="11" hidden="1">#REF!</definedName>
    <definedName name="Z_179EFE59_A1B1_11D3_8FA9_0008C7809E09_.wvu.PrintArea" localSheetId="12" hidden="1">#REF!</definedName>
    <definedName name="Z_179EFE59_A1B1_11D3_8FA9_0008C7809E09_.wvu.PrintArea" hidden="1">#REF!</definedName>
    <definedName name="Z_179EFE59_A1B1_11D3_8FA9_0008C7809E09_.wvu.PrintTitles" localSheetId="11" hidden="1">#REF!,#REF!</definedName>
    <definedName name="Z_179EFE59_A1B1_11D3_8FA9_0008C7809E09_.wvu.PrintTitles" localSheetId="12" hidden="1">#REF!,#REF!</definedName>
    <definedName name="Z_179EFE59_A1B1_11D3_8FA9_0008C7809E09_.wvu.PrintTitles" hidden="1">#REF!,#REF!</definedName>
    <definedName name="Z_179EFE5A_A1B1_11D3_8FA9_0008C7809E09_.wvu.PrintArea" localSheetId="11" hidden="1">#REF!</definedName>
    <definedName name="Z_179EFE5A_A1B1_11D3_8FA9_0008C7809E09_.wvu.PrintArea" localSheetId="12" hidden="1">#REF!</definedName>
    <definedName name="Z_179EFE5A_A1B1_11D3_8FA9_0008C7809E09_.wvu.PrintArea" hidden="1">#REF!</definedName>
    <definedName name="Z_179EFE5A_A1B1_11D3_8FA9_0008C7809E09_.wvu.PrintTitles" localSheetId="11" hidden="1">#REF!,#REF!</definedName>
    <definedName name="Z_179EFE5A_A1B1_11D3_8FA9_0008C7809E09_.wvu.PrintTitles" localSheetId="12" hidden="1">#REF!,#REF!</definedName>
    <definedName name="Z_179EFE5A_A1B1_11D3_8FA9_0008C7809E09_.wvu.PrintTitles" hidden="1">#REF!,#REF!</definedName>
    <definedName name="Z_1DA8B6E2_5DE1_11D2_8EEC_0008C7BCAF29_.wvu.PrintArea" localSheetId="11" hidden="1">#REF!</definedName>
    <definedName name="Z_1DA8B6E2_5DE1_11D2_8EEC_0008C7BCAF29_.wvu.PrintArea" localSheetId="12" hidden="1">#REF!</definedName>
    <definedName name="Z_1DA8B6E2_5DE1_11D2_8EEC_0008C7BCAF29_.wvu.PrintArea" hidden="1">#REF!</definedName>
    <definedName name="Z_1DA8B6E2_5DE1_11D2_8EEC_0008C7BCAF29_.wvu.PrintTitles" localSheetId="11" hidden="1">#REF!</definedName>
    <definedName name="Z_1DA8B6E2_5DE1_11D2_8EEC_0008C7BCAF29_.wvu.PrintTitles" localSheetId="12" hidden="1">#REF!</definedName>
    <definedName name="Z_1DA8B6E2_5DE1_11D2_8EEC_0008C7BCAF29_.wvu.PrintTitles" hidden="1">#REF!</definedName>
    <definedName name="Z_1DA8B6F1_5DE1_11D2_8EEC_0008C7BCAF29_.wvu.PrintArea" localSheetId="11" hidden="1">#REF!</definedName>
    <definedName name="Z_1DA8B6F1_5DE1_11D2_8EEC_0008C7BCAF29_.wvu.PrintArea" localSheetId="12" hidden="1">#REF!</definedName>
    <definedName name="Z_1DA8B6F1_5DE1_11D2_8EEC_0008C7BCAF29_.wvu.PrintArea" hidden="1">#REF!</definedName>
    <definedName name="Z_1DA8B6F1_5DE1_11D2_8EEC_0008C7BCAF29_.wvu.PrintTitles" localSheetId="11" hidden="1">#REF!</definedName>
    <definedName name="Z_1DA8B6F1_5DE1_11D2_8EEC_0008C7BCAF29_.wvu.PrintTitles" localSheetId="12" hidden="1">#REF!</definedName>
    <definedName name="Z_1DA8B6F1_5DE1_11D2_8EEC_0008C7BCAF29_.wvu.PrintTitles" hidden="1">#REF!</definedName>
    <definedName name="Z_1DA8B6FE_5DE1_11D2_8EEC_0008C7BCAF29_.wvu.PrintArea" localSheetId="11" hidden="1">#REF!</definedName>
    <definedName name="Z_1DA8B6FE_5DE1_11D2_8EEC_0008C7BCAF29_.wvu.PrintArea" localSheetId="12" hidden="1">#REF!</definedName>
    <definedName name="Z_1DA8B6FE_5DE1_11D2_8EEC_0008C7BCAF29_.wvu.PrintArea" hidden="1">#REF!</definedName>
    <definedName name="Z_1DA8B6FE_5DE1_11D2_8EEC_0008C7BCAF29_.wvu.PrintTitles" localSheetId="11" hidden="1">#REF!,#REF!</definedName>
    <definedName name="Z_1DA8B6FE_5DE1_11D2_8EEC_0008C7BCAF29_.wvu.PrintTitles" localSheetId="12" hidden="1">#REF!,#REF!</definedName>
    <definedName name="Z_1DA8B6FE_5DE1_11D2_8EEC_0008C7BCAF29_.wvu.PrintTitles" hidden="1">#REF!,#REF!</definedName>
    <definedName name="Z_2DA61901_F1AB_11D2_8EBB_0008C77C0743_.wvu.PrintArea" localSheetId="11" hidden="1">#REF!</definedName>
    <definedName name="Z_2DA61901_F1AB_11D2_8EBB_0008C77C0743_.wvu.PrintArea" localSheetId="12" hidden="1">#REF!</definedName>
    <definedName name="Z_2DA61901_F1AB_11D2_8EBB_0008C77C0743_.wvu.PrintArea" hidden="1">#REF!</definedName>
    <definedName name="Z_2DA61901_F1AB_11D2_8EBB_0008C77C0743_.wvu.PrintTitles" localSheetId="11" hidden="1">#REF!</definedName>
    <definedName name="Z_2DA61901_F1AB_11D2_8EBB_0008C77C0743_.wvu.PrintTitles" localSheetId="12" hidden="1">#REF!</definedName>
    <definedName name="Z_2DA61901_F1AB_11D2_8EBB_0008C77C0743_.wvu.PrintTitles" hidden="1">#REF!</definedName>
    <definedName name="Z_2DA61914_F1AB_11D2_8EBB_0008C77C0743_.wvu.PrintArea" localSheetId="11" hidden="1">#REF!</definedName>
    <definedName name="Z_2DA61914_F1AB_11D2_8EBB_0008C77C0743_.wvu.PrintArea" localSheetId="12" hidden="1">#REF!</definedName>
    <definedName name="Z_2DA61914_F1AB_11D2_8EBB_0008C77C0743_.wvu.PrintArea" hidden="1">#REF!</definedName>
    <definedName name="Z_2DA61914_F1AB_11D2_8EBB_0008C77C0743_.wvu.PrintTitles" localSheetId="11" hidden="1">#REF!</definedName>
    <definedName name="Z_2DA61914_F1AB_11D2_8EBB_0008C77C0743_.wvu.PrintTitles" localSheetId="12" hidden="1">#REF!</definedName>
    <definedName name="Z_2DA61914_F1AB_11D2_8EBB_0008C77C0743_.wvu.PrintTitles" hidden="1">#REF!</definedName>
    <definedName name="Z_2DA61924_F1AB_11D2_8EBB_0008C77C0743_.wvu.PrintArea" localSheetId="11" hidden="1">#REF!</definedName>
    <definedName name="Z_2DA61924_F1AB_11D2_8EBB_0008C77C0743_.wvu.PrintArea" localSheetId="12" hidden="1">#REF!</definedName>
    <definedName name="Z_2DA61924_F1AB_11D2_8EBB_0008C77C0743_.wvu.PrintArea" hidden="1">#REF!</definedName>
    <definedName name="Z_2DA61924_F1AB_11D2_8EBB_0008C77C0743_.wvu.PrintTitles" localSheetId="11" hidden="1">#REF!,#REF!</definedName>
    <definedName name="Z_2DA61924_F1AB_11D2_8EBB_0008C77C0743_.wvu.PrintTitles" localSheetId="12" hidden="1">#REF!,#REF!</definedName>
    <definedName name="Z_2DA61924_F1AB_11D2_8EBB_0008C77C0743_.wvu.PrintTitles" hidden="1">#REF!,#REF!</definedName>
    <definedName name="Z_3FBA103C_5DE2_11D2_8EE8_0008C77CC149_.wvu.PrintArea" localSheetId="11" hidden="1">#REF!</definedName>
    <definedName name="Z_3FBA103C_5DE2_11D2_8EE8_0008C77CC149_.wvu.PrintArea" localSheetId="12" hidden="1">#REF!</definedName>
    <definedName name="Z_3FBA103C_5DE2_11D2_8EE8_0008C77CC149_.wvu.PrintArea" hidden="1">#REF!</definedName>
    <definedName name="Z_3FBA103C_5DE2_11D2_8EE8_0008C77CC149_.wvu.PrintTitles" localSheetId="11" hidden="1">#REF!</definedName>
    <definedName name="Z_3FBA103C_5DE2_11D2_8EE8_0008C77CC149_.wvu.PrintTitles" localSheetId="12" hidden="1">#REF!</definedName>
    <definedName name="Z_3FBA103C_5DE2_11D2_8EE8_0008C77CC149_.wvu.PrintTitles" hidden="1">#REF!</definedName>
    <definedName name="Z_3FBA104B_5DE2_11D2_8EE8_0008C77CC149_.wvu.PrintArea" localSheetId="11" hidden="1">#REF!</definedName>
    <definedName name="Z_3FBA104B_5DE2_11D2_8EE8_0008C77CC149_.wvu.PrintArea" localSheetId="12" hidden="1">#REF!</definedName>
    <definedName name="Z_3FBA104B_5DE2_11D2_8EE8_0008C77CC149_.wvu.PrintArea" hidden="1">#REF!</definedName>
    <definedName name="Z_3FBA104B_5DE2_11D2_8EE8_0008C77CC149_.wvu.PrintTitles" localSheetId="11" hidden="1">#REF!</definedName>
    <definedName name="Z_3FBA104B_5DE2_11D2_8EE8_0008C77CC149_.wvu.PrintTitles" localSheetId="12" hidden="1">#REF!</definedName>
    <definedName name="Z_3FBA104B_5DE2_11D2_8EE8_0008C77CC149_.wvu.PrintTitles" hidden="1">#REF!</definedName>
    <definedName name="Z_3FBA1058_5DE2_11D2_8EE8_0008C77CC149_.wvu.PrintArea" localSheetId="11" hidden="1">#REF!</definedName>
    <definedName name="Z_3FBA1058_5DE2_11D2_8EE8_0008C77CC149_.wvu.PrintArea" localSheetId="12" hidden="1">#REF!</definedName>
    <definedName name="Z_3FBA1058_5DE2_11D2_8EE8_0008C77CC149_.wvu.PrintArea" hidden="1">#REF!</definedName>
    <definedName name="Z_3FBA1058_5DE2_11D2_8EE8_0008C77CC149_.wvu.PrintTitles" localSheetId="11" hidden="1">#REF!,#REF!</definedName>
    <definedName name="Z_3FBA1058_5DE2_11D2_8EE8_0008C77CC149_.wvu.PrintTitles" localSheetId="12" hidden="1">#REF!,#REF!</definedName>
    <definedName name="Z_3FBA1058_5DE2_11D2_8EE8_0008C77CC149_.wvu.PrintTitles" hidden="1">#REF!,#REF!</definedName>
    <definedName name="Z_3FE15DB3_17FC_11D2_8E97_0008C77CC149_.wvu.PrintArea" localSheetId="11" hidden="1">#REF!</definedName>
    <definedName name="Z_3FE15DB3_17FC_11D2_8E97_0008C77CC149_.wvu.PrintArea" localSheetId="12" hidden="1">#REF!</definedName>
    <definedName name="Z_3FE15DB3_17FC_11D2_8E97_0008C77CC149_.wvu.PrintArea" hidden="1">#REF!</definedName>
    <definedName name="Z_3FE15DB3_17FC_11D2_8E97_0008C77CC149_.wvu.PrintTitles" localSheetId="11" hidden="1">#REF!</definedName>
    <definedName name="Z_3FE15DB3_17FC_11D2_8E97_0008C77CC149_.wvu.PrintTitles" localSheetId="12" hidden="1">#REF!</definedName>
    <definedName name="Z_3FE15DB3_17FC_11D2_8E97_0008C77CC149_.wvu.PrintTitles" hidden="1">#REF!</definedName>
    <definedName name="Z_3FE15DC2_17FC_11D2_8E97_0008C77CC149_.wvu.PrintArea" localSheetId="11" hidden="1">#REF!</definedName>
    <definedName name="Z_3FE15DC2_17FC_11D2_8E97_0008C77CC149_.wvu.PrintArea" localSheetId="12" hidden="1">#REF!</definedName>
    <definedName name="Z_3FE15DC2_17FC_11D2_8E97_0008C77CC149_.wvu.PrintArea" hidden="1">#REF!</definedName>
    <definedName name="Z_3FE15DC2_17FC_11D2_8E97_0008C77CC149_.wvu.PrintTitles" localSheetId="11" hidden="1">#REF!</definedName>
    <definedName name="Z_3FE15DC2_17FC_11D2_8E97_0008C77CC149_.wvu.PrintTitles" localSheetId="12" hidden="1">#REF!</definedName>
    <definedName name="Z_3FE15DC2_17FC_11D2_8E97_0008C77CC149_.wvu.PrintTitles" hidden="1">#REF!</definedName>
    <definedName name="Z_3FE15DCF_17FC_11D2_8E97_0008C77CC149_.wvu.PrintArea" localSheetId="11" hidden="1">#REF!</definedName>
    <definedName name="Z_3FE15DCF_17FC_11D2_8E97_0008C77CC149_.wvu.PrintArea" localSheetId="12" hidden="1">#REF!</definedName>
    <definedName name="Z_3FE15DCF_17FC_11D2_8E97_0008C77CC149_.wvu.PrintArea" hidden="1">#REF!</definedName>
    <definedName name="Z_3FE15DCF_17FC_11D2_8E97_0008C77CC149_.wvu.PrintTitles" localSheetId="11" hidden="1">#REF!,#REF!</definedName>
    <definedName name="Z_3FE15DCF_17FC_11D2_8E97_0008C77CC149_.wvu.PrintTitles" localSheetId="12" hidden="1">#REF!,#REF!</definedName>
    <definedName name="Z_3FE15DCF_17FC_11D2_8E97_0008C77CC149_.wvu.PrintTitles" hidden="1">#REF!,#REF!</definedName>
    <definedName name="Z_4CC3570C_99A5_11D2_8E90_0008C7BCAF29_.wvu.PrintArea" localSheetId="11" hidden="1">#REF!</definedName>
    <definedName name="Z_4CC3570C_99A5_11D2_8E90_0008C7BCAF29_.wvu.PrintArea" localSheetId="12" hidden="1">#REF!</definedName>
    <definedName name="Z_4CC3570C_99A5_11D2_8E90_0008C7BCAF29_.wvu.PrintArea" hidden="1">#REF!</definedName>
    <definedName name="Z_4CC3570C_99A5_11D2_8E90_0008C7BCAF29_.wvu.PrintTitles" localSheetId="11" hidden="1">#REF!,#REF!</definedName>
    <definedName name="Z_4CC3570C_99A5_11D2_8E90_0008C7BCAF29_.wvu.PrintTitles" localSheetId="12" hidden="1">#REF!,#REF!</definedName>
    <definedName name="Z_4CC3570C_99A5_11D2_8E90_0008C7BCAF29_.wvu.PrintTitles" hidden="1">#REF!,#REF!</definedName>
    <definedName name="Z_4CC3570F_99A5_11D2_8E90_0008C7BCAF29_.wvu.PrintArea" localSheetId="11" hidden="1">#REF!</definedName>
    <definedName name="Z_4CC3570F_99A5_11D2_8E90_0008C7BCAF29_.wvu.PrintArea" localSheetId="12" hidden="1">#REF!</definedName>
    <definedName name="Z_4CC3570F_99A5_11D2_8E90_0008C7BCAF29_.wvu.PrintArea" hidden="1">#REF!</definedName>
    <definedName name="Z_4CC3570F_99A5_11D2_8E90_0008C7BCAF29_.wvu.PrintTitles" localSheetId="11" hidden="1">#REF!</definedName>
    <definedName name="Z_4CC3570F_99A5_11D2_8E90_0008C7BCAF29_.wvu.PrintTitles" localSheetId="12" hidden="1">#REF!</definedName>
    <definedName name="Z_4CC3570F_99A5_11D2_8E90_0008C7BCAF29_.wvu.PrintTitles" hidden="1">#REF!</definedName>
    <definedName name="Z_4CC35714_99A5_11D2_8E90_0008C7BCAF29_.wvu.PrintArea" localSheetId="11" hidden="1">#REF!</definedName>
    <definedName name="Z_4CC35714_99A5_11D2_8E90_0008C7BCAF29_.wvu.PrintArea" localSheetId="12" hidden="1">#REF!</definedName>
    <definedName name="Z_4CC35714_99A5_11D2_8E90_0008C7BCAF29_.wvu.PrintArea" hidden="1">#REF!</definedName>
    <definedName name="Z_4CC35714_99A5_11D2_8E90_0008C7BCAF29_.wvu.PrintTitles" localSheetId="11" hidden="1">#REF!,#REF!</definedName>
    <definedName name="Z_4CC35714_99A5_11D2_8E90_0008C7BCAF29_.wvu.PrintTitles" localSheetId="12" hidden="1">#REF!,#REF!</definedName>
    <definedName name="Z_4CC35714_99A5_11D2_8E90_0008C7BCAF29_.wvu.PrintTitles" hidden="1">#REF!,#REF!</definedName>
    <definedName name="Z_4CC35716_99A5_11D2_8E90_0008C7BCAF29_.wvu.PrintArea" localSheetId="11" hidden="1">#REF!</definedName>
    <definedName name="Z_4CC35716_99A5_11D2_8E90_0008C7BCAF29_.wvu.PrintArea" localSheetId="12" hidden="1">#REF!</definedName>
    <definedName name="Z_4CC35716_99A5_11D2_8E90_0008C7BCAF29_.wvu.PrintArea" hidden="1">#REF!</definedName>
    <definedName name="Z_4CC35716_99A5_11D2_8E90_0008C7BCAF29_.wvu.PrintTitles" localSheetId="11" hidden="1">#REF!,#REF!</definedName>
    <definedName name="Z_4CC35716_99A5_11D2_8E90_0008C7BCAF29_.wvu.PrintTitles" localSheetId="12" hidden="1">#REF!,#REF!</definedName>
    <definedName name="Z_4CC35716_99A5_11D2_8E90_0008C7BCAF29_.wvu.PrintTitles" hidden="1">#REF!,#REF!</definedName>
    <definedName name="Z_4CC35719_99A5_11D2_8E90_0008C7BCAF29_.wvu.PrintArea" localSheetId="11" hidden="1">#REF!</definedName>
    <definedName name="Z_4CC35719_99A5_11D2_8E90_0008C7BCAF29_.wvu.PrintArea" localSheetId="12" hidden="1">#REF!</definedName>
    <definedName name="Z_4CC35719_99A5_11D2_8E90_0008C7BCAF29_.wvu.PrintArea" hidden="1">#REF!</definedName>
    <definedName name="Z_4CC35719_99A5_11D2_8E90_0008C7BCAF29_.wvu.PrintTitles" localSheetId="11" hidden="1">#REF!</definedName>
    <definedName name="Z_4CC35719_99A5_11D2_8E90_0008C7BCAF29_.wvu.PrintTitles" localSheetId="12" hidden="1">#REF!</definedName>
    <definedName name="Z_4CC35719_99A5_11D2_8E90_0008C7BCAF29_.wvu.PrintTitles" hidden="1">#REF!</definedName>
    <definedName name="Z_4CC3571E_99A5_11D2_8E90_0008C7BCAF29_.wvu.PrintArea" localSheetId="11" hidden="1">#REF!</definedName>
    <definedName name="Z_4CC3571E_99A5_11D2_8E90_0008C7BCAF29_.wvu.PrintArea" localSheetId="12" hidden="1">#REF!</definedName>
    <definedName name="Z_4CC3571E_99A5_11D2_8E90_0008C7BCAF29_.wvu.PrintArea" hidden="1">#REF!</definedName>
    <definedName name="Z_4CC3571E_99A5_11D2_8E90_0008C7BCAF29_.wvu.PrintTitles" localSheetId="11" hidden="1">#REF!,#REF!</definedName>
    <definedName name="Z_4CC3571E_99A5_11D2_8E90_0008C7BCAF29_.wvu.PrintTitles" localSheetId="12" hidden="1">#REF!,#REF!</definedName>
    <definedName name="Z_4CC3571E_99A5_11D2_8E90_0008C7BCAF29_.wvu.PrintTitles" hidden="1">#REF!,#REF!</definedName>
    <definedName name="Z_4CC35721_99A5_11D2_8E90_0008C7BCAF29_.wvu.PrintArea" localSheetId="11" hidden="1">#REF!</definedName>
    <definedName name="Z_4CC35721_99A5_11D2_8E90_0008C7BCAF29_.wvu.PrintArea" localSheetId="12" hidden="1">#REF!</definedName>
    <definedName name="Z_4CC35721_99A5_11D2_8E90_0008C7BCAF29_.wvu.PrintArea" hidden="1">#REF!</definedName>
    <definedName name="Z_4CC35721_99A5_11D2_8E90_0008C7BCAF29_.wvu.PrintTitles" localSheetId="11" hidden="1">#REF!,#REF!</definedName>
    <definedName name="Z_4CC35721_99A5_11D2_8E90_0008C7BCAF29_.wvu.PrintTitles" localSheetId="12" hidden="1">#REF!,#REF!</definedName>
    <definedName name="Z_4CC35721_99A5_11D2_8E90_0008C7BCAF29_.wvu.PrintTitles" hidden="1">#REF!,#REF!</definedName>
    <definedName name="Z_5F95E421_892A_11D2_8E7F_0008C7809E09_.wvu.PrintArea" localSheetId="11" hidden="1">#REF!</definedName>
    <definedName name="Z_5F95E421_892A_11D2_8E7F_0008C7809E09_.wvu.PrintArea" localSheetId="12" hidden="1">#REF!</definedName>
    <definedName name="Z_5F95E421_892A_11D2_8E7F_0008C7809E09_.wvu.PrintArea" hidden="1">#REF!</definedName>
    <definedName name="Z_5F95E421_892A_11D2_8E7F_0008C7809E09_.wvu.PrintTitles" localSheetId="11" hidden="1">#REF!,#REF!</definedName>
    <definedName name="Z_5F95E421_892A_11D2_8E7F_0008C7809E09_.wvu.PrintTitles" localSheetId="12" hidden="1">#REF!,#REF!</definedName>
    <definedName name="Z_5F95E421_892A_11D2_8E7F_0008C7809E09_.wvu.PrintTitles" hidden="1">#REF!,#REF!</definedName>
    <definedName name="Z_5F95E424_892A_11D2_8E7F_0008C7809E09_.wvu.PrintArea" localSheetId="11" hidden="1">#REF!</definedName>
    <definedName name="Z_5F95E424_892A_11D2_8E7F_0008C7809E09_.wvu.PrintArea" localSheetId="12" hidden="1">#REF!</definedName>
    <definedName name="Z_5F95E424_892A_11D2_8E7F_0008C7809E09_.wvu.PrintArea" hidden="1">#REF!</definedName>
    <definedName name="Z_5F95E424_892A_11D2_8E7F_0008C7809E09_.wvu.PrintTitles" localSheetId="11" hidden="1">#REF!</definedName>
    <definedName name="Z_5F95E424_892A_11D2_8E7F_0008C7809E09_.wvu.PrintTitles" localSheetId="12" hidden="1">#REF!</definedName>
    <definedName name="Z_5F95E424_892A_11D2_8E7F_0008C7809E09_.wvu.PrintTitles" hidden="1">#REF!</definedName>
    <definedName name="Z_5F95E429_892A_11D2_8E7F_0008C7809E09_.wvu.PrintArea" localSheetId="11" hidden="1">#REF!</definedName>
    <definedName name="Z_5F95E429_892A_11D2_8E7F_0008C7809E09_.wvu.PrintArea" localSheetId="12" hidden="1">#REF!</definedName>
    <definedName name="Z_5F95E429_892A_11D2_8E7F_0008C7809E09_.wvu.PrintArea" hidden="1">#REF!</definedName>
    <definedName name="Z_5F95E429_892A_11D2_8E7F_0008C7809E09_.wvu.PrintTitles" localSheetId="11" hidden="1">#REF!,#REF!</definedName>
    <definedName name="Z_5F95E429_892A_11D2_8E7F_0008C7809E09_.wvu.PrintTitles" localSheetId="12" hidden="1">#REF!,#REF!</definedName>
    <definedName name="Z_5F95E429_892A_11D2_8E7F_0008C7809E09_.wvu.PrintTitles" hidden="1">#REF!,#REF!</definedName>
    <definedName name="Z_5F95E42B_892A_11D2_8E7F_0008C7809E09_.wvu.PrintArea" localSheetId="11" hidden="1">#REF!</definedName>
    <definedName name="Z_5F95E42B_892A_11D2_8E7F_0008C7809E09_.wvu.PrintArea" localSheetId="12" hidden="1">#REF!</definedName>
    <definedName name="Z_5F95E42B_892A_11D2_8E7F_0008C7809E09_.wvu.PrintArea" hidden="1">#REF!</definedName>
    <definedName name="Z_5F95E42B_892A_11D2_8E7F_0008C7809E09_.wvu.PrintTitles" localSheetId="11" hidden="1">#REF!,#REF!</definedName>
    <definedName name="Z_5F95E42B_892A_11D2_8E7F_0008C7809E09_.wvu.PrintTitles" localSheetId="12" hidden="1">#REF!,#REF!</definedName>
    <definedName name="Z_5F95E42B_892A_11D2_8E7F_0008C7809E09_.wvu.PrintTitles" hidden="1">#REF!,#REF!</definedName>
    <definedName name="Z_5F95E42E_892A_11D2_8E7F_0008C7809E09_.wvu.PrintArea" localSheetId="11" hidden="1">#REF!</definedName>
    <definedName name="Z_5F95E42E_892A_11D2_8E7F_0008C7809E09_.wvu.PrintArea" localSheetId="12" hidden="1">#REF!</definedName>
    <definedName name="Z_5F95E42E_892A_11D2_8E7F_0008C7809E09_.wvu.PrintArea" hidden="1">#REF!</definedName>
    <definedName name="Z_5F95E42E_892A_11D2_8E7F_0008C7809E09_.wvu.PrintTitles" localSheetId="11" hidden="1">#REF!</definedName>
    <definedName name="Z_5F95E42E_892A_11D2_8E7F_0008C7809E09_.wvu.PrintTitles" localSheetId="12" hidden="1">#REF!</definedName>
    <definedName name="Z_5F95E42E_892A_11D2_8E7F_0008C7809E09_.wvu.PrintTitles" hidden="1">#REF!</definedName>
    <definedName name="Z_5F95E433_892A_11D2_8E7F_0008C7809E09_.wvu.PrintArea" localSheetId="11" hidden="1">#REF!</definedName>
    <definedName name="Z_5F95E433_892A_11D2_8E7F_0008C7809E09_.wvu.PrintArea" localSheetId="12" hidden="1">#REF!</definedName>
    <definedName name="Z_5F95E433_892A_11D2_8E7F_0008C7809E09_.wvu.PrintArea" hidden="1">#REF!</definedName>
    <definedName name="Z_5F95E433_892A_11D2_8E7F_0008C7809E09_.wvu.PrintTitles" localSheetId="11" hidden="1">#REF!,#REF!</definedName>
    <definedName name="Z_5F95E433_892A_11D2_8E7F_0008C7809E09_.wvu.PrintTitles" localSheetId="12" hidden="1">#REF!,#REF!</definedName>
    <definedName name="Z_5F95E433_892A_11D2_8E7F_0008C7809E09_.wvu.PrintTitles" hidden="1">#REF!,#REF!</definedName>
    <definedName name="Z_5F95E436_892A_11D2_8E7F_0008C7809E09_.wvu.PrintArea" localSheetId="11" hidden="1">#REF!</definedName>
    <definedName name="Z_5F95E436_892A_11D2_8E7F_0008C7809E09_.wvu.PrintArea" localSheetId="12" hidden="1">#REF!</definedName>
    <definedName name="Z_5F95E436_892A_11D2_8E7F_0008C7809E09_.wvu.PrintArea" hidden="1">#REF!</definedName>
    <definedName name="Z_5F95E436_892A_11D2_8E7F_0008C7809E09_.wvu.PrintTitles" localSheetId="11" hidden="1">#REF!,#REF!</definedName>
    <definedName name="Z_5F95E436_892A_11D2_8E7F_0008C7809E09_.wvu.PrintTitles" localSheetId="12" hidden="1">#REF!,#REF!</definedName>
    <definedName name="Z_5F95E436_892A_11D2_8E7F_0008C7809E09_.wvu.PrintTitles" hidden="1">#REF!,#REF!</definedName>
    <definedName name="Z_61DB0F02_10ED_11D2_8E73_0008C77C0743_.wvu.PrintArea" localSheetId="11" hidden="1">#REF!</definedName>
    <definedName name="Z_61DB0F02_10ED_11D2_8E73_0008C77C0743_.wvu.PrintArea" localSheetId="12" hidden="1">#REF!</definedName>
    <definedName name="Z_61DB0F02_10ED_11D2_8E73_0008C77C0743_.wvu.PrintArea" hidden="1">#REF!</definedName>
    <definedName name="Z_61DB0F02_10ED_11D2_8E73_0008C77C0743_.wvu.PrintTitles" localSheetId="11" hidden="1">#REF!</definedName>
    <definedName name="Z_61DB0F02_10ED_11D2_8E73_0008C77C0743_.wvu.PrintTitles" localSheetId="12" hidden="1">#REF!</definedName>
    <definedName name="Z_61DB0F02_10ED_11D2_8E73_0008C77C0743_.wvu.PrintTitles" hidden="1">#REF!</definedName>
    <definedName name="Z_61DB0F11_10ED_11D2_8E73_0008C77C0743_.wvu.PrintArea" localSheetId="11" hidden="1">#REF!</definedName>
    <definedName name="Z_61DB0F11_10ED_11D2_8E73_0008C77C0743_.wvu.PrintArea" localSheetId="12" hidden="1">#REF!</definedName>
    <definedName name="Z_61DB0F11_10ED_11D2_8E73_0008C77C0743_.wvu.PrintArea" hidden="1">#REF!</definedName>
    <definedName name="Z_61DB0F11_10ED_11D2_8E73_0008C77C0743_.wvu.PrintTitles" localSheetId="11" hidden="1">#REF!</definedName>
    <definedName name="Z_61DB0F11_10ED_11D2_8E73_0008C77C0743_.wvu.PrintTitles" localSheetId="12" hidden="1">#REF!</definedName>
    <definedName name="Z_61DB0F11_10ED_11D2_8E73_0008C77C0743_.wvu.PrintTitles" hidden="1">#REF!</definedName>
    <definedName name="Z_61DB0F1E_10ED_11D2_8E73_0008C77C0743_.wvu.PrintArea" localSheetId="11" hidden="1">#REF!</definedName>
    <definedName name="Z_61DB0F1E_10ED_11D2_8E73_0008C77C0743_.wvu.PrintArea" localSheetId="12" hidden="1">#REF!</definedName>
    <definedName name="Z_61DB0F1E_10ED_11D2_8E73_0008C77C0743_.wvu.PrintArea" hidden="1">#REF!</definedName>
    <definedName name="Z_61DB0F1E_10ED_11D2_8E73_0008C77C0743_.wvu.PrintTitles" localSheetId="11" hidden="1">#REF!,#REF!</definedName>
    <definedName name="Z_61DB0F1E_10ED_11D2_8E73_0008C77C0743_.wvu.PrintTitles" localSheetId="12" hidden="1">#REF!,#REF!</definedName>
    <definedName name="Z_61DB0F1E_10ED_11D2_8E73_0008C77C0743_.wvu.PrintTitles" hidden="1">#REF!,#REF!</definedName>
    <definedName name="Z_6749F589_14FD_11D3_8EF9_0008C7BCAF29_.wvu.PrintArea" localSheetId="11" hidden="1">#REF!</definedName>
    <definedName name="Z_6749F589_14FD_11D3_8EF9_0008C7BCAF29_.wvu.PrintArea" localSheetId="12" hidden="1">#REF!</definedName>
    <definedName name="Z_6749F589_14FD_11D3_8EF9_0008C7BCAF29_.wvu.PrintArea" hidden="1">#REF!</definedName>
    <definedName name="Z_6749F589_14FD_11D3_8EF9_0008C7BCAF29_.wvu.PrintTitles" localSheetId="11" hidden="1">#REF!</definedName>
    <definedName name="Z_6749F589_14FD_11D3_8EF9_0008C7BCAF29_.wvu.PrintTitles" localSheetId="12" hidden="1">#REF!</definedName>
    <definedName name="Z_6749F589_14FD_11D3_8EF9_0008C7BCAF29_.wvu.PrintTitles" hidden="1">#REF!</definedName>
    <definedName name="Z_6749F59C_14FD_11D3_8EF9_0008C7BCAF29_.wvu.PrintArea" localSheetId="11" hidden="1">#REF!</definedName>
    <definedName name="Z_6749F59C_14FD_11D3_8EF9_0008C7BCAF29_.wvu.PrintArea" localSheetId="12" hidden="1">#REF!</definedName>
    <definedName name="Z_6749F59C_14FD_11D3_8EF9_0008C7BCAF29_.wvu.PrintArea" hidden="1">#REF!</definedName>
    <definedName name="Z_6749F59C_14FD_11D3_8EF9_0008C7BCAF29_.wvu.PrintTitles" localSheetId="11" hidden="1">#REF!</definedName>
    <definedName name="Z_6749F59C_14FD_11D3_8EF9_0008C7BCAF29_.wvu.PrintTitles" localSheetId="12" hidden="1">#REF!</definedName>
    <definedName name="Z_6749F59C_14FD_11D3_8EF9_0008C7BCAF29_.wvu.PrintTitles" hidden="1">#REF!</definedName>
    <definedName name="Z_6749F5AC_14FD_11D3_8EF9_0008C7BCAF29_.wvu.PrintArea" localSheetId="11" hidden="1">#REF!</definedName>
    <definedName name="Z_6749F5AC_14FD_11D3_8EF9_0008C7BCAF29_.wvu.PrintArea" localSheetId="12" hidden="1">#REF!</definedName>
    <definedName name="Z_6749F5AC_14FD_11D3_8EF9_0008C7BCAF29_.wvu.PrintArea" hidden="1">#REF!</definedName>
    <definedName name="Z_6749F5AC_14FD_11D3_8EF9_0008C7BCAF29_.wvu.PrintTitles" localSheetId="11" hidden="1">#REF!,#REF!</definedName>
    <definedName name="Z_6749F5AC_14FD_11D3_8EF9_0008C7BCAF29_.wvu.PrintTitles" localSheetId="12" hidden="1">#REF!,#REF!</definedName>
    <definedName name="Z_6749F5AC_14FD_11D3_8EF9_0008C7BCAF29_.wvu.PrintTitles" hidden="1">#REF!,#REF!</definedName>
    <definedName name="Z_68F84A93_5E0B_11D2_8EEE_0008C7BCAF29_.wvu.PrintArea" localSheetId="11" hidden="1">#REF!</definedName>
    <definedName name="Z_68F84A93_5E0B_11D2_8EEE_0008C7BCAF29_.wvu.PrintArea" localSheetId="12" hidden="1">#REF!</definedName>
    <definedName name="Z_68F84A93_5E0B_11D2_8EEE_0008C7BCAF29_.wvu.PrintArea" hidden="1">#REF!</definedName>
    <definedName name="Z_68F84A93_5E0B_11D2_8EEE_0008C7BCAF29_.wvu.PrintTitles" localSheetId="11" hidden="1">#REF!</definedName>
    <definedName name="Z_68F84A93_5E0B_11D2_8EEE_0008C7BCAF29_.wvu.PrintTitles" localSheetId="12" hidden="1">#REF!</definedName>
    <definedName name="Z_68F84A93_5E0B_11D2_8EEE_0008C7BCAF29_.wvu.PrintTitles" hidden="1">#REF!</definedName>
    <definedName name="Z_68F84AA2_5E0B_11D2_8EEE_0008C7BCAF29_.wvu.PrintArea" localSheetId="11" hidden="1">#REF!</definedName>
    <definedName name="Z_68F84AA2_5E0B_11D2_8EEE_0008C7BCAF29_.wvu.PrintArea" localSheetId="12" hidden="1">#REF!</definedName>
    <definedName name="Z_68F84AA2_5E0B_11D2_8EEE_0008C7BCAF29_.wvu.PrintArea" hidden="1">#REF!</definedName>
    <definedName name="Z_68F84AA2_5E0B_11D2_8EEE_0008C7BCAF29_.wvu.PrintTitles" localSheetId="11" hidden="1">#REF!</definedName>
    <definedName name="Z_68F84AA2_5E0B_11D2_8EEE_0008C7BCAF29_.wvu.PrintTitles" localSheetId="12" hidden="1">#REF!</definedName>
    <definedName name="Z_68F84AA2_5E0B_11D2_8EEE_0008C7BCAF29_.wvu.PrintTitles" hidden="1">#REF!</definedName>
    <definedName name="Z_68F84AAF_5E0B_11D2_8EEE_0008C7BCAF29_.wvu.PrintArea" localSheetId="11" hidden="1">#REF!</definedName>
    <definedName name="Z_68F84AAF_5E0B_11D2_8EEE_0008C7BCAF29_.wvu.PrintArea" localSheetId="12" hidden="1">#REF!</definedName>
    <definedName name="Z_68F84AAF_5E0B_11D2_8EEE_0008C7BCAF29_.wvu.PrintArea" hidden="1">#REF!</definedName>
    <definedName name="Z_68F84AAF_5E0B_11D2_8EEE_0008C7BCAF29_.wvu.PrintTitles" localSheetId="11" hidden="1">#REF!,#REF!</definedName>
    <definedName name="Z_68F84AAF_5E0B_11D2_8EEE_0008C7BCAF29_.wvu.PrintTitles" localSheetId="12" hidden="1">#REF!,#REF!</definedName>
    <definedName name="Z_68F84AAF_5E0B_11D2_8EEE_0008C7BCAF29_.wvu.PrintTitles" hidden="1">#REF!,#REF!</definedName>
    <definedName name="Z_68F84ABA_5E0B_11D2_8EEE_0008C7BCAF29_.wvu.PrintArea" localSheetId="11" hidden="1">#REF!</definedName>
    <definedName name="Z_68F84ABA_5E0B_11D2_8EEE_0008C7BCAF29_.wvu.PrintArea" localSheetId="12" hidden="1">#REF!</definedName>
    <definedName name="Z_68F84ABA_5E0B_11D2_8EEE_0008C7BCAF29_.wvu.PrintArea" hidden="1">#REF!</definedName>
    <definedName name="Z_68F84ABA_5E0B_11D2_8EEE_0008C7BCAF29_.wvu.PrintTitles" localSheetId="11" hidden="1">#REF!,#REF!</definedName>
    <definedName name="Z_68F84ABA_5E0B_11D2_8EEE_0008C7BCAF29_.wvu.PrintTitles" localSheetId="12" hidden="1">#REF!,#REF!</definedName>
    <definedName name="Z_68F84ABA_5E0B_11D2_8EEE_0008C7BCAF29_.wvu.PrintTitles" hidden="1">#REF!,#REF!</definedName>
    <definedName name="Z_68F84ABC_5E0B_11D2_8EEE_0008C7BCAF29_.wvu.PrintArea" localSheetId="11" hidden="1">#REF!</definedName>
    <definedName name="Z_68F84ABC_5E0B_11D2_8EEE_0008C7BCAF29_.wvu.PrintArea" localSheetId="12" hidden="1">#REF!</definedName>
    <definedName name="Z_68F84ABC_5E0B_11D2_8EEE_0008C7BCAF29_.wvu.PrintArea" hidden="1">#REF!</definedName>
    <definedName name="Z_68F84ABC_5E0B_11D2_8EEE_0008C7BCAF29_.wvu.PrintTitles" localSheetId="11" hidden="1">#REF!</definedName>
    <definedName name="Z_68F84ABC_5E0B_11D2_8EEE_0008C7BCAF29_.wvu.PrintTitles" localSheetId="12" hidden="1">#REF!</definedName>
    <definedName name="Z_68F84ABC_5E0B_11D2_8EEE_0008C7BCAF29_.wvu.PrintTitles" hidden="1">#REF!</definedName>
    <definedName name="Z_68F84ABF_5E0B_11D2_8EEE_0008C7BCAF29_.wvu.PrintArea" localSheetId="11" hidden="1">#REF!</definedName>
    <definedName name="Z_68F84ABF_5E0B_11D2_8EEE_0008C7BCAF29_.wvu.PrintArea" localSheetId="12" hidden="1">#REF!</definedName>
    <definedName name="Z_68F84ABF_5E0B_11D2_8EEE_0008C7BCAF29_.wvu.PrintArea" hidden="1">#REF!</definedName>
    <definedName name="Z_68F84ABF_5E0B_11D2_8EEE_0008C7BCAF29_.wvu.PrintTitles" localSheetId="11" hidden="1">#REF!,#REF!</definedName>
    <definedName name="Z_68F84ABF_5E0B_11D2_8EEE_0008C7BCAF29_.wvu.PrintTitles" localSheetId="12" hidden="1">#REF!,#REF!</definedName>
    <definedName name="Z_68F84ABF_5E0B_11D2_8EEE_0008C7BCAF29_.wvu.PrintTitles" hidden="1">#REF!,#REF!</definedName>
    <definedName name="Z_68F84AC1_5E0B_11D2_8EEE_0008C7BCAF29_.wvu.PrintArea" localSheetId="11" hidden="1">#REF!</definedName>
    <definedName name="Z_68F84AC1_5E0B_11D2_8EEE_0008C7BCAF29_.wvu.PrintArea" localSheetId="12" hidden="1">#REF!</definedName>
    <definedName name="Z_68F84AC1_5E0B_11D2_8EEE_0008C7BCAF29_.wvu.PrintArea" hidden="1">#REF!</definedName>
    <definedName name="Z_68F84AC1_5E0B_11D2_8EEE_0008C7BCAF29_.wvu.PrintTitles" localSheetId="11" hidden="1">#REF!,#REF!</definedName>
    <definedName name="Z_68F84AC1_5E0B_11D2_8EEE_0008C7BCAF29_.wvu.PrintTitles" localSheetId="12" hidden="1">#REF!,#REF!</definedName>
    <definedName name="Z_68F84AC1_5E0B_11D2_8EEE_0008C7BCAF29_.wvu.PrintTitles" hidden="1">#REF!,#REF!</definedName>
    <definedName name="Z_68F84AC3_5E0B_11D2_8EEE_0008C7BCAF29_.wvu.PrintArea" localSheetId="11" hidden="1">#REF!</definedName>
    <definedName name="Z_68F84AC3_5E0B_11D2_8EEE_0008C7BCAF29_.wvu.PrintArea" localSheetId="12" hidden="1">#REF!</definedName>
    <definedName name="Z_68F84AC3_5E0B_11D2_8EEE_0008C7BCAF29_.wvu.PrintArea" hidden="1">#REF!</definedName>
    <definedName name="Z_68F84AC3_5E0B_11D2_8EEE_0008C7BCAF29_.wvu.PrintTitles" localSheetId="11" hidden="1">#REF!</definedName>
    <definedName name="Z_68F84AC3_5E0B_11D2_8EEE_0008C7BCAF29_.wvu.PrintTitles" localSheetId="12" hidden="1">#REF!</definedName>
    <definedName name="Z_68F84AC3_5E0B_11D2_8EEE_0008C7BCAF29_.wvu.PrintTitles" hidden="1">#REF!</definedName>
    <definedName name="Z_68F84AC6_5E0B_11D2_8EEE_0008C7BCAF29_.wvu.PrintArea" localSheetId="11" hidden="1">#REF!</definedName>
    <definedName name="Z_68F84AC6_5E0B_11D2_8EEE_0008C7BCAF29_.wvu.PrintArea" localSheetId="12" hidden="1">#REF!</definedName>
    <definedName name="Z_68F84AC6_5E0B_11D2_8EEE_0008C7BCAF29_.wvu.PrintArea" hidden="1">#REF!</definedName>
    <definedName name="Z_68F84AC6_5E0B_11D2_8EEE_0008C7BCAF29_.wvu.PrintTitles" localSheetId="11" hidden="1">#REF!,#REF!</definedName>
    <definedName name="Z_68F84AC6_5E0B_11D2_8EEE_0008C7BCAF29_.wvu.PrintTitles" localSheetId="12" hidden="1">#REF!,#REF!</definedName>
    <definedName name="Z_68F84AC6_5E0B_11D2_8EEE_0008C7BCAF29_.wvu.PrintTitles" hidden="1">#REF!,#REF!</definedName>
    <definedName name="Z_68F84AC8_5E0B_11D2_8EEE_0008C7BCAF29_.wvu.PrintArea" localSheetId="11" hidden="1">#REF!</definedName>
    <definedName name="Z_68F84AC8_5E0B_11D2_8EEE_0008C7BCAF29_.wvu.PrintArea" localSheetId="12" hidden="1">#REF!</definedName>
    <definedName name="Z_68F84AC8_5E0B_11D2_8EEE_0008C7BCAF29_.wvu.PrintArea" hidden="1">#REF!</definedName>
    <definedName name="Z_68F84AC8_5E0B_11D2_8EEE_0008C7BCAF29_.wvu.PrintTitles" localSheetId="11" hidden="1">#REF!,#REF!</definedName>
    <definedName name="Z_68F84AC8_5E0B_11D2_8EEE_0008C7BCAF29_.wvu.PrintTitles" localSheetId="12" hidden="1">#REF!,#REF!</definedName>
    <definedName name="Z_68F84AC8_5E0B_11D2_8EEE_0008C7BCAF29_.wvu.PrintTitles" hidden="1">#REF!,#REF!</definedName>
    <definedName name="Z_68F84ACE_5E0B_11D2_8EEE_0008C7BCAF29_.wvu.PrintArea" localSheetId="11" hidden="1">#REF!</definedName>
    <definedName name="Z_68F84ACE_5E0B_11D2_8EEE_0008C7BCAF29_.wvu.PrintArea" localSheetId="12" hidden="1">#REF!</definedName>
    <definedName name="Z_68F84ACE_5E0B_11D2_8EEE_0008C7BCAF29_.wvu.PrintArea" hidden="1">#REF!</definedName>
    <definedName name="Z_68F84ACE_5E0B_11D2_8EEE_0008C7BCAF29_.wvu.PrintTitles" localSheetId="11" hidden="1">#REF!</definedName>
    <definedName name="Z_68F84ACE_5E0B_11D2_8EEE_0008C7BCAF29_.wvu.PrintTitles" localSheetId="12" hidden="1">#REF!</definedName>
    <definedName name="Z_68F84ACE_5E0B_11D2_8EEE_0008C7BCAF29_.wvu.PrintTitles" hidden="1">#REF!</definedName>
    <definedName name="Z_68F84ADD_5E0B_11D2_8EEE_0008C7BCAF29_.wvu.PrintArea" localSheetId="11" hidden="1">#REF!</definedName>
    <definedName name="Z_68F84ADD_5E0B_11D2_8EEE_0008C7BCAF29_.wvu.PrintArea" localSheetId="12" hidden="1">#REF!</definedName>
    <definedName name="Z_68F84ADD_5E0B_11D2_8EEE_0008C7BCAF29_.wvu.PrintArea" hidden="1">#REF!</definedName>
    <definedName name="Z_68F84ADD_5E0B_11D2_8EEE_0008C7BCAF29_.wvu.PrintTitles" localSheetId="11" hidden="1">#REF!</definedName>
    <definedName name="Z_68F84ADD_5E0B_11D2_8EEE_0008C7BCAF29_.wvu.PrintTitles" localSheetId="12" hidden="1">#REF!</definedName>
    <definedName name="Z_68F84ADD_5E0B_11D2_8EEE_0008C7BCAF29_.wvu.PrintTitles" hidden="1">#REF!</definedName>
    <definedName name="Z_68F84AEA_5E0B_11D2_8EEE_0008C7BCAF29_.wvu.PrintArea" localSheetId="11" hidden="1">#REF!</definedName>
    <definedName name="Z_68F84AEA_5E0B_11D2_8EEE_0008C7BCAF29_.wvu.PrintArea" localSheetId="12" hidden="1">#REF!</definedName>
    <definedName name="Z_68F84AEA_5E0B_11D2_8EEE_0008C7BCAF29_.wvu.PrintArea" hidden="1">#REF!</definedName>
    <definedName name="Z_68F84AEA_5E0B_11D2_8EEE_0008C7BCAF29_.wvu.PrintTitles" localSheetId="11" hidden="1">#REF!,#REF!</definedName>
    <definedName name="Z_68F84AEA_5E0B_11D2_8EEE_0008C7BCAF29_.wvu.PrintTitles" localSheetId="12" hidden="1">#REF!,#REF!</definedName>
    <definedName name="Z_68F84AEA_5E0B_11D2_8EEE_0008C7BCAF29_.wvu.PrintTitles" hidden="1">#REF!,#REF!</definedName>
    <definedName name="Z_68F84AF6_5E0B_11D2_8EEE_0008C7BCAF29_.wvu.PrintArea" localSheetId="11" hidden="1">#REF!</definedName>
    <definedName name="Z_68F84AF6_5E0B_11D2_8EEE_0008C7BCAF29_.wvu.PrintArea" localSheetId="12" hidden="1">#REF!</definedName>
    <definedName name="Z_68F84AF6_5E0B_11D2_8EEE_0008C7BCAF29_.wvu.PrintArea" hidden="1">#REF!</definedName>
    <definedName name="Z_68F84AF6_5E0B_11D2_8EEE_0008C7BCAF29_.wvu.PrintTitles" localSheetId="11" hidden="1">#REF!,#REF!</definedName>
    <definedName name="Z_68F84AF6_5E0B_11D2_8EEE_0008C7BCAF29_.wvu.PrintTitles" localSheetId="12" hidden="1">#REF!,#REF!</definedName>
    <definedName name="Z_68F84AF6_5E0B_11D2_8EEE_0008C7BCAF29_.wvu.PrintTitles" hidden="1">#REF!,#REF!</definedName>
    <definedName name="Z_68F84AF9_5E0B_11D2_8EEE_0008C7BCAF29_.wvu.PrintArea" localSheetId="11" hidden="1">#REF!</definedName>
    <definedName name="Z_68F84AF9_5E0B_11D2_8EEE_0008C7BCAF29_.wvu.PrintArea" localSheetId="12" hidden="1">#REF!</definedName>
    <definedName name="Z_68F84AF9_5E0B_11D2_8EEE_0008C7BCAF29_.wvu.PrintArea" hidden="1">#REF!</definedName>
    <definedName name="Z_68F84AF9_5E0B_11D2_8EEE_0008C7BCAF29_.wvu.PrintTitles" localSheetId="11" hidden="1">#REF!</definedName>
    <definedName name="Z_68F84AF9_5E0B_11D2_8EEE_0008C7BCAF29_.wvu.PrintTitles" localSheetId="12" hidden="1">#REF!</definedName>
    <definedName name="Z_68F84AF9_5E0B_11D2_8EEE_0008C7BCAF29_.wvu.PrintTitles" hidden="1">#REF!</definedName>
    <definedName name="Z_68F84AFE_5E0B_11D2_8EEE_0008C7BCAF29_.wvu.PrintArea" localSheetId="11" hidden="1">#REF!</definedName>
    <definedName name="Z_68F84AFE_5E0B_11D2_8EEE_0008C7BCAF29_.wvu.PrintArea" localSheetId="12" hidden="1">#REF!</definedName>
    <definedName name="Z_68F84AFE_5E0B_11D2_8EEE_0008C7BCAF29_.wvu.PrintArea" hidden="1">#REF!</definedName>
    <definedName name="Z_68F84AFE_5E0B_11D2_8EEE_0008C7BCAF29_.wvu.PrintTitles" localSheetId="11" hidden="1">#REF!,#REF!</definedName>
    <definedName name="Z_68F84AFE_5E0B_11D2_8EEE_0008C7BCAF29_.wvu.PrintTitles" localSheetId="12" hidden="1">#REF!,#REF!</definedName>
    <definedName name="Z_68F84AFE_5E0B_11D2_8EEE_0008C7BCAF29_.wvu.PrintTitles" hidden="1">#REF!,#REF!</definedName>
    <definedName name="Z_68F84B00_5E0B_11D2_8EEE_0008C7BCAF29_.wvu.PrintArea" localSheetId="11" hidden="1">#REF!</definedName>
    <definedName name="Z_68F84B00_5E0B_11D2_8EEE_0008C7BCAF29_.wvu.PrintArea" localSheetId="12" hidden="1">#REF!</definedName>
    <definedName name="Z_68F84B00_5E0B_11D2_8EEE_0008C7BCAF29_.wvu.PrintArea" hidden="1">#REF!</definedName>
    <definedName name="Z_68F84B00_5E0B_11D2_8EEE_0008C7BCAF29_.wvu.PrintTitles" localSheetId="11" hidden="1">#REF!,#REF!</definedName>
    <definedName name="Z_68F84B00_5E0B_11D2_8EEE_0008C7BCAF29_.wvu.PrintTitles" localSheetId="12" hidden="1">#REF!,#REF!</definedName>
    <definedName name="Z_68F84B00_5E0B_11D2_8EEE_0008C7BCAF29_.wvu.PrintTitles" hidden="1">#REF!,#REF!</definedName>
    <definedName name="Z_68F84B03_5E0B_11D2_8EEE_0008C7BCAF29_.wvu.PrintArea" localSheetId="11" hidden="1">#REF!</definedName>
    <definedName name="Z_68F84B03_5E0B_11D2_8EEE_0008C7BCAF29_.wvu.PrintArea" localSheetId="12" hidden="1">#REF!</definedName>
    <definedName name="Z_68F84B03_5E0B_11D2_8EEE_0008C7BCAF29_.wvu.PrintArea" hidden="1">#REF!</definedName>
    <definedName name="Z_68F84B03_5E0B_11D2_8EEE_0008C7BCAF29_.wvu.PrintTitles" localSheetId="11" hidden="1">#REF!</definedName>
    <definedName name="Z_68F84B03_5E0B_11D2_8EEE_0008C7BCAF29_.wvu.PrintTitles" localSheetId="12" hidden="1">#REF!</definedName>
    <definedName name="Z_68F84B03_5E0B_11D2_8EEE_0008C7BCAF29_.wvu.PrintTitles" hidden="1">#REF!</definedName>
    <definedName name="Z_68F84B08_5E0B_11D2_8EEE_0008C7BCAF29_.wvu.PrintArea" localSheetId="11" hidden="1">#REF!</definedName>
    <definedName name="Z_68F84B08_5E0B_11D2_8EEE_0008C7BCAF29_.wvu.PrintArea" localSheetId="12" hidden="1">#REF!</definedName>
    <definedName name="Z_68F84B08_5E0B_11D2_8EEE_0008C7BCAF29_.wvu.PrintArea" hidden="1">#REF!</definedName>
    <definedName name="Z_68F84B08_5E0B_11D2_8EEE_0008C7BCAF29_.wvu.PrintTitles" localSheetId="11" hidden="1">#REF!,#REF!</definedName>
    <definedName name="Z_68F84B08_5E0B_11D2_8EEE_0008C7BCAF29_.wvu.PrintTitles" localSheetId="12" hidden="1">#REF!,#REF!</definedName>
    <definedName name="Z_68F84B08_5E0B_11D2_8EEE_0008C7BCAF29_.wvu.PrintTitles" hidden="1">#REF!,#REF!</definedName>
    <definedName name="Z_68F84B0B_5E0B_11D2_8EEE_0008C7BCAF29_.wvu.PrintArea" localSheetId="11" hidden="1">#REF!</definedName>
    <definedName name="Z_68F84B0B_5E0B_11D2_8EEE_0008C7BCAF29_.wvu.PrintArea" localSheetId="12" hidden="1">#REF!</definedName>
    <definedName name="Z_68F84B0B_5E0B_11D2_8EEE_0008C7BCAF29_.wvu.PrintArea" hidden="1">#REF!</definedName>
    <definedName name="Z_68F84B0B_5E0B_11D2_8EEE_0008C7BCAF29_.wvu.PrintTitles" localSheetId="11" hidden="1">#REF!,#REF!</definedName>
    <definedName name="Z_68F84B0B_5E0B_11D2_8EEE_0008C7BCAF29_.wvu.PrintTitles" localSheetId="12" hidden="1">#REF!,#REF!</definedName>
    <definedName name="Z_68F84B0B_5E0B_11D2_8EEE_0008C7BCAF29_.wvu.PrintTitles" hidden="1">#REF!,#REF!</definedName>
    <definedName name="Z_68F84B11_5E0B_11D2_8EEE_0008C7BCAF29_.wvu.PrintArea" localSheetId="11" hidden="1">#REF!</definedName>
    <definedName name="Z_68F84B11_5E0B_11D2_8EEE_0008C7BCAF29_.wvu.PrintArea" localSheetId="12" hidden="1">#REF!</definedName>
    <definedName name="Z_68F84B11_5E0B_11D2_8EEE_0008C7BCAF29_.wvu.PrintArea" hidden="1">#REF!</definedName>
    <definedName name="Z_68F84B11_5E0B_11D2_8EEE_0008C7BCAF29_.wvu.PrintTitles" localSheetId="11" hidden="1">#REF!,#REF!</definedName>
    <definedName name="Z_68F84B11_5E0B_11D2_8EEE_0008C7BCAF29_.wvu.PrintTitles" localSheetId="12" hidden="1">#REF!,#REF!</definedName>
    <definedName name="Z_68F84B11_5E0B_11D2_8EEE_0008C7BCAF29_.wvu.PrintTitles" hidden="1">#REF!,#REF!</definedName>
    <definedName name="Z_68F84B14_5E0B_11D2_8EEE_0008C7BCAF29_.wvu.PrintArea" localSheetId="11" hidden="1">#REF!</definedName>
    <definedName name="Z_68F84B14_5E0B_11D2_8EEE_0008C7BCAF29_.wvu.PrintArea" localSheetId="12" hidden="1">#REF!</definedName>
    <definedName name="Z_68F84B14_5E0B_11D2_8EEE_0008C7BCAF29_.wvu.PrintArea" hidden="1">#REF!</definedName>
    <definedName name="Z_68F84B14_5E0B_11D2_8EEE_0008C7BCAF29_.wvu.PrintTitles" localSheetId="11" hidden="1">#REF!</definedName>
    <definedName name="Z_68F84B14_5E0B_11D2_8EEE_0008C7BCAF29_.wvu.PrintTitles" localSheetId="12" hidden="1">#REF!</definedName>
    <definedName name="Z_68F84B14_5E0B_11D2_8EEE_0008C7BCAF29_.wvu.PrintTitles" hidden="1">#REF!</definedName>
    <definedName name="Z_68F84B19_5E0B_11D2_8EEE_0008C7BCAF29_.wvu.PrintArea" localSheetId="11" hidden="1">#REF!</definedName>
    <definedName name="Z_68F84B19_5E0B_11D2_8EEE_0008C7BCAF29_.wvu.PrintArea" localSheetId="12" hidden="1">#REF!</definedName>
    <definedName name="Z_68F84B19_5E0B_11D2_8EEE_0008C7BCAF29_.wvu.PrintArea" hidden="1">#REF!</definedName>
    <definedName name="Z_68F84B19_5E0B_11D2_8EEE_0008C7BCAF29_.wvu.PrintTitles" localSheetId="11" hidden="1">#REF!,#REF!</definedName>
    <definedName name="Z_68F84B19_5E0B_11D2_8EEE_0008C7BCAF29_.wvu.PrintTitles" localSheetId="12" hidden="1">#REF!,#REF!</definedName>
    <definedName name="Z_68F84B19_5E0B_11D2_8EEE_0008C7BCAF29_.wvu.PrintTitles" hidden="1">#REF!,#REF!</definedName>
    <definedName name="Z_68F84B1B_5E0B_11D2_8EEE_0008C7BCAF29_.wvu.PrintArea" localSheetId="11" hidden="1">#REF!</definedName>
    <definedName name="Z_68F84B1B_5E0B_11D2_8EEE_0008C7BCAF29_.wvu.PrintArea" localSheetId="12" hidden="1">#REF!</definedName>
    <definedName name="Z_68F84B1B_5E0B_11D2_8EEE_0008C7BCAF29_.wvu.PrintArea" hidden="1">#REF!</definedName>
    <definedName name="Z_68F84B1B_5E0B_11D2_8EEE_0008C7BCAF29_.wvu.PrintTitles" localSheetId="11" hidden="1">#REF!,#REF!</definedName>
    <definedName name="Z_68F84B1B_5E0B_11D2_8EEE_0008C7BCAF29_.wvu.PrintTitles" localSheetId="12" hidden="1">#REF!,#REF!</definedName>
    <definedName name="Z_68F84B1B_5E0B_11D2_8EEE_0008C7BCAF29_.wvu.PrintTitles" hidden="1">#REF!,#REF!</definedName>
    <definedName name="Z_68F84B1E_5E0B_11D2_8EEE_0008C7BCAF29_.wvu.PrintArea" localSheetId="11" hidden="1">#REF!</definedName>
    <definedName name="Z_68F84B1E_5E0B_11D2_8EEE_0008C7BCAF29_.wvu.PrintArea" localSheetId="12" hidden="1">#REF!</definedName>
    <definedName name="Z_68F84B1E_5E0B_11D2_8EEE_0008C7BCAF29_.wvu.PrintArea" hidden="1">#REF!</definedName>
    <definedName name="Z_68F84B1E_5E0B_11D2_8EEE_0008C7BCAF29_.wvu.PrintTitles" localSheetId="11" hidden="1">#REF!</definedName>
    <definedName name="Z_68F84B1E_5E0B_11D2_8EEE_0008C7BCAF29_.wvu.PrintTitles" localSheetId="12" hidden="1">#REF!</definedName>
    <definedName name="Z_68F84B1E_5E0B_11D2_8EEE_0008C7BCAF29_.wvu.PrintTitles" hidden="1">#REF!</definedName>
    <definedName name="Z_68F84B23_5E0B_11D2_8EEE_0008C7BCAF29_.wvu.PrintArea" localSheetId="11" hidden="1">#REF!</definedName>
    <definedName name="Z_68F84B23_5E0B_11D2_8EEE_0008C7BCAF29_.wvu.PrintArea" localSheetId="12" hidden="1">#REF!</definedName>
    <definedName name="Z_68F84B23_5E0B_11D2_8EEE_0008C7BCAF29_.wvu.PrintArea" hidden="1">#REF!</definedName>
    <definedName name="Z_68F84B23_5E0B_11D2_8EEE_0008C7BCAF29_.wvu.PrintTitles" localSheetId="11" hidden="1">#REF!,#REF!</definedName>
    <definedName name="Z_68F84B23_5E0B_11D2_8EEE_0008C7BCAF29_.wvu.PrintTitles" localSheetId="12" hidden="1">#REF!,#REF!</definedName>
    <definedName name="Z_68F84B23_5E0B_11D2_8EEE_0008C7BCAF29_.wvu.PrintTitles" hidden="1">#REF!,#REF!</definedName>
    <definedName name="Z_68F84B26_5E0B_11D2_8EEE_0008C7BCAF29_.wvu.PrintArea" localSheetId="11" hidden="1">#REF!</definedName>
    <definedName name="Z_68F84B26_5E0B_11D2_8EEE_0008C7BCAF29_.wvu.PrintArea" localSheetId="12" hidden="1">#REF!</definedName>
    <definedName name="Z_68F84B26_5E0B_11D2_8EEE_0008C7BCAF29_.wvu.PrintArea" hidden="1">#REF!</definedName>
    <definedName name="Z_68F84B26_5E0B_11D2_8EEE_0008C7BCAF29_.wvu.PrintTitles" localSheetId="11" hidden="1">#REF!,#REF!</definedName>
    <definedName name="Z_68F84B26_5E0B_11D2_8EEE_0008C7BCAF29_.wvu.PrintTitles" localSheetId="12" hidden="1">#REF!,#REF!</definedName>
    <definedName name="Z_68F84B26_5E0B_11D2_8EEE_0008C7BCAF29_.wvu.PrintTitles" hidden="1">#REF!,#REF!</definedName>
    <definedName name="Z_76FBE7D5_5EAD_11D2_8EEF_0008C7BCAF29_.wvu.PrintArea" localSheetId="11" hidden="1">#REF!</definedName>
    <definedName name="Z_76FBE7D5_5EAD_11D2_8EEF_0008C7BCAF29_.wvu.PrintArea" localSheetId="12" hidden="1">#REF!</definedName>
    <definedName name="Z_76FBE7D5_5EAD_11D2_8EEF_0008C7BCAF29_.wvu.PrintArea" hidden="1">#REF!</definedName>
    <definedName name="Z_76FBE7D5_5EAD_11D2_8EEF_0008C7BCAF29_.wvu.PrintTitles" localSheetId="11" hidden="1">#REF!,#REF!</definedName>
    <definedName name="Z_76FBE7D5_5EAD_11D2_8EEF_0008C7BCAF29_.wvu.PrintTitles" localSheetId="12" hidden="1">#REF!,#REF!</definedName>
    <definedName name="Z_76FBE7D5_5EAD_11D2_8EEF_0008C7BCAF29_.wvu.PrintTitles" hidden="1">#REF!,#REF!</definedName>
    <definedName name="Z_76FBE7D7_5EAD_11D2_8EEF_0008C7BCAF29_.wvu.PrintArea" localSheetId="11" hidden="1">#REF!</definedName>
    <definedName name="Z_76FBE7D7_5EAD_11D2_8EEF_0008C7BCAF29_.wvu.PrintArea" localSheetId="12" hidden="1">#REF!</definedName>
    <definedName name="Z_76FBE7D7_5EAD_11D2_8EEF_0008C7BCAF29_.wvu.PrintArea" hidden="1">#REF!</definedName>
    <definedName name="Z_76FBE7D7_5EAD_11D2_8EEF_0008C7BCAF29_.wvu.PrintTitles" localSheetId="11" hidden="1">#REF!</definedName>
    <definedName name="Z_76FBE7D7_5EAD_11D2_8EEF_0008C7BCAF29_.wvu.PrintTitles" localSheetId="12" hidden="1">#REF!</definedName>
    <definedName name="Z_76FBE7D7_5EAD_11D2_8EEF_0008C7BCAF29_.wvu.PrintTitles" hidden="1">#REF!</definedName>
    <definedName name="Z_76FBE7DA_5EAD_11D2_8EEF_0008C7BCAF29_.wvu.PrintArea" localSheetId="11" hidden="1">#REF!</definedName>
    <definedName name="Z_76FBE7DA_5EAD_11D2_8EEF_0008C7BCAF29_.wvu.PrintArea" localSheetId="12" hidden="1">#REF!</definedName>
    <definedName name="Z_76FBE7DA_5EAD_11D2_8EEF_0008C7BCAF29_.wvu.PrintArea" hidden="1">#REF!</definedName>
    <definedName name="Z_76FBE7DA_5EAD_11D2_8EEF_0008C7BCAF29_.wvu.PrintTitles" localSheetId="11" hidden="1">#REF!,#REF!</definedName>
    <definedName name="Z_76FBE7DA_5EAD_11D2_8EEF_0008C7BCAF29_.wvu.PrintTitles" localSheetId="12" hidden="1">#REF!,#REF!</definedName>
    <definedName name="Z_76FBE7DA_5EAD_11D2_8EEF_0008C7BCAF29_.wvu.PrintTitles" hidden="1">#REF!,#REF!</definedName>
    <definedName name="Z_76FBE7DC_5EAD_11D2_8EEF_0008C7BCAF29_.wvu.PrintArea" localSheetId="11" hidden="1">#REF!</definedName>
    <definedName name="Z_76FBE7DC_5EAD_11D2_8EEF_0008C7BCAF29_.wvu.PrintArea" localSheetId="12" hidden="1">#REF!</definedName>
    <definedName name="Z_76FBE7DC_5EAD_11D2_8EEF_0008C7BCAF29_.wvu.PrintArea" hidden="1">#REF!</definedName>
    <definedName name="Z_76FBE7DC_5EAD_11D2_8EEF_0008C7BCAF29_.wvu.PrintTitles" localSheetId="11" hidden="1">#REF!,#REF!</definedName>
    <definedName name="Z_76FBE7DC_5EAD_11D2_8EEF_0008C7BCAF29_.wvu.PrintTitles" localSheetId="12" hidden="1">#REF!,#REF!</definedName>
    <definedName name="Z_76FBE7DC_5EAD_11D2_8EEF_0008C7BCAF29_.wvu.PrintTitles" hidden="1">#REF!,#REF!</definedName>
    <definedName name="Z_76FBE7DE_5EAD_11D2_8EEF_0008C7BCAF29_.wvu.PrintArea" localSheetId="11" hidden="1">#REF!</definedName>
    <definedName name="Z_76FBE7DE_5EAD_11D2_8EEF_0008C7BCAF29_.wvu.PrintArea" localSheetId="12" hidden="1">#REF!</definedName>
    <definedName name="Z_76FBE7DE_5EAD_11D2_8EEF_0008C7BCAF29_.wvu.PrintArea" hidden="1">#REF!</definedName>
    <definedName name="Z_76FBE7DE_5EAD_11D2_8EEF_0008C7BCAF29_.wvu.PrintTitles" localSheetId="11" hidden="1">#REF!</definedName>
    <definedName name="Z_76FBE7DE_5EAD_11D2_8EEF_0008C7BCAF29_.wvu.PrintTitles" localSheetId="12" hidden="1">#REF!</definedName>
    <definedName name="Z_76FBE7DE_5EAD_11D2_8EEF_0008C7BCAF29_.wvu.PrintTitles" hidden="1">#REF!</definedName>
    <definedName name="Z_76FBE7E1_5EAD_11D2_8EEF_0008C7BCAF29_.wvu.PrintArea" localSheetId="11" hidden="1">#REF!</definedName>
    <definedName name="Z_76FBE7E1_5EAD_11D2_8EEF_0008C7BCAF29_.wvu.PrintArea" localSheetId="12" hidden="1">#REF!</definedName>
    <definedName name="Z_76FBE7E1_5EAD_11D2_8EEF_0008C7BCAF29_.wvu.PrintArea" hidden="1">#REF!</definedName>
    <definedName name="Z_76FBE7E1_5EAD_11D2_8EEF_0008C7BCAF29_.wvu.PrintTitles" localSheetId="11" hidden="1">#REF!,#REF!</definedName>
    <definedName name="Z_76FBE7E1_5EAD_11D2_8EEF_0008C7BCAF29_.wvu.PrintTitles" localSheetId="12" hidden="1">#REF!,#REF!</definedName>
    <definedName name="Z_76FBE7E1_5EAD_11D2_8EEF_0008C7BCAF29_.wvu.PrintTitles" hidden="1">#REF!,#REF!</definedName>
    <definedName name="Z_76FBE7E3_5EAD_11D2_8EEF_0008C7BCAF29_.wvu.PrintArea" localSheetId="11" hidden="1">#REF!</definedName>
    <definedName name="Z_76FBE7E3_5EAD_11D2_8EEF_0008C7BCAF29_.wvu.PrintArea" localSheetId="12" hidden="1">#REF!</definedName>
    <definedName name="Z_76FBE7E3_5EAD_11D2_8EEF_0008C7BCAF29_.wvu.PrintArea" hidden="1">#REF!</definedName>
    <definedName name="Z_76FBE7E3_5EAD_11D2_8EEF_0008C7BCAF29_.wvu.PrintTitles" localSheetId="11" hidden="1">#REF!,#REF!</definedName>
    <definedName name="Z_76FBE7E3_5EAD_11D2_8EEF_0008C7BCAF29_.wvu.PrintTitles" localSheetId="12" hidden="1">#REF!,#REF!</definedName>
    <definedName name="Z_76FBE7E3_5EAD_11D2_8EEF_0008C7BCAF29_.wvu.PrintTitles" hidden="1">#REF!,#REF!</definedName>
    <definedName name="Z_974EFDB0_1051_11D2_8E71_0008C77C0743_.wvu.PrintArea" localSheetId="11" hidden="1">#REF!</definedName>
    <definedName name="Z_974EFDB0_1051_11D2_8E71_0008C77C0743_.wvu.PrintArea" localSheetId="12" hidden="1">#REF!</definedName>
    <definedName name="Z_974EFDB0_1051_11D2_8E71_0008C77C0743_.wvu.PrintArea" hidden="1">#REF!</definedName>
    <definedName name="Z_974EFDB0_1051_11D2_8E71_0008C77C0743_.wvu.PrintTitles" localSheetId="11" hidden="1">#REF!,#REF!</definedName>
    <definedName name="Z_974EFDB0_1051_11D2_8E71_0008C77C0743_.wvu.PrintTitles" localSheetId="12" hidden="1">#REF!,#REF!</definedName>
    <definedName name="Z_974EFDB0_1051_11D2_8E71_0008C77C0743_.wvu.PrintTitles" hidden="1">#REF!,#REF!</definedName>
    <definedName name="Z_974EFDB2_1051_11D2_8E71_0008C77C0743_.wvu.PrintArea" localSheetId="11" hidden="1">#REF!</definedName>
    <definedName name="Z_974EFDB2_1051_11D2_8E71_0008C77C0743_.wvu.PrintArea" localSheetId="12" hidden="1">#REF!</definedName>
    <definedName name="Z_974EFDB2_1051_11D2_8E71_0008C77C0743_.wvu.PrintArea" hidden="1">#REF!</definedName>
    <definedName name="Z_974EFDB2_1051_11D2_8E71_0008C77C0743_.wvu.PrintTitles" localSheetId="11" hidden="1">#REF!</definedName>
    <definedName name="Z_974EFDB2_1051_11D2_8E71_0008C77C0743_.wvu.PrintTitles" localSheetId="12" hidden="1">#REF!</definedName>
    <definedName name="Z_974EFDB2_1051_11D2_8E71_0008C77C0743_.wvu.PrintTitles" hidden="1">#REF!</definedName>
    <definedName name="Z_974EFDB5_1051_11D2_8E71_0008C77C0743_.wvu.PrintArea" localSheetId="11" hidden="1">#REF!</definedName>
    <definedName name="Z_974EFDB5_1051_11D2_8E71_0008C77C0743_.wvu.PrintArea" localSheetId="12" hidden="1">#REF!</definedName>
    <definedName name="Z_974EFDB5_1051_11D2_8E71_0008C77C0743_.wvu.PrintArea" hidden="1">#REF!</definedName>
    <definedName name="Z_974EFDB5_1051_11D2_8E71_0008C77C0743_.wvu.PrintTitles" localSheetId="11" hidden="1">#REF!,#REF!</definedName>
    <definedName name="Z_974EFDB5_1051_11D2_8E71_0008C77C0743_.wvu.PrintTitles" localSheetId="12" hidden="1">#REF!,#REF!</definedName>
    <definedName name="Z_974EFDB5_1051_11D2_8E71_0008C77C0743_.wvu.PrintTitles" hidden="1">#REF!,#REF!</definedName>
    <definedName name="Z_974EFDB7_1051_11D2_8E71_0008C77C0743_.wvu.PrintArea" localSheetId="11" hidden="1">#REF!</definedName>
    <definedName name="Z_974EFDB7_1051_11D2_8E71_0008C77C0743_.wvu.PrintArea" localSheetId="12" hidden="1">#REF!</definedName>
    <definedName name="Z_974EFDB7_1051_11D2_8E71_0008C77C0743_.wvu.PrintArea" hidden="1">#REF!</definedName>
    <definedName name="Z_974EFDB7_1051_11D2_8E71_0008C77C0743_.wvu.PrintTitles" localSheetId="11" hidden="1">#REF!,#REF!</definedName>
    <definedName name="Z_974EFDB7_1051_11D2_8E71_0008C77C0743_.wvu.PrintTitles" localSheetId="12" hidden="1">#REF!,#REF!</definedName>
    <definedName name="Z_974EFDB7_1051_11D2_8E71_0008C77C0743_.wvu.PrintTitles" hidden="1">#REF!,#REF!</definedName>
    <definedName name="Z_974EFDB9_1051_11D2_8E71_0008C77C0743_.wvu.PrintArea" localSheetId="11" hidden="1">#REF!</definedName>
    <definedName name="Z_974EFDB9_1051_11D2_8E71_0008C77C0743_.wvu.PrintArea" localSheetId="12" hidden="1">#REF!</definedName>
    <definedName name="Z_974EFDB9_1051_11D2_8E71_0008C77C0743_.wvu.PrintArea" hidden="1">#REF!</definedName>
    <definedName name="Z_974EFDB9_1051_11D2_8E71_0008C77C0743_.wvu.PrintTitles" localSheetId="11" hidden="1">#REF!</definedName>
    <definedName name="Z_974EFDB9_1051_11D2_8E71_0008C77C0743_.wvu.PrintTitles" localSheetId="12" hidden="1">#REF!</definedName>
    <definedName name="Z_974EFDB9_1051_11D2_8E71_0008C77C0743_.wvu.PrintTitles" hidden="1">#REF!</definedName>
    <definedName name="Z_974EFDBC_1051_11D2_8E71_0008C77C0743_.wvu.PrintArea" localSheetId="11" hidden="1">#REF!</definedName>
    <definedName name="Z_974EFDBC_1051_11D2_8E71_0008C77C0743_.wvu.PrintArea" localSheetId="12" hidden="1">#REF!</definedName>
    <definedName name="Z_974EFDBC_1051_11D2_8E71_0008C77C0743_.wvu.PrintArea" hidden="1">#REF!</definedName>
    <definedName name="Z_974EFDBC_1051_11D2_8E71_0008C77C0743_.wvu.PrintTitles" localSheetId="11" hidden="1">#REF!,#REF!</definedName>
    <definedName name="Z_974EFDBC_1051_11D2_8E71_0008C77C0743_.wvu.PrintTitles" localSheetId="12" hidden="1">#REF!,#REF!</definedName>
    <definedName name="Z_974EFDBC_1051_11D2_8E71_0008C77C0743_.wvu.PrintTitles" hidden="1">#REF!,#REF!</definedName>
    <definedName name="Z_974EFDBE_1051_11D2_8E71_0008C77C0743_.wvu.PrintArea" localSheetId="11" hidden="1">#REF!</definedName>
    <definedName name="Z_974EFDBE_1051_11D2_8E71_0008C77C0743_.wvu.PrintArea" localSheetId="12" hidden="1">#REF!</definedName>
    <definedName name="Z_974EFDBE_1051_11D2_8E71_0008C77C0743_.wvu.PrintArea" hidden="1">#REF!</definedName>
    <definedName name="Z_974EFDBE_1051_11D2_8E71_0008C77C0743_.wvu.PrintTitles" localSheetId="11" hidden="1">#REF!,#REF!</definedName>
    <definedName name="Z_974EFDBE_1051_11D2_8E71_0008C77C0743_.wvu.PrintTitles" localSheetId="12" hidden="1">#REF!,#REF!</definedName>
    <definedName name="Z_974EFDBE_1051_11D2_8E71_0008C77C0743_.wvu.PrintTitles" hidden="1">#REF!,#REF!</definedName>
    <definedName name="Z_A1DB4122_5E0E_11D2_8EC3_0008C77C0743_.wvu.PrintArea" localSheetId="11" hidden="1">#REF!</definedName>
    <definedName name="Z_A1DB4122_5E0E_11D2_8EC3_0008C77C0743_.wvu.PrintArea" localSheetId="12" hidden="1">#REF!</definedName>
    <definedName name="Z_A1DB4122_5E0E_11D2_8EC3_0008C77C0743_.wvu.PrintArea" hidden="1">#REF!</definedName>
    <definedName name="Z_A1DB4122_5E0E_11D2_8EC3_0008C77C0743_.wvu.PrintTitles" localSheetId="11" hidden="1">#REF!</definedName>
    <definedName name="Z_A1DB4122_5E0E_11D2_8EC3_0008C77C0743_.wvu.PrintTitles" localSheetId="12" hidden="1">#REF!</definedName>
    <definedName name="Z_A1DB4122_5E0E_11D2_8EC3_0008C77C0743_.wvu.PrintTitles" hidden="1">#REF!</definedName>
    <definedName name="Z_A1DB4131_5E0E_11D2_8EC3_0008C77C0743_.wvu.PrintArea" localSheetId="11" hidden="1">#REF!</definedName>
    <definedName name="Z_A1DB4131_5E0E_11D2_8EC3_0008C77C0743_.wvu.PrintArea" localSheetId="12" hidden="1">#REF!</definedName>
    <definedName name="Z_A1DB4131_5E0E_11D2_8EC3_0008C77C0743_.wvu.PrintArea" hidden="1">#REF!</definedName>
    <definedName name="Z_A1DB4131_5E0E_11D2_8EC3_0008C77C0743_.wvu.PrintTitles" localSheetId="11" hidden="1">#REF!</definedName>
    <definedName name="Z_A1DB4131_5E0E_11D2_8EC3_0008C77C0743_.wvu.PrintTitles" localSheetId="12" hidden="1">#REF!</definedName>
    <definedName name="Z_A1DB4131_5E0E_11D2_8EC3_0008C77C0743_.wvu.PrintTitles" hidden="1">#REF!</definedName>
    <definedName name="Z_A1DB413E_5E0E_11D2_8EC3_0008C77C0743_.wvu.PrintArea" localSheetId="11" hidden="1">#REF!</definedName>
    <definedName name="Z_A1DB413E_5E0E_11D2_8EC3_0008C77C0743_.wvu.PrintArea" localSheetId="12" hidden="1">#REF!</definedName>
    <definedName name="Z_A1DB413E_5E0E_11D2_8EC3_0008C77C0743_.wvu.PrintArea" hidden="1">#REF!</definedName>
    <definedName name="Z_A1DB413E_5E0E_11D2_8EC3_0008C77C0743_.wvu.PrintTitles" localSheetId="11" hidden="1">#REF!,#REF!</definedName>
    <definedName name="Z_A1DB413E_5E0E_11D2_8EC3_0008C77C0743_.wvu.PrintTitles" localSheetId="12" hidden="1">#REF!,#REF!</definedName>
    <definedName name="Z_A1DB413E_5E0E_11D2_8EC3_0008C77C0743_.wvu.PrintTitles" hidden="1">#REF!,#REF!</definedName>
    <definedName name="Z_A1DB414B_5E0E_11D2_8EC3_0008C77C0743_.wvu.PrintArea" localSheetId="11" hidden="1">#REF!</definedName>
    <definedName name="Z_A1DB414B_5E0E_11D2_8EC3_0008C77C0743_.wvu.PrintArea" localSheetId="12" hidden="1">#REF!</definedName>
    <definedName name="Z_A1DB414B_5E0E_11D2_8EC3_0008C77C0743_.wvu.PrintArea" hidden="1">#REF!</definedName>
    <definedName name="Z_A1DB414B_5E0E_11D2_8EC3_0008C77C0743_.wvu.PrintTitles" localSheetId="11" hidden="1">#REF!</definedName>
    <definedName name="Z_A1DB414B_5E0E_11D2_8EC3_0008C77C0743_.wvu.PrintTitles" localSheetId="12" hidden="1">#REF!</definedName>
    <definedName name="Z_A1DB414B_5E0E_11D2_8EC3_0008C77C0743_.wvu.PrintTitles" hidden="1">#REF!</definedName>
    <definedName name="Z_A1DB415A_5E0E_11D2_8EC3_0008C77C0743_.wvu.PrintArea" localSheetId="11" hidden="1">#REF!</definedName>
    <definedName name="Z_A1DB415A_5E0E_11D2_8EC3_0008C77C0743_.wvu.PrintArea" localSheetId="12" hidden="1">#REF!</definedName>
    <definedName name="Z_A1DB415A_5E0E_11D2_8EC3_0008C77C0743_.wvu.PrintArea" hidden="1">#REF!</definedName>
    <definedName name="Z_A1DB415A_5E0E_11D2_8EC3_0008C77C0743_.wvu.PrintTitles" localSheetId="11" hidden="1">#REF!</definedName>
    <definedName name="Z_A1DB415A_5E0E_11D2_8EC3_0008C77C0743_.wvu.PrintTitles" localSheetId="12" hidden="1">#REF!</definedName>
    <definedName name="Z_A1DB415A_5E0E_11D2_8EC3_0008C77C0743_.wvu.PrintTitles" hidden="1">#REF!</definedName>
    <definedName name="Z_A1DB4167_5E0E_11D2_8EC3_0008C77C0743_.wvu.PrintArea" localSheetId="11" hidden="1">#REF!</definedName>
    <definedName name="Z_A1DB4167_5E0E_11D2_8EC3_0008C77C0743_.wvu.PrintArea" localSheetId="12" hidden="1">#REF!</definedName>
    <definedName name="Z_A1DB4167_5E0E_11D2_8EC3_0008C77C0743_.wvu.PrintArea" hidden="1">#REF!</definedName>
    <definedName name="Z_A1DB4167_5E0E_11D2_8EC3_0008C77C0743_.wvu.PrintTitles" localSheetId="11" hidden="1">#REF!,#REF!</definedName>
    <definedName name="Z_A1DB4167_5E0E_11D2_8EC3_0008C77C0743_.wvu.PrintTitles" localSheetId="12" hidden="1">#REF!,#REF!</definedName>
    <definedName name="Z_A1DB4167_5E0E_11D2_8EC3_0008C77C0743_.wvu.PrintTitles" hidden="1">#REF!,#REF!</definedName>
    <definedName name="Z_A1DB4176_5E0E_11D2_8EC3_0008C77C0743_.wvu.PrintArea" localSheetId="11" hidden="1">#REF!</definedName>
    <definedName name="Z_A1DB4176_5E0E_11D2_8EC3_0008C77C0743_.wvu.PrintArea" localSheetId="12" hidden="1">#REF!</definedName>
    <definedName name="Z_A1DB4176_5E0E_11D2_8EC3_0008C77C0743_.wvu.PrintArea" hidden="1">#REF!</definedName>
    <definedName name="Z_A1DB4176_5E0E_11D2_8EC3_0008C77C0743_.wvu.PrintTitles" localSheetId="11" hidden="1">#REF!</definedName>
    <definedName name="Z_A1DB4176_5E0E_11D2_8EC3_0008C77C0743_.wvu.PrintTitles" localSheetId="12" hidden="1">#REF!</definedName>
    <definedName name="Z_A1DB4176_5E0E_11D2_8EC3_0008C77C0743_.wvu.PrintTitles" hidden="1">#REF!</definedName>
    <definedName name="Z_A1DB4185_5E0E_11D2_8EC3_0008C77C0743_.wvu.PrintArea" localSheetId="11" hidden="1">#REF!</definedName>
    <definedName name="Z_A1DB4185_5E0E_11D2_8EC3_0008C77C0743_.wvu.PrintArea" localSheetId="12" hidden="1">#REF!</definedName>
    <definedName name="Z_A1DB4185_5E0E_11D2_8EC3_0008C77C0743_.wvu.PrintArea" hidden="1">#REF!</definedName>
    <definedName name="Z_A1DB4185_5E0E_11D2_8EC3_0008C77C0743_.wvu.PrintTitles" localSheetId="11" hidden="1">#REF!</definedName>
    <definedName name="Z_A1DB4185_5E0E_11D2_8EC3_0008C77C0743_.wvu.PrintTitles" localSheetId="12" hidden="1">#REF!</definedName>
    <definedName name="Z_A1DB4185_5E0E_11D2_8EC3_0008C77C0743_.wvu.PrintTitles" hidden="1">#REF!</definedName>
    <definedName name="Z_A1DB4192_5E0E_11D2_8EC3_0008C77C0743_.wvu.PrintArea" localSheetId="11" hidden="1">#REF!</definedName>
    <definedName name="Z_A1DB4192_5E0E_11D2_8EC3_0008C77C0743_.wvu.PrintArea" localSheetId="12" hidden="1">#REF!</definedName>
    <definedName name="Z_A1DB4192_5E0E_11D2_8EC3_0008C77C0743_.wvu.PrintArea" hidden="1">#REF!</definedName>
    <definedName name="Z_A1DB4192_5E0E_11D2_8EC3_0008C77C0743_.wvu.PrintTitles" localSheetId="11" hidden="1">#REF!,#REF!</definedName>
    <definedName name="Z_A1DB4192_5E0E_11D2_8EC3_0008C77C0743_.wvu.PrintTitles" localSheetId="12" hidden="1">#REF!,#REF!</definedName>
    <definedName name="Z_A1DB4192_5E0E_11D2_8EC3_0008C77C0743_.wvu.PrintTitles" hidden="1">#REF!,#REF!</definedName>
    <definedName name="Z_A1DB41A0_5E0E_11D2_8EC3_0008C77C0743_.wvu.PrintArea" localSheetId="11" hidden="1">#REF!</definedName>
    <definedName name="Z_A1DB41A0_5E0E_11D2_8EC3_0008C77C0743_.wvu.PrintArea" localSheetId="12" hidden="1">#REF!</definedName>
    <definedName name="Z_A1DB41A0_5E0E_11D2_8EC3_0008C77C0743_.wvu.PrintArea" hidden="1">#REF!</definedName>
    <definedName name="Z_A1DB41A0_5E0E_11D2_8EC3_0008C77C0743_.wvu.PrintTitles" localSheetId="11" hidden="1">#REF!</definedName>
    <definedName name="Z_A1DB41A0_5E0E_11D2_8EC3_0008C77C0743_.wvu.PrintTitles" localSheetId="12" hidden="1">#REF!</definedName>
    <definedName name="Z_A1DB41A0_5E0E_11D2_8EC3_0008C77C0743_.wvu.PrintTitles" hidden="1">#REF!</definedName>
    <definedName name="Z_A1DB41AF_5E0E_11D2_8EC3_0008C77C0743_.wvu.PrintArea" localSheetId="11" hidden="1">#REF!</definedName>
    <definedName name="Z_A1DB41AF_5E0E_11D2_8EC3_0008C77C0743_.wvu.PrintArea" localSheetId="12" hidden="1">#REF!</definedName>
    <definedName name="Z_A1DB41AF_5E0E_11D2_8EC3_0008C77C0743_.wvu.PrintArea" hidden="1">#REF!</definedName>
    <definedName name="Z_A1DB41AF_5E0E_11D2_8EC3_0008C77C0743_.wvu.PrintTitles" localSheetId="11" hidden="1">#REF!</definedName>
    <definedName name="Z_A1DB41AF_5E0E_11D2_8EC3_0008C77C0743_.wvu.PrintTitles" localSheetId="12" hidden="1">#REF!</definedName>
    <definedName name="Z_A1DB41AF_5E0E_11D2_8EC3_0008C77C0743_.wvu.PrintTitles" hidden="1">#REF!</definedName>
    <definedName name="Z_A1DB41BC_5E0E_11D2_8EC3_0008C77C0743_.wvu.PrintArea" localSheetId="11" hidden="1">#REF!</definedName>
    <definedName name="Z_A1DB41BC_5E0E_11D2_8EC3_0008C77C0743_.wvu.PrintArea" localSheetId="12" hidden="1">#REF!</definedName>
    <definedName name="Z_A1DB41BC_5E0E_11D2_8EC3_0008C77C0743_.wvu.PrintArea" hidden="1">#REF!</definedName>
    <definedName name="Z_A1DB41BC_5E0E_11D2_8EC3_0008C77C0743_.wvu.PrintTitles" localSheetId="11" hidden="1">#REF!,#REF!</definedName>
    <definedName name="Z_A1DB41BC_5E0E_11D2_8EC3_0008C77C0743_.wvu.PrintTitles" localSheetId="12" hidden="1">#REF!,#REF!</definedName>
    <definedName name="Z_A1DB41BC_5E0E_11D2_8EC3_0008C77C0743_.wvu.PrintTitles" hidden="1">#REF!,#REF!</definedName>
    <definedName name="Z_B6FCCF30_1696_11D2_8E91_0008C77C21AF_.wvu.PrintArea" localSheetId="11" hidden="1">#REF!</definedName>
    <definedName name="Z_B6FCCF30_1696_11D2_8E91_0008C77C21AF_.wvu.PrintArea" localSheetId="12" hidden="1">#REF!</definedName>
    <definedName name="Z_B6FCCF30_1696_11D2_8E91_0008C77C21AF_.wvu.PrintArea" hidden="1">#REF!</definedName>
    <definedName name="Z_B6FCCF30_1696_11D2_8E91_0008C77C21AF_.wvu.PrintTitles" localSheetId="11" hidden="1">#REF!,#REF!</definedName>
    <definedName name="Z_B6FCCF30_1696_11D2_8E91_0008C77C21AF_.wvu.PrintTitles" localSheetId="12" hidden="1">#REF!,#REF!</definedName>
    <definedName name="Z_B6FCCF30_1696_11D2_8E91_0008C77C21AF_.wvu.PrintTitles" hidden="1">#REF!,#REF!</definedName>
    <definedName name="Z_B6FCCF32_1696_11D2_8E91_0008C77C21AF_.wvu.PrintArea" localSheetId="11" hidden="1">#REF!</definedName>
    <definedName name="Z_B6FCCF32_1696_11D2_8E91_0008C77C21AF_.wvu.PrintArea" localSheetId="12" hidden="1">#REF!</definedName>
    <definedName name="Z_B6FCCF32_1696_11D2_8E91_0008C77C21AF_.wvu.PrintArea" hidden="1">#REF!</definedName>
    <definedName name="Z_B6FCCF32_1696_11D2_8E91_0008C77C21AF_.wvu.PrintTitles" localSheetId="11" hidden="1">#REF!</definedName>
    <definedName name="Z_B6FCCF32_1696_11D2_8E91_0008C77C21AF_.wvu.PrintTitles" localSheetId="12" hidden="1">#REF!</definedName>
    <definedName name="Z_B6FCCF32_1696_11D2_8E91_0008C77C21AF_.wvu.PrintTitles" hidden="1">#REF!</definedName>
    <definedName name="Z_B6FCCF35_1696_11D2_8E91_0008C77C21AF_.wvu.PrintArea" localSheetId="11" hidden="1">#REF!</definedName>
    <definedName name="Z_B6FCCF35_1696_11D2_8E91_0008C77C21AF_.wvu.PrintArea" localSheetId="12" hidden="1">#REF!</definedName>
    <definedName name="Z_B6FCCF35_1696_11D2_8E91_0008C77C21AF_.wvu.PrintArea" hidden="1">#REF!</definedName>
    <definedName name="Z_B6FCCF35_1696_11D2_8E91_0008C77C21AF_.wvu.PrintTitles" localSheetId="11" hidden="1">#REF!,#REF!</definedName>
    <definedName name="Z_B6FCCF35_1696_11D2_8E91_0008C77C21AF_.wvu.PrintTitles" localSheetId="12" hidden="1">#REF!,#REF!</definedName>
    <definedName name="Z_B6FCCF35_1696_11D2_8E91_0008C77C21AF_.wvu.PrintTitles" hidden="1">#REF!,#REF!</definedName>
    <definedName name="Z_B6FCCF37_1696_11D2_8E91_0008C77C21AF_.wvu.PrintArea" localSheetId="11" hidden="1">#REF!</definedName>
    <definedName name="Z_B6FCCF37_1696_11D2_8E91_0008C77C21AF_.wvu.PrintArea" localSheetId="12" hidden="1">#REF!</definedName>
    <definedName name="Z_B6FCCF37_1696_11D2_8E91_0008C77C21AF_.wvu.PrintArea" hidden="1">#REF!</definedName>
    <definedName name="Z_B6FCCF37_1696_11D2_8E91_0008C77C21AF_.wvu.PrintTitles" localSheetId="11" hidden="1">#REF!,#REF!</definedName>
    <definedName name="Z_B6FCCF37_1696_11D2_8E91_0008C77C21AF_.wvu.PrintTitles" localSheetId="12" hidden="1">#REF!,#REF!</definedName>
    <definedName name="Z_B6FCCF37_1696_11D2_8E91_0008C77C21AF_.wvu.PrintTitles" hidden="1">#REF!,#REF!</definedName>
    <definedName name="Z_B6FCCF39_1696_11D2_8E91_0008C77C21AF_.wvu.PrintArea" localSheetId="11" hidden="1">#REF!</definedName>
    <definedName name="Z_B6FCCF39_1696_11D2_8E91_0008C77C21AF_.wvu.PrintArea" localSheetId="12" hidden="1">#REF!</definedName>
    <definedName name="Z_B6FCCF39_1696_11D2_8E91_0008C77C21AF_.wvu.PrintArea" hidden="1">#REF!</definedName>
    <definedName name="Z_B6FCCF39_1696_11D2_8E91_0008C77C21AF_.wvu.PrintTitles" localSheetId="11" hidden="1">#REF!</definedName>
    <definedName name="Z_B6FCCF39_1696_11D2_8E91_0008C77C21AF_.wvu.PrintTitles" localSheetId="12" hidden="1">#REF!</definedName>
    <definedName name="Z_B6FCCF39_1696_11D2_8E91_0008C77C21AF_.wvu.PrintTitles" hidden="1">#REF!</definedName>
    <definedName name="Z_B6FCCF3C_1696_11D2_8E91_0008C77C21AF_.wvu.PrintArea" localSheetId="11" hidden="1">#REF!</definedName>
    <definedName name="Z_B6FCCF3C_1696_11D2_8E91_0008C77C21AF_.wvu.PrintArea" localSheetId="12" hidden="1">#REF!</definedName>
    <definedName name="Z_B6FCCF3C_1696_11D2_8E91_0008C77C21AF_.wvu.PrintArea" hidden="1">#REF!</definedName>
    <definedName name="Z_B6FCCF3C_1696_11D2_8E91_0008C77C21AF_.wvu.PrintTitles" localSheetId="11" hidden="1">#REF!,#REF!</definedName>
    <definedName name="Z_B6FCCF3C_1696_11D2_8E91_0008C77C21AF_.wvu.PrintTitles" localSheetId="12" hidden="1">#REF!,#REF!</definedName>
    <definedName name="Z_B6FCCF3C_1696_11D2_8E91_0008C77C21AF_.wvu.PrintTitles" hidden="1">#REF!,#REF!</definedName>
    <definedName name="Z_B6FCCF3E_1696_11D2_8E91_0008C77C21AF_.wvu.PrintArea" localSheetId="11" hidden="1">#REF!</definedName>
    <definedName name="Z_B6FCCF3E_1696_11D2_8E91_0008C77C21AF_.wvu.PrintArea" localSheetId="12" hidden="1">#REF!</definedName>
    <definedName name="Z_B6FCCF3E_1696_11D2_8E91_0008C77C21AF_.wvu.PrintArea" hidden="1">#REF!</definedName>
    <definedName name="Z_B6FCCF3E_1696_11D2_8E91_0008C77C21AF_.wvu.PrintTitles" localSheetId="11" hidden="1">#REF!,#REF!</definedName>
    <definedName name="Z_B6FCCF3E_1696_11D2_8E91_0008C77C21AF_.wvu.PrintTitles" localSheetId="12" hidden="1">#REF!,#REF!</definedName>
    <definedName name="Z_B6FCCF3E_1696_11D2_8E91_0008C77C21AF_.wvu.PrintTitles" hidden="1">#REF!,#REF!</definedName>
    <definedName name="Z_BDFEE6B6_734C_11D2_8E68_0008C77C0743_.wvu.PrintArea" localSheetId="11" hidden="1">#REF!</definedName>
    <definedName name="Z_BDFEE6B6_734C_11D2_8E68_0008C77C0743_.wvu.PrintArea" localSheetId="12" hidden="1">#REF!</definedName>
    <definedName name="Z_BDFEE6B6_734C_11D2_8E68_0008C77C0743_.wvu.PrintArea" hidden="1">#REF!</definedName>
    <definedName name="Z_BDFEE6B6_734C_11D2_8E68_0008C77C0743_.wvu.PrintTitles" localSheetId="11" hidden="1">#REF!,#REF!</definedName>
    <definedName name="Z_BDFEE6B6_734C_11D2_8E68_0008C77C0743_.wvu.PrintTitles" localSheetId="12" hidden="1">#REF!,#REF!</definedName>
    <definedName name="Z_BDFEE6B6_734C_11D2_8E68_0008C77C0743_.wvu.PrintTitles" hidden="1">#REF!,#REF!</definedName>
    <definedName name="Z_BDFEE6B9_734C_11D2_8E68_0008C77C0743_.wvu.PrintArea" localSheetId="11" hidden="1">#REF!</definedName>
    <definedName name="Z_BDFEE6B9_734C_11D2_8E68_0008C77C0743_.wvu.PrintArea" localSheetId="12" hidden="1">#REF!</definedName>
    <definedName name="Z_BDFEE6B9_734C_11D2_8E68_0008C77C0743_.wvu.PrintArea" hidden="1">#REF!</definedName>
    <definedName name="Z_BDFEE6B9_734C_11D2_8E68_0008C77C0743_.wvu.PrintTitles" localSheetId="11" hidden="1">#REF!,#REF!</definedName>
    <definedName name="Z_BDFEE6B9_734C_11D2_8E68_0008C77C0743_.wvu.PrintTitles" localSheetId="12" hidden="1">#REF!,#REF!</definedName>
    <definedName name="Z_BDFEE6B9_734C_11D2_8E68_0008C77C0743_.wvu.PrintTitles" hidden="1">#REF!,#REF!</definedName>
    <definedName name="Z_BDFEE6BB_734C_11D2_8E68_0008C77C0743_.wvu.PrintArea" localSheetId="11" hidden="1">#REF!</definedName>
    <definedName name="Z_BDFEE6BB_734C_11D2_8E68_0008C77C0743_.wvu.PrintArea" localSheetId="12" hidden="1">#REF!</definedName>
    <definedName name="Z_BDFEE6BB_734C_11D2_8E68_0008C77C0743_.wvu.PrintArea" hidden="1">#REF!</definedName>
    <definedName name="Z_BDFEE6BB_734C_11D2_8E68_0008C77C0743_.wvu.PrintTitles" localSheetId="11" hidden="1">#REF!,#REF!</definedName>
    <definedName name="Z_BDFEE6BB_734C_11D2_8E68_0008C77C0743_.wvu.PrintTitles" localSheetId="12" hidden="1">#REF!,#REF!</definedName>
    <definedName name="Z_BDFEE6BB_734C_11D2_8E68_0008C77C0743_.wvu.PrintTitles" hidden="1">#REF!,#REF!</definedName>
    <definedName name="Z_BDFEE6C1_734C_11D2_8E68_0008C77C0743_.wvu.PrintArea" localSheetId="11" hidden="1">#REF!</definedName>
    <definedName name="Z_BDFEE6C1_734C_11D2_8E68_0008C77C0743_.wvu.PrintArea" localSheetId="12" hidden="1">#REF!</definedName>
    <definedName name="Z_BDFEE6C1_734C_11D2_8E68_0008C77C0743_.wvu.PrintArea" hidden="1">#REF!</definedName>
    <definedName name="Z_BDFEE6C1_734C_11D2_8E68_0008C77C0743_.wvu.PrintTitles" localSheetId="11" hidden="1">#REF!</definedName>
    <definedName name="Z_BDFEE6C1_734C_11D2_8E68_0008C77C0743_.wvu.PrintTitles" localSheetId="12" hidden="1">#REF!</definedName>
    <definedName name="Z_BDFEE6C1_734C_11D2_8E68_0008C77C0743_.wvu.PrintTitles" hidden="1">#REF!</definedName>
    <definedName name="Z_BDFEE6C3_734C_11D2_8E68_0008C77C0743_.wvu.PrintArea" localSheetId="11" hidden="1">#REF!</definedName>
    <definedName name="Z_BDFEE6C3_734C_11D2_8E68_0008C77C0743_.wvu.PrintArea" localSheetId="12" hidden="1">#REF!</definedName>
    <definedName name="Z_BDFEE6C3_734C_11D2_8E68_0008C77C0743_.wvu.PrintArea" hidden="1">#REF!</definedName>
    <definedName name="Z_BDFEE6C3_734C_11D2_8E68_0008C77C0743_.wvu.PrintTitles" localSheetId="11" hidden="1">#REF!</definedName>
    <definedName name="Z_BDFEE6C3_734C_11D2_8E68_0008C77C0743_.wvu.PrintTitles" localSheetId="12" hidden="1">#REF!</definedName>
    <definedName name="Z_BDFEE6C3_734C_11D2_8E68_0008C77C0743_.wvu.PrintTitles" hidden="1">#REF!</definedName>
    <definedName name="Z_BDFEE6C5_734C_11D2_8E68_0008C77C0743_.wvu.PrintArea" localSheetId="11" hidden="1">#REF!</definedName>
    <definedName name="Z_BDFEE6C5_734C_11D2_8E68_0008C77C0743_.wvu.PrintArea" localSheetId="12" hidden="1">#REF!</definedName>
    <definedName name="Z_BDFEE6C5_734C_11D2_8E68_0008C77C0743_.wvu.PrintArea" hidden="1">#REF!</definedName>
    <definedName name="Z_BDFEE6C5_734C_11D2_8E68_0008C77C0743_.wvu.PrintTitles" localSheetId="11" hidden="1">#REF!</definedName>
    <definedName name="Z_BDFEE6C5_734C_11D2_8E68_0008C77C0743_.wvu.PrintTitles" localSheetId="12" hidden="1">#REF!</definedName>
    <definedName name="Z_BDFEE6C5_734C_11D2_8E68_0008C77C0743_.wvu.PrintTitles" hidden="1">#REF!</definedName>
    <definedName name="Z_BDFEE6CE_734C_11D2_8E68_0008C77C0743_.wvu.PrintArea" localSheetId="11" hidden="1">#REF!</definedName>
    <definedName name="Z_BDFEE6CE_734C_11D2_8E68_0008C77C0743_.wvu.PrintArea" localSheetId="12" hidden="1">#REF!</definedName>
    <definedName name="Z_BDFEE6CE_734C_11D2_8E68_0008C77C0743_.wvu.PrintArea" hidden="1">#REF!</definedName>
    <definedName name="Z_BDFEE6CE_734C_11D2_8E68_0008C77C0743_.wvu.PrintTitles" localSheetId="11" hidden="1">#REF!,#REF!</definedName>
    <definedName name="Z_BDFEE6CE_734C_11D2_8E68_0008C77C0743_.wvu.PrintTitles" localSheetId="12" hidden="1">#REF!,#REF!</definedName>
    <definedName name="Z_BDFEE6CE_734C_11D2_8E68_0008C77C0743_.wvu.PrintTitles" hidden="1">#REF!,#REF!</definedName>
    <definedName name="Z_BDFEE6D1_734C_11D2_8E68_0008C77C0743_.wvu.PrintArea" localSheetId="11" hidden="1">#REF!</definedName>
    <definedName name="Z_BDFEE6D1_734C_11D2_8E68_0008C77C0743_.wvu.PrintArea" localSheetId="12" hidden="1">#REF!</definedName>
    <definedName name="Z_BDFEE6D1_734C_11D2_8E68_0008C77C0743_.wvu.PrintArea" hidden="1">#REF!</definedName>
    <definedName name="Z_BDFEE6D1_734C_11D2_8E68_0008C77C0743_.wvu.PrintTitles" localSheetId="11" hidden="1">#REF!,#REF!</definedName>
    <definedName name="Z_BDFEE6D1_734C_11D2_8E68_0008C77C0743_.wvu.PrintTitles" localSheetId="12" hidden="1">#REF!,#REF!</definedName>
    <definedName name="Z_BDFEE6D1_734C_11D2_8E68_0008C77C0743_.wvu.PrintTitles" hidden="1">#REF!,#REF!</definedName>
    <definedName name="Z_BDFEE6D3_734C_11D2_8E68_0008C77C0743_.wvu.PrintArea" localSheetId="11" hidden="1">#REF!</definedName>
    <definedName name="Z_BDFEE6D3_734C_11D2_8E68_0008C77C0743_.wvu.PrintArea" localSheetId="12" hidden="1">#REF!</definedName>
    <definedName name="Z_BDFEE6D3_734C_11D2_8E68_0008C77C0743_.wvu.PrintArea" hidden="1">#REF!</definedName>
    <definedName name="Z_BDFEE6D3_734C_11D2_8E68_0008C77C0743_.wvu.PrintTitles" localSheetId="11" hidden="1">#REF!,#REF!</definedName>
    <definedName name="Z_BDFEE6D3_734C_11D2_8E68_0008C77C0743_.wvu.PrintTitles" localSheetId="12" hidden="1">#REF!,#REF!</definedName>
    <definedName name="Z_BDFEE6D3_734C_11D2_8E68_0008C77C0743_.wvu.PrintTitles" hidden="1">#REF!,#REF!</definedName>
    <definedName name="Z_BDFEE6D7_734C_11D2_8E68_0008C77C0743_.wvu.PrintArea" localSheetId="11" hidden="1">#REF!</definedName>
    <definedName name="Z_BDFEE6D7_734C_11D2_8E68_0008C77C0743_.wvu.PrintArea" localSheetId="12" hidden="1">#REF!</definedName>
    <definedName name="Z_BDFEE6D7_734C_11D2_8E68_0008C77C0743_.wvu.PrintArea" hidden="1">#REF!</definedName>
    <definedName name="Z_BDFEE6D7_734C_11D2_8E68_0008C77C0743_.wvu.PrintTitles" localSheetId="11" hidden="1">#REF!,#REF!</definedName>
    <definedName name="Z_BDFEE6D7_734C_11D2_8E68_0008C77C0743_.wvu.PrintTitles" localSheetId="12" hidden="1">#REF!,#REF!</definedName>
    <definedName name="Z_BDFEE6D7_734C_11D2_8E68_0008C77C0743_.wvu.PrintTitles" hidden="1">#REF!,#REF!</definedName>
    <definedName name="Z_BDFEE6DA_734C_11D2_8E68_0008C77C0743_.wvu.PrintArea" localSheetId="11" hidden="1">#REF!</definedName>
    <definedName name="Z_BDFEE6DA_734C_11D2_8E68_0008C77C0743_.wvu.PrintArea" localSheetId="12" hidden="1">#REF!</definedName>
    <definedName name="Z_BDFEE6DA_734C_11D2_8E68_0008C77C0743_.wvu.PrintArea" hidden="1">#REF!</definedName>
    <definedName name="Z_BDFEE6DA_734C_11D2_8E68_0008C77C0743_.wvu.PrintTitles" localSheetId="11" hidden="1">#REF!,#REF!</definedName>
    <definedName name="Z_BDFEE6DA_734C_11D2_8E68_0008C77C0743_.wvu.PrintTitles" localSheetId="12" hidden="1">#REF!,#REF!</definedName>
    <definedName name="Z_BDFEE6DA_734C_11D2_8E68_0008C77C0743_.wvu.PrintTitles" hidden="1">#REF!,#REF!</definedName>
    <definedName name="Z_BDFEE6DC_734C_11D2_8E68_0008C77C0743_.wvu.PrintArea" localSheetId="11" hidden="1">#REF!</definedName>
    <definedName name="Z_BDFEE6DC_734C_11D2_8E68_0008C77C0743_.wvu.PrintArea" localSheetId="12" hidden="1">#REF!</definedName>
    <definedName name="Z_BDFEE6DC_734C_11D2_8E68_0008C77C0743_.wvu.PrintArea" hidden="1">#REF!</definedName>
    <definedName name="Z_BDFEE6DC_734C_11D2_8E68_0008C77C0743_.wvu.PrintTitles" localSheetId="11" hidden="1">#REF!,#REF!</definedName>
    <definedName name="Z_BDFEE6DC_734C_11D2_8E68_0008C77C0743_.wvu.PrintTitles" localSheetId="12" hidden="1">#REF!,#REF!</definedName>
    <definedName name="Z_BDFEE6DC_734C_11D2_8E68_0008C77C0743_.wvu.PrintTitles" hidden="1">#REF!,#REF!</definedName>
    <definedName name="Z_BDFEE6E2_734C_11D2_8E68_0008C77C0743_.wvu.PrintArea" localSheetId="11" hidden="1">#REF!</definedName>
    <definedName name="Z_BDFEE6E2_734C_11D2_8E68_0008C77C0743_.wvu.PrintArea" localSheetId="12" hidden="1">#REF!</definedName>
    <definedName name="Z_BDFEE6E2_734C_11D2_8E68_0008C77C0743_.wvu.PrintArea" hidden="1">#REF!</definedName>
    <definedName name="Z_BDFEE6E2_734C_11D2_8E68_0008C77C0743_.wvu.PrintTitles" localSheetId="11" hidden="1">#REF!</definedName>
    <definedName name="Z_BDFEE6E2_734C_11D2_8E68_0008C77C0743_.wvu.PrintTitles" localSheetId="12" hidden="1">#REF!</definedName>
    <definedName name="Z_BDFEE6E2_734C_11D2_8E68_0008C77C0743_.wvu.PrintTitles" hidden="1">#REF!</definedName>
    <definedName name="Z_BDFEE6E4_734C_11D2_8E68_0008C77C0743_.wvu.PrintArea" localSheetId="11" hidden="1">#REF!</definedName>
    <definedName name="Z_BDFEE6E4_734C_11D2_8E68_0008C77C0743_.wvu.PrintArea" localSheetId="12" hidden="1">#REF!</definedName>
    <definedName name="Z_BDFEE6E4_734C_11D2_8E68_0008C77C0743_.wvu.PrintArea" hidden="1">#REF!</definedName>
    <definedName name="Z_BDFEE6E4_734C_11D2_8E68_0008C77C0743_.wvu.PrintTitles" localSheetId="11" hidden="1">#REF!</definedName>
    <definedName name="Z_BDFEE6E4_734C_11D2_8E68_0008C77C0743_.wvu.PrintTitles" localSheetId="12" hidden="1">#REF!</definedName>
    <definedName name="Z_BDFEE6E4_734C_11D2_8E68_0008C77C0743_.wvu.PrintTitles" hidden="1">#REF!</definedName>
    <definedName name="Z_BDFEE6E6_734C_11D2_8E68_0008C77C0743_.wvu.PrintArea" localSheetId="11" hidden="1">#REF!</definedName>
    <definedName name="Z_BDFEE6E6_734C_11D2_8E68_0008C77C0743_.wvu.PrintArea" localSheetId="12" hidden="1">#REF!</definedName>
    <definedName name="Z_BDFEE6E6_734C_11D2_8E68_0008C77C0743_.wvu.PrintArea" hidden="1">#REF!</definedName>
    <definedName name="Z_BDFEE6E6_734C_11D2_8E68_0008C77C0743_.wvu.PrintTitles" localSheetId="11" hidden="1">#REF!</definedName>
    <definedName name="Z_BDFEE6E6_734C_11D2_8E68_0008C77C0743_.wvu.PrintTitles" localSheetId="12" hidden="1">#REF!</definedName>
    <definedName name="Z_BDFEE6E6_734C_11D2_8E68_0008C77C0743_.wvu.PrintTitles" hidden="1">#REF!</definedName>
    <definedName name="Z_BDFEE6EF_734C_11D2_8E68_0008C77C0743_.wvu.PrintArea" localSheetId="11" hidden="1">#REF!</definedName>
    <definedName name="Z_BDFEE6EF_734C_11D2_8E68_0008C77C0743_.wvu.PrintArea" localSheetId="12" hidden="1">#REF!</definedName>
    <definedName name="Z_BDFEE6EF_734C_11D2_8E68_0008C77C0743_.wvu.PrintArea" hidden="1">#REF!</definedName>
    <definedName name="Z_BDFEE6EF_734C_11D2_8E68_0008C77C0743_.wvu.PrintTitles" localSheetId="11" hidden="1">#REF!,#REF!</definedName>
    <definedName name="Z_BDFEE6EF_734C_11D2_8E68_0008C77C0743_.wvu.PrintTitles" localSheetId="12" hidden="1">#REF!,#REF!</definedName>
    <definedName name="Z_BDFEE6EF_734C_11D2_8E68_0008C77C0743_.wvu.PrintTitles" hidden="1">#REF!,#REF!</definedName>
    <definedName name="Z_BDFEE6F2_734C_11D2_8E68_0008C77C0743_.wvu.PrintArea" localSheetId="11" hidden="1">#REF!</definedName>
    <definedName name="Z_BDFEE6F2_734C_11D2_8E68_0008C77C0743_.wvu.PrintArea" localSheetId="12" hidden="1">#REF!</definedName>
    <definedName name="Z_BDFEE6F2_734C_11D2_8E68_0008C77C0743_.wvu.PrintArea" hidden="1">#REF!</definedName>
    <definedName name="Z_BDFEE6F2_734C_11D2_8E68_0008C77C0743_.wvu.PrintTitles" localSheetId="11" hidden="1">#REF!,#REF!</definedName>
    <definedName name="Z_BDFEE6F2_734C_11D2_8E68_0008C77C0743_.wvu.PrintTitles" localSheetId="12" hidden="1">#REF!,#REF!</definedName>
    <definedName name="Z_BDFEE6F2_734C_11D2_8E68_0008C77C0743_.wvu.PrintTitles" hidden="1">#REF!,#REF!</definedName>
    <definedName name="Z_BDFEE6F4_734C_11D2_8E68_0008C77C0743_.wvu.PrintArea" localSheetId="11" hidden="1">#REF!</definedName>
    <definedName name="Z_BDFEE6F4_734C_11D2_8E68_0008C77C0743_.wvu.PrintArea" localSheetId="12" hidden="1">#REF!</definedName>
    <definedName name="Z_BDFEE6F4_734C_11D2_8E68_0008C77C0743_.wvu.PrintArea" hidden="1">#REF!</definedName>
    <definedName name="Z_BDFEE6F4_734C_11D2_8E68_0008C77C0743_.wvu.PrintTitles" localSheetId="11" hidden="1">#REF!,#REF!</definedName>
    <definedName name="Z_BDFEE6F4_734C_11D2_8E68_0008C77C0743_.wvu.PrintTitles" localSheetId="12" hidden="1">#REF!,#REF!</definedName>
    <definedName name="Z_BDFEE6F4_734C_11D2_8E68_0008C77C0743_.wvu.PrintTitles" hidden="1">#REF!,#REF!</definedName>
    <definedName name="Z_BDFEE6FA_734C_11D2_8E68_0008C77C0743_.wvu.PrintArea" localSheetId="11" hidden="1">#REF!</definedName>
    <definedName name="Z_BDFEE6FA_734C_11D2_8E68_0008C77C0743_.wvu.PrintArea" localSheetId="12" hidden="1">#REF!</definedName>
    <definedName name="Z_BDFEE6FA_734C_11D2_8E68_0008C77C0743_.wvu.PrintArea" hidden="1">#REF!</definedName>
    <definedName name="Z_BDFEE6FA_734C_11D2_8E68_0008C77C0743_.wvu.PrintTitles" localSheetId="11" hidden="1">#REF!,#REF!</definedName>
    <definedName name="Z_BDFEE6FA_734C_11D2_8E68_0008C77C0743_.wvu.PrintTitles" localSheetId="12" hidden="1">#REF!,#REF!</definedName>
    <definedName name="Z_BDFEE6FA_734C_11D2_8E68_0008C77C0743_.wvu.PrintTitles" hidden="1">#REF!,#REF!</definedName>
    <definedName name="Z_BDFEE6FC_734C_11D2_8E68_0008C77C0743_.wvu.PrintArea" localSheetId="11" hidden="1">#REF!</definedName>
    <definedName name="Z_BDFEE6FC_734C_11D2_8E68_0008C77C0743_.wvu.PrintArea" localSheetId="12" hidden="1">#REF!</definedName>
    <definedName name="Z_BDFEE6FC_734C_11D2_8E68_0008C77C0743_.wvu.PrintArea" hidden="1">#REF!</definedName>
    <definedName name="Z_BDFEE6FC_734C_11D2_8E68_0008C77C0743_.wvu.PrintTitles" localSheetId="11" hidden="1">#REF!,#REF!</definedName>
    <definedName name="Z_BDFEE6FC_734C_11D2_8E68_0008C77C0743_.wvu.PrintTitles" localSheetId="12" hidden="1">#REF!,#REF!</definedName>
    <definedName name="Z_BDFEE6FC_734C_11D2_8E68_0008C77C0743_.wvu.PrintTitles" hidden="1">#REF!,#REF!</definedName>
    <definedName name="Z_BDFEE6FE_734C_11D2_8E68_0008C77C0743_.wvu.PrintArea" localSheetId="11" hidden="1">#REF!</definedName>
    <definedName name="Z_BDFEE6FE_734C_11D2_8E68_0008C77C0743_.wvu.PrintArea" localSheetId="12" hidden="1">#REF!</definedName>
    <definedName name="Z_BDFEE6FE_734C_11D2_8E68_0008C77C0743_.wvu.PrintArea" hidden="1">#REF!</definedName>
    <definedName name="Z_BDFEE6FE_734C_11D2_8E68_0008C77C0743_.wvu.PrintTitles" localSheetId="11" hidden="1">#REF!,#REF!</definedName>
    <definedName name="Z_BDFEE6FE_734C_11D2_8E68_0008C77C0743_.wvu.PrintTitles" localSheetId="12" hidden="1">#REF!,#REF!</definedName>
    <definedName name="Z_BDFEE6FE_734C_11D2_8E68_0008C77C0743_.wvu.PrintTitles" hidden="1">#REF!,#REF!</definedName>
    <definedName name="Z_BE4AA1C5_ECFE_11D2_8EB8_0008C77C0743_.wvu.PrintArea" localSheetId="11" hidden="1">#REF!</definedName>
    <definedName name="Z_BE4AA1C5_ECFE_11D2_8EB8_0008C77C0743_.wvu.PrintArea" localSheetId="12" hidden="1">#REF!</definedName>
    <definedName name="Z_BE4AA1C5_ECFE_11D2_8EB8_0008C77C0743_.wvu.PrintArea" hidden="1">#REF!</definedName>
    <definedName name="Z_BE4AA1C5_ECFE_11D2_8EB8_0008C77C0743_.wvu.PrintTitles" localSheetId="11" hidden="1">#REF!</definedName>
    <definedName name="Z_BE4AA1C5_ECFE_11D2_8EB8_0008C77C0743_.wvu.PrintTitles" localSheetId="12" hidden="1">#REF!</definedName>
    <definedName name="Z_BE4AA1C5_ECFE_11D2_8EB8_0008C77C0743_.wvu.PrintTitles" hidden="1">#REF!</definedName>
    <definedName name="Z_BE4AA1D8_ECFE_11D2_8EB8_0008C77C0743_.wvu.PrintArea" localSheetId="11" hidden="1">#REF!</definedName>
    <definedName name="Z_BE4AA1D8_ECFE_11D2_8EB8_0008C77C0743_.wvu.PrintArea" localSheetId="12" hidden="1">#REF!</definedName>
    <definedName name="Z_BE4AA1D8_ECFE_11D2_8EB8_0008C77C0743_.wvu.PrintArea" hidden="1">#REF!</definedName>
    <definedName name="Z_BE4AA1D8_ECFE_11D2_8EB8_0008C77C0743_.wvu.PrintTitles" localSheetId="11" hidden="1">#REF!</definedName>
    <definedName name="Z_BE4AA1D8_ECFE_11D2_8EB8_0008C77C0743_.wvu.PrintTitles" localSheetId="12" hidden="1">#REF!</definedName>
    <definedName name="Z_BE4AA1D8_ECFE_11D2_8EB8_0008C77C0743_.wvu.PrintTitles" hidden="1">#REF!</definedName>
    <definedName name="Z_BE4AA1E8_ECFE_11D2_8EB8_0008C77C0743_.wvu.PrintArea" localSheetId="11" hidden="1">#REF!</definedName>
    <definedName name="Z_BE4AA1E8_ECFE_11D2_8EB8_0008C77C0743_.wvu.PrintArea" localSheetId="12" hidden="1">#REF!</definedName>
    <definedName name="Z_BE4AA1E8_ECFE_11D2_8EB8_0008C77C0743_.wvu.PrintArea" hidden="1">#REF!</definedName>
    <definedName name="Z_BE4AA1E8_ECFE_11D2_8EB8_0008C77C0743_.wvu.PrintTitles" localSheetId="11" hidden="1">#REF!,#REF!</definedName>
    <definedName name="Z_BE4AA1E8_ECFE_11D2_8EB8_0008C77C0743_.wvu.PrintTitles" localSheetId="12" hidden="1">#REF!,#REF!</definedName>
    <definedName name="Z_BE4AA1E8_ECFE_11D2_8EB8_0008C77C0743_.wvu.PrintTitles" hidden="1">#REF!,#REF!</definedName>
    <definedName name="Z_BFEBD6B7_EDBB_11D2_8EB9_0008C77C0743_.wvu.PrintArea" localSheetId="11" hidden="1">#REF!</definedName>
    <definedName name="Z_BFEBD6B7_EDBB_11D2_8EB9_0008C77C0743_.wvu.PrintArea" localSheetId="12" hidden="1">#REF!</definedName>
    <definedName name="Z_BFEBD6B7_EDBB_11D2_8EB9_0008C77C0743_.wvu.PrintArea" hidden="1">#REF!</definedName>
    <definedName name="Z_BFEBD6B7_EDBB_11D2_8EB9_0008C77C0743_.wvu.PrintTitles" localSheetId="11" hidden="1">#REF!</definedName>
    <definedName name="Z_BFEBD6B7_EDBB_11D2_8EB9_0008C77C0743_.wvu.PrintTitles" localSheetId="12" hidden="1">#REF!</definedName>
    <definedName name="Z_BFEBD6B7_EDBB_11D2_8EB9_0008C77C0743_.wvu.PrintTitles" hidden="1">#REF!</definedName>
    <definedName name="Z_BFEBD6CA_EDBB_11D2_8EB9_0008C77C0743_.wvu.PrintArea" localSheetId="11" hidden="1">#REF!</definedName>
    <definedName name="Z_BFEBD6CA_EDBB_11D2_8EB9_0008C77C0743_.wvu.PrintArea" localSheetId="12" hidden="1">#REF!</definedName>
    <definedName name="Z_BFEBD6CA_EDBB_11D2_8EB9_0008C77C0743_.wvu.PrintArea" hidden="1">#REF!</definedName>
    <definedName name="Z_BFEBD6CA_EDBB_11D2_8EB9_0008C77C0743_.wvu.PrintTitles" localSheetId="11" hidden="1">#REF!</definedName>
    <definedName name="Z_BFEBD6CA_EDBB_11D2_8EB9_0008C77C0743_.wvu.PrintTitles" localSheetId="12" hidden="1">#REF!</definedName>
    <definedName name="Z_BFEBD6CA_EDBB_11D2_8EB9_0008C77C0743_.wvu.PrintTitles" hidden="1">#REF!</definedName>
    <definedName name="Z_BFEBD6DA_EDBB_11D2_8EB9_0008C77C0743_.wvu.PrintArea" localSheetId="11" hidden="1">#REF!</definedName>
    <definedName name="Z_BFEBD6DA_EDBB_11D2_8EB9_0008C77C0743_.wvu.PrintArea" localSheetId="12" hidden="1">#REF!</definedName>
    <definedName name="Z_BFEBD6DA_EDBB_11D2_8EB9_0008C77C0743_.wvu.PrintArea" hidden="1">#REF!</definedName>
    <definedName name="Z_BFEBD6DA_EDBB_11D2_8EB9_0008C77C0743_.wvu.PrintTitles" localSheetId="11" hidden="1">#REF!,#REF!</definedName>
    <definedName name="Z_BFEBD6DA_EDBB_11D2_8EB9_0008C77C0743_.wvu.PrintTitles" localSheetId="12" hidden="1">#REF!,#REF!</definedName>
    <definedName name="Z_BFEBD6DA_EDBB_11D2_8EB9_0008C77C0743_.wvu.PrintTitles" hidden="1">#REF!,#REF!</definedName>
    <definedName name="Z_CD050555_ECE8_11D2_8EB7_0008C77C0743_.wvu.PrintArea" localSheetId="11" hidden="1">#REF!</definedName>
    <definedName name="Z_CD050555_ECE8_11D2_8EB7_0008C77C0743_.wvu.PrintArea" localSheetId="12" hidden="1">#REF!</definedName>
    <definedName name="Z_CD050555_ECE8_11D2_8EB7_0008C77C0743_.wvu.PrintArea" hidden="1">#REF!</definedName>
    <definedName name="Z_CD050555_ECE8_11D2_8EB7_0008C77C0743_.wvu.PrintTitles" localSheetId="11" hidden="1">#REF!</definedName>
    <definedName name="Z_CD050555_ECE8_11D2_8EB7_0008C77C0743_.wvu.PrintTitles" localSheetId="12" hidden="1">#REF!</definedName>
    <definedName name="Z_CD050555_ECE8_11D2_8EB7_0008C77C0743_.wvu.PrintTitles" hidden="1">#REF!</definedName>
    <definedName name="Z_CD050568_ECE8_11D2_8EB7_0008C77C0743_.wvu.PrintArea" localSheetId="11" hidden="1">#REF!</definedName>
    <definedName name="Z_CD050568_ECE8_11D2_8EB7_0008C77C0743_.wvu.PrintArea" localSheetId="12" hidden="1">#REF!</definedName>
    <definedName name="Z_CD050568_ECE8_11D2_8EB7_0008C77C0743_.wvu.PrintArea" hidden="1">#REF!</definedName>
    <definedName name="Z_CD050568_ECE8_11D2_8EB7_0008C77C0743_.wvu.PrintTitles" localSheetId="11" hidden="1">#REF!</definedName>
    <definedName name="Z_CD050568_ECE8_11D2_8EB7_0008C77C0743_.wvu.PrintTitles" localSheetId="12" hidden="1">#REF!</definedName>
    <definedName name="Z_CD050568_ECE8_11D2_8EB7_0008C77C0743_.wvu.PrintTitles" hidden="1">#REF!</definedName>
    <definedName name="Z_CD050578_ECE8_11D2_8EB7_0008C77C0743_.wvu.PrintArea" localSheetId="11" hidden="1">#REF!</definedName>
    <definedName name="Z_CD050578_ECE8_11D2_8EB7_0008C77C0743_.wvu.PrintArea" localSheetId="12" hidden="1">#REF!</definedName>
    <definedName name="Z_CD050578_ECE8_11D2_8EB7_0008C77C0743_.wvu.PrintArea" hidden="1">#REF!</definedName>
    <definedName name="Z_CD050578_ECE8_11D2_8EB7_0008C77C0743_.wvu.PrintTitles" localSheetId="11" hidden="1">#REF!,#REF!</definedName>
    <definedName name="Z_CD050578_ECE8_11D2_8EB7_0008C77C0743_.wvu.PrintTitles" localSheetId="12" hidden="1">#REF!,#REF!</definedName>
    <definedName name="Z_CD050578_ECE8_11D2_8EB7_0008C77C0743_.wvu.PrintTitles" hidden="1">#REF!,#REF!</definedName>
    <definedName name="Z_CF4A68D4_EB6D_11D2_8EB5_0008C77C0743_.wvu.PrintArea" localSheetId="11" hidden="1">#REF!</definedName>
    <definedName name="Z_CF4A68D4_EB6D_11D2_8EB5_0008C77C0743_.wvu.PrintArea" localSheetId="12" hidden="1">#REF!</definedName>
    <definedName name="Z_CF4A68D4_EB6D_11D2_8EB5_0008C77C0743_.wvu.PrintArea" hidden="1">#REF!</definedName>
    <definedName name="Z_CF4A68D4_EB6D_11D2_8EB5_0008C77C0743_.wvu.PrintTitles" localSheetId="11" hidden="1">#REF!</definedName>
    <definedName name="Z_CF4A68D4_EB6D_11D2_8EB5_0008C77C0743_.wvu.PrintTitles" localSheetId="12" hidden="1">#REF!</definedName>
    <definedName name="Z_CF4A68D4_EB6D_11D2_8EB5_0008C77C0743_.wvu.PrintTitles" hidden="1">#REF!</definedName>
    <definedName name="Z_CF4A68E7_EB6D_11D2_8EB5_0008C77C0743_.wvu.PrintArea" localSheetId="11" hidden="1">#REF!</definedName>
    <definedName name="Z_CF4A68E7_EB6D_11D2_8EB5_0008C77C0743_.wvu.PrintArea" localSheetId="12" hidden="1">#REF!</definedName>
    <definedName name="Z_CF4A68E7_EB6D_11D2_8EB5_0008C77C0743_.wvu.PrintArea" hidden="1">#REF!</definedName>
    <definedName name="Z_CF4A68E7_EB6D_11D2_8EB5_0008C77C0743_.wvu.PrintTitles" localSheetId="11" hidden="1">#REF!</definedName>
    <definedName name="Z_CF4A68E7_EB6D_11D2_8EB5_0008C77C0743_.wvu.PrintTitles" localSheetId="12" hidden="1">#REF!</definedName>
    <definedName name="Z_CF4A68E7_EB6D_11D2_8EB5_0008C77C0743_.wvu.PrintTitles" hidden="1">#REF!</definedName>
    <definedName name="Z_CF4A68F7_EB6D_11D2_8EB5_0008C77C0743_.wvu.PrintArea" localSheetId="11" hidden="1">#REF!</definedName>
    <definedName name="Z_CF4A68F7_EB6D_11D2_8EB5_0008C77C0743_.wvu.PrintArea" localSheetId="12" hidden="1">#REF!</definedName>
    <definedName name="Z_CF4A68F7_EB6D_11D2_8EB5_0008C77C0743_.wvu.PrintArea" hidden="1">#REF!</definedName>
    <definedName name="Z_CF4A68F7_EB6D_11D2_8EB5_0008C77C0743_.wvu.PrintTitles" localSheetId="11" hidden="1">#REF!,#REF!</definedName>
    <definedName name="Z_CF4A68F7_EB6D_11D2_8EB5_0008C77C0743_.wvu.PrintTitles" localSheetId="12" hidden="1">#REF!,#REF!</definedName>
    <definedName name="Z_CF4A68F7_EB6D_11D2_8EB5_0008C77C0743_.wvu.PrintTitles" hidden="1">#REF!,#REF!</definedName>
    <definedName name="Z_F3D6017D_338E_11D2_8E9B_0008C77C0743_.wvu.PrintArea" localSheetId="11" hidden="1">#REF!</definedName>
    <definedName name="Z_F3D6017D_338E_11D2_8E9B_0008C77C0743_.wvu.PrintArea" localSheetId="12" hidden="1">#REF!</definedName>
    <definedName name="Z_F3D6017D_338E_11D2_8E9B_0008C77C0743_.wvu.PrintArea" hidden="1">#REF!</definedName>
    <definedName name="Z_F3D6017D_338E_11D2_8E9B_0008C77C0743_.wvu.PrintTitles" localSheetId="11" hidden="1">#REF!</definedName>
    <definedName name="Z_F3D6017D_338E_11D2_8E9B_0008C77C0743_.wvu.PrintTitles" localSheetId="12" hidden="1">#REF!</definedName>
    <definedName name="Z_F3D6017D_338E_11D2_8E9B_0008C77C0743_.wvu.PrintTitles" hidden="1">#REF!</definedName>
    <definedName name="Z_F3D6018C_338E_11D2_8E9B_0008C77C0743_.wvu.PrintArea" localSheetId="11" hidden="1">#REF!</definedName>
    <definedName name="Z_F3D6018C_338E_11D2_8E9B_0008C77C0743_.wvu.PrintArea" localSheetId="12" hidden="1">#REF!</definedName>
    <definedName name="Z_F3D6018C_338E_11D2_8E9B_0008C77C0743_.wvu.PrintArea" hidden="1">#REF!</definedName>
    <definedName name="Z_F3D6018C_338E_11D2_8E9B_0008C77C0743_.wvu.PrintTitles" localSheetId="11" hidden="1">#REF!</definedName>
    <definedName name="Z_F3D6018C_338E_11D2_8E9B_0008C77C0743_.wvu.PrintTitles" localSheetId="12" hidden="1">#REF!</definedName>
    <definedName name="Z_F3D6018C_338E_11D2_8E9B_0008C77C0743_.wvu.PrintTitles" hidden="1">#REF!</definedName>
    <definedName name="Z_F3D60199_338E_11D2_8E9B_0008C77C0743_.wvu.PrintArea" localSheetId="11" hidden="1">#REF!</definedName>
    <definedName name="Z_F3D60199_338E_11D2_8E9B_0008C77C0743_.wvu.PrintArea" localSheetId="12" hidden="1">#REF!</definedName>
    <definedName name="Z_F3D60199_338E_11D2_8E9B_0008C77C0743_.wvu.PrintArea" hidden="1">#REF!</definedName>
    <definedName name="Z_F3D60199_338E_11D2_8E9B_0008C77C0743_.wvu.PrintTitles" localSheetId="11" hidden="1">#REF!,#REF!</definedName>
    <definedName name="Z_F3D60199_338E_11D2_8E9B_0008C77C0743_.wvu.PrintTitles" localSheetId="12" hidden="1">#REF!,#REF!</definedName>
    <definedName name="Z_F3D60199_338E_11D2_8E9B_0008C77C0743_.wvu.PrintTitle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6" l="1"/>
  <c r="J92" i="98"/>
  <c r="P27" i="108" l="1"/>
  <c r="E27" i="108"/>
  <c r="Q27" i="108" s="1"/>
  <c r="K25" i="108"/>
  <c r="K24" i="108"/>
  <c r="M23" i="108"/>
  <c r="M24" i="108" s="1"/>
  <c r="K23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M27" i="108" l="1"/>
  <c r="O27" i="108"/>
  <c r="U27" i="107" l="1"/>
  <c r="W27" i="107" s="1"/>
  <c r="S27" i="107"/>
  <c r="U26" i="107"/>
  <c r="W26" i="107" s="1"/>
  <c r="S26" i="107"/>
  <c r="U25" i="107"/>
  <c r="W25" i="107" s="1"/>
  <c r="S25" i="107"/>
  <c r="M25" i="107"/>
  <c r="M26" i="107" s="1"/>
  <c r="U22" i="107"/>
  <c r="W22" i="107" s="1"/>
  <c r="S22" i="107"/>
  <c r="U21" i="107"/>
  <c r="W21" i="107" s="1"/>
  <c r="S21" i="107"/>
  <c r="U20" i="107"/>
  <c r="W20" i="107" s="1"/>
  <c r="S20" i="107"/>
  <c r="U19" i="107"/>
  <c r="W19" i="107" s="1"/>
  <c r="S19" i="107"/>
  <c r="U18" i="107"/>
  <c r="W18" i="107" s="1"/>
  <c r="S18" i="107"/>
  <c r="U17" i="107"/>
  <c r="W17" i="107" s="1"/>
  <c r="S17" i="107"/>
  <c r="U16" i="107"/>
  <c r="W16" i="107" s="1"/>
  <c r="S16" i="107"/>
  <c r="U15" i="107"/>
  <c r="W15" i="107" s="1"/>
  <c r="S15" i="107"/>
  <c r="U14" i="107"/>
  <c r="W14" i="107" s="1"/>
  <c r="S14" i="107"/>
  <c r="U13" i="107"/>
  <c r="W13" i="107" s="1"/>
  <c r="S13" i="107"/>
  <c r="U12" i="107"/>
  <c r="W12" i="107" s="1"/>
  <c r="S12" i="107"/>
  <c r="U11" i="107"/>
  <c r="U34" i="107" s="1"/>
  <c r="S11" i="107"/>
  <c r="D15" i="106"/>
  <c r="E13" i="106" s="1"/>
  <c r="I13" i="106" s="1"/>
  <c r="D15" i="105"/>
  <c r="E13" i="105" s="1"/>
  <c r="I13" i="105" s="1"/>
  <c r="E11" i="106" l="1"/>
  <c r="E11" i="105"/>
  <c r="E15" i="105" s="1"/>
  <c r="I11" i="105"/>
  <c r="I15" i="105" s="1"/>
  <c r="E15" i="106"/>
  <c r="W11" i="107"/>
  <c r="W34" i="107" s="1"/>
  <c r="U36" i="107" l="1"/>
  <c r="G11" i="106"/>
  <c r="I11" i="106" s="1"/>
  <c r="I15" i="106" s="1"/>
  <c r="J94" i="98" l="1"/>
  <c r="J93" i="98"/>
  <c r="E90" i="98"/>
  <c r="F89" i="98"/>
  <c r="G89" i="98" s="1"/>
  <c r="H89" i="98" l="1"/>
  <c r="G90" i="98"/>
  <c r="F90" i="98"/>
  <c r="E105" i="101"/>
  <c r="W93" i="100"/>
  <c r="W92" i="100"/>
  <c r="W91" i="100"/>
  <c r="I89" i="98" l="1"/>
  <c r="I90" i="98" s="1"/>
  <c r="H90" i="98"/>
  <c r="D285" i="94" l="1"/>
  <c r="F20" i="4" l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19" i="4"/>
  <c r="J23" i="4" l="1"/>
  <c r="J37" i="4"/>
  <c r="J45" i="4"/>
  <c r="J61" i="4"/>
  <c r="J77" i="4"/>
  <c r="J79" i="4"/>
  <c r="H80" i="4"/>
  <c r="J111" i="4"/>
  <c r="H136" i="4"/>
  <c r="J147" i="4"/>
  <c r="H176" i="4"/>
  <c r="J193" i="4"/>
  <c r="H208" i="4"/>
  <c r="J217" i="4"/>
  <c r="J233" i="4"/>
  <c r="H272" i="4"/>
  <c r="J313" i="4"/>
  <c r="H328" i="4"/>
  <c r="H368" i="4"/>
  <c r="H424" i="4"/>
  <c r="J449" i="4"/>
  <c r="J457" i="4"/>
  <c r="H464" i="4"/>
  <c r="J465" i="4"/>
  <c r="J481" i="4"/>
  <c r="H496" i="4"/>
  <c r="J497" i="4"/>
  <c r="J505" i="4"/>
  <c r="J368" i="4" l="1"/>
  <c r="H457" i="4"/>
  <c r="H449" i="4"/>
  <c r="H233" i="4"/>
  <c r="H193" i="4"/>
  <c r="H23" i="4"/>
  <c r="J496" i="4"/>
  <c r="H481" i="4"/>
  <c r="J272" i="4"/>
  <c r="J459" i="4"/>
  <c r="H459" i="4"/>
  <c r="J435" i="4"/>
  <c r="H435" i="4"/>
  <c r="J365" i="4"/>
  <c r="H365" i="4"/>
  <c r="J437" i="4"/>
  <c r="H437" i="4"/>
  <c r="J315" i="4"/>
  <c r="H315" i="4"/>
  <c r="J261" i="4"/>
  <c r="H261" i="4"/>
  <c r="J255" i="4"/>
  <c r="H255" i="4"/>
  <c r="J517" i="4"/>
  <c r="H517" i="4"/>
  <c r="J421" i="4"/>
  <c r="H421" i="4"/>
  <c r="J375" i="4"/>
  <c r="H375" i="4"/>
  <c r="J303" i="4"/>
  <c r="H303" i="4"/>
  <c r="J443" i="4"/>
  <c r="H443" i="4"/>
  <c r="J523" i="4"/>
  <c r="H523" i="4"/>
  <c r="J479" i="4"/>
  <c r="H479" i="4"/>
  <c r="J301" i="4"/>
  <c r="H301" i="4"/>
  <c r="J199" i="4"/>
  <c r="H199" i="4"/>
  <c r="J475" i="4"/>
  <c r="H475" i="4"/>
  <c r="J405" i="4"/>
  <c r="H405" i="4"/>
  <c r="J477" i="4"/>
  <c r="H477" i="4"/>
  <c r="J371" i="4"/>
  <c r="H371" i="4"/>
  <c r="J331" i="4"/>
  <c r="H331" i="4"/>
  <c r="J163" i="4"/>
  <c r="H163" i="4"/>
  <c r="J502" i="4"/>
  <c r="H502" i="4"/>
  <c r="H494" i="4"/>
  <c r="J494" i="4"/>
  <c r="J438" i="4"/>
  <c r="H438" i="4"/>
  <c r="J326" i="4"/>
  <c r="H326" i="4"/>
  <c r="J109" i="4"/>
  <c r="H109" i="4"/>
  <c r="H96" i="4"/>
  <c r="J96" i="4"/>
  <c r="J136" i="4"/>
  <c r="J95" i="4"/>
  <c r="H95" i="4"/>
  <c r="J133" i="4"/>
  <c r="H133" i="4"/>
  <c r="J508" i="4"/>
  <c r="H508" i="4"/>
  <c r="J444" i="4"/>
  <c r="H444" i="4"/>
  <c r="J436" i="4"/>
  <c r="H436" i="4"/>
  <c r="J420" i="4"/>
  <c r="H420" i="4"/>
  <c r="J404" i="4"/>
  <c r="H404" i="4"/>
  <c r="J396" i="4"/>
  <c r="H396" i="4"/>
  <c r="J300" i="4"/>
  <c r="H300" i="4"/>
  <c r="J244" i="4"/>
  <c r="H244" i="4"/>
  <c r="J187" i="4"/>
  <c r="H187" i="4"/>
  <c r="J159" i="4"/>
  <c r="H159" i="4"/>
  <c r="J71" i="4"/>
  <c r="H71" i="4"/>
  <c r="H111" i="4"/>
  <c r="H22" i="4"/>
  <c r="J22" i="4"/>
  <c r="H505" i="4"/>
  <c r="H313" i="4"/>
  <c r="H217" i="4"/>
  <c r="J464" i="4"/>
  <c r="J208" i="4"/>
  <c r="J80" i="4"/>
  <c r="J185" i="4"/>
  <c r="H185" i="4"/>
  <c r="H70" i="4"/>
  <c r="J70" i="4"/>
  <c r="J474" i="4"/>
  <c r="H474" i="4"/>
  <c r="J466" i="4"/>
  <c r="H466" i="4"/>
  <c r="J450" i="4"/>
  <c r="H450" i="4"/>
  <c r="J250" i="4"/>
  <c r="H250" i="4"/>
  <c r="J202" i="4"/>
  <c r="H202" i="4"/>
  <c r="J175" i="4"/>
  <c r="H175" i="4"/>
  <c r="H79" i="4"/>
  <c r="J328" i="4"/>
  <c r="J227" i="4"/>
  <c r="H227" i="4"/>
  <c r="J103" i="4"/>
  <c r="H103" i="4"/>
  <c r="H32" i="4"/>
  <c r="J32" i="4"/>
  <c r="H497" i="4"/>
  <c r="H465" i="4"/>
  <c r="J176" i="4"/>
  <c r="J504" i="4"/>
  <c r="H504" i="4"/>
  <c r="J440" i="4"/>
  <c r="H440" i="4"/>
  <c r="J408" i="4"/>
  <c r="H408" i="4"/>
  <c r="J320" i="4"/>
  <c r="H320" i="4"/>
  <c r="J288" i="4"/>
  <c r="H288" i="4"/>
  <c r="J248" i="4"/>
  <c r="H248" i="4"/>
  <c r="J424" i="4"/>
  <c r="H147" i="4"/>
  <c r="H77" i="4"/>
  <c r="H45" i="4"/>
  <c r="J83" i="4"/>
  <c r="H83" i="4"/>
  <c r="H37" i="4"/>
  <c r="J146" i="4"/>
  <c r="H146" i="4"/>
  <c r="J138" i="4"/>
  <c r="H138" i="4"/>
  <c r="J26" i="4"/>
  <c r="H26" i="4"/>
  <c r="J145" i="4"/>
  <c r="H145" i="4"/>
  <c r="J137" i="4"/>
  <c r="H137" i="4"/>
  <c r="J97" i="4"/>
  <c r="H97" i="4"/>
  <c r="J81" i="4"/>
  <c r="H81" i="4"/>
  <c r="J33" i="4"/>
  <c r="H33" i="4"/>
  <c r="H61" i="4"/>
  <c r="E20" i="4" l="1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19" i="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52" i="104"/>
  <c r="E53" i="104"/>
  <c r="E54" i="104"/>
  <c r="E55" i="104"/>
  <c r="E56" i="104"/>
  <c r="E57" i="104"/>
  <c r="E58" i="104"/>
  <c r="E59" i="104"/>
  <c r="E60" i="104"/>
  <c r="E61" i="104"/>
  <c r="E62" i="104"/>
  <c r="E63" i="104"/>
  <c r="E64" i="104"/>
  <c r="E65" i="104"/>
  <c r="E66" i="104"/>
  <c r="E67" i="104"/>
  <c r="E68" i="104"/>
  <c r="E69" i="104"/>
  <c r="E70" i="104"/>
  <c r="E71" i="104"/>
  <c r="E72" i="104"/>
  <c r="E73" i="104"/>
  <c r="E74" i="104"/>
  <c r="E75" i="104"/>
  <c r="E76" i="104"/>
  <c r="E77" i="104"/>
  <c r="E78" i="104"/>
  <c r="E79" i="104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52" i="102"/>
  <c r="E53" i="102"/>
  <c r="E54" i="102"/>
  <c r="E55" i="102"/>
  <c r="E56" i="102"/>
  <c r="E57" i="102"/>
  <c r="E58" i="102"/>
  <c r="E59" i="102"/>
  <c r="E60" i="102"/>
  <c r="E61" i="102"/>
  <c r="E62" i="102"/>
  <c r="E63" i="102"/>
  <c r="E64" i="102"/>
  <c r="E65" i="102"/>
  <c r="E66" i="102"/>
  <c r="E67" i="102"/>
  <c r="E68" i="102"/>
  <c r="E69" i="102"/>
  <c r="E70" i="102"/>
  <c r="E71" i="102"/>
  <c r="E72" i="102"/>
  <c r="E73" i="102"/>
  <c r="E74" i="102"/>
  <c r="E75" i="102"/>
  <c r="E76" i="102"/>
  <c r="E77" i="102"/>
  <c r="E78" i="102"/>
  <c r="E79" i="102"/>
  <c r="E84" i="104"/>
  <c r="E9" i="104"/>
  <c r="E84" i="102"/>
  <c r="E9" i="102"/>
  <c r="I105" i="101"/>
  <c r="I106" i="101"/>
  <c r="I104" i="101"/>
  <c r="I103" i="101"/>
  <c r="G85" i="101"/>
  <c r="G106" i="101" s="1"/>
  <c r="U97" i="100"/>
  <c r="O97" i="100"/>
  <c r="U9" i="100"/>
  <c r="U10" i="100"/>
  <c r="U11" i="100"/>
  <c r="U12" i="100"/>
  <c r="U13" i="100"/>
  <c r="U14" i="100"/>
  <c r="U15" i="100"/>
  <c r="U16" i="100"/>
  <c r="U17" i="100"/>
  <c r="U18" i="100"/>
  <c r="U19" i="100"/>
  <c r="U20" i="100"/>
  <c r="U21" i="100"/>
  <c r="U22" i="100"/>
  <c r="U23" i="100"/>
  <c r="U24" i="100"/>
  <c r="U25" i="100"/>
  <c r="U26" i="100"/>
  <c r="U27" i="100"/>
  <c r="U28" i="100"/>
  <c r="U29" i="100"/>
  <c r="U30" i="100"/>
  <c r="U31" i="100"/>
  <c r="U32" i="100"/>
  <c r="U33" i="100"/>
  <c r="U34" i="100"/>
  <c r="U35" i="100"/>
  <c r="U36" i="100"/>
  <c r="U37" i="100"/>
  <c r="U38" i="100"/>
  <c r="U39" i="100"/>
  <c r="U40" i="100"/>
  <c r="U41" i="100"/>
  <c r="U42" i="100"/>
  <c r="U43" i="100"/>
  <c r="U44" i="100"/>
  <c r="U45" i="100"/>
  <c r="U46" i="100"/>
  <c r="U47" i="100"/>
  <c r="U48" i="100"/>
  <c r="U49" i="100"/>
  <c r="U50" i="100"/>
  <c r="U51" i="100"/>
  <c r="U52" i="100"/>
  <c r="U53" i="100"/>
  <c r="U54" i="100"/>
  <c r="U55" i="100"/>
  <c r="U56" i="100"/>
  <c r="U57" i="100"/>
  <c r="U58" i="100"/>
  <c r="U59" i="100"/>
  <c r="U60" i="100"/>
  <c r="U61" i="100"/>
  <c r="U62" i="100"/>
  <c r="U63" i="100"/>
  <c r="U64" i="100"/>
  <c r="U65" i="100"/>
  <c r="U66" i="100"/>
  <c r="U67" i="100"/>
  <c r="U68" i="100"/>
  <c r="U69" i="100"/>
  <c r="U70" i="100"/>
  <c r="U71" i="100"/>
  <c r="U72" i="100"/>
  <c r="U73" i="100"/>
  <c r="U74" i="100"/>
  <c r="U75" i="100"/>
  <c r="U76" i="100"/>
  <c r="U77" i="100"/>
  <c r="U78" i="100"/>
  <c r="U79" i="100"/>
  <c r="U80" i="100"/>
  <c r="U81" i="100"/>
  <c r="U82" i="100"/>
  <c r="U83" i="100"/>
  <c r="U84" i="100"/>
  <c r="U85" i="100"/>
  <c r="U86" i="100"/>
  <c r="U87" i="100"/>
  <c r="O9" i="100"/>
  <c r="O10" i="100"/>
  <c r="O11" i="100"/>
  <c r="O12" i="100"/>
  <c r="O13" i="100"/>
  <c r="O14" i="100"/>
  <c r="O15" i="100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29" i="100"/>
  <c r="O30" i="100"/>
  <c r="O31" i="100"/>
  <c r="O32" i="100"/>
  <c r="O33" i="100"/>
  <c r="O34" i="100"/>
  <c r="O35" i="100"/>
  <c r="O36" i="100"/>
  <c r="O37" i="100"/>
  <c r="O38" i="100"/>
  <c r="O39" i="100"/>
  <c r="O40" i="100"/>
  <c r="O41" i="100"/>
  <c r="O42" i="100"/>
  <c r="O43" i="100"/>
  <c r="O44" i="100"/>
  <c r="O45" i="100"/>
  <c r="O46" i="100"/>
  <c r="O47" i="100"/>
  <c r="O48" i="100"/>
  <c r="O49" i="100"/>
  <c r="O50" i="100"/>
  <c r="O51" i="100"/>
  <c r="O52" i="100"/>
  <c r="O53" i="100"/>
  <c r="O54" i="100"/>
  <c r="O55" i="100"/>
  <c r="O56" i="100"/>
  <c r="O57" i="100"/>
  <c r="O58" i="100"/>
  <c r="O59" i="100"/>
  <c r="O60" i="100"/>
  <c r="O61" i="100"/>
  <c r="O62" i="100"/>
  <c r="O63" i="100"/>
  <c r="O64" i="100"/>
  <c r="O65" i="100"/>
  <c r="O66" i="100"/>
  <c r="O67" i="100"/>
  <c r="O68" i="100"/>
  <c r="O69" i="100"/>
  <c r="O70" i="100"/>
  <c r="O71" i="100"/>
  <c r="O72" i="100"/>
  <c r="O73" i="100"/>
  <c r="O74" i="100"/>
  <c r="O75" i="100"/>
  <c r="O76" i="100"/>
  <c r="O77" i="100"/>
  <c r="O78" i="100"/>
  <c r="O79" i="100"/>
  <c r="O80" i="100"/>
  <c r="O81" i="100"/>
  <c r="O82" i="100"/>
  <c r="O83" i="100"/>
  <c r="O84" i="100"/>
  <c r="O85" i="100"/>
  <c r="O86" i="100"/>
  <c r="O87" i="100"/>
  <c r="O8" i="100"/>
  <c r="S92" i="100"/>
  <c r="S91" i="100"/>
  <c r="M92" i="100"/>
  <c r="M91" i="100"/>
  <c r="M95" i="100" s="1"/>
  <c r="I93" i="100"/>
  <c r="I92" i="100"/>
  <c r="I91" i="100"/>
  <c r="G91" i="100"/>
  <c r="E91" i="100"/>
  <c r="G105" i="101" l="1"/>
  <c r="W95" i="100"/>
  <c r="J515" i="4"/>
  <c r="H515" i="4"/>
  <c r="J363" i="4"/>
  <c r="H363" i="4"/>
  <c r="J507" i="4"/>
  <c r="H507" i="4"/>
  <c r="E82" i="104"/>
  <c r="E82" i="102"/>
  <c r="G104" i="101"/>
  <c r="S95" i="100"/>
  <c r="I95" i="100"/>
  <c r="J66" i="4" l="1"/>
  <c r="H66" i="4"/>
  <c r="J329" i="4"/>
  <c r="H329" i="4"/>
  <c r="J50" i="4"/>
  <c r="H50" i="4"/>
  <c r="J114" i="4"/>
  <c r="H114" i="4"/>
  <c r="J194" i="4"/>
  <c r="H194" i="4"/>
  <c r="J274" i="4"/>
  <c r="H274" i="4"/>
  <c r="J338" i="4"/>
  <c r="H338" i="4"/>
  <c r="J402" i="4"/>
  <c r="H402" i="4"/>
  <c r="J490" i="4"/>
  <c r="H490" i="4"/>
  <c r="J59" i="4"/>
  <c r="H59" i="4"/>
  <c r="J131" i="4"/>
  <c r="H131" i="4"/>
  <c r="J347" i="4"/>
  <c r="H347" i="4"/>
  <c r="J44" i="4"/>
  <c r="H44" i="4"/>
  <c r="J108" i="4"/>
  <c r="H108" i="4"/>
  <c r="J172" i="4"/>
  <c r="H172" i="4"/>
  <c r="J236" i="4"/>
  <c r="H236" i="4"/>
  <c r="J316" i="4"/>
  <c r="H316" i="4"/>
  <c r="J380" i="4"/>
  <c r="H380" i="4"/>
  <c r="J484" i="4"/>
  <c r="H484" i="4"/>
  <c r="H152" i="4"/>
  <c r="J152" i="4"/>
  <c r="H456" i="4"/>
  <c r="J456" i="4"/>
  <c r="J257" i="4"/>
  <c r="H257" i="4"/>
  <c r="J243" i="4"/>
  <c r="H243" i="4"/>
  <c r="J101" i="4"/>
  <c r="H101" i="4"/>
  <c r="J181" i="4"/>
  <c r="H181" i="4"/>
  <c r="J245" i="4"/>
  <c r="H245" i="4"/>
  <c r="J325" i="4"/>
  <c r="H325" i="4"/>
  <c r="J397" i="4"/>
  <c r="H397" i="4"/>
  <c r="J493" i="4"/>
  <c r="H493" i="4"/>
  <c r="J177" i="4"/>
  <c r="H177" i="4"/>
  <c r="J323" i="4"/>
  <c r="H323" i="4"/>
  <c r="H94" i="4"/>
  <c r="J94" i="4"/>
  <c r="H158" i="4"/>
  <c r="J158" i="4"/>
  <c r="J222" i="4"/>
  <c r="H222" i="4"/>
  <c r="J286" i="4"/>
  <c r="H286" i="4"/>
  <c r="J358" i="4"/>
  <c r="H358" i="4"/>
  <c r="J422" i="4"/>
  <c r="H422" i="4"/>
  <c r="J510" i="4"/>
  <c r="H510" i="4"/>
  <c r="H232" i="4"/>
  <c r="J232" i="4"/>
  <c r="J41" i="4"/>
  <c r="H41" i="4"/>
  <c r="J39" i="4"/>
  <c r="H39" i="4"/>
  <c r="J143" i="4"/>
  <c r="H143" i="4"/>
  <c r="J231" i="4"/>
  <c r="H231" i="4"/>
  <c r="J311" i="4"/>
  <c r="H311" i="4"/>
  <c r="J383" i="4"/>
  <c r="H383" i="4"/>
  <c r="J447" i="4"/>
  <c r="H447" i="4"/>
  <c r="J519" i="4"/>
  <c r="H519" i="4"/>
  <c r="H264" i="4"/>
  <c r="J264" i="4"/>
  <c r="J153" i="4"/>
  <c r="H153" i="4"/>
  <c r="J433" i="4"/>
  <c r="H433" i="4"/>
  <c r="J403" i="4"/>
  <c r="H403" i="4"/>
  <c r="J417" i="4"/>
  <c r="H417" i="4"/>
  <c r="J307" i="4"/>
  <c r="H307" i="4"/>
  <c r="J369" i="4"/>
  <c r="H369" i="4"/>
  <c r="J58" i="4"/>
  <c r="H58" i="4"/>
  <c r="J122" i="4"/>
  <c r="H122" i="4"/>
  <c r="J210" i="4"/>
  <c r="H210" i="4"/>
  <c r="J282" i="4"/>
  <c r="H282" i="4"/>
  <c r="J346" i="4"/>
  <c r="H346" i="4"/>
  <c r="J410" i="4"/>
  <c r="H410" i="4"/>
  <c r="J498" i="4"/>
  <c r="H498" i="4"/>
  <c r="J67" i="4"/>
  <c r="H67" i="4"/>
  <c r="J139" i="4"/>
  <c r="H139" i="4"/>
  <c r="J27" i="4"/>
  <c r="H27" i="4"/>
  <c r="J52" i="4"/>
  <c r="H52" i="4"/>
  <c r="J116" i="4"/>
  <c r="H116" i="4"/>
  <c r="J180" i="4"/>
  <c r="H180" i="4"/>
  <c r="J252" i="4"/>
  <c r="H252" i="4"/>
  <c r="J324" i="4"/>
  <c r="H324" i="4"/>
  <c r="J388" i="4"/>
  <c r="H388" i="4"/>
  <c r="J492" i="4"/>
  <c r="H492" i="4"/>
  <c r="H184" i="4"/>
  <c r="J184" i="4"/>
  <c r="J480" i="4"/>
  <c r="H480" i="4"/>
  <c r="J273" i="4"/>
  <c r="H273" i="4"/>
  <c r="J283" i="4"/>
  <c r="H283" i="4"/>
  <c r="J117" i="4"/>
  <c r="H117" i="4"/>
  <c r="J189" i="4"/>
  <c r="H189" i="4"/>
  <c r="J253" i="4"/>
  <c r="H253" i="4"/>
  <c r="J333" i="4"/>
  <c r="H333" i="4"/>
  <c r="J413" i="4"/>
  <c r="H413" i="4"/>
  <c r="J501" i="4"/>
  <c r="H501" i="4"/>
  <c r="J241" i="4"/>
  <c r="H241" i="4"/>
  <c r="H30" i="4"/>
  <c r="J30" i="4"/>
  <c r="H102" i="4"/>
  <c r="J102" i="4"/>
  <c r="H166" i="4"/>
  <c r="J166" i="4"/>
  <c r="J230" i="4"/>
  <c r="H230" i="4"/>
  <c r="J294" i="4"/>
  <c r="H294" i="4"/>
  <c r="H366" i="4"/>
  <c r="J366" i="4"/>
  <c r="H430" i="4"/>
  <c r="J430" i="4"/>
  <c r="J518" i="4"/>
  <c r="H518" i="4"/>
  <c r="J256" i="4"/>
  <c r="H256" i="4"/>
  <c r="J73" i="4"/>
  <c r="H73" i="4"/>
  <c r="J47" i="4"/>
  <c r="H47" i="4"/>
  <c r="J151" i="4"/>
  <c r="H151" i="4"/>
  <c r="J239" i="4"/>
  <c r="H239" i="4"/>
  <c r="J319" i="4"/>
  <c r="H319" i="4"/>
  <c r="J391" i="4"/>
  <c r="H391" i="4"/>
  <c r="J455" i="4"/>
  <c r="H455" i="4"/>
  <c r="H40" i="4"/>
  <c r="J40" i="4"/>
  <c r="H296" i="4"/>
  <c r="J296" i="4"/>
  <c r="J201" i="4"/>
  <c r="H201" i="4"/>
  <c r="J521" i="4"/>
  <c r="H521" i="4"/>
  <c r="J451" i="4"/>
  <c r="H451" i="4"/>
  <c r="J130" i="4"/>
  <c r="H130" i="4"/>
  <c r="J418" i="4"/>
  <c r="H418" i="4"/>
  <c r="J506" i="4"/>
  <c r="H506" i="4"/>
  <c r="J75" i="4"/>
  <c r="H75" i="4"/>
  <c r="J155" i="4"/>
  <c r="H155" i="4"/>
  <c r="J195" i="4"/>
  <c r="H195" i="4"/>
  <c r="J60" i="4"/>
  <c r="H60" i="4"/>
  <c r="J124" i="4"/>
  <c r="H124" i="4"/>
  <c r="J188" i="4"/>
  <c r="H188" i="4"/>
  <c r="J260" i="4"/>
  <c r="H260" i="4"/>
  <c r="J332" i="4"/>
  <c r="H332" i="4"/>
  <c r="J412" i="4"/>
  <c r="H412" i="4"/>
  <c r="J500" i="4"/>
  <c r="H500" i="4"/>
  <c r="H240" i="4"/>
  <c r="J240" i="4"/>
  <c r="H520" i="4"/>
  <c r="J520" i="4"/>
  <c r="J305" i="4"/>
  <c r="H305" i="4"/>
  <c r="J21" i="4"/>
  <c r="H21" i="4"/>
  <c r="J125" i="4"/>
  <c r="H125" i="4"/>
  <c r="J197" i="4"/>
  <c r="H197" i="4"/>
  <c r="J269" i="4"/>
  <c r="H269" i="4"/>
  <c r="J341" i="4"/>
  <c r="H341" i="4"/>
  <c r="J429" i="4"/>
  <c r="H429" i="4"/>
  <c r="H72" i="4"/>
  <c r="J72" i="4"/>
  <c r="J281" i="4"/>
  <c r="H281" i="4"/>
  <c r="H38" i="4"/>
  <c r="J38" i="4"/>
  <c r="H110" i="4"/>
  <c r="J110" i="4"/>
  <c r="H174" i="4"/>
  <c r="J174" i="4"/>
  <c r="H238" i="4"/>
  <c r="J238" i="4"/>
  <c r="H302" i="4"/>
  <c r="J302" i="4"/>
  <c r="J374" i="4"/>
  <c r="H374" i="4"/>
  <c r="J446" i="4"/>
  <c r="H446" i="4"/>
  <c r="H64" i="4"/>
  <c r="J64" i="4"/>
  <c r="J312" i="4"/>
  <c r="H312" i="4"/>
  <c r="J121" i="4"/>
  <c r="H121" i="4"/>
  <c r="J55" i="4"/>
  <c r="H55" i="4"/>
  <c r="J167" i="4"/>
  <c r="H167" i="4"/>
  <c r="J247" i="4"/>
  <c r="H247" i="4"/>
  <c r="J327" i="4"/>
  <c r="H327" i="4"/>
  <c r="J399" i="4"/>
  <c r="H399" i="4"/>
  <c r="J463" i="4"/>
  <c r="H463" i="4"/>
  <c r="H48" i="4"/>
  <c r="J48" i="4"/>
  <c r="H336" i="4"/>
  <c r="J336" i="4"/>
  <c r="J225" i="4"/>
  <c r="H225" i="4"/>
  <c r="J267" i="4"/>
  <c r="H267" i="4"/>
  <c r="J379" i="4"/>
  <c r="H379" i="4"/>
  <c r="J299" i="4"/>
  <c r="H299" i="4"/>
  <c r="J354" i="4"/>
  <c r="H354" i="4"/>
  <c r="J473" i="4"/>
  <c r="H473" i="4"/>
  <c r="J74" i="4"/>
  <c r="H74" i="4"/>
  <c r="J154" i="4"/>
  <c r="H154" i="4"/>
  <c r="J226" i="4"/>
  <c r="H226" i="4"/>
  <c r="J298" i="4"/>
  <c r="H298" i="4"/>
  <c r="J362" i="4"/>
  <c r="H362" i="4"/>
  <c r="J426" i="4"/>
  <c r="H426" i="4"/>
  <c r="J514" i="4"/>
  <c r="H514" i="4"/>
  <c r="J91" i="4"/>
  <c r="H91" i="4"/>
  <c r="J171" i="4"/>
  <c r="H171" i="4"/>
  <c r="J219" i="4"/>
  <c r="H219" i="4"/>
  <c r="J68" i="4"/>
  <c r="H68" i="4"/>
  <c r="J132" i="4"/>
  <c r="H132" i="4"/>
  <c r="J196" i="4"/>
  <c r="H196" i="4"/>
  <c r="J268" i="4"/>
  <c r="H268" i="4"/>
  <c r="J340" i="4"/>
  <c r="H340" i="4"/>
  <c r="J428" i="4"/>
  <c r="H428" i="4"/>
  <c r="J516" i="4"/>
  <c r="H516" i="4"/>
  <c r="J280" i="4"/>
  <c r="H280" i="4"/>
  <c r="J49" i="4"/>
  <c r="H49" i="4"/>
  <c r="J337" i="4"/>
  <c r="H337" i="4"/>
  <c r="J29" i="4"/>
  <c r="H29" i="4"/>
  <c r="J141" i="4"/>
  <c r="H141" i="4"/>
  <c r="J205" i="4"/>
  <c r="H205" i="4"/>
  <c r="J277" i="4"/>
  <c r="H277" i="4"/>
  <c r="J349" i="4"/>
  <c r="H349" i="4"/>
  <c r="J445" i="4"/>
  <c r="H445" i="4"/>
  <c r="H144" i="4"/>
  <c r="J144" i="4"/>
  <c r="J321" i="4"/>
  <c r="H321" i="4"/>
  <c r="H46" i="4"/>
  <c r="J46" i="4"/>
  <c r="H118" i="4"/>
  <c r="J118" i="4"/>
  <c r="H182" i="4"/>
  <c r="J182" i="4"/>
  <c r="J246" i="4"/>
  <c r="H246" i="4"/>
  <c r="J310" i="4"/>
  <c r="H310" i="4"/>
  <c r="J382" i="4"/>
  <c r="H382" i="4"/>
  <c r="J454" i="4"/>
  <c r="H454" i="4"/>
  <c r="H104" i="4"/>
  <c r="J104" i="4"/>
  <c r="J352" i="4"/>
  <c r="H352" i="4"/>
  <c r="J161" i="4"/>
  <c r="H161" i="4"/>
  <c r="J63" i="4"/>
  <c r="H63" i="4"/>
  <c r="J183" i="4"/>
  <c r="H183" i="4"/>
  <c r="J263" i="4"/>
  <c r="H263" i="4"/>
  <c r="J335" i="4"/>
  <c r="H335" i="4"/>
  <c r="J407" i="4"/>
  <c r="H407" i="4"/>
  <c r="J471" i="4"/>
  <c r="H471" i="4"/>
  <c r="H88" i="4"/>
  <c r="J88" i="4"/>
  <c r="J376" i="4"/>
  <c r="H376" i="4"/>
  <c r="J265" i="4"/>
  <c r="H265" i="4"/>
  <c r="J339" i="4"/>
  <c r="H339" i="4"/>
  <c r="J499" i="4"/>
  <c r="H499" i="4"/>
  <c r="J483" i="4"/>
  <c r="H483" i="4"/>
  <c r="J218" i="4"/>
  <c r="H218" i="4"/>
  <c r="J259" i="4"/>
  <c r="H259" i="4"/>
  <c r="J82" i="4"/>
  <c r="H82" i="4"/>
  <c r="J162" i="4"/>
  <c r="H162" i="4"/>
  <c r="J234" i="4"/>
  <c r="H234" i="4"/>
  <c r="J306" i="4"/>
  <c r="H306" i="4"/>
  <c r="J370" i="4"/>
  <c r="H370" i="4"/>
  <c r="J434" i="4"/>
  <c r="H434" i="4"/>
  <c r="J522" i="4"/>
  <c r="H522" i="4"/>
  <c r="J99" i="4"/>
  <c r="H99" i="4"/>
  <c r="J179" i="4"/>
  <c r="H179" i="4"/>
  <c r="J291" i="4"/>
  <c r="H291" i="4"/>
  <c r="J76" i="4"/>
  <c r="H76" i="4"/>
  <c r="J140" i="4"/>
  <c r="H140" i="4"/>
  <c r="J204" i="4"/>
  <c r="H204" i="4"/>
  <c r="J276" i="4"/>
  <c r="H276" i="4"/>
  <c r="J348" i="4"/>
  <c r="H348" i="4"/>
  <c r="J452" i="4"/>
  <c r="H452" i="4"/>
  <c r="J19" i="4"/>
  <c r="H19" i="4"/>
  <c r="H304" i="4"/>
  <c r="J304" i="4"/>
  <c r="J89" i="4"/>
  <c r="H89" i="4"/>
  <c r="J353" i="4"/>
  <c r="H353" i="4"/>
  <c r="J53" i="4"/>
  <c r="H53" i="4"/>
  <c r="J149" i="4"/>
  <c r="H149" i="4"/>
  <c r="J213" i="4"/>
  <c r="H213" i="4"/>
  <c r="J285" i="4"/>
  <c r="H285" i="4"/>
  <c r="J357" i="4"/>
  <c r="H357" i="4"/>
  <c r="J453" i="4"/>
  <c r="H453" i="4"/>
  <c r="J416" i="4"/>
  <c r="H416" i="4"/>
  <c r="J361" i="4"/>
  <c r="H361" i="4"/>
  <c r="H54" i="4"/>
  <c r="J54" i="4"/>
  <c r="H126" i="4"/>
  <c r="J126" i="4"/>
  <c r="H190" i="4"/>
  <c r="J190" i="4"/>
  <c r="J254" i="4"/>
  <c r="H254" i="4"/>
  <c r="J318" i="4"/>
  <c r="H318" i="4"/>
  <c r="J390" i="4"/>
  <c r="H390" i="4"/>
  <c r="H462" i="4"/>
  <c r="J462" i="4"/>
  <c r="H128" i="4"/>
  <c r="J128" i="4"/>
  <c r="J384" i="4"/>
  <c r="H384" i="4"/>
  <c r="J393" i="4"/>
  <c r="H393" i="4"/>
  <c r="J87" i="4"/>
  <c r="H87" i="4"/>
  <c r="J191" i="4"/>
  <c r="H191" i="4"/>
  <c r="J271" i="4"/>
  <c r="H271" i="4"/>
  <c r="J343" i="4"/>
  <c r="H343" i="4"/>
  <c r="J415" i="4"/>
  <c r="H415" i="4"/>
  <c r="J487" i="4"/>
  <c r="H487" i="4"/>
  <c r="H120" i="4"/>
  <c r="J120" i="4"/>
  <c r="H432" i="4"/>
  <c r="J432" i="4"/>
  <c r="J297" i="4"/>
  <c r="H297" i="4"/>
  <c r="J387" i="4"/>
  <c r="H387" i="4"/>
  <c r="J355" i="4"/>
  <c r="H355" i="4"/>
  <c r="J395" i="4"/>
  <c r="H395" i="4"/>
  <c r="H24" i="4"/>
  <c r="J24" i="4"/>
  <c r="J90" i="4"/>
  <c r="H90" i="4"/>
  <c r="J170" i="4"/>
  <c r="H170" i="4"/>
  <c r="J242" i="4"/>
  <c r="H242" i="4"/>
  <c r="J314" i="4"/>
  <c r="H314" i="4"/>
  <c r="J378" i="4"/>
  <c r="H378" i="4"/>
  <c r="J442" i="4"/>
  <c r="H442" i="4"/>
  <c r="J35" i="4"/>
  <c r="H35" i="4"/>
  <c r="J107" i="4"/>
  <c r="H107" i="4"/>
  <c r="J203" i="4"/>
  <c r="H203" i="4"/>
  <c r="J20" i="4"/>
  <c r="H20" i="4"/>
  <c r="J84" i="4"/>
  <c r="H84" i="4"/>
  <c r="J148" i="4"/>
  <c r="H148" i="4"/>
  <c r="J212" i="4"/>
  <c r="H212" i="4"/>
  <c r="J284" i="4"/>
  <c r="H284" i="4"/>
  <c r="J356" i="4"/>
  <c r="H356" i="4"/>
  <c r="J460" i="4"/>
  <c r="H460" i="4"/>
  <c r="J509" i="4"/>
  <c r="H509" i="4"/>
  <c r="J344" i="4"/>
  <c r="H344" i="4"/>
  <c r="J129" i="4"/>
  <c r="H129" i="4"/>
  <c r="J385" i="4"/>
  <c r="H385" i="4"/>
  <c r="J69" i="4"/>
  <c r="H69" i="4"/>
  <c r="J157" i="4"/>
  <c r="H157" i="4"/>
  <c r="J221" i="4"/>
  <c r="H221" i="4"/>
  <c r="J293" i="4"/>
  <c r="H293" i="4"/>
  <c r="J373" i="4"/>
  <c r="H373" i="4"/>
  <c r="J461" i="4"/>
  <c r="H461" i="4"/>
  <c r="J512" i="4"/>
  <c r="H512" i="4"/>
  <c r="J409" i="4"/>
  <c r="H409" i="4"/>
  <c r="H62" i="4"/>
  <c r="J62" i="4"/>
  <c r="H134" i="4"/>
  <c r="J134" i="4"/>
  <c r="J198" i="4"/>
  <c r="H198" i="4"/>
  <c r="J262" i="4"/>
  <c r="H262" i="4"/>
  <c r="H334" i="4"/>
  <c r="J334" i="4"/>
  <c r="H398" i="4"/>
  <c r="J398" i="4"/>
  <c r="J470" i="4"/>
  <c r="H470" i="4"/>
  <c r="H160" i="4"/>
  <c r="J160" i="4"/>
  <c r="H400" i="4"/>
  <c r="J400" i="4"/>
  <c r="J441" i="4"/>
  <c r="H441" i="4"/>
  <c r="J119" i="4"/>
  <c r="H119" i="4"/>
  <c r="J207" i="4"/>
  <c r="H207" i="4"/>
  <c r="J279" i="4"/>
  <c r="H279" i="4"/>
  <c r="J351" i="4"/>
  <c r="H351" i="4"/>
  <c r="J423" i="4"/>
  <c r="H423" i="4"/>
  <c r="J495" i="4"/>
  <c r="H495" i="4"/>
  <c r="J168" i="4"/>
  <c r="H168" i="4"/>
  <c r="J472" i="4"/>
  <c r="H472" i="4"/>
  <c r="J345" i="4"/>
  <c r="H345" i="4"/>
  <c r="J427" i="4"/>
  <c r="H427" i="4"/>
  <c r="J419" i="4"/>
  <c r="H419" i="4"/>
  <c r="J467" i="4"/>
  <c r="H467" i="4"/>
  <c r="J290" i="4"/>
  <c r="H290" i="4"/>
  <c r="J249" i="4"/>
  <c r="H249" i="4"/>
  <c r="J98" i="4"/>
  <c r="H98" i="4"/>
  <c r="J178" i="4"/>
  <c r="H178" i="4"/>
  <c r="J258" i="4"/>
  <c r="H258" i="4"/>
  <c r="J322" i="4"/>
  <c r="H322" i="4"/>
  <c r="J386" i="4"/>
  <c r="H386" i="4"/>
  <c r="J458" i="4"/>
  <c r="H458" i="4"/>
  <c r="J43" i="4"/>
  <c r="H43" i="4"/>
  <c r="J115" i="4"/>
  <c r="H115" i="4"/>
  <c r="J211" i="4"/>
  <c r="H211" i="4"/>
  <c r="J28" i="4"/>
  <c r="H28" i="4"/>
  <c r="J92" i="4"/>
  <c r="H92" i="4"/>
  <c r="J156" i="4"/>
  <c r="H156" i="4"/>
  <c r="J220" i="4"/>
  <c r="H220" i="4"/>
  <c r="J292" i="4"/>
  <c r="H292" i="4"/>
  <c r="J364" i="4"/>
  <c r="H364" i="4"/>
  <c r="J468" i="4"/>
  <c r="H468" i="4"/>
  <c r="H56" i="4"/>
  <c r="J56" i="4"/>
  <c r="H360" i="4"/>
  <c r="J360" i="4"/>
  <c r="J169" i="4"/>
  <c r="H169" i="4"/>
  <c r="J425" i="4"/>
  <c r="H425" i="4"/>
  <c r="J85" i="4"/>
  <c r="H85" i="4"/>
  <c r="J165" i="4"/>
  <c r="H165" i="4"/>
  <c r="J229" i="4"/>
  <c r="H229" i="4"/>
  <c r="J309" i="4"/>
  <c r="H309" i="4"/>
  <c r="J381" i="4"/>
  <c r="H381" i="4"/>
  <c r="J469" i="4"/>
  <c r="H469" i="4"/>
  <c r="J57" i="4"/>
  <c r="H57" i="4"/>
  <c r="J489" i="4"/>
  <c r="H489" i="4"/>
  <c r="H78" i="4"/>
  <c r="J78" i="4"/>
  <c r="H142" i="4"/>
  <c r="J142" i="4"/>
  <c r="H206" i="4"/>
  <c r="J206" i="4"/>
  <c r="H270" i="4"/>
  <c r="J270" i="4"/>
  <c r="J342" i="4"/>
  <c r="H342" i="4"/>
  <c r="J406" i="4"/>
  <c r="H406" i="4"/>
  <c r="J478" i="4"/>
  <c r="H478" i="4"/>
  <c r="J192" i="4"/>
  <c r="H192" i="4"/>
  <c r="J448" i="4"/>
  <c r="H448" i="4"/>
  <c r="J251" i="4"/>
  <c r="H251" i="4"/>
  <c r="J127" i="4"/>
  <c r="H127" i="4"/>
  <c r="J215" i="4"/>
  <c r="H215" i="4"/>
  <c r="J287" i="4"/>
  <c r="H287" i="4"/>
  <c r="J359" i="4"/>
  <c r="H359" i="4"/>
  <c r="J431" i="4"/>
  <c r="H431" i="4"/>
  <c r="J503" i="4"/>
  <c r="H503" i="4"/>
  <c r="H200" i="4"/>
  <c r="J200" i="4"/>
  <c r="J65" i="4"/>
  <c r="H65" i="4"/>
  <c r="J377" i="4"/>
  <c r="H377" i="4"/>
  <c r="J411" i="4"/>
  <c r="H411" i="4"/>
  <c r="J25" i="4"/>
  <c r="H25" i="4"/>
  <c r="J34" i="4"/>
  <c r="H34" i="4"/>
  <c r="J289" i="4"/>
  <c r="H289" i="4"/>
  <c r="J42" i="4"/>
  <c r="H42" i="4"/>
  <c r="J106" i="4"/>
  <c r="H106" i="4"/>
  <c r="J186" i="4"/>
  <c r="H186" i="4"/>
  <c r="J266" i="4"/>
  <c r="H266" i="4"/>
  <c r="J330" i="4"/>
  <c r="H330" i="4"/>
  <c r="J394" i="4"/>
  <c r="H394" i="4"/>
  <c r="J482" i="4"/>
  <c r="H482" i="4"/>
  <c r="J51" i="4"/>
  <c r="H51" i="4"/>
  <c r="J123" i="4"/>
  <c r="H123" i="4"/>
  <c r="J275" i="4"/>
  <c r="H275" i="4"/>
  <c r="J36" i="4"/>
  <c r="H36" i="4"/>
  <c r="J100" i="4"/>
  <c r="H100" i="4"/>
  <c r="J164" i="4"/>
  <c r="H164" i="4"/>
  <c r="J228" i="4"/>
  <c r="H228" i="4"/>
  <c r="J308" i="4"/>
  <c r="H308" i="4"/>
  <c r="J372" i="4"/>
  <c r="H372" i="4"/>
  <c r="J476" i="4"/>
  <c r="H476" i="4"/>
  <c r="H112" i="4"/>
  <c r="J112" i="4"/>
  <c r="H392" i="4"/>
  <c r="J392" i="4"/>
  <c r="J209" i="4"/>
  <c r="H209" i="4"/>
  <c r="J513" i="4"/>
  <c r="H513" i="4"/>
  <c r="J93" i="4"/>
  <c r="H93" i="4"/>
  <c r="J173" i="4"/>
  <c r="H173" i="4"/>
  <c r="J237" i="4"/>
  <c r="H237" i="4"/>
  <c r="J317" i="4"/>
  <c r="H317" i="4"/>
  <c r="J389" i="4"/>
  <c r="H389" i="4"/>
  <c r="J485" i="4"/>
  <c r="H485" i="4"/>
  <c r="J113" i="4"/>
  <c r="H113" i="4"/>
  <c r="J235" i="4"/>
  <c r="H235" i="4"/>
  <c r="H86" i="4"/>
  <c r="J86" i="4"/>
  <c r="H150" i="4"/>
  <c r="J150" i="4"/>
  <c r="J214" i="4"/>
  <c r="H214" i="4"/>
  <c r="J278" i="4"/>
  <c r="H278" i="4"/>
  <c r="J350" i="4"/>
  <c r="H350" i="4"/>
  <c r="J414" i="4"/>
  <c r="H414" i="4"/>
  <c r="J486" i="4"/>
  <c r="H486" i="4"/>
  <c r="J216" i="4"/>
  <c r="H216" i="4"/>
  <c r="H488" i="4"/>
  <c r="J488" i="4"/>
  <c r="J31" i="4"/>
  <c r="H31" i="4"/>
  <c r="J135" i="4"/>
  <c r="H135" i="4"/>
  <c r="J223" i="4"/>
  <c r="H223" i="4"/>
  <c r="J295" i="4"/>
  <c r="H295" i="4"/>
  <c r="J367" i="4"/>
  <c r="H367" i="4"/>
  <c r="J439" i="4"/>
  <c r="H439" i="4"/>
  <c r="J511" i="4"/>
  <c r="H511" i="4"/>
  <c r="J224" i="4"/>
  <c r="H224" i="4"/>
  <c r="J105" i="4"/>
  <c r="H105" i="4"/>
  <c r="J401" i="4"/>
  <c r="H401" i="4"/>
  <c r="J491" i="4"/>
  <c r="H491" i="4"/>
  <c r="U8" i="100"/>
  <c r="B4" i="4" l="1"/>
  <c r="B6" i="4"/>
  <c r="U92" i="100"/>
  <c r="U91" i="100"/>
  <c r="E93" i="100"/>
  <c r="Q92" i="100"/>
  <c r="K92" i="100"/>
  <c r="G92" i="100"/>
  <c r="G95" i="100" s="1"/>
  <c r="E92" i="100"/>
  <c r="Q91" i="100"/>
  <c r="K91" i="100"/>
  <c r="D91" i="98"/>
  <c r="B34" i="99"/>
  <c r="B35" i="99" s="1"/>
  <c r="M90" i="98"/>
  <c r="M84" i="98"/>
  <c r="G84" i="98"/>
  <c r="E84" i="98"/>
  <c r="H83" i="98"/>
  <c r="I83" i="98" s="1"/>
  <c r="F83" i="98"/>
  <c r="H82" i="98"/>
  <c r="I82" i="98" s="1"/>
  <c r="F82" i="98"/>
  <c r="M79" i="98"/>
  <c r="G79" i="98"/>
  <c r="E79" i="98"/>
  <c r="H78" i="98"/>
  <c r="I78" i="98" s="1"/>
  <c r="F78" i="98"/>
  <c r="H77" i="98"/>
  <c r="I77" i="98" s="1"/>
  <c r="F77" i="98"/>
  <c r="M74" i="98"/>
  <c r="G74" i="98"/>
  <c r="E74" i="98"/>
  <c r="H73" i="98"/>
  <c r="I73" i="98" s="1"/>
  <c r="F73" i="98"/>
  <c r="H72" i="98"/>
  <c r="I72" i="98" s="1"/>
  <c r="F72" i="98"/>
  <c r="M69" i="98"/>
  <c r="G69" i="98"/>
  <c r="E69" i="98"/>
  <c r="H68" i="98"/>
  <c r="I68" i="98" s="1"/>
  <c r="F68" i="98"/>
  <c r="H67" i="98"/>
  <c r="I67" i="98" s="1"/>
  <c r="F67" i="98"/>
  <c r="M64" i="98"/>
  <c r="G64" i="98"/>
  <c r="E64" i="98"/>
  <c r="H63" i="98"/>
  <c r="I63" i="98" s="1"/>
  <c r="F63" i="98"/>
  <c r="H62" i="98"/>
  <c r="I62" i="98" s="1"/>
  <c r="I64" i="98" s="1"/>
  <c r="F62" i="98"/>
  <c r="M59" i="98"/>
  <c r="G59" i="98"/>
  <c r="E59" i="98"/>
  <c r="H58" i="98"/>
  <c r="I58" i="98" s="1"/>
  <c r="F58" i="98"/>
  <c r="H57" i="98"/>
  <c r="F57" i="98"/>
  <c r="M54" i="98"/>
  <c r="G54" i="98"/>
  <c r="E54" i="98"/>
  <c r="H53" i="98"/>
  <c r="I53" i="98" s="1"/>
  <c r="F53" i="98"/>
  <c r="H52" i="98"/>
  <c r="F52" i="98"/>
  <c r="M49" i="98"/>
  <c r="G49" i="98"/>
  <c r="E49" i="98"/>
  <c r="H48" i="98"/>
  <c r="I48" i="98" s="1"/>
  <c r="F48" i="98"/>
  <c r="H47" i="98"/>
  <c r="F47" i="98"/>
  <c r="M44" i="98"/>
  <c r="G44" i="98"/>
  <c r="E44" i="98"/>
  <c r="H43" i="98"/>
  <c r="I43" i="98" s="1"/>
  <c r="F43" i="98"/>
  <c r="H42" i="98"/>
  <c r="I42" i="98" s="1"/>
  <c r="F42" i="98"/>
  <c r="M39" i="98"/>
  <c r="G39" i="98"/>
  <c r="E39" i="98"/>
  <c r="H38" i="98"/>
  <c r="I38" i="98" s="1"/>
  <c r="F38" i="98"/>
  <c r="H37" i="98"/>
  <c r="I37" i="98" s="1"/>
  <c r="F37" i="98"/>
  <c r="M34" i="98"/>
  <c r="G34" i="98"/>
  <c r="E34" i="98"/>
  <c r="H33" i="98"/>
  <c r="I33" i="98" s="1"/>
  <c r="F33" i="98"/>
  <c r="H32" i="98"/>
  <c r="F32" i="98"/>
  <c r="M29" i="98"/>
  <c r="G29" i="98"/>
  <c r="E29" i="98"/>
  <c r="H28" i="98"/>
  <c r="I28" i="98" s="1"/>
  <c r="F28" i="98"/>
  <c r="H27" i="98"/>
  <c r="I27" i="98" s="1"/>
  <c r="F27" i="98"/>
  <c r="M24" i="98"/>
  <c r="G24" i="98"/>
  <c r="E24" i="98"/>
  <c r="H23" i="98"/>
  <c r="F23" i="98"/>
  <c r="H22" i="98"/>
  <c r="I22" i="98" s="1"/>
  <c r="F22" i="98"/>
  <c r="M19" i="98"/>
  <c r="G19" i="98"/>
  <c r="E19" i="98"/>
  <c r="H18" i="98"/>
  <c r="I18" i="98" s="1"/>
  <c r="F18" i="98"/>
  <c r="H17" i="98"/>
  <c r="I17" i="98" s="1"/>
  <c r="F17" i="98"/>
  <c r="M14" i="98"/>
  <c r="G14" i="98"/>
  <c r="E14" i="98"/>
  <c r="H13" i="98"/>
  <c r="I13" i="98" s="1"/>
  <c r="F13" i="98"/>
  <c r="H12" i="98"/>
  <c r="F12" i="98"/>
  <c r="G9" i="98"/>
  <c r="K95" i="100" l="1"/>
  <c r="E95" i="100"/>
  <c r="F54" i="98"/>
  <c r="H59" i="98"/>
  <c r="H34" i="98"/>
  <c r="H24" i="98"/>
  <c r="I84" i="98"/>
  <c r="J90" i="98"/>
  <c r="H14" i="98"/>
  <c r="H54" i="98"/>
  <c r="B8" i="4"/>
  <c r="U95" i="100"/>
  <c r="O91" i="100"/>
  <c r="Q95" i="100"/>
  <c r="O92" i="100"/>
  <c r="I19" i="98"/>
  <c r="I69" i="98"/>
  <c r="I79" i="98"/>
  <c r="I39" i="98"/>
  <c r="I74" i="98"/>
  <c r="H49" i="98"/>
  <c r="I52" i="98"/>
  <c r="I54" i="98" s="1"/>
  <c r="I47" i="98"/>
  <c r="I49" i="98" s="1"/>
  <c r="I57" i="98"/>
  <c r="I59" i="98" s="1"/>
  <c r="I32" i="98"/>
  <c r="I34" i="98" s="1"/>
  <c r="F44" i="98"/>
  <c r="I29" i="98"/>
  <c r="I44" i="98"/>
  <c r="I12" i="98"/>
  <c r="I14" i="98" s="1"/>
  <c r="I23" i="98"/>
  <c r="I24" i="98" s="1"/>
  <c r="F39" i="98"/>
  <c r="F74" i="98"/>
  <c r="J74" i="98" s="1"/>
  <c r="H29" i="98"/>
  <c r="H19" i="98"/>
  <c r="H39" i="98"/>
  <c r="H44" i="98"/>
  <c r="H84" i="98"/>
  <c r="F24" i="98"/>
  <c r="H79" i="98"/>
  <c r="H64" i="98"/>
  <c r="F19" i="98"/>
  <c r="F59" i="98"/>
  <c r="H69" i="98"/>
  <c r="H74" i="98"/>
  <c r="F79" i="98"/>
  <c r="F84" i="98"/>
  <c r="F14" i="98"/>
  <c r="F49" i="98"/>
  <c r="F29" i="98"/>
  <c r="F64" i="98"/>
  <c r="F34" i="98"/>
  <c r="J34" i="98" s="1"/>
  <c r="F69" i="98"/>
  <c r="B36" i="99"/>
  <c r="J29" i="98" l="1"/>
  <c r="J54" i="98"/>
  <c r="J69" i="98"/>
  <c r="J84" i="98"/>
  <c r="J49" i="98"/>
  <c r="J59" i="98"/>
  <c r="J64" i="98"/>
  <c r="L64" i="98" s="1"/>
  <c r="O95" i="100"/>
  <c r="J39" i="98"/>
  <c r="J79" i="98"/>
  <c r="J19" i="98"/>
  <c r="J44" i="98"/>
  <c r="J14" i="98"/>
  <c r="J24" i="98"/>
  <c r="B37" i="99"/>
  <c r="L58" i="98"/>
  <c r="L79" i="98" l="1"/>
  <c r="L54" i="98"/>
  <c r="L72" i="98"/>
  <c r="L85" i="98"/>
  <c r="L78" i="98"/>
  <c r="L16" i="98"/>
  <c r="L86" i="98"/>
  <c r="L90" i="98"/>
  <c r="L81" i="98"/>
  <c r="L18" i="98"/>
  <c r="L25" i="98"/>
  <c r="L26" i="98"/>
  <c r="L40" i="98"/>
  <c r="L76" i="98"/>
  <c r="L17" i="98"/>
  <c r="L27" i="98"/>
  <c r="L41" i="98"/>
  <c r="L44" i="98"/>
  <c r="L39" i="98"/>
  <c r="L38" i="98"/>
  <c r="L65" i="98"/>
  <c r="L46" i="98"/>
  <c r="L37" i="98"/>
  <c r="L24" i="98"/>
  <c r="L73" i="98"/>
  <c r="L55" i="98"/>
  <c r="L43" i="98"/>
  <c r="L50" i="98"/>
  <c r="L51" i="98"/>
  <c r="L47" i="98"/>
  <c r="J95" i="98"/>
  <c r="L80" i="98"/>
  <c r="L33" i="98"/>
  <c r="L22" i="98"/>
  <c r="L19" i="98"/>
  <c r="L34" i="98"/>
  <c r="L48" i="98"/>
  <c r="L75" i="98"/>
  <c r="L66" i="98"/>
  <c r="L62" i="98"/>
  <c r="L59" i="98"/>
  <c r="L83" i="98"/>
  <c r="L32" i="98"/>
  <c r="L56" i="98"/>
  <c r="L52" i="98"/>
  <c r="L89" i="98"/>
  <c r="L49" i="98"/>
  <c r="L84" i="98"/>
  <c r="L42" i="98"/>
  <c r="L53" i="98"/>
  <c r="L15" i="98"/>
  <c r="L30" i="98"/>
  <c r="L21" i="98"/>
  <c r="L61" i="98"/>
  <c r="L20" i="98"/>
  <c r="L57" i="98"/>
  <c r="L69" i="98"/>
  <c r="L23" i="98"/>
  <c r="L63" i="98"/>
  <c r="L35" i="98"/>
  <c r="L60" i="98"/>
  <c r="L31" i="98"/>
  <c r="L87" i="98"/>
  <c r="L67" i="98"/>
  <c r="L74" i="98"/>
  <c r="L29" i="98"/>
  <c r="L28" i="98"/>
  <c r="L68" i="98"/>
  <c r="L45" i="98"/>
  <c r="L70" i="98"/>
  <c r="L36" i="98"/>
  <c r="L71" i="98"/>
  <c r="L88" i="98"/>
  <c r="L14" i="98"/>
  <c r="D33" i="99" s="1"/>
  <c r="L77" i="98"/>
  <c r="L82" i="98"/>
  <c r="B38" i="99"/>
  <c r="D34" i="99" l="1"/>
  <c r="C34" i="99" s="1"/>
  <c r="D35" i="99"/>
  <c r="E35" i="99" s="1"/>
  <c r="D36" i="99"/>
  <c r="C36" i="99" s="1"/>
  <c r="D37" i="99"/>
  <c r="E37" i="99" s="1"/>
  <c r="E33" i="99"/>
  <c r="C33" i="99"/>
  <c r="B39" i="99"/>
  <c r="D38" i="99"/>
  <c r="E34" i="99" l="1"/>
  <c r="C37" i="99"/>
  <c r="C35" i="99"/>
  <c r="E36" i="99"/>
  <c r="E38" i="99"/>
  <c r="C38" i="99"/>
  <c r="D39" i="99"/>
  <c r="B40" i="99"/>
  <c r="B41" i="99" l="1"/>
  <c r="D40" i="99"/>
  <c r="E39" i="99"/>
  <c r="C39" i="99"/>
  <c r="E40" i="99" l="1"/>
  <c r="C40" i="99"/>
  <c r="D41" i="99"/>
  <c r="B42" i="99"/>
  <c r="E41" i="99" l="1"/>
  <c r="C41" i="99"/>
  <c r="B43" i="99"/>
  <c r="D42" i="99"/>
  <c r="D43" i="99" l="1"/>
  <c r="B44" i="99"/>
  <c r="E42" i="99"/>
  <c r="C42" i="99"/>
  <c r="B45" i="99" l="1"/>
  <c r="D44" i="99"/>
  <c r="E43" i="99"/>
  <c r="C43" i="99"/>
  <c r="E44" i="99" l="1"/>
  <c r="C44" i="99"/>
  <c r="D45" i="99"/>
  <c r="B46" i="99"/>
  <c r="B47" i="99" l="1"/>
  <c r="D46" i="99"/>
  <c r="E45" i="99"/>
  <c r="C45" i="99"/>
  <c r="E46" i="99" l="1"/>
  <c r="C46" i="99"/>
  <c r="D47" i="99"/>
  <c r="B48" i="99"/>
  <c r="D48" i="99" l="1"/>
  <c r="E47" i="99"/>
  <c r="C47" i="99"/>
  <c r="E48" i="99" l="1"/>
  <c r="E50" i="99" s="1"/>
  <c r="E51" i="99" s="1"/>
  <c r="C48" i="99"/>
  <c r="D60" i="99" l="1"/>
  <c r="D59" i="99" l="1"/>
  <c r="F27" i="97" l="1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F29" i="97"/>
  <c r="E29" i="97"/>
  <c r="D27" i="97"/>
  <c r="E27" i="97" l="1"/>
  <c r="D28" i="97"/>
  <c r="E28" i="97"/>
  <c r="D26" i="97"/>
  <c r="F28" i="97"/>
  <c r="E26" i="97"/>
  <c r="D29" i="97"/>
  <c r="F26" i="97"/>
  <c r="G10" i="97"/>
  <c r="G63" i="96" l="1"/>
  <c r="D125" i="96"/>
  <c r="E125" i="96"/>
  <c r="D126" i="96"/>
  <c r="E126" i="96"/>
  <c r="E7" i="96"/>
  <c r="E8" i="96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E33" i="96"/>
  <c r="E34" i="96"/>
  <c r="E35" i="96"/>
  <c r="E36" i="96"/>
  <c r="E37" i="96"/>
  <c r="E38" i="96"/>
  <c r="E39" i="96"/>
  <c r="E40" i="96"/>
  <c r="E41" i="96"/>
  <c r="E42" i="96"/>
  <c r="E43" i="96"/>
  <c r="E44" i="96"/>
  <c r="E45" i="96"/>
  <c r="E46" i="96"/>
  <c r="E47" i="96"/>
  <c r="E48" i="96"/>
  <c r="E49" i="96"/>
  <c r="E50" i="96"/>
  <c r="E51" i="96"/>
  <c r="E52" i="96"/>
  <c r="E53" i="96"/>
  <c r="E54" i="96"/>
  <c r="E55" i="96"/>
  <c r="E56" i="96"/>
  <c r="E57" i="96"/>
  <c r="E58" i="96"/>
  <c r="E59" i="96"/>
  <c r="E60" i="96"/>
  <c r="E61" i="96"/>
  <c r="E62" i="96"/>
  <c r="E63" i="96"/>
  <c r="E64" i="96"/>
  <c r="E65" i="96"/>
  <c r="E66" i="96"/>
  <c r="E67" i="96"/>
  <c r="E68" i="96"/>
  <c r="E69" i="96"/>
  <c r="E70" i="96"/>
  <c r="E71" i="96"/>
  <c r="E72" i="96"/>
  <c r="E73" i="96"/>
  <c r="E74" i="96"/>
  <c r="E75" i="96"/>
  <c r="E76" i="96"/>
  <c r="E77" i="96"/>
  <c r="E78" i="96"/>
  <c r="E79" i="96"/>
  <c r="E80" i="96"/>
  <c r="E81" i="96"/>
  <c r="E82" i="96"/>
  <c r="E83" i="96"/>
  <c r="E84" i="96"/>
  <c r="E85" i="96"/>
  <c r="E86" i="96"/>
  <c r="E87" i="96"/>
  <c r="E88" i="96"/>
  <c r="E89" i="96"/>
  <c r="E90" i="96"/>
  <c r="E91" i="96"/>
  <c r="E92" i="96"/>
  <c r="E93" i="96"/>
  <c r="E94" i="96"/>
  <c r="E95" i="96"/>
  <c r="E96" i="96"/>
  <c r="E97" i="96"/>
  <c r="E98" i="96"/>
  <c r="E99" i="96"/>
  <c r="E100" i="96"/>
  <c r="E101" i="96"/>
  <c r="E102" i="96"/>
  <c r="E103" i="96"/>
  <c r="E104" i="96"/>
  <c r="E105" i="96"/>
  <c r="E106" i="96"/>
  <c r="E107" i="96"/>
  <c r="E108" i="96"/>
  <c r="E109" i="96"/>
  <c r="E110" i="96"/>
  <c r="E111" i="96"/>
  <c r="E112" i="96"/>
  <c r="E113" i="96"/>
  <c r="E114" i="96"/>
  <c r="E115" i="96"/>
  <c r="E116" i="96"/>
  <c r="E117" i="96"/>
  <c r="E118" i="96"/>
  <c r="E119" i="96"/>
  <c r="E120" i="96"/>
  <c r="E121" i="96"/>
  <c r="E122" i="96"/>
  <c r="E123" i="96"/>
  <c r="E124" i="96"/>
  <c r="E6" i="96"/>
  <c r="D42" i="94" l="1"/>
  <c r="I24" i="51" l="1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7" i="35"/>
  <c r="G22" i="35" l="1"/>
  <c r="H22" i="35"/>
  <c r="I22" i="35"/>
  <c r="G23" i="35"/>
  <c r="H23" i="35"/>
  <c r="I23" i="35"/>
  <c r="E23" i="35"/>
  <c r="E22" i="35"/>
  <c r="D76" i="94" l="1"/>
  <c r="D77" i="94" s="1"/>
  <c r="D78" i="94" s="1"/>
  <c r="D79" i="94" s="1"/>
  <c r="D80" i="94" s="1"/>
  <c r="D81" i="94" s="1"/>
  <c r="D82" i="94" s="1"/>
  <c r="D83" i="94" s="1"/>
  <c r="D84" i="94" s="1"/>
  <c r="D85" i="94" s="1"/>
  <c r="D86" i="94" s="1"/>
  <c r="D87" i="94" l="1"/>
  <c r="D88" i="94" s="1"/>
  <c r="D89" i="94" s="1"/>
  <c r="C126" i="96"/>
  <c r="C125" i="96"/>
  <c r="D43" i="94" l="1"/>
  <c r="H81" i="35" l="1"/>
  <c r="G81" i="35" l="1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44" i="35"/>
  <c r="H44" i="35"/>
  <c r="M8" i="35"/>
  <c r="Q8" i="35" s="1"/>
  <c r="M9" i="35"/>
  <c r="Q9" i="35" s="1"/>
  <c r="M10" i="35"/>
  <c r="Q10" i="35" s="1"/>
  <c r="M12" i="35"/>
  <c r="Q12" i="35" s="1"/>
  <c r="M13" i="35"/>
  <c r="Q13" i="35" s="1"/>
  <c r="M15" i="35"/>
  <c r="Q15" i="35" s="1"/>
  <c r="M16" i="35"/>
  <c r="Q16" i="35" s="1"/>
  <c r="M17" i="35"/>
  <c r="Q17" i="35" s="1"/>
  <c r="M19" i="35"/>
  <c r="Q19" i="35" s="1"/>
  <c r="M20" i="35"/>
  <c r="Q20" i="35" s="1"/>
  <c r="M21" i="35"/>
  <c r="Q21" i="35" s="1"/>
  <c r="G59" i="35" l="1"/>
  <c r="G60" i="35"/>
  <c r="M18" i="35"/>
  <c r="Q18" i="35" s="1"/>
  <c r="K18" i="35"/>
  <c r="O18" i="35" s="1"/>
  <c r="M11" i="35"/>
  <c r="Q11" i="35" s="1"/>
  <c r="K11" i="35"/>
  <c r="O11" i="35" s="1"/>
  <c r="M14" i="35"/>
  <c r="Q14" i="35" s="1"/>
  <c r="K14" i="35"/>
  <c r="O14" i="35" s="1"/>
  <c r="K17" i="35"/>
  <c r="O17" i="35" s="1"/>
  <c r="K10" i="35"/>
  <c r="O10" i="35" s="1"/>
  <c r="K16" i="35"/>
  <c r="O16" i="35" s="1"/>
  <c r="K9" i="35"/>
  <c r="O9" i="35" s="1"/>
  <c r="K15" i="35"/>
  <c r="O15" i="35" s="1"/>
  <c r="K8" i="35"/>
  <c r="O8" i="35" s="1"/>
  <c r="K21" i="35"/>
  <c r="O21" i="35" s="1"/>
  <c r="K20" i="35"/>
  <c r="O20" i="35" s="1"/>
  <c r="K19" i="35"/>
  <c r="O19" i="35" s="1"/>
  <c r="K13" i="35"/>
  <c r="O13" i="35" s="1"/>
  <c r="K12" i="35"/>
  <c r="O12" i="35" s="1"/>
  <c r="J52" i="96" l="1"/>
  <c r="K52" i="96" s="1"/>
  <c r="L52" i="96" s="1"/>
  <c r="E28" i="51" s="1"/>
  <c r="I18" i="51" s="1"/>
  <c r="J50" i="96"/>
  <c r="K50" i="96" l="1"/>
  <c r="L50" i="96" s="1"/>
  <c r="C28" i="51" s="1"/>
  <c r="I17" i="51" s="1"/>
  <c r="M13" i="95" l="1"/>
  <c r="M17" i="95"/>
  <c r="E22" i="95"/>
  <c r="B292" i="94"/>
  <c r="B259" i="94"/>
  <c r="M18" i="95"/>
  <c r="M15" i="95"/>
  <c r="F22" i="95"/>
  <c r="G22" i="95"/>
  <c r="H22" i="95"/>
  <c r="I22" i="95"/>
  <c r="J22" i="95"/>
  <c r="K22" i="95"/>
  <c r="L22" i="95"/>
  <c r="D22" i="95"/>
  <c r="M8" i="95"/>
  <c r="M12" i="95"/>
  <c r="M14" i="95"/>
  <c r="M19" i="95"/>
  <c r="C22" i="95"/>
  <c r="M7" i="95" l="1"/>
  <c r="M20" i="95"/>
  <c r="M21" i="95"/>
  <c r="M16" i="95"/>
  <c r="M9" i="95"/>
  <c r="M10" i="95"/>
  <c r="M11" i="95"/>
  <c r="M22" i="95" l="1"/>
  <c r="B194" i="94"/>
  <c r="B193" i="94"/>
  <c r="B192" i="94"/>
  <c r="B291" i="94" s="1"/>
  <c r="E175" i="94"/>
  <c r="E176" i="94"/>
  <c r="E177" i="94"/>
  <c r="E178" i="94"/>
  <c r="E179" i="94"/>
  <c r="E180" i="94"/>
  <c r="E181" i="94"/>
  <c r="E182" i="94"/>
  <c r="E183" i="94"/>
  <c r="E184" i="94"/>
  <c r="E185" i="94"/>
  <c r="E186" i="94"/>
  <c r="E187" i="94"/>
  <c r="E188" i="94"/>
  <c r="E174" i="94"/>
  <c r="D174" i="94"/>
  <c r="D273" i="94" s="1"/>
  <c r="D173" i="94"/>
  <c r="D272" i="94" s="1"/>
  <c r="B128" i="94"/>
  <c r="B161" i="94"/>
  <c r="B160" i="94"/>
  <c r="B159" i="94"/>
  <c r="B258" i="94" s="1"/>
  <c r="E142" i="94"/>
  <c r="E143" i="94"/>
  <c r="E144" i="94"/>
  <c r="E145" i="94"/>
  <c r="E146" i="94"/>
  <c r="E147" i="94"/>
  <c r="E148" i="94"/>
  <c r="E149" i="94"/>
  <c r="E150" i="94"/>
  <c r="E151" i="94"/>
  <c r="E152" i="94"/>
  <c r="E153" i="94"/>
  <c r="E154" i="94"/>
  <c r="E155" i="94"/>
  <c r="E141" i="94"/>
  <c r="D140" i="94"/>
  <c r="D239" i="94" s="1"/>
  <c r="B126" i="94"/>
  <c r="B225" i="94" s="1"/>
  <c r="D108" i="94"/>
  <c r="D207" i="94" s="1"/>
  <c r="B95" i="94"/>
  <c r="E76" i="94"/>
  <c r="E77" i="94"/>
  <c r="E78" i="94"/>
  <c r="E79" i="94"/>
  <c r="E80" i="94"/>
  <c r="E81" i="94"/>
  <c r="E82" i="94"/>
  <c r="E83" i="94"/>
  <c r="E84" i="94"/>
  <c r="E85" i="94"/>
  <c r="E86" i="94"/>
  <c r="E87" i="94"/>
  <c r="E88" i="94"/>
  <c r="E89" i="94"/>
  <c r="E75" i="94"/>
  <c r="D176" i="94"/>
  <c r="D275" i="94" s="1"/>
  <c r="B62" i="94"/>
  <c r="E43" i="94"/>
  <c r="E44" i="94"/>
  <c r="E45" i="94"/>
  <c r="E46" i="94"/>
  <c r="E47" i="94"/>
  <c r="E48" i="94"/>
  <c r="E49" i="94"/>
  <c r="E50" i="94"/>
  <c r="E51" i="94"/>
  <c r="E52" i="94"/>
  <c r="E53" i="94"/>
  <c r="E54" i="94"/>
  <c r="E55" i="94"/>
  <c r="E56" i="94"/>
  <c r="E42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C10" i="94"/>
  <c r="C76" i="94" s="1"/>
  <c r="C11" i="94"/>
  <c r="C77" i="94" s="1"/>
  <c r="C12" i="94"/>
  <c r="C177" i="94" s="1"/>
  <c r="C13" i="94"/>
  <c r="C46" i="94" s="1"/>
  <c r="C14" i="94"/>
  <c r="C80" i="94" s="1"/>
  <c r="C15" i="94"/>
  <c r="C81" i="94" s="1"/>
  <c r="C16" i="94"/>
  <c r="C49" i="94" s="1"/>
  <c r="C17" i="94"/>
  <c r="C83" i="94" s="1"/>
  <c r="C18" i="94"/>
  <c r="C84" i="94" s="1"/>
  <c r="C19" i="94"/>
  <c r="C184" i="94" s="1"/>
  <c r="C20" i="94"/>
  <c r="C86" i="94" s="1"/>
  <c r="C21" i="94"/>
  <c r="C186" i="94" s="1"/>
  <c r="C22" i="94"/>
  <c r="C55" i="94" s="1"/>
  <c r="C23" i="94"/>
  <c r="C89" i="94" s="1"/>
  <c r="C9" i="94"/>
  <c r="C42" i="94" s="1"/>
  <c r="B21" i="94"/>
  <c r="B186" i="94" s="1"/>
  <c r="B22" i="94"/>
  <c r="B55" i="94" s="1"/>
  <c r="B23" i="94"/>
  <c r="B188" i="94" s="1"/>
  <c r="B10" i="94"/>
  <c r="B175" i="94" s="1"/>
  <c r="B11" i="94"/>
  <c r="B44" i="94" s="1"/>
  <c r="B12" i="94"/>
  <c r="B177" i="94" s="1"/>
  <c r="B13" i="94"/>
  <c r="B46" i="94" s="1"/>
  <c r="B14" i="94"/>
  <c r="B179" i="94" s="1"/>
  <c r="B15" i="94"/>
  <c r="B48" i="94" s="1"/>
  <c r="B16" i="94"/>
  <c r="B49" i="94" s="1"/>
  <c r="B17" i="94"/>
  <c r="B182" i="94" s="1"/>
  <c r="B18" i="94"/>
  <c r="B51" i="94" s="1"/>
  <c r="B19" i="94"/>
  <c r="B184" i="94" s="1"/>
  <c r="B20" i="94"/>
  <c r="B185" i="94" s="1"/>
  <c r="B9" i="94"/>
  <c r="B42" i="94" s="1"/>
  <c r="D21" i="94" l="1"/>
  <c r="D22" i="94" s="1"/>
  <c r="D23" i="94" s="1"/>
  <c r="D122" i="94" s="1"/>
  <c r="D221" i="94" s="1"/>
  <c r="D109" i="94"/>
  <c r="D208" i="94" s="1"/>
  <c r="D175" i="94"/>
  <c r="D274" i="94" s="1"/>
  <c r="D115" i="94"/>
  <c r="D214" i="94" s="1"/>
  <c r="D112" i="94"/>
  <c r="D211" i="94" s="1"/>
  <c r="D118" i="94"/>
  <c r="D217" i="94" s="1"/>
  <c r="D111" i="94"/>
  <c r="D210" i="94" s="1"/>
  <c r="B260" i="94"/>
  <c r="B293" i="94"/>
  <c r="B227" i="94"/>
  <c r="D116" i="94"/>
  <c r="D215" i="94" s="1"/>
  <c r="D113" i="94"/>
  <c r="D212" i="94" s="1"/>
  <c r="K51" i="96"/>
  <c r="L51" i="96" s="1"/>
  <c r="D117" i="94"/>
  <c r="D216" i="94" s="1"/>
  <c r="D114" i="94"/>
  <c r="D213" i="94" s="1"/>
  <c r="D110" i="94"/>
  <c r="D209" i="94" s="1"/>
  <c r="D141" i="94"/>
  <c r="D240" i="94" s="1"/>
  <c r="C56" i="94"/>
  <c r="C54" i="94"/>
  <c r="C53" i="94"/>
  <c r="C52" i="94"/>
  <c r="C50" i="94"/>
  <c r="C47" i="94"/>
  <c r="C45" i="94"/>
  <c r="C43" i="94"/>
  <c r="B75" i="94"/>
  <c r="B84" i="94"/>
  <c r="B81" i="94"/>
  <c r="B77" i="94"/>
  <c r="C88" i="94"/>
  <c r="C82" i="94"/>
  <c r="C79" i="94"/>
  <c r="B108" i="94"/>
  <c r="C121" i="94"/>
  <c r="C117" i="94"/>
  <c r="C115" i="94"/>
  <c r="C114" i="94"/>
  <c r="C112" i="94"/>
  <c r="C110" i="94"/>
  <c r="B141" i="94"/>
  <c r="C154" i="94"/>
  <c r="C150" i="94"/>
  <c r="C148" i="94"/>
  <c r="C147" i="94"/>
  <c r="C145" i="94"/>
  <c r="C143" i="94"/>
  <c r="B174" i="94"/>
  <c r="C187" i="94"/>
  <c r="C183" i="94"/>
  <c r="C181" i="94"/>
  <c r="C180" i="94"/>
  <c r="C178" i="94"/>
  <c r="C176" i="94"/>
  <c r="B56" i="94"/>
  <c r="B54" i="94"/>
  <c r="B53" i="94"/>
  <c r="B52" i="94"/>
  <c r="B50" i="94"/>
  <c r="B47" i="94"/>
  <c r="B45" i="94"/>
  <c r="B43" i="94"/>
  <c r="B89" i="94"/>
  <c r="B86" i="94"/>
  <c r="B83" i="94"/>
  <c r="B80" i="94"/>
  <c r="B76" i="94"/>
  <c r="C87" i="94"/>
  <c r="C85" i="94"/>
  <c r="C78" i="94"/>
  <c r="C108" i="94"/>
  <c r="B121" i="94"/>
  <c r="B117" i="94"/>
  <c r="B115" i="94"/>
  <c r="B114" i="94"/>
  <c r="B112" i="94"/>
  <c r="B110" i="94"/>
  <c r="C141" i="94"/>
  <c r="B154" i="94"/>
  <c r="B150" i="94"/>
  <c r="B148" i="94"/>
  <c r="B147" i="94"/>
  <c r="B145" i="94"/>
  <c r="B143" i="94"/>
  <c r="C174" i="94"/>
  <c r="B187" i="94"/>
  <c r="B183" i="94"/>
  <c r="B181" i="94"/>
  <c r="B180" i="94"/>
  <c r="B178" i="94"/>
  <c r="B176" i="94"/>
  <c r="C51" i="94"/>
  <c r="C48" i="94"/>
  <c r="C44" i="94"/>
  <c r="B88" i="94"/>
  <c r="B82" i="94"/>
  <c r="B79" i="94"/>
  <c r="C75" i="94"/>
  <c r="C122" i="94"/>
  <c r="C120" i="94"/>
  <c r="C119" i="94"/>
  <c r="C118" i="94"/>
  <c r="C116" i="94"/>
  <c r="C113" i="94"/>
  <c r="C111" i="94"/>
  <c r="C109" i="94"/>
  <c r="C155" i="94"/>
  <c r="C153" i="94"/>
  <c r="C152" i="94"/>
  <c r="C151" i="94"/>
  <c r="C149" i="94"/>
  <c r="C146" i="94"/>
  <c r="C144" i="94"/>
  <c r="C142" i="94"/>
  <c r="C188" i="94"/>
  <c r="C185" i="94"/>
  <c r="C182" i="94"/>
  <c r="C179" i="94"/>
  <c r="C175" i="94"/>
  <c r="B87" i="94"/>
  <c r="B85" i="94"/>
  <c r="B78" i="94"/>
  <c r="B122" i="94"/>
  <c r="B120" i="94"/>
  <c r="B119" i="94"/>
  <c r="B118" i="94"/>
  <c r="B116" i="94"/>
  <c r="B113" i="94"/>
  <c r="B111" i="94"/>
  <c r="B109" i="94"/>
  <c r="B155" i="94"/>
  <c r="B153" i="94"/>
  <c r="B152" i="94"/>
  <c r="B151" i="94"/>
  <c r="B149" i="94"/>
  <c r="B146" i="94"/>
  <c r="B144" i="94"/>
  <c r="B142" i="94"/>
  <c r="D177" i="94"/>
  <c r="D276" i="94" s="1"/>
  <c r="D120" i="94" l="1"/>
  <c r="D219" i="94" s="1"/>
  <c r="D121" i="94"/>
  <c r="D220" i="94" s="1"/>
  <c r="D119" i="94"/>
  <c r="D218" i="94" s="1"/>
  <c r="D28" i="51"/>
  <c r="L53" i="96"/>
  <c r="D44" i="94"/>
  <c r="D142" i="94"/>
  <c r="D241" i="94" s="1"/>
  <c r="C241" i="94"/>
  <c r="C208" i="94"/>
  <c r="E208" i="94" s="1"/>
  <c r="E241" i="94" s="1"/>
  <c r="E274" i="94" s="1"/>
  <c r="C274" i="94"/>
  <c r="C248" i="94"/>
  <c r="C215" i="94"/>
  <c r="E215" i="94" s="1"/>
  <c r="E248" i="94" s="1"/>
  <c r="E281" i="94" s="1"/>
  <c r="C281" i="94"/>
  <c r="C254" i="94"/>
  <c r="C221" i="94"/>
  <c r="E221" i="94" s="1"/>
  <c r="E254" i="94" s="1"/>
  <c r="E287" i="94" s="1"/>
  <c r="C287" i="94"/>
  <c r="B275" i="94"/>
  <c r="B242" i="94"/>
  <c r="B209" i="94"/>
  <c r="B282" i="94"/>
  <c r="B216" i="94"/>
  <c r="B249" i="94"/>
  <c r="C273" i="94"/>
  <c r="C240" i="94"/>
  <c r="C207" i="94"/>
  <c r="E207" i="94" s="1"/>
  <c r="E240" i="94" s="1"/>
  <c r="E273" i="94" s="1"/>
  <c r="C214" i="94"/>
  <c r="E214" i="94" s="1"/>
  <c r="E247" i="94" s="1"/>
  <c r="E280" i="94" s="1"/>
  <c r="C280" i="94"/>
  <c r="C247" i="94"/>
  <c r="C220" i="94"/>
  <c r="E220" i="94" s="1"/>
  <c r="E253" i="94" s="1"/>
  <c r="E286" i="94" s="1"/>
  <c r="C286" i="94"/>
  <c r="C253" i="94"/>
  <c r="B241" i="94"/>
  <c r="B208" i="94"/>
  <c r="B274" i="94"/>
  <c r="B248" i="94"/>
  <c r="B215" i="94"/>
  <c r="B281" i="94"/>
  <c r="B254" i="94"/>
  <c r="B221" i="94"/>
  <c r="B287" i="94"/>
  <c r="C276" i="94"/>
  <c r="C243" i="94"/>
  <c r="C210" i="94"/>
  <c r="E210" i="94" s="1"/>
  <c r="E243" i="94" s="1"/>
  <c r="E276" i="94" s="1"/>
  <c r="C283" i="94"/>
  <c r="C250" i="94"/>
  <c r="C217" i="94"/>
  <c r="E217" i="94" s="1"/>
  <c r="E250" i="94" s="1"/>
  <c r="E283" i="94" s="1"/>
  <c r="B244" i="94"/>
  <c r="B211" i="94"/>
  <c r="B277" i="94"/>
  <c r="C242" i="94"/>
  <c r="C209" i="94"/>
  <c r="E209" i="94" s="1"/>
  <c r="E242" i="94" s="1"/>
  <c r="E275" i="94" s="1"/>
  <c r="C275" i="94"/>
  <c r="C249" i="94"/>
  <c r="C216" i="94"/>
  <c r="E216" i="94" s="1"/>
  <c r="E249" i="94" s="1"/>
  <c r="E282" i="94" s="1"/>
  <c r="C282" i="94"/>
  <c r="B207" i="94"/>
  <c r="B273" i="94"/>
  <c r="B240" i="94"/>
  <c r="B285" i="94"/>
  <c r="B252" i="94"/>
  <c r="B219" i="94"/>
  <c r="B276" i="94"/>
  <c r="B243" i="94"/>
  <c r="B210" i="94"/>
  <c r="B283" i="94"/>
  <c r="B217" i="94"/>
  <c r="B250" i="94"/>
  <c r="C245" i="94"/>
  <c r="C212" i="94"/>
  <c r="E212" i="94" s="1"/>
  <c r="E245" i="94" s="1"/>
  <c r="E278" i="94" s="1"/>
  <c r="C278" i="94"/>
  <c r="C251" i="94"/>
  <c r="C218" i="94"/>
  <c r="E218" i="94" s="1"/>
  <c r="E251" i="94" s="1"/>
  <c r="E284" i="94" s="1"/>
  <c r="C284" i="94"/>
  <c r="B279" i="94"/>
  <c r="B213" i="94"/>
  <c r="B246" i="94"/>
  <c r="C277" i="94"/>
  <c r="C211" i="94"/>
  <c r="E211" i="94" s="1"/>
  <c r="E244" i="94" s="1"/>
  <c r="E277" i="94" s="1"/>
  <c r="C244" i="94"/>
  <c r="B245" i="94"/>
  <c r="B212" i="94"/>
  <c r="B278" i="94"/>
  <c r="B251" i="94"/>
  <c r="B218" i="94"/>
  <c r="B284" i="94"/>
  <c r="C285" i="94"/>
  <c r="C252" i="94"/>
  <c r="C219" i="94"/>
  <c r="E219" i="94" s="1"/>
  <c r="E252" i="94" s="1"/>
  <c r="E285" i="94" s="1"/>
  <c r="B247" i="94"/>
  <c r="B214" i="94"/>
  <c r="B280" i="94"/>
  <c r="B253" i="94"/>
  <c r="B220" i="94"/>
  <c r="B286" i="94"/>
  <c r="C246" i="94"/>
  <c r="C213" i="94"/>
  <c r="E213" i="94" s="1"/>
  <c r="E246" i="94" s="1"/>
  <c r="E279" i="94" s="1"/>
  <c r="C279" i="94"/>
  <c r="D178" i="94"/>
  <c r="D277" i="94" s="1"/>
  <c r="D45" i="94" l="1"/>
  <c r="D143" i="94"/>
  <c r="D242" i="94" s="1"/>
  <c r="D179" i="94"/>
  <c r="D278" i="94" s="1"/>
  <c r="D46" i="94" l="1"/>
  <c r="D144" i="94"/>
  <c r="D243" i="94" s="1"/>
  <c r="D180" i="94"/>
  <c r="D279" i="94" s="1"/>
  <c r="D47" i="94" l="1"/>
  <c r="D145" i="94"/>
  <c r="D244" i="94" s="1"/>
  <c r="D48" i="94" l="1"/>
  <c r="D49" i="94" s="1"/>
  <c r="D50" i="94" s="1"/>
  <c r="D51" i="94" s="1"/>
  <c r="D52" i="94" s="1"/>
  <c r="D53" i="94" s="1"/>
  <c r="D146" i="94"/>
  <c r="D245" i="94" s="1"/>
  <c r="D181" i="94"/>
  <c r="D280" i="94" s="1"/>
  <c r="D54" i="94" l="1"/>
  <c r="D55" i="94" s="1"/>
  <c r="D56" i="94" s="1"/>
  <c r="D147" i="94"/>
  <c r="D246" i="94" s="1"/>
  <c r="D182" i="94"/>
  <c r="D281" i="94" s="1"/>
  <c r="D183" i="94" l="1"/>
  <c r="D282" i="94" s="1"/>
  <c r="D148" i="94" l="1"/>
  <c r="D247" i="94" s="1"/>
  <c r="D184" i="94" l="1"/>
  <c r="D283" i="94" s="1"/>
  <c r="D284" i="94" s="1"/>
  <c r="D286" i="94" s="1"/>
  <c r="D287" i="94" s="1"/>
  <c r="D149" i="94"/>
  <c r="D248" i="94" s="1"/>
  <c r="D150" i="94" l="1"/>
  <c r="D249" i="94" s="1"/>
  <c r="D185" i="94"/>
  <c r="D152" i="94" l="1"/>
  <c r="D251" i="94" s="1"/>
  <c r="D151" i="94"/>
  <c r="D250" i="94" s="1"/>
  <c r="D186" i="94" l="1"/>
  <c r="D153" i="94" l="1"/>
  <c r="D252" i="94" s="1"/>
  <c r="D187" i="94"/>
  <c r="D155" i="94" l="1"/>
  <c r="D254" i="94" s="1"/>
  <c r="D154" i="94"/>
  <c r="D253" i="94" s="1"/>
  <c r="D188" i="94"/>
  <c r="A101" i="35" l="1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G90" i="35"/>
  <c r="H90" i="35"/>
  <c r="I90" i="35"/>
  <c r="G91" i="35"/>
  <c r="H91" i="35"/>
  <c r="I91" i="35"/>
  <c r="G92" i="35"/>
  <c r="H92" i="35"/>
  <c r="I92" i="35"/>
  <c r="G93" i="35"/>
  <c r="H93" i="35"/>
  <c r="I93" i="35"/>
  <c r="G94" i="35"/>
  <c r="H94" i="35"/>
  <c r="I94" i="35"/>
  <c r="G95" i="35"/>
  <c r="H95" i="35"/>
  <c r="I95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A6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H55" i="35"/>
  <c r="I55" i="35"/>
  <c r="H56" i="35"/>
  <c r="I56" i="35"/>
  <c r="H57" i="35"/>
  <c r="I57" i="35"/>
  <c r="H58" i="35"/>
  <c r="I58" i="35"/>
  <c r="C45" i="35"/>
  <c r="E45" i="35" s="1"/>
  <c r="C46" i="35"/>
  <c r="E46" i="35" s="1"/>
  <c r="C47" i="35"/>
  <c r="E47" i="35" s="1"/>
  <c r="C48" i="35"/>
  <c r="E48" i="35" s="1"/>
  <c r="C49" i="35"/>
  <c r="E49" i="35" s="1"/>
  <c r="C50" i="35"/>
  <c r="E50" i="35" s="1"/>
  <c r="C51" i="35"/>
  <c r="E51" i="35" s="1"/>
  <c r="C52" i="35"/>
  <c r="E52" i="35" s="1"/>
  <c r="C53" i="35"/>
  <c r="E53" i="35" s="1"/>
  <c r="C54" i="35"/>
  <c r="E54" i="35" s="1"/>
  <c r="C55" i="35"/>
  <c r="E55" i="35" s="1"/>
  <c r="C56" i="35"/>
  <c r="E56" i="35" s="1"/>
  <c r="C57" i="35"/>
  <c r="E57" i="35" s="1"/>
  <c r="C58" i="35"/>
  <c r="E58" i="35" s="1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84" i="35" l="1"/>
  <c r="H59" i="35"/>
  <c r="H60" i="35"/>
  <c r="H96" i="35"/>
  <c r="H97" i="35"/>
  <c r="G96" i="35"/>
  <c r="G97" i="35"/>
  <c r="J91" i="35"/>
  <c r="J45" i="35"/>
  <c r="J50" i="35"/>
  <c r="J47" i="35"/>
  <c r="J89" i="35"/>
  <c r="J88" i="35"/>
  <c r="J86" i="35"/>
  <c r="J55" i="35"/>
  <c r="J58" i="35"/>
  <c r="J56" i="35"/>
  <c r="J54" i="35"/>
  <c r="J82" i="35"/>
  <c r="J57" i="35"/>
  <c r="J48" i="35"/>
  <c r="J93" i="35"/>
  <c r="J87" i="35"/>
  <c r="J85" i="35"/>
  <c r="J52" i="35"/>
  <c r="J95" i="35"/>
  <c r="J94" i="35"/>
  <c r="J92" i="35"/>
  <c r="J90" i="35"/>
  <c r="J83" i="35"/>
  <c r="J53" i="35"/>
  <c r="J51" i="35"/>
  <c r="J49" i="35"/>
  <c r="J46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A19" i="35"/>
  <c r="A20" i="35"/>
  <c r="A21" i="35"/>
  <c r="A18" i="35"/>
  <c r="A8" i="35"/>
  <c r="A9" i="35"/>
  <c r="A10" i="35"/>
  <c r="A11" i="35"/>
  <c r="A12" i="35"/>
  <c r="A13" i="35"/>
  <c r="A14" i="35"/>
  <c r="A15" i="35"/>
  <c r="A16" i="35"/>
  <c r="A17" i="35"/>
  <c r="A7" i="35"/>
  <c r="A49" i="35" l="1"/>
  <c r="A86" i="35"/>
  <c r="B57" i="35"/>
  <c r="B94" i="35"/>
  <c r="B48" i="35"/>
  <c r="B85" i="35"/>
  <c r="A48" i="35"/>
  <c r="A85" i="35"/>
  <c r="A57" i="35"/>
  <c r="A94" i="35"/>
  <c r="B56" i="35"/>
  <c r="B93" i="35"/>
  <c r="B54" i="35"/>
  <c r="B91" i="35"/>
  <c r="B47" i="35"/>
  <c r="B84" i="35"/>
  <c r="A45" i="35"/>
  <c r="A82" i="35"/>
  <c r="A54" i="35"/>
  <c r="A91" i="35"/>
  <c r="A47" i="35"/>
  <c r="A84" i="35"/>
  <c r="A55" i="35"/>
  <c r="A92" i="35"/>
  <c r="A56" i="35"/>
  <c r="A93" i="35"/>
  <c r="B53" i="35"/>
  <c r="B90" i="35"/>
  <c r="B50" i="35"/>
  <c r="B87" i="35"/>
  <c r="B46" i="35"/>
  <c r="B83" i="35"/>
  <c r="A52" i="35"/>
  <c r="A89" i="35"/>
  <c r="A58" i="35"/>
  <c r="A95" i="35"/>
  <c r="B51" i="35"/>
  <c r="B88" i="35"/>
  <c r="A51" i="35"/>
  <c r="A88" i="35"/>
  <c r="A53" i="35"/>
  <c r="A90" i="35"/>
  <c r="A50" i="35"/>
  <c r="A87" i="35"/>
  <c r="A46" i="35"/>
  <c r="A83" i="35"/>
  <c r="B58" i="35"/>
  <c r="B95" i="35"/>
  <c r="B55" i="35"/>
  <c r="B92" i="35"/>
  <c r="B52" i="35"/>
  <c r="B89" i="35"/>
  <c r="B49" i="35"/>
  <c r="B86" i="35"/>
  <c r="B45" i="35"/>
  <c r="B82" i="35"/>
  <c r="I81" i="35" l="1"/>
  <c r="C81" i="35"/>
  <c r="I44" i="35"/>
  <c r="C44" i="35"/>
  <c r="E44" i="35" s="1"/>
  <c r="J7" i="35"/>
  <c r="B7" i="35"/>
  <c r="E60" i="35" l="1"/>
  <c r="E59" i="35"/>
  <c r="J22" i="35"/>
  <c r="J23" i="35"/>
  <c r="I60" i="35"/>
  <c r="I59" i="35"/>
  <c r="I96" i="35"/>
  <c r="I97" i="35"/>
  <c r="B44" i="35"/>
  <c r="B81" i="35"/>
  <c r="A44" i="35"/>
  <c r="J44" i="35"/>
  <c r="A81" i="35"/>
  <c r="J81" i="35"/>
  <c r="J59" i="35" l="1"/>
  <c r="J60" i="35"/>
  <c r="J96" i="35"/>
  <c r="J97" i="35"/>
  <c r="D29" i="51"/>
  <c r="E95" i="35" l="1"/>
  <c r="E91" i="35"/>
  <c r="E81" i="35"/>
  <c r="M95" i="35" l="1"/>
  <c r="Q95" i="35" s="1"/>
  <c r="F95" i="35"/>
  <c r="L95" i="35" s="1"/>
  <c r="P95" i="35" s="1"/>
  <c r="K95" i="35"/>
  <c r="O95" i="35" s="1"/>
  <c r="K91" i="35"/>
  <c r="O91" i="35" s="1"/>
  <c r="F91" i="35"/>
  <c r="L91" i="35" s="1"/>
  <c r="P91" i="35" s="1"/>
  <c r="M91" i="35"/>
  <c r="Q91" i="35" s="1"/>
  <c r="M81" i="35"/>
  <c r="Q81" i="35" s="1"/>
  <c r="K81" i="35"/>
  <c r="O81" i="35" s="1"/>
  <c r="F81" i="35"/>
  <c r="E86" i="35"/>
  <c r="E88" i="35"/>
  <c r="E89" i="35"/>
  <c r="E93" i="35"/>
  <c r="E87" i="35"/>
  <c r="E90" i="35"/>
  <c r="E84" i="35"/>
  <c r="E83" i="35"/>
  <c r="E82" i="35"/>
  <c r="E92" i="35"/>
  <c r="E94" i="35"/>
  <c r="E85" i="35"/>
  <c r="E97" i="35" l="1"/>
  <c r="E96" i="35"/>
  <c r="M94" i="35"/>
  <c r="Q94" i="35" s="1"/>
  <c r="K94" i="35"/>
  <c r="O94" i="35" s="1"/>
  <c r="F94" i="35"/>
  <c r="L94" i="35" s="1"/>
  <c r="P94" i="35" s="1"/>
  <c r="F82" i="35"/>
  <c r="L82" i="35" s="1"/>
  <c r="P82" i="35" s="1"/>
  <c r="M82" i="35"/>
  <c r="Q82" i="35" s="1"/>
  <c r="K82" i="35"/>
  <c r="O82" i="35" s="1"/>
  <c r="F87" i="35"/>
  <c r="L87" i="35" s="1"/>
  <c r="P87" i="35" s="1"/>
  <c r="K87" i="35"/>
  <c r="O87" i="35" s="1"/>
  <c r="M87" i="35"/>
  <c r="Q87" i="35" s="1"/>
  <c r="F93" i="35"/>
  <c r="L93" i="35" s="1"/>
  <c r="P93" i="35" s="1"/>
  <c r="M93" i="35"/>
  <c r="Q93" i="35" s="1"/>
  <c r="K93" i="35"/>
  <c r="O93" i="35" s="1"/>
  <c r="K83" i="35"/>
  <c r="O83" i="35" s="1"/>
  <c r="M83" i="35"/>
  <c r="Q83" i="35" s="1"/>
  <c r="F83" i="35"/>
  <c r="L83" i="35" s="1"/>
  <c r="P83" i="35" s="1"/>
  <c r="M84" i="35"/>
  <c r="Q84" i="35" s="1"/>
  <c r="F84" i="35"/>
  <c r="L84" i="35" s="1"/>
  <c r="P84" i="35" s="1"/>
  <c r="K84" i="35"/>
  <c r="O84" i="35" s="1"/>
  <c r="K89" i="35"/>
  <c r="O89" i="35" s="1"/>
  <c r="F89" i="35"/>
  <c r="L89" i="35" s="1"/>
  <c r="P89" i="35" s="1"/>
  <c r="M89" i="35"/>
  <c r="Q89" i="35" s="1"/>
  <c r="M88" i="35"/>
  <c r="Q88" i="35" s="1"/>
  <c r="K88" i="35"/>
  <c r="O88" i="35" s="1"/>
  <c r="F88" i="35"/>
  <c r="L88" i="35" s="1"/>
  <c r="P88" i="35" s="1"/>
  <c r="K92" i="35"/>
  <c r="O92" i="35" s="1"/>
  <c r="M92" i="35"/>
  <c r="Q92" i="35" s="1"/>
  <c r="F92" i="35"/>
  <c r="L92" i="35" s="1"/>
  <c r="P92" i="35" s="1"/>
  <c r="M85" i="35"/>
  <c r="Q85" i="35" s="1"/>
  <c r="K85" i="35"/>
  <c r="O85" i="35" s="1"/>
  <c r="F85" i="35"/>
  <c r="L85" i="35" s="1"/>
  <c r="P85" i="35" s="1"/>
  <c r="M86" i="35"/>
  <c r="Q86" i="35" s="1"/>
  <c r="F86" i="35"/>
  <c r="L86" i="35" s="1"/>
  <c r="P86" i="35" s="1"/>
  <c r="K86" i="35"/>
  <c r="O86" i="35" s="1"/>
  <c r="K90" i="35"/>
  <c r="O90" i="35" s="1"/>
  <c r="F90" i="35"/>
  <c r="L90" i="35" s="1"/>
  <c r="P90" i="35" s="1"/>
  <c r="M90" i="35"/>
  <c r="Q90" i="35" s="1"/>
  <c r="L81" i="35"/>
  <c r="P81" i="35" s="1"/>
  <c r="F54" i="35"/>
  <c r="M44" i="35"/>
  <c r="Q44" i="35" s="1"/>
  <c r="F58" i="35"/>
  <c r="K54" i="35"/>
  <c r="O54" i="35" s="1"/>
  <c r="K58" i="35"/>
  <c r="O58" i="35" s="1"/>
  <c r="F17" i="35"/>
  <c r="L17" i="35" s="1"/>
  <c r="P17" i="35" s="1"/>
  <c r="F21" i="35"/>
  <c r="L21" i="35" s="1"/>
  <c r="P21" i="35" s="1"/>
  <c r="F7" i="35"/>
  <c r="K7" i="35"/>
  <c r="O7" i="35" s="1"/>
  <c r="M7" i="35"/>
  <c r="Q7" i="35" s="1"/>
  <c r="K96" i="35" l="1"/>
  <c r="O97" i="35"/>
  <c r="O96" i="35"/>
  <c r="C14" i="51" s="1"/>
  <c r="L97" i="35"/>
  <c r="D8" i="51" s="1"/>
  <c r="L96" i="35"/>
  <c r="K97" i="35"/>
  <c r="C8" i="51" s="1"/>
  <c r="M96" i="35"/>
  <c r="M97" i="35"/>
  <c r="E8" i="51" s="1"/>
  <c r="M22" i="35"/>
  <c r="M23" i="35"/>
  <c r="E6" i="51" s="1"/>
  <c r="Q96" i="35"/>
  <c r="E14" i="51" s="1"/>
  <c r="Q97" i="35"/>
  <c r="F96" i="35"/>
  <c r="K22" i="35"/>
  <c r="K23" i="35"/>
  <c r="C6" i="51" s="1"/>
  <c r="F97" i="35"/>
  <c r="F47" i="35"/>
  <c r="F57" i="35"/>
  <c r="M58" i="35"/>
  <c r="Q58" i="35" s="1"/>
  <c r="F55" i="35"/>
  <c r="L55" i="35" s="1"/>
  <c r="P55" i="35" s="1"/>
  <c r="F53" i="35"/>
  <c r="F46" i="35"/>
  <c r="M54" i="35"/>
  <c r="Q54" i="35" s="1"/>
  <c r="F44" i="35"/>
  <c r="K44" i="35"/>
  <c r="O44" i="35" s="1"/>
  <c r="F51" i="35"/>
  <c r="F50" i="35"/>
  <c r="F56" i="35"/>
  <c r="F49" i="35"/>
  <c r="F52" i="35"/>
  <c r="F45" i="35"/>
  <c r="F48" i="35"/>
  <c r="M50" i="35"/>
  <c r="Q50" i="35" s="1"/>
  <c r="M55" i="35"/>
  <c r="Q55" i="35" s="1"/>
  <c r="K55" i="35"/>
  <c r="O55" i="35" s="1"/>
  <c r="K57" i="35"/>
  <c r="O57" i="35" s="1"/>
  <c r="M57" i="35"/>
  <c r="Q57" i="35" s="1"/>
  <c r="K53" i="35"/>
  <c r="O53" i="35" s="1"/>
  <c r="M53" i="35"/>
  <c r="Q53" i="35" s="1"/>
  <c r="M51" i="35"/>
  <c r="Q51" i="35" s="1"/>
  <c r="K51" i="35"/>
  <c r="O51" i="35" s="1"/>
  <c r="M47" i="35"/>
  <c r="Q47" i="35" s="1"/>
  <c r="K47" i="35"/>
  <c r="O47" i="35" s="1"/>
  <c r="M46" i="35"/>
  <c r="Q46" i="35" s="1"/>
  <c r="K46" i="35"/>
  <c r="O46" i="35" s="1"/>
  <c r="L7" i="35"/>
  <c r="P7" i="35" s="1"/>
  <c r="F60" i="35" l="1"/>
  <c r="F59" i="35"/>
  <c r="P96" i="35"/>
  <c r="D14" i="51" s="1"/>
  <c r="P97" i="35"/>
  <c r="Q22" i="35"/>
  <c r="E12" i="51" s="1"/>
  <c r="Q23" i="35"/>
  <c r="O23" i="35"/>
  <c r="O22" i="35"/>
  <c r="C12" i="51" s="1"/>
  <c r="K50" i="35"/>
  <c r="O50" i="35" s="1"/>
  <c r="K49" i="35"/>
  <c r="O49" i="35" s="1"/>
  <c r="K48" i="35"/>
  <c r="O48" i="35" s="1"/>
  <c r="M56" i="35"/>
  <c r="Q56" i="35" s="1"/>
  <c r="L53" i="35"/>
  <c r="P53" i="35" s="1"/>
  <c r="L57" i="35"/>
  <c r="P57" i="35" s="1"/>
  <c r="L50" i="35"/>
  <c r="P50" i="35" s="1"/>
  <c r="L58" i="35"/>
  <c r="P58" i="35" s="1"/>
  <c r="L54" i="35"/>
  <c r="P54" i="35" s="1"/>
  <c r="L44" i="35"/>
  <c r="P44" i="35" s="1"/>
  <c r="M49" i="35"/>
  <c r="Q49" i="35" s="1"/>
  <c r="M48" i="35"/>
  <c r="Q48" i="35" s="1"/>
  <c r="K56" i="35"/>
  <c r="O56" i="35" s="1"/>
  <c r="K52" i="35"/>
  <c r="O52" i="35" s="1"/>
  <c r="M52" i="35"/>
  <c r="Q52" i="35" s="1"/>
  <c r="L52" i="35"/>
  <c r="P52" i="35" s="1"/>
  <c r="K45" i="35"/>
  <c r="O45" i="35" s="1"/>
  <c r="M45" i="35"/>
  <c r="Q45" i="35" s="1"/>
  <c r="F16" i="35"/>
  <c r="L16" i="35" s="1"/>
  <c r="P16" i="35" s="1"/>
  <c r="F15" i="35"/>
  <c r="L15" i="35" s="1"/>
  <c r="P15" i="35" s="1"/>
  <c r="F13" i="35"/>
  <c r="L13" i="35" s="1"/>
  <c r="P13" i="35" s="1"/>
  <c r="F19" i="35"/>
  <c r="L19" i="35" s="1"/>
  <c r="P19" i="35" s="1"/>
  <c r="F12" i="35"/>
  <c r="L12" i="35" s="1"/>
  <c r="P12" i="35" s="1"/>
  <c r="F9" i="35"/>
  <c r="L9" i="35" s="1"/>
  <c r="P9" i="35" s="1"/>
  <c r="F11" i="35"/>
  <c r="L11" i="35" s="1"/>
  <c r="P11" i="35" s="1"/>
  <c r="F10" i="35"/>
  <c r="L10" i="35" s="1"/>
  <c r="P10" i="35" s="1"/>
  <c r="F8" i="35"/>
  <c r="F14" i="35"/>
  <c r="L14" i="35" s="1"/>
  <c r="P14" i="35" s="1"/>
  <c r="F20" i="35"/>
  <c r="L20" i="35" s="1"/>
  <c r="P20" i="35" s="1"/>
  <c r="F18" i="35"/>
  <c r="L18" i="35" s="1"/>
  <c r="P18" i="35" s="1"/>
  <c r="K59" i="35" l="1"/>
  <c r="K60" i="35"/>
  <c r="C7" i="51" s="1"/>
  <c r="C9" i="51" s="1"/>
  <c r="O60" i="35"/>
  <c r="O59" i="35"/>
  <c r="C13" i="51" s="1"/>
  <c r="M60" i="35"/>
  <c r="E7" i="51" s="1"/>
  <c r="E9" i="51" s="1"/>
  <c r="M59" i="35"/>
  <c r="L8" i="35"/>
  <c r="P8" i="35" s="1"/>
  <c r="F23" i="35"/>
  <c r="F22" i="35"/>
  <c r="L51" i="35"/>
  <c r="P51" i="35" s="1"/>
  <c r="L56" i="35"/>
  <c r="P56" i="35" s="1"/>
  <c r="L49" i="35"/>
  <c r="P49" i="35" s="1"/>
  <c r="L48" i="35"/>
  <c r="P48" i="35" s="1"/>
  <c r="L46" i="35"/>
  <c r="P46" i="35" s="1"/>
  <c r="L47" i="35"/>
  <c r="P47" i="35" s="1"/>
  <c r="L45" i="35"/>
  <c r="P45" i="35" s="1"/>
  <c r="C15" i="51" l="1"/>
  <c r="I10" i="51" s="1"/>
  <c r="L60" i="35"/>
  <c r="D7" i="51" s="1"/>
  <c r="L23" i="35"/>
  <c r="D6" i="51" s="1"/>
  <c r="L22" i="35"/>
  <c r="Q60" i="35"/>
  <c r="Q59" i="35"/>
  <c r="E13" i="51" s="1"/>
  <c r="L59" i="35"/>
  <c r="P59" i="35"/>
  <c r="D13" i="51" s="1"/>
  <c r="P60" i="35"/>
  <c r="I7" i="51"/>
  <c r="I9" i="51"/>
  <c r="D9" i="51" l="1"/>
  <c r="E15" i="51"/>
  <c r="I12" i="51" s="1"/>
  <c r="P23" i="35"/>
  <c r="P22" i="35"/>
  <c r="D12" i="51" s="1"/>
  <c r="I8" i="51"/>
  <c r="D15" i="51" l="1"/>
  <c r="I11" i="51" s="1"/>
  <c r="F9" i="94"/>
  <c r="F10" i="94" s="1"/>
  <c r="F174" i="94" l="1"/>
  <c r="G174" i="94" s="1"/>
  <c r="H174" i="94" s="1"/>
  <c r="F42" i="94"/>
  <c r="G42" i="94" s="1"/>
  <c r="I42" i="94" s="1"/>
  <c r="G9" i="94"/>
  <c r="H9" i="94" s="1"/>
  <c r="F141" i="94"/>
  <c r="G141" i="94" s="1"/>
  <c r="I141" i="94" s="1"/>
  <c r="F108" i="94"/>
  <c r="F273" i="94" s="1"/>
  <c r="G273" i="94" s="1"/>
  <c r="F75" i="94"/>
  <c r="G75" i="94" s="1"/>
  <c r="H75" i="94" s="1"/>
  <c r="F109" i="94"/>
  <c r="F142" i="94"/>
  <c r="G142" i="94" s="1"/>
  <c r="G10" i="94"/>
  <c r="F43" i="94"/>
  <c r="G43" i="94" s="1"/>
  <c r="F175" i="94"/>
  <c r="G175" i="94" s="1"/>
  <c r="F11" i="94"/>
  <c r="F76" i="94"/>
  <c r="G76" i="94" s="1"/>
  <c r="G108" i="94"/>
  <c r="F240" i="94" l="1"/>
  <c r="G240" i="94" s="1"/>
  <c r="F207" i="94"/>
  <c r="G207" i="94" s="1"/>
  <c r="H207" i="94" s="1"/>
  <c r="I75" i="94"/>
  <c r="H141" i="94"/>
  <c r="I9" i="94"/>
  <c r="H42" i="94"/>
  <c r="I174" i="94"/>
  <c r="F241" i="94"/>
  <c r="G241" i="94" s="1"/>
  <c r="G109" i="94"/>
  <c r="F274" i="94"/>
  <c r="G274" i="94" s="1"/>
  <c r="F208" i="94"/>
  <c r="G208" i="94" s="1"/>
  <c r="H76" i="94"/>
  <c r="I76" i="94"/>
  <c r="F44" i="94"/>
  <c r="G44" i="94" s="1"/>
  <c r="F176" i="94"/>
  <c r="G176" i="94" s="1"/>
  <c r="F12" i="94"/>
  <c r="F77" i="94"/>
  <c r="G77" i="94" s="1"/>
  <c r="F110" i="94"/>
  <c r="F143" i="94"/>
  <c r="G143" i="94" s="1"/>
  <c r="G11" i="94"/>
  <c r="H43" i="94"/>
  <c r="I43" i="94"/>
  <c r="H240" i="94"/>
  <c r="I240" i="94"/>
  <c r="H175" i="94"/>
  <c r="I175" i="94"/>
  <c r="H273" i="94"/>
  <c r="I273" i="94"/>
  <c r="H10" i="94"/>
  <c r="I10" i="94"/>
  <c r="H108" i="94"/>
  <c r="I108" i="94"/>
  <c r="H142" i="94"/>
  <c r="I142" i="94"/>
  <c r="I207" i="94" l="1"/>
  <c r="F209" i="94"/>
  <c r="G209" i="94" s="1"/>
  <c r="F242" i="94"/>
  <c r="G242" i="94" s="1"/>
  <c r="G110" i="94"/>
  <c r="F275" i="94"/>
  <c r="G275" i="94" s="1"/>
  <c r="H241" i="94"/>
  <c r="I241" i="94"/>
  <c r="H77" i="94"/>
  <c r="I77" i="94"/>
  <c r="F111" i="94"/>
  <c r="F144" i="94"/>
  <c r="G144" i="94" s="1"/>
  <c r="G12" i="94"/>
  <c r="F45" i="94"/>
  <c r="G45" i="94" s="1"/>
  <c r="F177" i="94"/>
  <c r="G177" i="94" s="1"/>
  <c r="F13" i="94"/>
  <c r="F78" i="94"/>
  <c r="G78" i="94" s="1"/>
  <c r="H109" i="94"/>
  <c r="I109" i="94"/>
  <c r="H11" i="94"/>
  <c r="I11" i="94"/>
  <c r="H274" i="94"/>
  <c r="I274" i="94"/>
  <c r="H143" i="94"/>
  <c r="I143" i="94"/>
  <c r="H176" i="94"/>
  <c r="I176" i="94"/>
  <c r="H44" i="94"/>
  <c r="I44" i="94"/>
  <c r="H208" i="94"/>
  <c r="I208" i="94"/>
  <c r="F243" i="94" l="1"/>
  <c r="G243" i="94" s="1"/>
  <c r="G111" i="94"/>
  <c r="F276" i="94"/>
  <c r="G276" i="94" s="1"/>
  <c r="F210" i="94"/>
  <c r="G210" i="94" s="1"/>
  <c r="H110" i="94"/>
  <c r="I110" i="94"/>
  <c r="H144" i="94"/>
  <c r="I144" i="94"/>
  <c r="H242" i="94"/>
  <c r="I242" i="94"/>
  <c r="H275" i="94"/>
  <c r="I275" i="94"/>
  <c r="H78" i="94"/>
  <c r="I78" i="94"/>
  <c r="H209" i="94"/>
  <c r="I209" i="94"/>
  <c r="H45" i="94"/>
  <c r="I45" i="94"/>
  <c r="F46" i="94"/>
  <c r="G46" i="94" s="1"/>
  <c r="F178" i="94"/>
  <c r="G178" i="94" s="1"/>
  <c r="F14" i="94"/>
  <c r="F79" i="94"/>
  <c r="G79" i="94" s="1"/>
  <c r="F112" i="94"/>
  <c r="F145" i="94"/>
  <c r="G145" i="94" s="1"/>
  <c r="G13" i="94"/>
  <c r="H177" i="94"/>
  <c r="I177" i="94"/>
  <c r="H12" i="94"/>
  <c r="I12" i="94"/>
  <c r="H145" i="94" l="1"/>
  <c r="I145" i="94"/>
  <c r="H210" i="94"/>
  <c r="I210" i="94"/>
  <c r="H46" i="94"/>
  <c r="I46" i="94"/>
  <c r="H13" i="94"/>
  <c r="I13" i="94"/>
  <c r="F211" i="94"/>
  <c r="G211" i="94" s="1"/>
  <c r="F244" i="94"/>
  <c r="G244" i="94" s="1"/>
  <c r="G112" i="94"/>
  <c r="F277" i="94"/>
  <c r="G277" i="94" s="1"/>
  <c r="H276" i="94"/>
  <c r="I276" i="94"/>
  <c r="F113" i="94"/>
  <c r="F146" i="94"/>
  <c r="G146" i="94" s="1"/>
  <c r="G14" i="94"/>
  <c r="F47" i="94"/>
  <c r="G47" i="94" s="1"/>
  <c r="F179" i="94"/>
  <c r="G179" i="94" s="1"/>
  <c r="F15" i="94"/>
  <c r="F80" i="94"/>
  <c r="G80" i="94" s="1"/>
  <c r="H243" i="94"/>
  <c r="I243" i="94"/>
  <c r="H79" i="94"/>
  <c r="I79" i="94"/>
  <c r="H111" i="94"/>
  <c r="I111" i="94"/>
  <c r="H178" i="94"/>
  <c r="I178" i="94"/>
  <c r="H80" i="94" l="1"/>
  <c r="I80" i="94"/>
  <c r="H14" i="94"/>
  <c r="I14" i="94"/>
  <c r="F48" i="94"/>
  <c r="G48" i="94" s="1"/>
  <c r="F180" i="94"/>
  <c r="G180" i="94" s="1"/>
  <c r="F16" i="94"/>
  <c r="F81" i="94"/>
  <c r="G81" i="94" s="1"/>
  <c r="F114" i="94"/>
  <c r="F147" i="94"/>
  <c r="G147" i="94" s="1"/>
  <c r="G15" i="94"/>
  <c r="H277" i="94"/>
  <c r="I277" i="94"/>
  <c r="H112" i="94"/>
  <c r="I112" i="94"/>
  <c r="H244" i="94"/>
  <c r="I244" i="94"/>
  <c r="H146" i="94"/>
  <c r="I146" i="94"/>
  <c r="F245" i="94"/>
  <c r="G245" i="94" s="1"/>
  <c r="G113" i="94"/>
  <c r="F278" i="94"/>
  <c r="G278" i="94" s="1"/>
  <c r="F212" i="94"/>
  <c r="G212" i="94" s="1"/>
  <c r="H211" i="94"/>
  <c r="I211" i="94"/>
  <c r="H179" i="94"/>
  <c r="I179" i="94"/>
  <c r="H47" i="94"/>
  <c r="I47" i="94"/>
  <c r="H81" i="94" l="1"/>
  <c r="I81" i="94"/>
  <c r="F213" i="94"/>
  <c r="G213" i="94" s="1"/>
  <c r="F246" i="94"/>
  <c r="G246" i="94" s="1"/>
  <c r="G114" i="94"/>
  <c r="F279" i="94"/>
  <c r="G279" i="94" s="1"/>
  <c r="F115" i="94"/>
  <c r="F148" i="94"/>
  <c r="G148" i="94" s="1"/>
  <c r="G16" i="94"/>
  <c r="F49" i="94"/>
  <c r="G49" i="94" s="1"/>
  <c r="F181" i="94"/>
  <c r="G181" i="94" s="1"/>
  <c r="F17" i="94"/>
  <c r="F82" i="94"/>
  <c r="G82" i="94" s="1"/>
  <c r="H212" i="94"/>
  <c r="I212" i="94"/>
  <c r="H278" i="94"/>
  <c r="I278" i="94"/>
  <c r="H180" i="94"/>
  <c r="I180" i="94"/>
  <c r="H15" i="94"/>
  <c r="I15" i="94"/>
  <c r="H147" i="94"/>
  <c r="I147" i="94"/>
  <c r="H113" i="94"/>
  <c r="I113" i="94"/>
  <c r="H48" i="94"/>
  <c r="I48" i="94"/>
  <c r="H245" i="94"/>
  <c r="I245" i="94"/>
  <c r="H148" i="94" l="1"/>
  <c r="I148" i="94"/>
  <c r="F247" i="94"/>
  <c r="G247" i="94" s="1"/>
  <c r="G115" i="94"/>
  <c r="F280" i="94"/>
  <c r="G280" i="94" s="1"/>
  <c r="F214" i="94"/>
  <c r="G214" i="94" s="1"/>
  <c r="H279" i="94"/>
  <c r="I279" i="94"/>
  <c r="H82" i="94"/>
  <c r="I82" i="94"/>
  <c r="H114" i="94"/>
  <c r="I114" i="94"/>
  <c r="H213" i="94"/>
  <c r="I213" i="94"/>
  <c r="F50" i="94"/>
  <c r="G50" i="94" s="1"/>
  <c r="F182" i="94"/>
  <c r="G182" i="94" s="1"/>
  <c r="F18" i="94"/>
  <c r="F83" i="94"/>
  <c r="G83" i="94" s="1"/>
  <c r="F116" i="94"/>
  <c r="F149" i="94"/>
  <c r="G149" i="94" s="1"/>
  <c r="G17" i="94"/>
  <c r="H246" i="94"/>
  <c r="I246" i="94"/>
  <c r="H49" i="94"/>
  <c r="I49" i="94"/>
  <c r="H181" i="94"/>
  <c r="I181" i="94"/>
  <c r="H16" i="94"/>
  <c r="I16" i="94"/>
  <c r="H182" i="94" l="1"/>
  <c r="I182" i="94"/>
  <c r="H50" i="94"/>
  <c r="I50" i="94"/>
  <c r="H214" i="94"/>
  <c r="I214" i="94"/>
  <c r="H149" i="94"/>
  <c r="I149" i="94"/>
  <c r="H115" i="94"/>
  <c r="I115" i="94"/>
  <c r="F215" i="94"/>
  <c r="G215" i="94" s="1"/>
  <c r="F248" i="94"/>
  <c r="G248" i="94" s="1"/>
  <c r="G116" i="94"/>
  <c r="F281" i="94"/>
  <c r="G281" i="94" s="1"/>
  <c r="H247" i="94"/>
  <c r="I247" i="94"/>
  <c r="H280" i="94"/>
  <c r="I280" i="94"/>
  <c r="H17" i="94"/>
  <c r="I17" i="94"/>
  <c r="H83" i="94"/>
  <c r="I83" i="94"/>
  <c r="F117" i="94"/>
  <c r="F150" i="94"/>
  <c r="G150" i="94" s="1"/>
  <c r="G18" i="94"/>
  <c r="F51" i="94"/>
  <c r="G51" i="94" s="1"/>
  <c r="F183" i="94"/>
  <c r="G183" i="94" s="1"/>
  <c r="F19" i="94"/>
  <c r="F84" i="94"/>
  <c r="G84" i="94" s="1"/>
  <c r="H150" i="94" l="1"/>
  <c r="I150" i="94"/>
  <c r="H84" i="94"/>
  <c r="I84" i="94"/>
  <c r="F249" i="94"/>
  <c r="G249" i="94" s="1"/>
  <c r="G117" i="94"/>
  <c r="F282" i="94"/>
  <c r="G282" i="94" s="1"/>
  <c r="F216" i="94"/>
  <c r="G216" i="94" s="1"/>
  <c r="F52" i="94"/>
  <c r="G52" i="94" s="1"/>
  <c r="F184" i="94"/>
  <c r="G184" i="94" s="1"/>
  <c r="F20" i="94"/>
  <c r="F21" i="94" s="1"/>
  <c r="F85" i="94"/>
  <c r="G85" i="94" s="1"/>
  <c r="F118" i="94"/>
  <c r="F151" i="94"/>
  <c r="G151" i="94" s="1"/>
  <c r="G19" i="94"/>
  <c r="H248" i="94"/>
  <c r="I248" i="94"/>
  <c r="H183" i="94"/>
  <c r="I183" i="94"/>
  <c r="H116" i="94"/>
  <c r="I116" i="94"/>
  <c r="H51" i="94"/>
  <c r="I51" i="94"/>
  <c r="H281" i="94"/>
  <c r="I281" i="94"/>
  <c r="H215" i="94"/>
  <c r="I215" i="94"/>
  <c r="H18" i="94"/>
  <c r="I18" i="94"/>
  <c r="H19" i="94" l="1"/>
  <c r="I19" i="94"/>
  <c r="H282" i="94"/>
  <c r="I282" i="94"/>
  <c r="F217" i="94"/>
  <c r="G217" i="94" s="1"/>
  <c r="F250" i="94"/>
  <c r="G250" i="94" s="1"/>
  <c r="G118" i="94"/>
  <c r="F283" i="94"/>
  <c r="G283" i="94" s="1"/>
  <c r="H249" i="94"/>
  <c r="I249" i="94"/>
  <c r="H117" i="94"/>
  <c r="I117" i="94"/>
  <c r="F119" i="94"/>
  <c r="F152" i="94"/>
  <c r="G152" i="94" s="1"/>
  <c r="G20" i="94"/>
  <c r="F53" i="94"/>
  <c r="G53" i="94" s="1"/>
  <c r="F185" i="94"/>
  <c r="G185" i="94" s="1"/>
  <c r="F86" i="94"/>
  <c r="G86" i="94" s="1"/>
  <c r="H184" i="94"/>
  <c r="I184" i="94"/>
  <c r="H216" i="94"/>
  <c r="I216" i="94"/>
  <c r="H151" i="94"/>
  <c r="I151" i="94"/>
  <c r="H85" i="94"/>
  <c r="I85" i="94"/>
  <c r="H52" i="94"/>
  <c r="I52" i="94"/>
  <c r="H53" i="94" l="1"/>
  <c r="I53" i="94"/>
  <c r="H118" i="94"/>
  <c r="I118" i="94"/>
  <c r="H217" i="94"/>
  <c r="I217" i="94"/>
  <c r="H20" i="94"/>
  <c r="I20" i="94"/>
  <c r="H250" i="94"/>
  <c r="I250" i="94"/>
  <c r="H86" i="94"/>
  <c r="I86" i="94"/>
  <c r="H283" i="94"/>
  <c r="I283" i="94"/>
  <c r="H152" i="94"/>
  <c r="I152" i="94"/>
  <c r="F251" i="94"/>
  <c r="G251" i="94" s="1"/>
  <c r="G119" i="94"/>
  <c r="F284" i="94"/>
  <c r="G284" i="94" s="1"/>
  <c r="F218" i="94"/>
  <c r="G218" i="94" s="1"/>
  <c r="H185" i="94"/>
  <c r="I185" i="94"/>
  <c r="H251" i="94" l="1"/>
  <c r="I251" i="94"/>
  <c r="H284" i="94"/>
  <c r="I284" i="94"/>
  <c r="F120" i="94"/>
  <c r="F153" i="94"/>
  <c r="G153" i="94" s="1"/>
  <c r="G21" i="94"/>
  <c r="F54" i="94"/>
  <c r="G54" i="94" s="1"/>
  <c r="F186" i="94"/>
  <c r="G186" i="94" s="1"/>
  <c r="F22" i="94"/>
  <c r="F87" i="94"/>
  <c r="G87" i="94" s="1"/>
  <c r="H218" i="94"/>
  <c r="I218" i="94"/>
  <c r="H119" i="94"/>
  <c r="I119" i="94"/>
  <c r="F55" i="94" l="1"/>
  <c r="G55" i="94" s="1"/>
  <c r="F187" i="94"/>
  <c r="G187" i="94" s="1"/>
  <c r="F23" i="94"/>
  <c r="F88" i="94"/>
  <c r="G88" i="94" s="1"/>
  <c r="F121" i="94"/>
  <c r="F154" i="94"/>
  <c r="G154" i="94" s="1"/>
  <c r="G22" i="94"/>
  <c r="H87" i="94"/>
  <c r="I87" i="94"/>
  <c r="H186" i="94"/>
  <c r="I186" i="94"/>
  <c r="H54" i="94"/>
  <c r="I54" i="94"/>
  <c r="H21" i="94"/>
  <c r="I21" i="94"/>
  <c r="H153" i="94"/>
  <c r="I153" i="94"/>
  <c r="F252" i="94"/>
  <c r="G252" i="94" s="1"/>
  <c r="G120" i="94"/>
  <c r="F285" i="94"/>
  <c r="G285" i="94" s="1"/>
  <c r="F219" i="94"/>
  <c r="G219" i="94" s="1"/>
  <c r="F220" i="94" l="1"/>
  <c r="G220" i="94" s="1"/>
  <c r="F253" i="94"/>
  <c r="G253" i="94" s="1"/>
  <c r="G121" i="94"/>
  <c r="F286" i="94"/>
  <c r="G286" i="94" s="1"/>
  <c r="H22" i="94"/>
  <c r="I22" i="94"/>
  <c r="H88" i="94"/>
  <c r="I88" i="94"/>
  <c r="H120" i="94"/>
  <c r="I120" i="94"/>
  <c r="F122" i="94"/>
  <c r="F155" i="94"/>
  <c r="G155" i="94" s="1"/>
  <c r="G23" i="94"/>
  <c r="F56" i="94"/>
  <c r="G56" i="94" s="1"/>
  <c r="F188" i="94"/>
  <c r="G188" i="94" s="1"/>
  <c r="F89" i="94"/>
  <c r="G89" i="94" s="1"/>
  <c r="H219" i="94"/>
  <c r="I219" i="94"/>
  <c r="H285" i="94"/>
  <c r="I285" i="94"/>
  <c r="H252" i="94"/>
  <c r="I252" i="94"/>
  <c r="H187" i="94"/>
  <c r="I187" i="94"/>
  <c r="H154" i="94"/>
  <c r="I154" i="94"/>
  <c r="H55" i="94"/>
  <c r="I55" i="94"/>
  <c r="H188" i="94" l="1"/>
  <c r="H189" i="94" s="1"/>
  <c r="E19" i="51" s="1"/>
  <c r="I188" i="94"/>
  <c r="I189" i="94" s="1"/>
  <c r="E24" i="51" s="1"/>
  <c r="H89" i="94"/>
  <c r="H90" i="94" s="1"/>
  <c r="E18" i="51" s="1"/>
  <c r="I89" i="94"/>
  <c r="I90" i="94" s="1"/>
  <c r="E23" i="51" s="1"/>
  <c r="H286" i="94"/>
  <c r="I286" i="94"/>
  <c r="F254" i="94"/>
  <c r="G254" i="94" s="1"/>
  <c r="G122" i="94"/>
  <c r="F287" i="94"/>
  <c r="G287" i="94" s="1"/>
  <c r="F221" i="94"/>
  <c r="G221" i="94" s="1"/>
  <c r="H121" i="94"/>
  <c r="I121" i="94"/>
  <c r="H23" i="94"/>
  <c r="H24" i="94" s="1"/>
  <c r="C18" i="51" s="1"/>
  <c r="I23" i="94"/>
  <c r="I24" i="94" s="1"/>
  <c r="C23" i="51" s="1"/>
  <c r="H155" i="94"/>
  <c r="H156" i="94" s="1"/>
  <c r="D19" i="51" s="1"/>
  <c r="I155" i="94"/>
  <c r="I156" i="94" s="1"/>
  <c r="D24" i="51" s="1"/>
  <c r="H56" i="94"/>
  <c r="H57" i="94" s="1"/>
  <c r="D18" i="51" s="1"/>
  <c r="I56" i="94"/>
  <c r="I57" i="94" s="1"/>
  <c r="D23" i="51" s="1"/>
  <c r="H253" i="94"/>
  <c r="I253" i="94"/>
  <c r="H220" i="94"/>
  <c r="I220" i="94"/>
  <c r="H122" i="94" l="1"/>
  <c r="H123" i="94" s="1"/>
  <c r="C19" i="51" s="1"/>
  <c r="I122" i="94"/>
  <c r="I123" i="94" s="1"/>
  <c r="C24" i="51" s="1"/>
  <c r="H254" i="94"/>
  <c r="H255" i="94" s="1"/>
  <c r="D20" i="51" s="1"/>
  <c r="I254" i="94"/>
  <c r="I255" i="94" s="1"/>
  <c r="D25" i="51" s="1"/>
  <c r="H221" i="94"/>
  <c r="H222" i="94" s="1"/>
  <c r="C20" i="51" s="1"/>
  <c r="I221" i="94"/>
  <c r="I222" i="94" s="1"/>
  <c r="C25" i="51" s="1"/>
  <c r="H287" i="94"/>
  <c r="H288" i="94" s="1"/>
  <c r="E20" i="51" s="1"/>
  <c r="I287" i="94"/>
  <c r="I288" i="94" s="1"/>
  <c r="E25" i="51" s="1"/>
  <c r="I15" i="51" l="1"/>
  <c r="I13" i="51"/>
  <c r="I16" i="51"/>
  <c r="I14" i="51"/>
</calcChain>
</file>

<file path=xl/sharedStrings.xml><?xml version="1.0" encoding="utf-8"?>
<sst xmlns="http://schemas.openxmlformats.org/spreadsheetml/2006/main" count="4012" uniqueCount="1776">
  <si>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</si>
  <si>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</si>
  <si>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</si>
  <si>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</si>
  <si>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</si>
  <si>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</si>
  <si>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</si>
  <si>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</si>
  <si>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</si>
  <si>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</si>
  <si>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</si>
  <si>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Company</t>
  </si>
  <si>
    <t>Ticker</t>
  </si>
  <si>
    <t>Annualized Dividend</t>
  </si>
  <si>
    <t>Stock
Price</t>
  </si>
  <si>
    <t>Dividend Yield</t>
  </si>
  <si>
    <t>Expected Dividend Yield</t>
  </si>
  <si>
    <t>Zacks Earnings Growth</t>
  </si>
  <si>
    <t>Value Line Earnings Growth</t>
  </si>
  <si>
    <t>AEP</t>
  </si>
  <si>
    <t>PNW</t>
  </si>
  <si>
    <t>SO</t>
  </si>
  <si>
    <t>Notes:</t>
  </si>
  <si>
    <t>[1] Source: Bloomberg Professional</t>
  </si>
  <si>
    <t>[3] Equals [1] / [2]</t>
  </si>
  <si>
    <t>[10] Equals [4] + [8]</t>
  </si>
  <si>
    <t>FE</t>
  </si>
  <si>
    <t>ROE</t>
  </si>
  <si>
    <t>STANDARD AND POOR'S 500 INDEX</t>
  </si>
  <si>
    <t xml:space="preserve">Cap-Weighted </t>
  </si>
  <si>
    <t>Weight in</t>
  </si>
  <si>
    <t>Estimated</t>
  </si>
  <si>
    <t>Cap-Weighted</t>
  </si>
  <si>
    <t>Long-Term</t>
  </si>
  <si>
    <t>Name</t>
  </si>
  <si>
    <t>Index</t>
  </si>
  <si>
    <t>Growth Est.</t>
  </si>
  <si>
    <t>F</t>
  </si>
  <si>
    <t>MS</t>
  </si>
  <si>
    <t>Risk Premium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</si>
  <si>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</si>
  <si>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</si>
  <si>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</si>
  <si>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</si>
  <si>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</si>
  <si>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</si>
  <si>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</si>
  <si>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</si>
  <si>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</si>
  <si>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</si>
  <si>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</si>
  <si>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</si>
  <si>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</si>
  <si>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</si>
  <si>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</si>
  <si>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</si>
  <si>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</si>
  <si>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</si>
  <si>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</si>
  <si>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</si>
  <si>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</si>
  <si>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Risk</t>
  </si>
  <si>
    <t>Premium</t>
  </si>
  <si>
    <t>AVERAGE</t>
  </si>
  <si>
    <t>[3] Equals Column [1] − Column [2]</t>
  </si>
  <si>
    <t>MEDIAN</t>
  </si>
  <si>
    <t>LOW</t>
  </si>
  <si>
    <t>3M Co</t>
  </si>
  <si>
    <t>Abbott Laboratories</t>
  </si>
  <si>
    <t>Accenture PLC</t>
  </si>
  <si>
    <t>Aflac Inc</t>
  </si>
  <si>
    <t>Agilent Technologies Inc</t>
  </si>
  <si>
    <t>Akamai Technologies Inc</t>
  </si>
  <si>
    <t>Allstate Corp/The</t>
  </si>
  <si>
    <t>Altria Group Inc</t>
  </si>
  <si>
    <t>Amazon.com Inc</t>
  </si>
  <si>
    <t>Ameren Corp</t>
  </si>
  <si>
    <t>American Electric Power Co Inc</t>
  </si>
  <si>
    <t>American Express Co</t>
  </si>
  <si>
    <t>American International Group Inc</t>
  </si>
  <si>
    <t>American Tower Corp</t>
  </si>
  <si>
    <t>Ameriprise Financial Inc</t>
  </si>
  <si>
    <t>AmerisourceBergen Corp</t>
  </si>
  <si>
    <t>Amgen Inc</t>
  </si>
  <si>
    <t>Amphenol Corp</t>
  </si>
  <si>
    <t>Analog Devices Inc</t>
  </si>
  <si>
    <t>Aon PLC</t>
  </si>
  <si>
    <t>Apple Inc</t>
  </si>
  <si>
    <t>Applied Materials Inc</t>
  </si>
  <si>
    <t>Archer-Daniels-Midland Co</t>
  </si>
  <si>
    <t>Assurant Inc</t>
  </si>
  <si>
    <t>AT&amp;T Inc</t>
  </si>
  <si>
    <t>Autodesk Inc</t>
  </si>
  <si>
    <t>Automatic Data Processing Inc</t>
  </si>
  <si>
    <t>AutoZone Inc</t>
  </si>
  <si>
    <t>AvalonBay Communities Inc</t>
  </si>
  <si>
    <t>Avery Dennison Corp</t>
  </si>
  <si>
    <t>Ball Corp</t>
  </si>
  <si>
    <t>Bank of America Corp</t>
  </si>
  <si>
    <t>Bank of New York Mellon Corp/The</t>
  </si>
  <si>
    <t>Baxter International Inc</t>
  </si>
  <si>
    <t>Becton Dickinson and Co</t>
  </si>
  <si>
    <t>Berkshire Hathaway Inc</t>
  </si>
  <si>
    <t>Best Buy Co Inc</t>
  </si>
  <si>
    <t>BlackRock Inc</t>
  </si>
  <si>
    <t>Boeing Co/The</t>
  </si>
  <si>
    <t>BorgWarner Inc</t>
  </si>
  <si>
    <t>Boston Properties Inc</t>
  </si>
  <si>
    <t>Boston Scientific Corp</t>
  </si>
  <si>
    <t>Bristol-Myers Squibb Co</t>
  </si>
  <si>
    <t>Brown-Forman Corp</t>
  </si>
  <si>
    <t>Cabot Oil &amp; Gas Corp</t>
  </si>
  <si>
    <t>Campbell Soup Co</t>
  </si>
  <si>
    <t>Capital One Financial Corp</t>
  </si>
  <si>
    <t>Cardinal Health Inc</t>
  </si>
  <si>
    <t>CarMax Inc</t>
  </si>
  <si>
    <t>Carnival Corp</t>
  </si>
  <si>
    <t>Caterpillar Inc</t>
  </si>
  <si>
    <t>CBRE Group Inc</t>
  </si>
  <si>
    <t>CenterPoint Energy Inc</t>
  </si>
  <si>
    <t>Cerner Corp</t>
  </si>
  <si>
    <t>CF Industries Holdings Inc</t>
  </si>
  <si>
    <t>CH Robinson Worldwide Inc</t>
  </si>
  <si>
    <t>Charles Schwab Corp/The</t>
  </si>
  <si>
    <t>Chevron Corp</t>
  </si>
  <si>
    <t>Chipotle Mexican Grill Inc</t>
  </si>
  <si>
    <t>Cigna Corp</t>
  </si>
  <si>
    <t>Cincinnati Financial Corp</t>
  </si>
  <si>
    <t>Cintas Corp</t>
  </si>
  <si>
    <t>Citigroup Inc</t>
  </si>
  <si>
    <t>Citrix Systems Inc</t>
  </si>
  <si>
    <t>Clorox Co/The</t>
  </si>
  <si>
    <t>CMS Energy Corp</t>
  </si>
  <si>
    <t>Coca-Cola Co/The</t>
  </si>
  <si>
    <t>Cognizant Technology Solutions Corp</t>
  </si>
  <si>
    <t>Colgate-Palmolive Co</t>
  </si>
  <si>
    <t>Comcast Corp</t>
  </si>
  <si>
    <t>Comerica Inc</t>
  </si>
  <si>
    <t>ConocoPhillips</t>
  </si>
  <si>
    <t>Consolidated Edison Inc</t>
  </si>
  <si>
    <t>Constellation Brands Inc</t>
  </si>
  <si>
    <t>Corning Inc</t>
  </si>
  <si>
    <t>Costco Wholesale Corp</t>
  </si>
  <si>
    <t>Crown Castle International Corp</t>
  </si>
  <si>
    <t>CSX Corp</t>
  </si>
  <si>
    <t>Cummins Inc</t>
  </si>
  <si>
    <t>Danaher Corp</t>
  </si>
  <si>
    <t>Darden Restaurants Inc</t>
  </si>
  <si>
    <t>Deere &amp; Co</t>
  </si>
  <si>
    <t>Devon Energy Corp</t>
  </si>
  <si>
    <t>Discover Financial Services</t>
  </si>
  <si>
    <t>Dollar Tree Inc</t>
  </si>
  <si>
    <t>Dover Corp</t>
  </si>
  <si>
    <t>DR Horton Inc</t>
  </si>
  <si>
    <t>DTE Energy Co</t>
  </si>
  <si>
    <t>Duke Energy Corp</t>
  </si>
  <si>
    <t>Eastman Chemical Co</t>
  </si>
  <si>
    <t>eBay Inc</t>
  </si>
  <si>
    <t>Ecolab Inc</t>
  </si>
  <si>
    <t>Edison International</t>
  </si>
  <si>
    <t>Edwards Lifesciences Corp</t>
  </si>
  <si>
    <t>Electronic Arts Inc</t>
  </si>
  <si>
    <t>Eli Lilly &amp; Co</t>
  </si>
  <si>
    <t>Emerson Electric Co</t>
  </si>
  <si>
    <t>Entergy Corp</t>
  </si>
  <si>
    <t>EOG Resources Inc</t>
  </si>
  <si>
    <t>Equifax Inc</t>
  </si>
  <si>
    <t>Equity Residential</t>
  </si>
  <si>
    <t>Estee Lauder Cos Inc/The</t>
  </si>
  <si>
    <t>Exelon Corp</t>
  </si>
  <si>
    <t>Expeditors International of Washington Inc</t>
  </si>
  <si>
    <t>Exxon Mobil Corp</t>
  </si>
  <si>
    <t>F5 Networks Inc</t>
  </si>
  <si>
    <t>Fastenal Co</t>
  </si>
  <si>
    <t>FedEx Corp</t>
  </si>
  <si>
    <t>Fidelity National Information Services Inc</t>
  </si>
  <si>
    <t>Fifth Third Bancorp</t>
  </si>
  <si>
    <t>FirstEnergy Corp</t>
  </si>
  <si>
    <t>Fiserv Inc</t>
  </si>
  <si>
    <t>FMC Corp</t>
  </si>
  <si>
    <t>Ford Motor Co</t>
  </si>
  <si>
    <t>Franklin Resources Inc</t>
  </si>
  <si>
    <t>Gap Inc/The</t>
  </si>
  <si>
    <t>General Dynamics Corp</t>
  </si>
  <si>
    <t>General Electric Co</t>
  </si>
  <si>
    <t>General Mills Inc</t>
  </si>
  <si>
    <t>Genuine Parts Co</t>
  </si>
  <si>
    <t>Gilead Sciences Inc</t>
  </si>
  <si>
    <t>Goldman Sachs Group Inc/The</t>
  </si>
  <si>
    <t>Halliburton Co</t>
  </si>
  <si>
    <t>Hasbro Inc</t>
  </si>
  <si>
    <t>Hershey Co/The</t>
  </si>
  <si>
    <t>Hess Corp</t>
  </si>
  <si>
    <t>Home Depot Inc/The</t>
  </si>
  <si>
    <t>Honeywell International Inc</t>
  </si>
  <si>
    <t>Hormel Foods Corp</t>
  </si>
  <si>
    <t>Host Hotels &amp; Resorts Inc</t>
  </si>
  <si>
    <t>Humana Inc</t>
  </si>
  <si>
    <t>Huntington Bancshares Inc/OH</t>
  </si>
  <si>
    <t>Illinois Tool Works Inc</t>
  </si>
  <si>
    <t>Intel Corp</t>
  </si>
  <si>
    <t>International Business Machines Corp</t>
  </si>
  <si>
    <t>International Flavors &amp; Fragrances Inc</t>
  </si>
  <si>
    <t>International Paper Co</t>
  </si>
  <si>
    <t>Interpublic Group of Cos Inc/The</t>
  </si>
  <si>
    <t>Intuit Inc</t>
  </si>
  <si>
    <t>Intuitive Surgical Inc</t>
  </si>
  <si>
    <t>Invesco Ltd</t>
  </si>
  <si>
    <t>Iron Mountain Inc</t>
  </si>
  <si>
    <t>Jacobs Engineering Group Inc</t>
  </si>
  <si>
    <t>Johnson &amp; Johnson</t>
  </si>
  <si>
    <t>JPMorgan Chase &amp; Co</t>
  </si>
  <si>
    <t>Juniper Networks Inc</t>
  </si>
  <si>
    <t>Kellogg Co</t>
  </si>
  <si>
    <t>KeyCorp</t>
  </si>
  <si>
    <t>Kimberly-Clark Corp</t>
  </si>
  <si>
    <t>Kimco Realty Corp</t>
  </si>
  <si>
    <t>Kroger Co/The</t>
  </si>
  <si>
    <t>Laboratory Corp of America Holdings</t>
  </si>
  <si>
    <t>Lam Research Corp</t>
  </si>
  <si>
    <t>Leggett &amp; Platt Inc</t>
  </si>
  <si>
    <t>Lennar Corp</t>
  </si>
  <si>
    <t>Lincoln National Corp</t>
  </si>
  <si>
    <t>Lockheed Martin Corp</t>
  </si>
  <si>
    <t>Loews Corp</t>
  </si>
  <si>
    <t>Lowe's Cos Inc</t>
  </si>
  <si>
    <t>LyondellBasell Industries NV</t>
  </si>
  <si>
    <t>M&amp;T Bank Corp</t>
  </si>
  <si>
    <t>Marathon Oil Corp</t>
  </si>
  <si>
    <t>Marathon Petroleum Corp</t>
  </si>
  <si>
    <t>Marsh &amp; McLennan Cos Inc</t>
  </si>
  <si>
    <t>Masco Corp</t>
  </si>
  <si>
    <t>McCormick &amp; Co Inc/MD</t>
  </si>
  <si>
    <t>McDonald's Corp</t>
  </si>
  <si>
    <t>McKesson Corp</t>
  </si>
  <si>
    <t>Merck &amp; Co Inc</t>
  </si>
  <si>
    <t>MetLife Inc</t>
  </si>
  <si>
    <t>Microchip Technology Inc</t>
  </si>
  <si>
    <t>Micron Technology Inc</t>
  </si>
  <si>
    <t>Microsoft Corp</t>
  </si>
  <si>
    <t>Mondelez International Inc</t>
  </si>
  <si>
    <t>Monster Beverage Corp</t>
  </si>
  <si>
    <t>Moody's Corp</t>
  </si>
  <si>
    <t>Morgan Stanley</t>
  </si>
  <si>
    <t>Mosaic Co/The</t>
  </si>
  <si>
    <t>Motorola Solutions Inc</t>
  </si>
  <si>
    <t>NetApp Inc</t>
  </si>
  <si>
    <t>Netflix Inc</t>
  </si>
  <si>
    <t>News Corp</t>
  </si>
  <si>
    <t>NextEra Energy Inc</t>
  </si>
  <si>
    <t>NIKE Inc</t>
  </si>
  <si>
    <t>NiSource Inc</t>
  </si>
  <si>
    <t>Norfolk Southern Corp</t>
  </si>
  <si>
    <t>Northern Trust Corp</t>
  </si>
  <si>
    <t>Northrop Grumman Corp</t>
  </si>
  <si>
    <t>NRG Energy Inc</t>
  </si>
  <si>
    <t>Nucor Corp</t>
  </si>
  <si>
    <t>NVIDIA Corp</t>
  </si>
  <si>
    <t>O'Reilly Automotive Inc</t>
  </si>
  <si>
    <t>Occidental Petroleum Corp</t>
  </si>
  <si>
    <t>Omnicom Group Inc</t>
  </si>
  <si>
    <t>ONEOK Inc</t>
  </si>
  <si>
    <t>Oracle Corp</t>
  </si>
  <si>
    <t>PACCAR Inc</t>
  </si>
  <si>
    <t>Paychex Inc</t>
  </si>
  <si>
    <t>People's United Financial Inc</t>
  </si>
  <si>
    <t>PepsiCo Inc</t>
  </si>
  <si>
    <t>PerkinElmer Inc</t>
  </si>
  <si>
    <t>Pfizer Inc</t>
  </si>
  <si>
    <t>Philip Morris International Inc</t>
  </si>
  <si>
    <t>Phillips 66</t>
  </si>
  <si>
    <t>Pinnacle West Capital Corp</t>
  </si>
  <si>
    <t>Pioneer Natural Resources Co</t>
  </si>
  <si>
    <t>PPG Industries Inc</t>
  </si>
  <si>
    <t>PPL Corp</t>
  </si>
  <si>
    <t>Principal Financial Group Inc</t>
  </si>
  <si>
    <t>Procter &amp; Gamble Co/The</t>
  </si>
  <si>
    <t>Progressive Corp/The</t>
  </si>
  <si>
    <t>Prologis Inc</t>
  </si>
  <si>
    <t>Prudential Financial Inc</t>
  </si>
  <si>
    <t>Public Service Enterprise Group Inc</t>
  </si>
  <si>
    <t>Public Storage</t>
  </si>
  <si>
    <t>PulteGroup Inc</t>
  </si>
  <si>
    <t>QUALCOMM Inc</t>
  </si>
  <si>
    <t>Quanta Services Inc</t>
  </si>
  <si>
    <t>Quest Diagnostics Inc</t>
  </si>
  <si>
    <t>Ralph Lauren Corp</t>
  </si>
  <si>
    <t>Regions Financial Corp</t>
  </si>
  <si>
    <t>Republic Services Inc</t>
  </si>
  <si>
    <t>Robert Half International Inc</t>
  </si>
  <si>
    <t>Rockwell Automation Inc</t>
  </si>
  <si>
    <t>Ross Stores Inc</t>
  </si>
  <si>
    <t>Sealed Air Corp</t>
  </si>
  <si>
    <t>Sempra Energy</t>
  </si>
  <si>
    <t>Sherwin-Williams Co/The</t>
  </si>
  <si>
    <t>Simon Property Group Inc</t>
  </si>
  <si>
    <t>Snap-on Inc</t>
  </si>
  <si>
    <t>Southern Co/The</t>
  </si>
  <si>
    <t>Southwest Airlines Co</t>
  </si>
  <si>
    <t>Stanley Black &amp; Decker Inc</t>
  </si>
  <si>
    <t>Starbucks Corp</t>
  </si>
  <si>
    <t>State Street Corp</t>
  </si>
  <si>
    <t>Stryker Corp</t>
  </si>
  <si>
    <t>Sysco Corp</t>
  </si>
  <si>
    <t>T Rowe Price Group Inc</t>
  </si>
  <si>
    <t>Target Corp</t>
  </si>
  <si>
    <t>TE Connectivity Ltd</t>
  </si>
  <si>
    <t>Texas Instruments Inc</t>
  </si>
  <si>
    <t>Textron Inc</t>
  </si>
  <si>
    <t>Thermo Fisher Scientific Inc</t>
  </si>
  <si>
    <t>Travelers Cos Inc/The</t>
  </si>
  <si>
    <t>Tyson Foods Inc</t>
  </si>
  <si>
    <t>Union Pacific Corp</t>
  </si>
  <si>
    <t>United Parcel Service Inc</t>
  </si>
  <si>
    <t>UnitedHealth Group Inc</t>
  </si>
  <si>
    <t>Valero Energy Corp</t>
  </si>
  <si>
    <t>Ventas Inc</t>
  </si>
  <si>
    <t>VeriSign Inc</t>
  </si>
  <si>
    <t>Verizon Communications Inc</t>
  </si>
  <si>
    <t>VF Corp</t>
  </si>
  <si>
    <t>Visa Inc</t>
  </si>
  <si>
    <t>Vornado Realty Trust</t>
  </si>
  <si>
    <t>Vulcan Materials Co</t>
  </si>
  <si>
    <t>Walt Disney Co/The</t>
  </si>
  <si>
    <t>Waste Management Inc</t>
  </si>
  <si>
    <t>Waters Corp</t>
  </si>
  <si>
    <t>Wells Fargo &amp; Co</t>
  </si>
  <si>
    <t>Western Digital Corp</t>
  </si>
  <si>
    <t>Western Union Co/The</t>
  </si>
  <si>
    <t>Weyerhaeuser Co</t>
  </si>
  <si>
    <t>Whirlpool Corp</t>
  </si>
  <si>
    <t>Williams Cos Inc/The</t>
  </si>
  <si>
    <t>WW Grainger Inc</t>
  </si>
  <si>
    <t>Wynn Resorts Ltd</t>
  </si>
  <si>
    <t>Xcel Energy Inc</t>
  </si>
  <si>
    <t>Xilinx Inc</t>
  </si>
  <si>
    <t>Xylem Inc/NY</t>
  </si>
  <si>
    <t>Yum! Brands Inc</t>
  </si>
  <si>
    <t>MMM</t>
  </si>
  <si>
    <t>ABT</t>
  </si>
  <si>
    <t>ACN</t>
  </si>
  <si>
    <t>ADBE</t>
  </si>
  <si>
    <t>AES</t>
  </si>
  <si>
    <t>AFL</t>
  </si>
  <si>
    <t>A</t>
  </si>
  <si>
    <t>APD</t>
  </si>
  <si>
    <t>AKAM</t>
  </si>
  <si>
    <t>ALL</t>
  </si>
  <si>
    <t>MO</t>
  </si>
  <si>
    <t>AMZN</t>
  </si>
  <si>
    <t>AEE</t>
  </si>
  <si>
    <t>AXP</t>
  </si>
  <si>
    <t>AIG</t>
  </si>
  <si>
    <t>AMT</t>
  </si>
  <si>
    <t>AMP</t>
  </si>
  <si>
    <t>ABC</t>
  </si>
  <si>
    <t>AMGN</t>
  </si>
  <si>
    <t>APH</t>
  </si>
  <si>
    <t>ADI</t>
  </si>
  <si>
    <t>AON</t>
  </si>
  <si>
    <t>APA</t>
  </si>
  <si>
    <t>AAPL</t>
  </si>
  <si>
    <t>AMAT</t>
  </si>
  <si>
    <t>ADM</t>
  </si>
  <si>
    <t>AIZ</t>
  </si>
  <si>
    <t>T</t>
  </si>
  <si>
    <t>ADSK</t>
  </si>
  <si>
    <t>ADP</t>
  </si>
  <si>
    <t>AZO</t>
  </si>
  <si>
    <t>AVB</t>
  </si>
  <si>
    <t>AVY</t>
  </si>
  <si>
    <t>BLL</t>
  </si>
  <si>
    <t>BAC</t>
  </si>
  <si>
    <t>BK</t>
  </si>
  <si>
    <t>BAX</t>
  </si>
  <si>
    <t>BDX</t>
  </si>
  <si>
    <t>BRK/B</t>
  </si>
  <si>
    <t>BBY</t>
  </si>
  <si>
    <t>BIIB</t>
  </si>
  <si>
    <t>BLK</t>
  </si>
  <si>
    <t>BA</t>
  </si>
  <si>
    <t>BWA</t>
  </si>
  <si>
    <t>BXP</t>
  </si>
  <si>
    <t>BSX</t>
  </si>
  <si>
    <t>BMY</t>
  </si>
  <si>
    <t>BF/B</t>
  </si>
  <si>
    <t>COG</t>
  </si>
  <si>
    <t>CPB</t>
  </si>
  <si>
    <t>COF</t>
  </si>
  <si>
    <t>CAH</t>
  </si>
  <si>
    <t>KMX</t>
  </si>
  <si>
    <t>CCL</t>
  </si>
  <si>
    <t>CAT</t>
  </si>
  <si>
    <t>CNP</t>
  </si>
  <si>
    <t>CERN</t>
  </si>
  <si>
    <t>CF</t>
  </si>
  <si>
    <t>CHRW</t>
  </si>
  <si>
    <t>SCHW</t>
  </si>
  <si>
    <t>CVX</t>
  </si>
  <si>
    <t>CMG</t>
  </si>
  <si>
    <t>CB</t>
  </si>
  <si>
    <t>CI</t>
  </si>
  <si>
    <t>CINF</t>
  </si>
  <si>
    <t>CTAS</t>
  </si>
  <si>
    <t>CSCO</t>
  </si>
  <si>
    <t>C</t>
  </si>
  <si>
    <t>CTXS</t>
  </si>
  <si>
    <t>CLX</t>
  </si>
  <si>
    <t>CME</t>
  </si>
  <si>
    <t>CMS</t>
  </si>
  <si>
    <t>KO</t>
  </si>
  <si>
    <t>CTSH</t>
  </si>
  <si>
    <t>CL</t>
  </si>
  <si>
    <t>CMCSA</t>
  </si>
  <si>
    <t>CMA</t>
  </si>
  <si>
    <t>CAG</t>
  </si>
  <si>
    <t>COP</t>
  </si>
  <si>
    <t>ED</t>
  </si>
  <si>
    <t>STZ</t>
  </si>
  <si>
    <t>GLW</t>
  </si>
  <si>
    <t>COST</t>
  </si>
  <si>
    <t>CCI</t>
  </si>
  <si>
    <t>CSX</t>
  </si>
  <si>
    <t>CMI</t>
  </si>
  <si>
    <t>CVS</t>
  </si>
  <si>
    <t>DHR</t>
  </si>
  <si>
    <t>DRI</t>
  </si>
  <si>
    <t>DVA</t>
  </si>
  <si>
    <t>DE</t>
  </si>
  <si>
    <t>XRAY</t>
  </si>
  <si>
    <t>DVN</t>
  </si>
  <si>
    <t>DFS</t>
  </si>
  <si>
    <t>DISCA</t>
  </si>
  <si>
    <t>DLTR</t>
  </si>
  <si>
    <t>D</t>
  </si>
  <si>
    <t>DOV</t>
  </si>
  <si>
    <t>DHI</t>
  </si>
  <si>
    <t>DTE</t>
  </si>
  <si>
    <t>DUK</t>
  </si>
  <si>
    <t>EMN</t>
  </si>
  <si>
    <t>ETN</t>
  </si>
  <si>
    <t>EBAY</t>
  </si>
  <si>
    <t>ECL</t>
  </si>
  <si>
    <t>EIX</t>
  </si>
  <si>
    <t>EW</t>
  </si>
  <si>
    <t>EA</t>
  </si>
  <si>
    <t>LLY</t>
  </si>
  <si>
    <t>EMR</t>
  </si>
  <si>
    <t>ETR</t>
  </si>
  <si>
    <t>EOG</t>
  </si>
  <si>
    <t>EFX</t>
  </si>
  <si>
    <t>EQR</t>
  </si>
  <si>
    <t>EL</t>
  </si>
  <si>
    <t>EXC</t>
  </si>
  <si>
    <t>EXPE</t>
  </si>
  <si>
    <t>EXPD</t>
  </si>
  <si>
    <t>XOM</t>
  </si>
  <si>
    <t>FFIV</t>
  </si>
  <si>
    <t>FAST</t>
  </si>
  <si>
    <t>FDX</t>
  </si>
  <si>
    <t>FIS</t>
  </si>
  <si>
    <t>FITB</t>
  </si>
  <si>
    <t>FISV</t>
  </si>
  <si>
    <t>FMC</t>
  </si>
  <si>
    <t>BEN</t>
  </si>
  <si>
    <t>FCX</t>
  </si>
  <si>
    <t>GPS</t>
  </si>
  <si>
    <t>GD</t>
  </si>
  <si>
    <t>GE</t>
  </si>
  <si>
    <t>GIS</t>
  </si>
  <si>
    <t>GPC</t>
  </si>
  <si>
    <t>GILD</t>
  </si>
  <si>
    <t>GS</t>
  </si>
  <si>
    <t>GOOG</t>
  </si>
  <si>
    <t>HAL</t>
  </si>
  <si>
    <t>HIG</t>
  </si>
  <si>
    <t>HAS</t>
  </si>
  <si>
    <t>HSY</t>
  </si>
  <si>
    <t>HES</t>
  </si>
  <si>
    <t>HPQ</t>
  </si>
  <si>
    <t>HD</t>
  </si>
  <si>
    <t>HON</t>
  </si>
  <si>
    <t>HRL</t>
  </si>
  <si>
    <t>HST</t>
  </si>
  <si>
    <t>HUM</t>
  </si>
  <si>
    <t>HBAN</t>
  </si>
  <si>
    <t>ITW</t>
  </si>
  <si>
    <t>IR</t>
  </si>
  <si>
    <t>INTC</t>
  </si>
  <si>
    <t>ICE</t>
  </si>
  <si>
    <t>IBM</t>
  </si>
  <si>
    <t>IFF</t>
  </si>
  <si>
    <t>IP</t>
  </si>
  <si>
    <t>IPG</t>
  </si>
  <si>
    <t>INTU</t>
  </si>
  <si>
    <t>ISRG</t>
  </si>
  <si>
    <t>IVZ</t>
  </si>
  <si>
    <t>IRM</t>
  </si>
  <si>
    <t>SJM</t>
  </si>
  <si>
    <t>JNJ</t>
  </si>
  <si>
    <t>JCI</t>
  </si>
  <si>
    <t>JPM</t>
  </si>
  <si>
    <t>JNPR</t>
  </si>
  <si>
    <t>K</t>
  </si>
  <si>
    <t>KEY</t>
  </si>
  <si>
    <t>KMB</t>
  </si>
  <si>
    <t>KIM</t>
  </si>
  <si>
    <t>KMI</t>
  </si>
  <si>
    <t>KLAC</t>
  </si>
  <si>
    <t>KR</t>
  </si>
  <si>
    <t>LH</t>
  </si>
  <si>
    <t>LRCX</t>
  </si>
  <si>
    <t>LEG</t>
  </si>
  <si>
    <t>LEN</t>
  </si>
  <si>
    <t>LNC</t>
  </si>
  <si>
    <t>LMT</t>
  </si>
  <si>
    <t>L</t>
  </si>
  <si>
    <t>LYB</t>
  </si>
  <si>
    <t>MTB</t>
  </si>
  <si>
    <t>MRO</t>
  </si>
  <si>
    <t>MPC</t>
  </si>
  <si>
    <t>MAR</t>
  </si>
  <si>
    <t>MMC</t>
  </si>
  <si>
    <t>MAS</t>
  </si>
  <si>
    <t>MA</t>
  </si>
  <si>
    <t>MKC</t>
  </si>
  <si>
    <t>MCD</t>
  </si>
  <si>
    <t>MCK</t>
  </si>
  <si>
    <t>MDT</t>
  </si>
  <si>
    <t>MRK</t>
  </si>
  <si>
    <t>MET</t>
  </si>
  <si>
    <t>MCHP</t>
  </si>
  <si>
    <t>MU</t>
  </si>
  <si>
    <t>MSFT</t>
  </si>
  <si>
    <t>TAP</t>
  </si>
  <si>
    <t>MDLZ</t>
  </si>
  <si>
    <t>MNST</t>
  </si>
  <si>
    <t>MCO</t>
  </si>
  <si>
    <t>MOS</t>
  </si>
  <si>
    <t>MSI</t>
  </si>
  <si>
    <t>NDAQ</t>
  </si>
  <si>
    <t>NTAP</t>
  </si>
  <si>
    <t>NFLX</t>
  </si>
  <si>
    <t>NWL</t>
  </si>
  <si>
    <t>NEM</t>
  </si>
  <si>
    <t>NWSA</t>
  </si>
  <si>
    <t>NEE</t>
  </si>
  <si>
    <t>NKE</t>
  </si>
  <si>
    <t>NI</t>
  </si>
  <si>
    <t>NSC</t>
  </si>
  <si>
    <t>NTRS</t>
  </si>
  <si>
    <t>NOC</t>
  </si>
  <si>
    <t>NRG</t>
  </si>
  <si>
    <t>NUE</t>
  </si>
  <si>
    <t>NVDA</t>
  </si>
  <si>
    <t>ORLY</t>
  </si>
  <si>
    <t>OXY</t>
  </si>
  <si>
    <t>OMC</t>
  </si>
  <si>
    <t>OKE</t>
  </si>
  <si>
    <t>ORCL</t>
  </si>
  <si>
    <t>PCAR</t>
  </si>
  <si>
    <t>PH</t>
  </si>
  <si>
    <t>PAYX</t>
  </si>
  <si>
    <t>PNR</t>
  </si>
  <si>
    <t>PBCT</t>
  </si>
  <si>
    <t>PEP</t>
  </si>
  <si>
    <t>PKI</t>
  </si>
  <si>
    <t>PFE</t>
  </si>
  <si>
    <t>PM</t>
  </si>
  <si>
    <t>PSX</t>
  </si>
  <si>
    <t>PXD</t>
  </si>
  <si>
    <t>PNC</t>
  </si>
  <si>
    <t>PPG</t>
  </si>
  <si>
    <t>PPL</t>
  </si>
  <si>
    <t>PFG</t>
  </si>
  <si>
    <t>PG</t>
  </si>
  <si>
    <t>PGR</t>
  </si>
  <si>
    <t>PLD</t>
  </si>
  <si>
    <t>PRU</t>
  </si>
  <si>
    <t>PEG</t>
  </si>
  <si>
    <t>PSA</t>
  </si>
  <si>
    <t>PHM</t>
  </si>
  <si>
    <t>QCOM</t>
  </si>
  <si>
    <t>PWR</t>
  </si>
  <si>
    <t>DGX</t>
  </si>
  <si>
    <t>RL</t>
  </si>
  <si>
    <t>RF</t>
  </si>
  <si>
    <t>RSG</t>
  </si>
  <si>
    <t>RHI</t>
  </si>
  <si>
    <t>ROK</t>
  </si>
  <si>
    <t>ROP</t>
  </si>
  <si>
    <t>ROST</t>
  </si>
  <si>
    <t>CRM</t>
  </si>
  <si>
    <t>SLB</t>
  </si>
  <si>
    <t>STX</t>
  </si>
  <si>
    <t>SEE</t>
  </si>
  <si>
    <t>SRE</t>
  </si>
  <si>
    <t>SHW</t>
  </si>
  <si>
    <t>SPG</t>
  </si>
  <si>
    <t>SNA</t>
  </si>
  <si>
    <t>LUV</t>
  </si>
  <si>
    <t>SWK</t>
  </si>
  <si>
    <t>SBUX</t>
  </si>
  <si>
    <t>STT</t>
  </si>
  <si>
    <t>SYK</t>
  </si>
  <si>
    <t>SYY</t>
  </si>
  <si>
    <t>TROW</t>
  </si>
  <si>
    <t>TGT</t>
  </si>
  <si>
    <t>TEL</t>
  </si>
  <si>
    <t>TXN</t>
  </si>
  <si>
    <t>TXT</t>
  </si>
  <si>
    <t>TMO</t>
  </si>
  <si>
    <t>TJX</t>
  </si>
  <si>
    <t>TRV</t>
  </si>
  <si>
    <t>TSN</t>
  </si>
  <si>
    <t>UNP</t>
  </si>
  <si>
    <t>UPS</t>
  </si>
  <si>
    <t>UNH</t>
  </si>
  <si>
    <t>USB</t>
  </si>
  <si>
    <t>VLO</t>
  </si>
  <si>
    <t>VTR</t>
  </si>
  <si>
    <t>VRSN</t>
  </si>
  <si>
    <t>VZ</t>
  </si>
  <si>
    <t>VFC</t>
  </si>
  <si>
    <t>V</t>
  </si>
  <si>
    <t>VNO</t>
  </si>
  <si>
    <t>VMC</t>
  </si>
  <si>
    <t>WMT</t>
  </si>
  <si>
    <t>DIS</t>
  </si>
  <si>
    <t>WM</t>
  </si>
  <si>
    <t>WAT</t>
  </si>
  <si>
    <t>WFC</t>
  </si>
  <si>
    <t>WDC</t>
  </si>
  <si>
    <t>WU</t>
  </si>
  <si>
    <t>WY</t>
  </si>
  <si>
    <t>WHR</t>
  </si>
  <si>
    <t>WMB</t>
  </si>
  <si>
    <t>WEC</t>
  </si>
  <si>
    <t>GWW</t>
  </si>
  <si>
    <t>WYNN</t>
  </si>
  <si>
    <t>XEL</t>
  </si>
  <si>
    <t>XLNX</t>
  </si>
  <si>
    <t>XYL</t>
  </si>
  <si>
    <t>YUM</t>
  </si>
  <si>
    <t>ZION</t>
  </si>
  <si>
    <t>Eversource Energy</t>
  </si>
  <si>
    <t>ES</t>
  </si>
  <si>
    <t>Yahoo! Finance Earnings Growth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</si>
  <si>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</si>
  <si>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</si>
  <si>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</si>
  <si>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</si>
  <si>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</si>
  <si>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</si>
  <si>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[11] Equals [3] x (1 + 0.50 x Maximum ([5], [6], [7]) + Maximum ([5], [6], [7])</t>
  </si>
  <si>
    <t>Significance F</t>
  </si>
  <si>
    <t>AVGO</t>
  </si>
  <si>
    <t>AbbVie Inc</t>
  </si>
  <si>
    <t>ABBV</t>
  </si>
  <si>
    <t>General Motors Co</t>
  </si>
  <si>
    <t>GM</t>
  </si>
  <si>
    <t>Dollar General Corp</t>
  </si>
  <si>
    <t>DG</t>
  </si>
  <si>
    <t>NLSN</t>
  </si>
  <si>
    <t>HCA</t>
  </si>
  <si>
    <t>Under Armour Inc</t>
  </si>
  <si>
    <t>UA</t>
  </si>
  <si>
    <t>Royal Caribbean Cruises Ltd</t>
  </si>
  <si>
    <t>RCL</t>
  </si>
  <si>
    <t>Kansas City Southern</t>
  </si>
  <si>
    <t>KSU</t>
  </si>
  <si>
    <t>Eaton Corp PLC</t>
  </si>
  <si>
    <t>Freeport-McMoRan Inc</t>
  </si>
  <si>
    <t>Medtronic PLC</t>
  </si>
  <si>
    <t>CVS Health Corp</t>
  </si>
  <si>
    <t>FOXA</t>
  </si>
  <si>
    <t>PVH Corp</t>
  </si>
  <si>
    <t>PVH</t>
  </si>
  <si>
    <t>Parker-Hannifin Corp</t>
  </si>
  <si>
    <t>PNC Financial Services Group Inc/The</t>
  </si>
  <si>
    <t>AMETEK Inc</t>
  </si>
  <si>
    <t>AME</t>
  </si>
  <si>
    <t>TJX Cos Inc/The</t>
  </si>
  <si>
    <t>Marriott International Inc/MD</t>
  </si>
  <si>
    <t>Walgreens Boots Alliance Inc</t>
  </si>
  <si>
    <t>WBA</t>
  </si>
  <si>
    <t>Hartford Financial Services Group Inc/The</t>
  </si>
  <si>
    <t>Universal Health Services Inc</t>
  </si>
  <si>
    <t>UHS</t>
  </si>
  <si>
    <t>Regeneron Pharmaceuticals Inc</t>
  </si>
  <si>
    <t>REGN</t>
  </si>
  <si>
    <t>GOOGL</t>
  </si>
  <si>
    <t>ALLE</t>
  </si>
  <si>
    <t>Anthem Inc</t>
  </si>
  <si>
    <t>ANTM</t>
  </si>
  <si>
    <t>Intercontinental Exchange Inc</t>
  </si>
  <si>
    <t>Tractor Supply Co</t>
  </si>
  <si>
    <t>TSCO</t>
  </si>
  <si>
    <t>Essex Property Trust Inc</t>
  </si>
  <si>
    <t>ESS</t>
  </si>
  <si>
    <t>Mohawk Industries Inc</t>
  </si>
  <si>
    <t>MHK</t>
  </si>
  <si>
    <t>Pentair PLC</t>
  </si>
  <si>
    <t>Vertex Pharmaceuticals Inc</t>
  </si>
  <si>
    <t>VRTX</t>
  </si>
  <si>
    <t>Facebook Inc</t>
  </si>
  <si>
    <t>FB</t>
  </si>
  <si>
    <t>United Rentals Inc</t>
  </si>
  <si>
    <t>URI</t>
  </si>
  <si>
    <t>Delta Air Lines Inc</t>
  </si>
  <si>
    <t>DAL</t>
  </si>
  <si>
    <t>Martin Marietta Materials Inc</t>
  </si>
  <si>
    <t>MLM</t>
  </si>
  <si>
    <t>Garmin Ltd</t>
  </si>
  <si>
    <t>GRMN</t>
  </si>
  <si>
    <t>Zoetis Inc</t>
  </si>
  <si>
    <t>ZTS</t>
  </si>
  <si>
    <t>DISCK</t>
  </si>
  <si>
    <t>Mean</t>
  </si>
  <si>
    <t>n/a</t>
  </si>
  <si>
    <t>Extra Space Storage Inc</t>
  </si>
  <si>
    <t>EXR</t>
  </si>
  <si>
    <t>HP Inc</t>
  </si>
  <si>
    <t>American Water Works Co Inc</t>
  </si>
  <si>
    <t>AWK</t>
  </si>
  <si>
    <t>Hewlett Packard Enterprise Co</t>
  </si>
  <si>
    <t>HPE</t>
  </si>
  <si>
    <t>Verisk Analytics Inc</t>
  </si>
  <si>
    <t>VRSK</t>
  </si>
  <si>
    <t>Qorvo Inc</t>
  </si>
  <si>
    <t>QRVO</t>
  </si>
  <si>
    <t>UDR Inc</t>
  </si>
  <si>
    <t>UDR</t>
  </si>
  <si>
    <t>Synchrony Financial</t>
  </si>
  <si>
    <t>SYF</t>
  </si>
  <si>
    <t>Willis Towers Watson PLC</t>
  </si>
  <si>
    <t>WLTW</t>
  </si>
  <si>
    <t>Hanesbrands Inc</t>
  </si>
  <si>
    <t>HBI</t>
  </si>
  <si>
    <t>WEC Energy Group Inc</t>
  </si>
  <si>
    <t>American Airlines Group Inc</t>
  </si>
  <si>
    <t>AAL</t>
  </si>
  <si>
    <t>Welltower Inc</t>
  </si>
  <si>
    <t>Biogen Inc</t>
  </si>
  <si>
    <t>Roper Technologies Inc</t>
  </si>
  <si>
    <t>US Bancorp</t>
  </si>
  <si>
    <t>DENTSPLY SIRONA Inc</t>
  </si>
  <si>
    <t>Hologic Inc</t>
  </si>
  <si>
    <t>HOLX</t>
  </si>
  <si>
    <t>Chubb Ltd</t>
  </si>
  <si>
    <t>Citizens Financial Group Inc</t>
  </si>
  <si>
    <t>CFG</t>
  </si>
  <si>
    <t>Skyworks Solutions Inc</t>
  </si>
  <si>
    <t>SWKS</t>
  </si>
  <si>
    <t>Activision Blizzard Inc</t>
  </si>
  <si>
    <t>ATVI</t>
  </si>
  <si>
    <t>Kraft Heinz Co/The</t>
  </si>
  <si>
    <t>KHC</t>
  </si>
  <si>
    <t>Henry Schein Inc</t>
  </si>
  <si>
    <t>HSIC</t>
  </si>
  <si>
    <t>Alphabet Inc</t>
  </si>
  <si>
    <t>Nasdaq Inc</t>
  </si>
  <si>
    <t>Zimmer Biomet Holdings Inc</t>
  </si>
  <si>
    <t>ZBH</t>
  </si>
  <si>
    <t>Realty Income Corp</t>
  </si>
  <si>
    <t>O</t>
  </si>
  <si>
    <t>WRK</t>
  </si>
  <si>
    <t>Church &amp; Dwight Co Inc</t>
  </si>
  <si>
    <t>CHD</t>
  </si>
  <si>
    <t>Federal Realty Investment Trust</t>
  </si>
  <si>
    <t>FRT</t>
  </si>
  <si>
    <t>FOX</t>
  </si>
  <si>
    <t>JB Hunt Transport Services Inc</t>
  </si>
  <si>
    <t>JBHT</t>
  </si>
  <si>
    <t>UAL</t>
  </si>
  <si>
    <t>NWS</t>
  </si>
  <si>
    <t>Centene Corp</t>
  </si>
  <si>
    <t>CNC</t>
  </si>
  <si>
    <t>PayPal Holdings Inc</t>
  </si>
  <si>
    <t>PYPL</t>
  </si>
  <si>
    <t>Advance Auto Parts Inc</t>
  </si>
  <si>
    <t>AAP</t>
  </si>
  <si>
    <t>Illumina Inc</t>
  </si>
  <si>
    <t>ILMN</t>
  </si>
  <si>
    <t>Nielsen Holdings PLC</t>
  </si>
  <si>
    <t>Equinix Inc</t>
  </si>
  <si>
    <t>EQIX</t>
  </si>
  <si>
    <t>[12]</t>
  </si>
  <si>
    <t>Average Growth Rate</t>
  </si>
  <si>
    <t>Low ROE</t>
  </si>
  <si>
    <t>Mean ROE</t>
  </si>
  <si>
    <t>High ROE</t>
  </si>
  <si>
    <t>LNT</t>
  </si>
  <si>
    <t>UAA</t>
  </si>
  <si>
    <t>Fortune Brands Home &amp; Security Inc</t>
  </si>
  <si>
    <t>FBHS</t>
  </si>
  <si>
    <t>Advanced Micro Devices Inc</t>
  </si>
  <si>
    <t>AMD</t>
  </si>
  <si>
    <t>Conagra Brands Inc</t>
  </si>
  <si>
    <t>CBOE</t>
  </si>
  <si>
    <t>Gartner Inc</t>
  </si>
  <si>
    <t>IT</t>
  </si>
  <si>
    <t>Fortive Corp</t>
  </si>
  <si>
    <t>FTV</t>
  </si>
  <si>
    <t>Arthur J Gallagher &amp; Co</t>
  </si>
  <si>
    <t>AJG</t>
  </si>
  <si>
    <t>Charter Communications Inc</t>
  </si>
  <si>
    <t>CHTR</t>
  </si>
  <si>
    <t>S&amp;P Global Inc</t>
  </si>
  <si>
    <t>SPGI</t>
  </si>
  <si>
    <t>Newell Brands Inc</t>
  </si>
  <si>
    <t>Raymond James Financial Inc</t>
  </si>
  <si>
    <t>RJF</t>
  </si>
  <si>
    <t>Johnson Controls International plc</t>
  </si>
  <si>
    <t>Ulta Beauty Inc</t>
  </si>
  <si>
    <t>ULTA</t>
  </si>
  <si>
    <t>IDEXX Laboratories Inc</t>
  </si>
  <si>
    <t>IDXX</t>
  </si>
  <si>
    <t>Alaska Air Group Inc</t>
  </si>
  <si>
    <t>ALK</t>
  </si>
  <si>
    <t>Incyte Corp</t>
  </si>
  <si>
    <t>INCY</t>
  </si>
  <si>
    <t>DXC Technology Co</t>
  </si>
  <si>
    <t>DXC</t>
  </si>
  <si>
    <t>DaVita Inc</t>
  </si>
  <si>
    <t>Synopsys Inc</t>
  </si>
  <si>
    <t>SNPS</t>
  </si>
  <si>
    <t>TransDigm Group Inc</t>
  </si>
  <si>
    <t>TDG</t>
  </si>
  <si>
    <t>CME Group Inc</t>
  </si>
  <si>
    <t>salesforce.com Inc</t>
  </si>
  <si>
    <t>Mastercard Inc</t>
  </si>
  <si>
    <t>Cooper Cos Inc/The</t>
  </si>
  <si>
    <t>COO</t>
  </si>
  <si>
    <t>Mid-America Apartment Communities Inc</t>
  </si>
  <si>
    <t>MAA</t>
  </si>
  <si>
    <t>Mettler-Toledo International Inc</t>
  </si>
  <si>
    <t>MTD</t>
  </si>
  <si>
    <t>Albemarle Corp</t>
  </si>
  <si>
    <t>ALB</t>
  </si>
  <si>
    <t>Alliant Energy Corp</t>
  </si>
  <si>
    <t>Alexandria Real Estate Equities Inc</t>
  </si>
  <si>
    <t>ARE</t>
  </si>
  <si>
    <t>Regency Centers Corp</t>
  </si>
  <si>
    <t>REG</t>
  </si>
  <si>
    <t>DISH Network Corp</t>
  </si>
  <si>
    <t>DISH</t>
  </si>
  <si>
    <t>Global Payments Inc</t>
  </si>
  <si>
    <t>GPN</t>
  </si>
  <si>
    <t>LKQ Corp</t>
  </si>
  <si>
    <t>LKQ</t>
  </si>
  <si>
    <t>Digital Realty Trust Inc</t>
  </si>
  <si>
    <t>DLR</t>
  </si>
  <si>
    <t>Median</t>
  </si>
  <si>
    <t>Y</t>
  </si>
  <si>
    <t>30-Day Average</t>
  </si>
  <si>
    <t>90-Day Average</t>
  </si>
  <si>
    <t>180-Day Average</t>
  </si>
  <si>
    <t>Constant Growth Average</t>
  </si>
  <si>
    <t>Risk Premium Mean Result</t>
  </si>
  <si>
    <t>CAPM</t>
  </si>
  <si>
    <t>Treasury Yield Plus Risk Premium</t>
  </si>
  <si>
    <t>Near-Term Blue Chip Forecast Yield</t>
  </si>
  <si>
    <t>Long-Term Blue Chip Forecast Yield</t>
  </si>
  <si>
    <t>Risk Premium Analysis</t>
  </si>
  <si>
    <t>Dividends</t>
  </si>
  <si>
    <t>S&amp;P Credit Rating Between BBB- and AAA</t>
  </si>
  <si>
    <t>Yes</t>
  </si>
  <si>
    <t>BBB+</t>
  </si>
  <si>
    <t>No</t>
  </si>
  <si>
    <t>A-</t>
  </si>
  <si>
    <t>X</t>
  </si>
  <si>
    <t>HCA Healthcare Inc</t>
  </si>
  <si>
    <t>Dominion Energy Inc</t>
  </si>
  <si>
    <t>Hilton Worldwide Holdings Inc</t>
  </si>
  <si>
    <t>HLT</t>
  </si>
  <si>
    <t>Cboe Global Markets Inc</t>
  </si>
  <si>
    <t>IQVIA Holdings Inc</t>
  </si>
  <si>
    <t>IQV</t>
  </si>
  <si>
    <t>Packaging Corp of America</t>
  </si>
  <si>
    <t>PKG</t>
  </si>
  <si>
    <t>Norwegian Cruise Line Holdings Ltd</t>
  </si>
  <si>
    <t>NCLH</t>
  </si>
  <si>
    <t>AOS</t>
  </si>
  <si>
    <t>Cadence Design Systems Inc</t>
  </si>
  <si>
    <t>CDNS</t>
  </si>
  <si>
    <t>ANSYS Inc</t>
  </si>
  <si>
    <t>ANSS</t>
  </si>
  <si>
    <t>SBA Communications Corp</t>
  </si>
  <si>
    <t>SBAC</t>
  </si>
  <si>
    <t>Tapestry Inc</t>
  </si>
  <si>
    <t>TPR</t>
  </si>
  <si>
    <t>ResMed Inc</t>
  </si>
  <si>
    <t>RMD</t>
  </si>
  <si>
    <t>IHS Markit Ltd</t>
  </si>
  <si>
    <t>INFO</t>
  </si>
  <si>
    <t>Duke Realty Corp</t>
  </si>
  <si>
    <t>DRE</t>
  </si>
  <si>
    <t>MGM Resorts International</t>
  </si>
  <si>
    <t>MGM</t>
  </si>
  <si>
    <t>Everest Re Group Ltd</t>
  </si>
  <si>
    <t>RE</t>
  </si>
  <si>
    <t>Aptiv PLC</t>
  </si>
  <si>
    <t>APTV</t>
  </si>
  <si>
    <t>Align Technology Inc</t>
  </si>
  <si>
    <t>ALGN</t>
  </si>
  <si>
    <t>1993.2</t>
  </si>
  <si>
    <t>1993.3</t>
  </si>
  <si>
    <t>1993.4</t>
  </si>
  <si>
    <t>1994.1</t>
  </si>
  <si>
    <t>1994.2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</si>
  <si>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</si>
  <si>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</si>
  <si>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</si>
  <si>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</si>
  <si>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</si>
  <si>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</si>
  <si>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</si>
  <si>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</si>
  <si>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1997.1</t>
  </si>
  <si>
    <t>1997.2</t>
  </si>
  <si>
    <t>1997.3</t>
  </si>
  <si>
    <t>1997.4</t>
  </si>
  <si>
    <t>1998.2</t>
  </si>
  <si>
    <t>1998.3</t>
  </si>
  <si>
    <t>1998.4</t>
  </si>
  <si>
    <t>1999.1</t>
  </si>
  <si>
    <t>1999.2</t>
  </si>
  <si>
    <t>1999.4</t>
  </si>
  <si>
    <t>2000.1</t>
  </si>
  <si>
    <t>2000.2</t>
  </si>
  <si>
    <t>2000.3</t>
  </si>
  <si>
    <t>2000.4</t>
  </si>
  <si>
    <t>2001.1</t>
  </si>
  <si>
    <t>2001.2</t>
  </si>
  <si>
    <t>2001.4</t>
  </si>
  <si>
    <t>2002.1</t>
  </si>
  <si>
    <t>2002.2</t>
  </si>
  <si>
    <t>2002.3</t>
  </si>
  <si>
    <t>2002.4</t>
  </si>
  <si>
    <t>2003.1</t>
  </si>
  <si>
    <t>2003.2</t>
  </si>
  <si>
    <t>2003.3</t>
  </si>
  <si>
    <t>2003.4</t>
  </si>
  <si>
    <t>2004.1</t>
  </si>
  <si>
    <t>2004.2</t>
  </si>
  <si>
    <t>2004.3</t>
  </si>
  <si>
    <t>2004.4</t>
  </si>
  <si>
    <t>2005.1</t>
  </si>
  <si>
    <t>2005.2</t>
  </si>
  <si>
    <t>2005.3</t>
  </si>
  <si>
    <t>2005.4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</si>
  <si>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</si>
  <si>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</si>
  <si>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</si>
  <si>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</si>
  <si>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</si>
  <si>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</si>
  <si>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</si>
  <si>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</si>
  <si>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</si>
  <si>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</si>
  <si>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</si>
  <si>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</si>
  <si>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</si>
  <si>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</si>
  <si>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</si>
  <si>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</si>
  <si>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</si>
  <si>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</si>
  <si>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</si>
  <si>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</si>
  <si>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</si>
  <si>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</si>
  <si>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</si>
  <si>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</si>
  <si>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</si>
  <si>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</si>
  <si>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</si>
  <si>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</si>
  <si>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</si>
  <si>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</si>
  <si>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</si>
  <si>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</si>
  <si>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</si>
  <si>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</si>
  <si>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</si>
  <si>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</si>
  <si>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</si>
  <si>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</si>
  <si>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</si>
  <si>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</si>
  <si>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</si>
  <si>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</si>
  <si>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</si>
  <si>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</si>
  <si>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</si>
  <si>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</si>
  <si>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</si>
  <si>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</si>
  <si>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[2] Source: Bloomberg Professional</t>
  </si>
  <si>
    <t>[2] Source: Bloomberg Professional, quarterly bond yields are the average of each trading day in the quarter</t>
  </si>
  <si>
    <t>Broadcom Inc</t>
  </si>
  <si>
    <t>Walmart Inc</t>
  </si>
  <si>
    <t>MSCI Inc</t>
  </si>
  <si>
    <t>MSCI</t>
  </si>
  <si>
    <t>IPG Photonics Corp</t>
  </si>
  <si>
    <t>IPGP</t>
  </si>
  <si>
    <t>WELL</t>
  </si>
  <si>
    <t>SVB Financial Group</t>
  </si>
  <si>
    <t>SIVB</t>
  </si>
  <si>
    <t>Take-Two Interactive Software Inc</t>
  </si>
  <si>
    <t>TTWO</t>
  </si>
  <si>
    <t>Booking Holdings Inc</t>
  </si>
  <si>
    <t>BKNG</t>
  </si>
  <si>
    <t>Huntington Ingalls Industries Inc</t>
  </si>
  <si>
    <t>HII</t>
  </si>
  <si>
    <t>CBRE</t>
  </si>
  <si>
    <t>Expedia Group Inc</t>
  </si>
  <si>
    <t>Discovery Inc</t>
  </si>
  <si>
    <t>2018.1</t>
  </si>
  <si>
    <t>2018.2</t>
  </si>
  <si>
    <t>ALLETE, Inc.</t>
  </si>
  <si>
    <t>ALE</t>
  </si>
  <si>
    <t>Alliant Energy Corporation</t>
  </si>
  <si>
    <t>Ameren Corporation</t>
  </si>
  <si>
    <t>American Electric Power Company, Inc.</t>
  </si>
  <si>
    <t>NorthWestern Corporation</t>
  </si>
  <si>
    <t>NWE</t>
  </si>
  <si>
    <t>Otter Tail Corporation</t>
  </si>
  <si>
    <t>OTTR</t>
  </si>
  <si>
    <t>Duke Energy Corporation</t>
  </si>
  <si>
    <t>Xcel Energy Inc.</t>
  </si>
  <si>
    <t>BBB</t>
  </si>
  <si>
    <t>FleetCor Technologies Inc</t>
  </si>
  <si>
    <t>FLT</t>
  </si>
  <si>
    <t>Broadridge Financial Solutions Inc</t>
  </si>
  <si>
    <t>BR</t>
  </si>
  <si>
    <t>Twitter Inc</t>
  </si>
  <si>
    <t>TWTR</t>
  </si>
  <si>
    <t>Evergy Inc</t>
  </si>
  <si>
    <t>EVRG</t>
  </si>
  <si>
    <t>Copart Inc</t>
  </si>
  <si>
    <t>CPRT</t>
  </si>
  <si>
    <t>ABIOMED Inc</t>
  </si>
  <si>
    <t>ABMD</t>
  </si>
  <si>
    <t>[4] Source: Yahoo! Finance, Value Line Investment Survey, and Zacks</t>
  </si>
  <si>
    <t>[3] Source: Yahoo! Finance and Zacks</t>
  </si>
  <si>
    <t>Covered by More Than 1 Analyst</t>
  </si>
  <si>
    <t>Positive Growth Rates from at least two sources (Value Line, Yahoo! First Call, and Zacks)</t>
  </si>
  <si>
    <t>Generation Assets Included in Rate Base</t>
  </si>
  <si>
    <t>U.S. Govt. 30-year Treasury</t>
  </si>
  <si>
    <t>1994.3</t>
  </si>
  <si>
    <r>
      <t>SUMMARY OF ROE ANALYSES RESULTS</t>
    </r>
    <r>
      <rPr>
        <vertAlign val="superscript"/>
        <sz val="11"/>
        <rFont val="Arial"/>
        <family val="2"/>
      </rPr>
      <t>1</t>
    </r>
  </si>
  <si>
    <t>Average</t>
  </si>
  <si>
    <t>1992.1</t>
  </si>
  <si>
    <t>1992.2</t>
  </si>
  <si>
    <t>1993.1</t>
  </si>
  <si>
    <t>1992.3</t>
  </si>
  <si>
    <t>1992.4</t>
  </si>
  <si>
    <t>U.S. Govt.</t>
  </si>
  <si>
    <t>30-year</t>
  </si>
  <si>
    <t>Treasury</t>
  </si>
  <si>
    <t>Announced Merger</t>
  </si>
  <si>
    <t>Avista Corporation</t>
  </si>
  <si>
    <t>Entergy Corporation</t>
  </si>
  <si>
    <t>IDACORP, Inc.</t>
  </si>
  <si>
    <t>MGE Energy, Inc.</t>
  </si>
  <si>
    <t xml:space="preserve">NextEra Energy, Inc. </t>
  </si>
  <si>
    <t>Portland General Electric Company</t>
  </si>
  <si>
    <t>Southern Company</t>
  </si>
  <si>
    <t>% Regulated Coal Generation Capacity &gt; 5%</t>
  </si>
  <si>
    <t>% Regulated Operating Income &gt; 60%</t>
  </si>
  <si>
    <t>% Regulated Electric Operating Income &gt; 60%</t>
  </si>
  <si>
    <t>% Company-Owned Generation &gt;40%</t>
  </si>
  <si>
    <t>AVA</t>
  </si>
  <si>
    <t>IDA</t>
  </si>
  <si>
    <t>MGEE</t>
  </si>
  <si>
    <t>POR</t>
  </si>
  <si>
    <t>AA-</t>
  </si>
  <si>
    <t>[10] SNL Financial News Releases</t>
  </si>
  <si>
    <t>CAPITAL ASSET PRICING MODEL -- CURRENT RISK-FREE RATE &amp; VL BETA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</si>
  <si>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</si>
  <si>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</si>
  <si>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</si>
  <si>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</si>
  <si>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</si>
  <si>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</si>
  <si>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</si>
  <si>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</si>
  <si>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</si>
  <si>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</si>
  <si>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</si>
  <si>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</si>
  <si>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</si>
  <si>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</si>
  <si>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</si>
  <si>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6, June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</si>
  <si>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</si>
  <si>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</si>
  <si>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</si>
  <si>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</si>
  <si>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Monolithic Power Systems Inc</t>
  </si>
  <si>
    <t>MPWR</t>
  </si>
  <si>
    <t>Baker Hughes Co</t>
  </si>
  <si>
    <t>BKR</t>
  </si>
  <si>
    <t>Raytheon Technologies Corp</t>
  </si>
  <si>
    <t>RTX</t>
  </si>
  <si>
    <t>Cisco Systems Inc/Delaware</t>
  </si>
  <si>
    <t>Kinder Morgan Inc</t>
  </si>
  <si>
    <t>Air Products and Chemicals Inc</t>
  </si>
  <si>
    <t>Enphase Energy Inc</t>
  </si>
  <si>
    <t>ENPH</t>
  </si>
  <si>
    <t>Carrier Global Corp</t>
  </si>
  <si>
    <t>CARR</t>
  </si>
  <si>
    <t>Otis Worldwide Corp</t>
  </si>
  <si>
    <t>OTIS</t>
  </si>
  <si>
    <t>Lumen Technologies Inc</t>
  </si>
  <si>
    <t>LUMN</t>
  </si>
  <si>
    <t>Paycom Software Inc</t>
  </si>
  <si>
    <t>PAYC</t>
  </si>
  <si>
    <t>Caesars Entertainment Inc</t>
  </si>
  <si>
    <t>CZR</t>
  </si>
  <si>
    <t>Dexcom Inc</t>
  </si>
  <si>
    <t>DXCM</t>
  </si>
  <si>
    <t>Atmos Energy Corp</t>
  </si>
  <si>
    <t>ATO</t>
  </si>
  <si>
    <t>L3Harris Technologies Inc</t>
  </si>
  <si>
    <t>LHX</t>
  </si>
  <si>
    <t>Healthpeak Properties Inc</t>
  </si>
  <si>
    <t>PEAK</t>
  </si>
  <si>
    <t>Catalent Inc</t>
  </si>
  <si>
    <t>CTLT</t>
  </si>
  <si>
    <t>CDW Corp/DE</t>
  </si>
  <si>
    <t>CDW</t>
  </si>
  <si>
    <t>Trane Technologies PLC</t>
  </si>
  <si>
    <t>TT</t>
  </si>
  <si>
    <t>J</t>
  </si>
  <si>
    <t>Generac Holdings Inc</t>
  </si>
  <si>
    <t>GNRC</t>
  </si>
  <si>
    <t>NXP Semiconductors NV</t>
  </si>
  <si>
    <t>NXPI</t>
  </si>
  <si>
    <t>IDEX Corp</t>
  </si>
  <si>
    <t>IEX</t>
  </si>
  <si>
    <t>Viatris Inc</t>
  </si>
  <si>
    <t>VTRS</t>
  </si>
  <si>
    <t>DuPont de Nemours Inc</t>
  </si>
  <si>
    <t>DD</t>
  </si>
  <si>
    <t>Newmont Corp</t>
  </si>
  <si>
    <t>Rollins Inc</t>
  </si>
  <si>
    <t>ROL</t>
  </si>
  <si>
    <t>Schlumberger NV</t>
  </si>
  <si>
    <t>West Pharmaceutical Services Inc</t>
  </si>
  <si>
    <t>WST</t>
  </si>
  <si>
    <t>J M Smucker Co/The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</si>
  <si>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</si>
  <si>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</si>
  <si>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</si>
  <si>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</si>
  <si>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</si>
  <si>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</si>
  <si>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</si>
  <si>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</si>
  <si>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</si>
  <si>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GL</t>
  </si>
  <si>
    <t>Keysight Technologies Inc</t>
  </si>
  <si>
    <t>KEYS</t>
  </si>
  <si>
    <t>Bio-Rad Laboratories Inc</t>
  </si>
  <si>
    <t>BIO</t>
  </si>
  <si>
    <t>Adobe Inc</t>
  </si>
  <si>
    <t>AES Corp/The</t>
  </si>
  <si>
    <t>Molson Coors Beverage Co</t>
  </si>
  <si>
    <t>KLA Corp</t>
  </si>
  <si>
    <t>First Republic Bank/CA</t>
  </si>
  <si>
    <t>FRC</t>
  </si>
  <si>
    <t>Lamb Weston Holdings Inc</t>
  </si>
  <si>
    <t>LW</t>
  </si>
  <si>
    <t>ViacomCBS Inc</t>
  </si>
  <si>
    <t>VIAC</t>
  </si>
  <si>
    <t>Fox Corp</t>
  </si>
  <si>
    <t>A O Smith Corp</t>
  </si>
  <si>
    <t>NortonLifeLock Inc</t>
  </si>
  <si>
    <t>NLOK</t>
  </si>
  <si>
    <t>Zions Bancorp NA</t>
  </si>
  <si>
    <t>Linde PLC</t>
  </si>
  <si>
    <t>LIN</t>
  </si>
  <si>
    <t>Organon &amp; Co</t>
  </si>
  <si>
    <t>OGN</t>
  </si>
  <si>
    <t>STERIS PLC</t>
  </si>
  <si>
    <t>STE</t>
  </si>
  <si>
    <t>Domino's Pizza Inc</t>
  </si>
  <si>
    <t>DPZ</t>
  </si>
  <si>
    <t>NVR Inc</t>
  </si>
  <si>
    <t>NVR</t>
  </si>
  <si>
    <t>Old Dominion Freight Line Inc</t>
  </si>
  <si>
    <t>ODFL</t>
  </si>
  <si>
    <t>Tyler Technologies Inc</t>
  </si>
  <si>
    <t>TYL</t>
  </si>
  <si>
    <t>Jack Henry &amp; Associates Inc</t>
  </si>
  <si>
    <t>JKHY</t>
  </si>
  <si>
    <t>Howmet Aerospace Inc</t>
  </si>
  <si>
    <t>HWM</t>
  </si>
  <si>
    <t>Etsy Inc</t>
  </si>
  <si>
    <t>ETSY</t>
  </si>
  <si>
    <t>Charles River Laboratories International Inc</t>
  </si>
  <si>
    <t>CRL</t>
  </si>
  <si>
    <t>MarketAxess Holdings Inc</t>
  </si>
  <si>
    <t>MKTX</t>
  </si>
  <si>
    <t>Teleflex Inc</t>
  </si>
  <si>
    <t>TFX</t>
  </si>
  <si>
    <t>Allegion plc</t>
  </si>
  <si>
    <t>Trimble Inc</t>
  </si>
  <si>
    <t>TRMB</t>
  </si>
  <si>
    <t>Celanese Corp</t>
  </si>
  <si>
    <t>CE</t>
  </si>
  <si>
    <t>Ingersoll Rand Inc</t>
  </si>
  <si>
    <t>Zebra Technologies Corp</t>
  </si>
  <si>
    <t>ZBRA</t>
  </si>
  <si>
    <t>Live Nation Entertainment Inc</t>
  </si>
  <si>
    <t>LYV</t>
  </si>
  <si>
    <t>APA Corp</t>
  </si>
  <si>
    <t>Leidos Holdings Inc</t>
  </si>
  <si>
    <t>LDOS</t>
  </si>
  <si>
    <t>Fortinet Inc</t>
  </si>
  <si>
    <t>FTNT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</si>
  <si>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</si>
  <si>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</si>
  <si>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</si>
  <si>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</si>
  <si>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</si>
  <si>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</si>
  <si>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</si>
  <si>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ServiceNow Inc</t>
  </si>
  <si>
    <t>NOW</t>
  </si>
  <si>
    <t>PTC Inc</t>
  </si>
  <si>
    <t>PTC</t>
  </si>
  <si>
    <t>Amcor PLC</t>
  </si>
  <si>
    <t>AMCR</t>
  </si>
  <si>
    <t>T-Mobile US Inc</t>
  </si>
  <si>
    <t>TMUS</t>
  </si>
  <si>
    <t>United Airlines Holdings Inc</t>
  </si>
  <si>
    <t>Seagate Technology Holdings PLC</t>
  </si>
  <si>
    <t>Teradyne Inc</t>
  </si>
  <si>
    <t>TER</t>
  </si>
  <si>
    <t>Tesla Inc</t>
  </si>
  <si>
    <t>TSLA</t>
  </si>
  <si>
    <t>Penn National Gaming Inc</t>
  </si>
  <si>
    <t>PENN</t>
  </si>
  <si>
    <t>Dow Inc</t>
  </si>
  <si>
    <t>DOW</t>
  </si>
  <si>
    <t>Teledyne Technologies Inc</t>
  </si>
  <si>
    <t>TDY</t>
  </si>
  <si>
    <t>Las Vegas Sands Corp</t>
  </si>
  <si>
    <t>LVS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</si>
  <si>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</si>
  <si>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</si>
  <si>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</si>
  <si>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</si>
  <si>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[1] Value Line, dated November 4, 2011, November 25, 2011, and December 23, 2011.</t>
  </si>
  <si>
    <t>[2] Value Line, dated November 2, 2012, November 23, 2012, and  December 21, 2012.</t>
  </si>
  <si>
    <t>[3] Value Line, dated November 1, 2013, November 22, 2013, and December 20, 2013.</t>
  </si>
  <si>
    <t>[4] Value Line, dated October 31, 2014, November 21, 2014, and December 19, 2014.</t>
  </si>
  <si>
    <t>[5] Value Line, dated October 30,2015, November 20, 2015, and December 18, 2015.</t>
  </si>
  <si>
    <t>[6] Value Line, dated October 28, 2016, November 18, 2016, and December 16, 2016.</t>
  </si>
  <si>
    <t>[7] Value Line, dated October 27, 2017, November 17, 2017, and December 15, 2017.</t>
  </si>
  <si>
    <t>[8] Value Line, dated October 18, 2018, November 16, 2018, and Decenber 14, 2018.</t>
  </si>
  <si>
    <t>[9] Value Line, dated October 25, 2019, November 15, 2019, and December 13, 2019.</t>
  </si>
  <si>
    <t>[10] Value Line, dated October 23, 2020, November 13, 2020, and December 11, 2020.</t>
  </si>
  <si>
    <t>[11] Average ([1] - [10])</t>
  </si>
  <si>
    <t>HISTORICAL BETA - 2011 - 2020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</si>
  <si>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</si>
  <si>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</si>
  <si>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</si>
  <si>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Value Line Beta</t>
  </si>
  <si>
    <t>Bloomberg Beta</t>
  </si>
  <si>
    <t>Long-Term Avg. Beta</t>
  </si>
  <si>
    <t>Current 30-day Average Treasury Bond Yield</t>
  </si>
  <si>
    <t>ECAPM</t>
  </si>
  <si>
    <t xml:space="preserve">[7] See notes [4], [5] &amp; [6] </t>
  </si>
  <si>
    <t>[9] Equals Column [7] + Column [8]</t>
  </si>
  <si>
    <t>Average Authorized VI Electric ROE</t>
  </si>
  <si>
    <t>Current 30-day average of 30-year U.S. Treasury bond yield [4]</t>
  </si>
  <si>
    <t>Blue Chip Long-Term Projected Forecast (2023-2027) [6]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</si>
  <si>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</si>
  <si>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</si>
  <si>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</si>
  <si>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</si>
  <si>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</si>
  <si>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</si>
  <si>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</si>
  <si>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</si>
  <si>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NextEra Energy, Inc.</t>
  </si>
  <si>
    <t>Median Low</t>
  </si>
  <si>
    <t>Median High</t>
  </si>
  <si>
    <t>Moderna Inc</t>
  </si>
  <si>
    <t>MRNA</t>
  </si>
  <si>
    <t>[8] Source: Form 10-Ks for 2020, 2019 &amp; 2018</t>
  </si>
  <si>
    <t>[9] Source: Form 10-Ks for 2020, 2019 &amp; 2018</t>
  </si>
  <si>
    <t>Recommended ROE Range</t>
  </si>
  <si>
    <t>[3] Equals ([1] x (1 + (0.5 x [2]))) + [2]</t>
  </si>
  <si>
    <t>[6] Equals [4] x [5]</t>
  </si>
  <si>
    <t>Risk Premium -- Vertically Integrated Electric Utilities</t>
  </si>
  <si>
    <t>PROXY GROUP SCREENING DATA AND RESULTS</t>
  </si>
  <si>
    <t>Bath &amp; Body Works Inc</t>
  </si>
  <si>
    <t>BBWI</t>
  </si>
  <si>
    <t>Bio-Techne Corp</t>
  </si>
  <si>
    <t>TECH</t>
  </si>
  <si>
    <t>With Exclusions</t>
  </si>
  <si>
    <t>[13]</t>
  </si>
  <si>
    <t>[14]</t>
  </si>
  <si>
    <t>Mean Low</t>
  </si>
  <si>
    <t>Mean High</t>
  </si>
  <si>
    <t xml:space="preserve">Constant Growth DCF - Median </t>
  </si>
  <si>
    <t>Constant Growth DCF - Avg. W/ Excl.</t>
  </si>
  <si>
    <t>[5] Source: S&amp;P Capital IQ Pro</t>
  </si>
  <si>
    <t>[6] Source: S&amp;P Capital IQ Pro</t>
  </si>
  <si>
    <t>[7] Source: S&amp;P Capital IQ Pro</t>
  </si>
  <si>
    <t>All Proxy Group</t>
  </si>
  <si>
    <t>[2] Source: Bloomberg Professional, equals 30-day average as of September 30, 2021</t>
  </si>
  <si>
    <t>[12] - [14] Excludes companies with ROEs less than 7.00%.</t>
  </si>
  <si>
    <t>Recommended ROE</t>
  </si>
  <si>
    <t>Ceridian HCM Holding Inc</t>
  </si>
  <si>
    <t>CDAY</t>
  </si>
  <si>
    <t>Brown &amp; Brown Inc</t>
  </si>
  <si>
    <t>BRO</t>
  </si>
  <si>
    <t>Match Group Inc</t>
  </si>
  <si>
    <t>MTCH</t>
  </si>
  <si>
    <t>K = Rf + 0.25 x (Rm - Rf) + 0.75 x β x (Rm − Rf)</t>
  </si>
  <si>
    <t>[1] Source: Bloomberg Professional, as of September 30, 2021</t>
  </si>
  <si>
    <t>[3] Source: Schedule AEB-6</t>
  </si>
  <si>
    <t>Near-term projected 30-year U.S. Treasury bond yield 
(Q1 2022 - Q1 2023)</t>
  </si>
  <si>
    <t>[1] Source: Blue Chip Financial Forecasts, Vol. 40, No. 10, October 1, 2021, at 2</t>
  </si>
  <si>
    <t>[2] Source: Schedule AEB-5</t>
  </si>
  <si>
    <t>Blue Chip Near-Term Projected Forecast (Q1 2022 - Q1 2023) [5]</t>
  </si>
  <si>
    <t>[1] Source: Regulatory Research Associates, rate cases through September 30, 2021</t>
  </si>
  <si>
    <t>[4] Source: Bloomberg Professional, 30-day average as of September 30, 2021</t>
  </si>
  <si>
    <t>[5] Source: Blue Chip Financial Forecasts, Vol. 40, No. 10, October 1, 2021, at 2</t>
  </si>
  <si>
    <t>[6] Source: Blue Chip Financial Forecasts, Vol. 40, No. 6, June 1, 2021, at 14</t>
  </si>
  <si>
    <t>CAPITAL STRUCTURE ANALYSIS</t>
  </si>
  <si>
    <t>Most Recent 8 Quarters</t>
  </si>
  <si>
    <t>Common</t>
  </si>
  <si>
    <t>Preferred</t>
  </si>
  <si>
    <t>Equity</t>
  </si>
  <si>
    <t>Debt</t>
  </si>
  <si>
    <t>Proxy Group Company</t>
  </si>
  <si>
    <t>Ratio</t>
  </si>
  <si>
    <t>Capitalization</t>
  </si>
  <si>
    <t>The Southern Company</t>
  </si>
  <si>
    <t>Maximum</t>
  </si>
  <si>
    <t>Minimum</t>
  </si>
  <si>
    <t>[1] Ratios are weighted by actual common capital, preferred capital, and long-term debt of the operating subsidiaries.</t>
  </si>
  <si>
    <t xml:space="preserve">[2] Electric operating subsidiaries with data listed as N/A from S&amp;P Capital IQ Pro have been excluded from the analysis.  </t>
  </si>
  <si>
    <t>30-DAY CONSTANT GROWTH DCF -- EVERGY METRO</t>
  </si>
  <si>
    <t>90-DAY CONSTANT GROWTH DCF -- EVERGY METRO</t>
  </si>
  <si>
    <t>180-DAY CONSTANT GROWTH DCF -- EVERGY METRO</t>
  </si>
  <si>
    <t>($ Millions)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</si>
  <si>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</si>
  <si>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</si>
  <si>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</si>
  <si>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</si>
  <si>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</si>
  <si>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</si>
  <si>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IDACORP, Inc</t>
  </si>
  <si>
    <t xml:space="preserve">MGE Energy, Inc. </t>
  </si>
  <si>
    <t>Proxy Group Median</t>
  </si>
  <si>
    <t xml:space="preserve">[7] Equals (Column [2] + [3] + [4] + [5] + [6]) /  Column [1] </t>
  </si>
  <si>
    <t>Projected CAPEX / 2020 Net Plant</t>
  </si>
  <si>
    <t>For Chart</t>
  </si>
  <si>
    <t>X- Axis</t>
  </si>
  <si>
    <t>2022-2026 CAPITAL EXPENDITURES AS A PERCENT OF 2020 NET PLANT</t>
  </si>
  <si>
    <t>Evergy Metro</t>
  </si>
  <si>
    <t>[1] - [6] Value Line July 23, August 13, and September 10, 2021</t>
  </si>
  <si>
    <t>2022-2026</t>
  </si>
  <si>
    <t>Evergy Metro/Proxy Group</t>
  </si>
  <si>
    <t>Evergy Metro CapEx Total (2022-2026)</t>
  </si>
  <si>
    <t>Evergy Metro CapEx Annual Average</t>
  </si>
  <si>
    <t>Evergy Metro as % Proxy Group Median</t>
  </si>
  <si>
    <t>Source: Schedule AEB-8 page 1 col. [7]</t>
  </si>
  <si>
    <t>RISK ASSESSMENT</t>
  </si>
  <si>
    <t>Test Year</t>
  </si>
  <si>
    <t>Rate Base</t>
  </si>
  <si>
    <t>Non-Volumetric Rate Design</t>
  </si>
  <si>
    <t>Capital Cost Recovery Mechanism</t>
  </si>
  <si>
    <t>Revenue Decoupling</t>
  </si>
  <si>
    <t>Formula-based rates</t>
  </si>
  <si>
    <t>Straight Fixed-Variable Rate Design</t>
  </si>
  <si>
    <t>Minnesota</t>
  </si>
  <si>
    <t>Electric</t>
  </si>
  <si>
    <t>Fully Forecast</t>
  </si>
  <si>
    <t>Iowa</t>
  </si>
  <si>
    <t>Historical</t>
  </si>
  <si>
    <t>Gas</t>
  </si>
  <si>
    <t>Wisconsin</t>
  </si>
  <si>
    <t>Illinois</t>
  </si>
  <si>
    <t>Year End</t>
  </si>
  <si>
    <t>Partial</t>
  </si>
  <si>
    <t>Missouri</t>
  </si>
  <si>
    <t>Arkansas</t>
  </si>
  <si>
    <t>Indiana</t>
  </si>
  <si>
    <t>Kentucky</t>
  </si>
  <si>
    <t>Louisiana</t>
  </si>
  <si>
    <t>Michigan</t>
  </si>
  <si>
    <t>Ohio</t>
  </si>
  <si>
    <t>Partially Forecast</t>
  </si>
  <si>
    <t>Oklahoma</t>
  </si>
  <si>
    <t>Tennessee</t>
  </si>
  <si>
    <t>Texas</t>
  </si>
  <si>
    <t>Virginia</t>
  </si>
  <si>
    <t>West Virginia</t>
  </si>
  <si>
    <t>Alaska</t>
  </si>
  <si>
    <t>Idaho</t>
  </si>
  <si>
    <t>Full</t>
  </si>
  <si>
    <t>Oregon</t>
  </si>
  <si>
    <t>Washington</t>
  </si>
  <si>
    <t>Florida</t>
  </si>
  <si>
    <t>North Carolina</t>
  </si>
  <si>
    <t>South Carolina</t>
  </si>
  <si>
    <t>Louisiana-NOCC</t>
  </si>
  <si>
    <t>Mississippi</t>
  </si>
  <si>
    <t>Montana</t>
  </si>
  <si>
    <t>Nebraska</t>
  </si>
  <si>
    <t>South Dakota</t>
  </si>
  <si>
    <t>North Dakota</t>
  </si>
  <si>
    <t>Alabama</t>
  </si>
  <si>
    <t>Georgia</t>
  </si>
  <si>
    <t>Colorado</t>
  </si>
  <si>
    <t>New Mexico</t>
  </si>
  <si>
    <t>SFV Rates Design</t>
  </si>
  <si>
    <t>Capital Cost Recovery</t>
  </si>
  <si>
    <t>Proxy Group Average</t>
  </si>
  <si>
    <t>Forecast</t>
  </si>
  <si>
    <t>RDM</t>
  </si>
  <si>
    <t>CCRM</t>
  </si>
  <si>
    <t>[3] Sources: S&amp;P Global Market Intelligence, Regulatory Focus: Adjustment Clauses, dated November 12, 2019. Operating subsidiaries not covered in this report were excluded from this exhibit. NWE Electric MT - Company 2020 Form 10-K. PSCO Electric CO and SO TN - S&amp;P Global Market Intelligence.</t>
  </si>
  <si>
    <t>[4] Sources: Company Form 10-K, Company Tariffs, S&amp;P Global Market Intelligence</t>
  </si>
  <si>
    <t>[5] Sources: Company Form 10-K, Company Tariffs, S&amp;P Global Market Intelligence</t>
  </si>
  <si>
    <t>[6] Equals IF( AND( [3]=No, [4]=No, [5]=No), No, Yes)</t>
  </si>
  <si>
    <t xml:space="preserve">[7] Sources: S&amp;P Global Market Intelligence, Regulatory Focus: Adjustment Clauses, dated November 12, 2019. Operating subsidiaries not covered in this report were excluded from this exhibit. </t>
  </si>
  <si>
    <t>CWIP Allowed in Rate Base or Equivalent</t>
  </si>
  <si>
    <t>Fuel/ Purchased Power</t>
  </si>
  <si>
    <t xml:space="preserve">COMPARISON OF EVERGY METRO AND PROXY GROUP COMPANIES  </t>
  </si>
  <si>
    <t>[1] Sources: Regulatory Research Associates, effective as of September 30, 2021</t>
  </si>
  <si>
    <t>[2] Sources: Regulatory Research Associates, effective as of September 30, 2021</t>
  </si>
  <si>
    <t>Service</t>
  </si>
  <si>
    <t>Jurisdiction</t>
  </si>
  <si>
    <t>Operating Subsidiary</t>
  </si>
  <si>
    <t>ALLETE (Minnesota Power)</t>
  </si>
  <si>
    <t>Interstate Power &amp; Light Co.</t>
  </si>
  <si>
    <t>Wisconsin Power &amp; Light Co.</t>
  </si>
  <si>
    <t>Ameren Illinois Co.</t>
  </si>
  <si>
    <t>Union Electric Co.</t>
  </si>
  <si>
    <t>N/A</t>
  </si>
  <si>
    <t>Yes - Sharing Band</t>
  </si>
  <si>
    <t>Southwestern Electric Power Co.</t>
  </si>
  <si>
    <t>Indiana Michigan Power Co.</t>
  </si>
  <si>
    <t>Kentucky Power Co.</t>
  </si>
  <si>
    <t>Ohio Power Co.</t>
  </si>
  <si>
    <t>Public Service Co. of Oklahoma</t>
  </si>
  <si>
    <t>Kingsport Power Co.</t>
  </si>
  <si>
    <t>AEP Texas</t>
  </si>
  <si>
    <t>Appalachian Power Co.</t>
  </si>
  <si>
    <t>Appalachian Power Co./Wheeling Power Co.</t>
  </si>
  <si>
    <t>Alaska Electric Light and Power Co.</t>
  </si>
  <si>
    <t>Avista Corp.</t>
  </si>
  <si>
    <t>Duke Energy Florida LLC</t>
  </si>
  <si>
    <t>Duke Energy Indiana LLC</t>
  </si>
  <si>
    <t>Duke Energy Kentucky Inc.</t>
  </si>
  <si>
    <t>Duke Energy Carolinas LLC/Duke Energy Progress LLC</t>
  </si>
  <si>
    <t>Piedmont Natural Gas Co. Inc.</t>
  </si>
  <si>
    <t>Duke Energy Ohio Inc.</t>
  </si>
  <si>
    <t>Entergy Arkansas LLC</t>
  </si>
  <si>
    <t>Entergy New Orleans LLC</t>
  </si>
  <si>
    <t>Entergy Louisiana LLC</t>
  </si>
  <si>
    <t>Entergy Mississippi LLC</t>
  </si>
  <si>
    <t>Entergy Texas Inc.</t>
  </si>
  <si>
    <t>Idaho Power Co.</t>
  </si>
  <si>
    <t>Madison Gas &amp; Electric Co.</t>
  </si>
  <si>
    <t>Florida Power &amp; Light Co.</t>
  </si>
  <si>
    <t>Gulf Power Co.</t>
  </si>
  <si>
    <t>Pivotal Utility Holdings Inc.</t>
  </si>
  <si>
    <t xml:space="preserve">Lone Star Transmission LLC </t>
  </si>
  <si>
    <t>Otter Tail Power Co.</t>
  </si>
  <si>
    <t>Portland General Electric Co.</t>
  </si>
  <si>
    <t>Alabama Power Co.</t>
  </si>
  <si>
    <t xml:space="preserve">Georgia Power Co. </t>
  </si>
  <si>
    <t xml:space="preserve">Atlanta Gas &amp; Light Co. </t>
  </si>
  <si>
    <t>Northern Illinois Gas Co.</t>
  </si>
  <si>
    <t>Mississippi Power Co.</t>
  </si>
  <si>
    <t>Chattanooga Gas Co.</t>
  </si>
  <si>
    <t>Virginia Natural Gas Inc.</t>
  </si>
  <si>
    <t>Public Service Co. of Colorado</t>
  </si>
  <si>
    <t>Northern States Power Co.-Minnesota</t>
  </si>
  <si>
    <t xml:space="preserve">Southwestern Public Service Co. </t>
  </si>
  <si>
    <t>Southwestern Public Service Co.</t>
  </si>
  <si>
    <t>Northern States Power Co.-Wisconsin</t>
  </si>
  <si>
    <t>CWIP in Rate Base</t>
  </si>
  <si>
    <t>Evergy Metro [11]</t>
  </si>
  <si>
    <t>Yes / N/A</t>
  </si>
  <si>
    <t>Evergy, Inc.</t>
  </si>
  <si>
    <t>[8] Sources: Regulatory Research Associates, "Regulatory Focus: Construction Work in Progress." April 22, 2013; Regulatory Research Associates, "Regulatory Focus: Missouri Regulatory Review." January 10, 2019. Regulatory Research Associates, "Regulatory Focus: Wisconsin Regulatory Review." August 12, 2020 (Wisconsin's PSC typically authorizes a premium to allow for a rate of return equivalent to a certain CWIP level in rate base).</t>
  </si>
  <si>
    <t>[9] Equals Yes if either [7] or [8] equal Yes</t>
  </si>
  <si>
    <t xml:space="preserve">[10] Sources: S&amp;P Global Market Intelligence, Regulatory Focus: Adjustment Clauses, dated November 12, 2019. Operating subsidiaries not covered in this report were excluded from this exhibit. </t>
  </si>
  <si>
    <t>[11] Data provided by Evergy Metro.</t>
  </si>
  <si>
    <t>FIXED COST RECOVERY - RESIDENTIAL RATE CLASS</t>
  </si>
  <si>
    <t>Operation State</t>
  </si>
  <si>
    <t>Operation</t>
  </si>
  <si>
    <t>Customer Charge (per month)</t>
  </si>
  <si>
    <t>Block Structure</t>
  </si>
  <si>
    <t>Source</t>
  </si>
  <si>
    <t/>
  </si>
  <si>
    <t>Minnesota Power</t>
  </si>
  <si>
    <t>Inclining</t>
  </si>
  <si>
    <t>Rate RS</t>
  </si>
  <si>
    <t>Interstate Power &amp; Light Company</t>
  </si>
  <si>
    <t>Flat</t>
  </si>
  <si>
    <t>Electric Residential Service</t>
  </si>
  <si>
    <t>Gas Residential Service</t>
  </si>
  <si>
    <t>Wisconsin Power &amp; Light Company</t>
  </si>
  <si>
    <t>RG-1, Sheet 3.10</t>
  </si>
  <si>
    <t>GG-1, Sheet 22.00</t>
  </si>
  <si>
    <t>Ameren Illinois Company</t>
  </si>
  <si>
    <t>DS-1 (Residential)</t>
  </si>
  <si>
    <t>Rate GDS-1 - Residential Gas Delivery Service</t>
  </si>
  <si>
    <t>Union Electric Company</t>
  </si>
  <si>
    <t>Residential Service Rate, 4th Revised Sheet No. 54</t>
  </si>
  <si>
    <t>Residential Service Rate, 8th Revised Sheet No. 5</t>
  </si>
  <si>
    <t>Southwestern Electric Power Company</t>
  </si>
  <si>
    <t>Residential Service, Sheet No. R-2.1</t>
  </si>
  <si>
    <t>Indiana Michigan Power Company</t>
  </si>
  <si>
    <t>Declining</t>
  </si>
  <si>
    <t>Tariff R.S., Original Sheet No. 4</t>
  </si>
  <si>
    <t>Kentucky Power Company</t>
  </si>
  <si>
    <t>Tariff R.S., 2nd Revised Sheet No. 6-1</t>
  </si>
  <si>
    <t>Residential Service, Sheet No. A-1</t>
  </si>
  <si>
    <t>Tariff RS, Original Sheet No. D-2.00</t>
  </si>
  <si>
    <t>Ohio Power Company</t>
  </si>
  <si>
    <t>Schedule RS, 6th Revised Sheet No. 210-1</t>
  </si>
  <si>
    <t>Public Service Company of Oklahoma</t>
  </si>
  <si>
    <t>Schedule RS, 6th Revised Sheet No. 3-2</t>
  </si>
  <si>
    <t>Kingsport Power Company</t>
  </si>
  <si>
    <t>Tariff R.S., Original Sheet No. 3</t>
  </si>
  <si>
    <t>6.1.1.1.1 Residential Service, pp. 116</t>
  </si>
  <si>
    <t>RS, pp. 11 (Sheet No. IV-1)</t>
  </si>
  <si>
    <t>Appalachian Power Company</t>
  </si>
  <si>
    <t>Schedule R.S., First Revision Sheet No. 4-1</t>
  </si>
  <si>
    <t>Schedule R.S., Original Sheet No. 5-1</t>
  </si>
  <si>
    <t>Alaska Electric Light and Power Company</t>
  </si>
  <si>
    <t>aelp.com/Customer-Service/Rates-Billing/Current-Rates</t>
  </si>
  <si>
    <t>Schedule 1 Residential Service, Sheet 1</t>
  </si>
  <si>
    <t>Schedule 101</t>
  </si>
  <si>
    <t>Schedule 410</t>
  </si>
  <si>
    <t>Schedule 1, Residential Service</t>
  </si>
  <si>
    <t>Schedule 101, General Service</t>
  </si>
  <si>
    <t>Rate Schedule RS-1 Sheet No. 6.120</t>
  </si>
  <si>
    <t>Duke Energy Indiana</t>
  </si>
  <si>
    <t>Rate RS, Sheet No. 6</t>
  </si>
  <si>
    <t>Duke Energy Kentucky</t>
  </si>
  <si>
    <t>Rate RS, Sheet No. 30</t>
  </si>
  <si>
    <t>Duke Energy Carolinas</t>
  </si>
  <si>
    <t>Schedule RS, Leaf No. 11</t>
  </si>
  <si>
    <t>Piedmont Natural Gas Company</t>
  </si>
  <si>
    <t>Docket No. G-9 Sub 790, Rate 101</t>
  </si>
  <si>
    <t>Duke Energy Ohio</t>
  </si>
  <si>
    <t>Rate RS, Sheet No. 30.16</t>
  </si>
  <si>
    <t>Rate RS, Sheet No. 30.18</t>
  </si>
  <si>
    <t>Docket No. 2006-401-G, Rate 201</t>
  </si>
  <si>
    <t>Rate 301</t>
  </si>
  <si>
    <t>Entergy Arkansas</t>
  </si>
  <si>
    <t>Docket No. 18-073-TF, Order No. 2, Sheet No. 1.1</t>
  </si>
  <si>
    <t xml:space="preserve">Entergy New Orleans </t>
  </si>
  <si>
    <t>Schedule RES-25 Page 1.1 (Residential Electric Service)</t>
  </si>
  <si>
    <t>Schedule RGS-15 Page 1.1 (Residential Gas Service)</t>
  </si>
  <si>
    <t>Entergy Louisiana</t>
  </si>
  <si>
    <t>Schedule SGS-G, Page 15.1</t>
  </si>
  <si>
    <t>Rate G-1, Sheet No. 10</t>
  </si>
  <si>
    <t>Entergy Mississippi</t>
  </si>
  <si>
    <t>Rate Schedule RS-38C</t>
  </si>
  <si>
    <t>Entergy Texas</t>
  </si>
  <si>
    <t>Residential Service, Page 2.1</t>
  </si>
  <si>
    <t>Schedule R, P.S.C. MO. No. 7, Tenth Revised Sheet No. 5A</t>
  </si>
  <si>
    <t>Idaho Power</t>
  </si>
  <si>
    <t>Schedule 1, Sheet No. 1-1</t>
  </si>
  <si>
    <t>MGE Energy</t>
  </si>
  <si>
    <t>mge.com/customer-service/for-homes/electric-rates</t>
  </si>
  <si>
    <t>mge.com/customer-service/for-homes/natural-gas-rates</t>
  </si>
  <si>
    <t>Florida Power &amp; Light Company</t>
  </si>
  <si>
    <t>GS-1, No. 8.101</t>
  </si>
  <si>
    <t>Gulf Power</t>
  </si>
  <si>
    <t>Section VI, Sheet 6.3, 35th Revision</t>
  </si>
  <si>
    <t>Florida City Gas</t>
  </si>
  <si>
    <t>Rate RS-1</t>
  </si>
  <si>
    <t>NorthWestern Energy</t>
  </si>
  <si>
    <t>Residential Electric Rate</t>
  </si>
  <si>
    <t>Residential Natural Gas Rate</t>
  </si>
  <si>
    <t>Rate No. 91, Sheet 1</t>
  </si>
  <si>
    <t>Rate No. 10, Sheet No. 1</t>
  </si>
  <si>
    <t>Rate No. 81, Sheet No. 1</t>
  </si>
  <si>
    <t>Otter Tail Power Company</t>
  </si>
  <si>
    <t>Residential Service (29th Revision)</t>
  </si>
  <si>
    <t>Residential Service (19th Revision)</t>
  </si>
  <si>
    <t>Residential Service (4th Revised Sheet No. 1)</t>
  </si>
  <si>
    <t>Schedule 7, Sheet No. 7-1</t>
  </si>
  <si>
    <t>Alabama Power</t>
  </si>
  <si>
    <t>Rate FD</t>
  </si>
  <si>
    <t>Georgia Power</t>
  </si>
  <si>
    <t>Schedule R-24</t>
  </si>
  <si>
    <t>Atlanta Gas Light</t>
  </si>
  <si>
    <t>Residential Delivery Service (R-1)</t>
  </si>
  <si>
    <t>Nicor Gas</t>
  </si>
  <si>
    <t>Rate 1, Sheet No. 10</t>
  </si>
  <si>
    <t>Mississippi Power</t>
  </si>
  <si>
    <t>Rate Schedule R-59</t>
  </si>
  <si>
    <t>Chattanooga Gas Company</t>
  </si>
  <si>
    <t>Rate Schedule R-1, Sheet No. 1</t>
  </si>
  <si>
    <t>Virginia Natural Gas</t>
  </si>
  <si>
    <t>Schedule 1</t>
  </si>
  <si>
    <t>Public Service Company of Colorado</t>
  </si>
  <si>
    <t>Schedule R</t>
  </si>
  <si>
    <t>Northern States Power Company</t>
  </si>
  <si>
    <t>Residential Sheet 5-1</t>
  </si>
  <si>
    <t>Rate 101, Sheet No. 1</t>
  </si>
  <si>
    <t>Southwestern Public Service Company</t>
  </si>
  <si>
    <t>Residential Tariff No. 1018.20</t>
  </si>
  <si>
    <t>Sheet 5-1</t>
  </si>
  <si>
    <t>Rate Code 401, Sheet No. 1</t>
  </si>
  <si>
    <t>Rate Code E01, Sheet No. 1.1</t>
  </si>
  <si>
    <t>Residential Service, Sheet No. IV-3</t>
  </si>
  <si>
    <t>Schedule Rg-1, Sheet No. E 10</t>
  </si>
  <si>
    <t>Schedule Rg-1, Sheet No. G 6</t>
  </si>
  <si>
    <t>Min</t>
  </si>
  <si>
    <t>Total Jurisdictions</t>
  </si>
  <si>
    <t>Proxy Company Totals</t>
  </si>
  <si>
    <t>Max</t>
  </si>
  <si>
    <t>[1] Source: Company Tariffs.</t>
  </si>
  <si>
    <t>[2] Source: Company Tariffs. For seasonal rate design, the peak period rates were used which resulted in summer month rates for electric operations and winter month rates for gas operations.</t>
  </si>
  <si>
    <t xml:space="preserve">[3] Customer Charge calculated as the sum of the customer charge and meter charge. </t>
  </si>
  <si>
    <t>[4] Average Number of Days in a Month =</t>
  </si>
  <si>
    <t>RRA JURISDICTIONAL RANKINGS</t>
  </si>
  <si>
    <t>RRA</t>
  </si>
  <si>
    <t>Ranking Legend</t>
  </si>
  <si>
    <t>Numeric Rank</t>
  </si>
  <si>
    <t>Description</t>
  </si>
  <si>
    <t>Value</t>
  </si>
  <si>
    <t>Below Average / 3</t>
  </si>
  <si>
    <t>Average / 2</t>
  </si>
  <si>
    <t>Below Average / 2</t>
  </si>
  <si>
    <t>Below Average / 1</t>
  </si>
  <si>
    <t>Above Average / 3</t>
  </si>
  <si>
    <t>Average / 3</t>
  </si>
  <si>
    <t>Above Average / 2</t>
  </si>
  <si>
    <t>Average / 1</t>
  </si>
  <si>
    <t>Above Average / 1</t>
  </si>
  <si>
    <t>Duke Energy</t>
  </si>
  <si>
    <t>Entergy</t>
  </si>
  <si>
    <t xml:space="preserve"> </t>
  </si>
  <si>
    <t>Notes</t>
  </si>
  <si>
    <t xml:space="preserve">[2] AA/1= 1, AA/2= 2, AA/3= 3, A/1= 4, A/2= 5, A/3=6, BA/1= 7, BA/2= 8, BA/3= 9 </t>
  </si>
  <si>
    <t>S&amp;P JURISDICTIONAL RANKINGS</t>
  </si>
  <si>
    <t>S&amp;P</t>
  </si>
  <si>
    <t>Highly credit supportive</t>
  </si>
  <si>
    <t>Most credit supportive</t>
  </si>
  <si>
    <t>Very credit supportive</t>
  </si>
  <si>
    <t>More credit supportive</t>
  </si>
  <si>
    <t>Credit supportive</t>
  </si>
  <si>
    <t>Very Credit Supportive</t>
  </si>
  <si>
    <t>[2] Most= 1, Highly= 2, Very= 3, More= 4, Credit Supportive= 5</t>
  </si>
  <si>
    <t>COMPARISON OF EVERGY METRO AND PROXY GROUP COMPANIES</t>
  </si>
  <si>
    <t>[1] Source: State Regulatory Evaluations, Regulatory Research Associates, as of September 8, 2021.</t>
  </si>
  <si>
    <t>[1] Source: Updated Views on North American Utility Regulatory Jurisdictions, Standard and Poor's Ratings Services, June 29, 2021.</t>
  </si>
  <si>
    <t>Highly Credit Supportive</t>
  </si>
  <si>
    <t>Most Credit Supportive</t>
  </si>
  <si>
    <t>More Credit Supportive</t>
  </si>
  <si>
    <t>Credit Supportive</t>
  </si>
  <si>
    <t>Average / 1 - Average / 2</t>
  </si>
  <si>
    <t>Very credit supportive / Highly credit supportive</t>
  </si>
  <si>
    <t>Constant Growth DCF - Average w/ exclusions</t>
  </si>
  <si>
    <t>Constant Growth DCF - Median</t>
  </si>
  <si>
    <t>[1] Constant Growth DCF analysis - Average w/ Exclusions represents the DCF results excluding the results for individual companies that did not meet the minimum threshold of 7 percent.</t>
  </si>
  <si>
    <t>Shares</t>
  </si>
  <si>
    <t>Market</t>
  </si>
  <si>
    <t>Outst'g</t>
  </si>
  <si>
    <t>Price</t>
  </si>
  <si>
    <t>[1] Equals sum of Col. [9]</t>
  </si>
  <si>
    <t>[2] Equals sum of Col. [11]</t>
  </si>
  <si>
    <t>[4] Source: Bloomberg Professional as of September 30, 2021</t>
  </si>
  <si>
    <t>[5] Source: Bloomberg Professional as of September 30, 2021</t>
  </si>
  <si>
    <t>[8] Source: Bloomberg Professional, as of September 30, 2021</t>
  </si>
  <si>
    <t>[9] Equals [7] x [8]</t>
  </si>
  <si>
    <t>Value Line</t>
  </si>
  <si>
    <t>[10] Source: Value Line, as of September 30, 2021</t>
  </si>
  <si>
    <t>[11] Equals [7] x [10]</t>
  </si>
  <si>
    <r>
      <t xml:space="preserve">[7] Equals weight in S&amp;P 500 based on market capitalization [6] if Growth Rate &gt;0% and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>20%</t>
    </r>
  </si>
  <si>
    <t>2022-26</t>
  </si>
  <si>
    <t>Capital Expenditures (KS &amp; MO) [8]</t>
  </si>
  <si>
    <t>Jurisdictional Allocation Percentage [9]</t>
  </si>
  <si>
    <t>Capital Expenditures (MO Only)</t>
  </si>
  <si>
    <t>Net Electric Plant in Service [10]</t>
  </si>
  <si>
    <t>[8] - [10] Data provided by Evergy Metro.</t>
  </si>
  <si>
    <t>EVERGY METRO</t>
  </si>
  <si>
    <t xml:space="preserve">Capitalization  </t>
  </si>
  <si>
    <t>SEPTEMBER 30, 2021 Actual</t>
  </si>
  <si>
    <t>($ in 000's)</t>
  </si>
  <si>
    <t xml:space="preserve"> REQUIRED </t>
  </si>
  <si>
    <t xml:space="preserve"> WEIGHTED </t>
  </si>
  <si>
    <t>CAPITAL COMPONENT</t>
  </si>
  <si>
    <t xml:space="preserve">  AMOUNT</t>
  </si>
  <si>
    <t>PERCENT</t>
  </si>
  <si>
    <t xml:space="preserve">  RETURN</t>
  </si>
  <si>
    <t xml:space="preserve"> RETURN</t>
  </si>
  <si>
    <t>Metro Long-Term Debt [1]</t>
  </si>
  <si>
    <t>Metro Common Equity</t>
  </si>
  <si>
    <t xml:space="preserve">Note 1:  Includes amounts classified as current liabilities </t>
  </si>
  <si>
    <t>MAY 31, 2022 Projected</t>
  </si>
  <si>
    <t>Adjusted Cost of Debt Capital</t>
  </si>
  <si>
    <t>May 31, 2022 Projected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</si>
  <si>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</si>
  <si>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</si>
  <si>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</si>
  <si>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</si>
  <si>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</si>
  <si>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</si>
  <si>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</si>
  <si>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</si>
  <si>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</si>
  <si>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</si>
  <si>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Line</t>
  </si>
  <si>
    <t>Intial
Offering</t>
  </si>
  <si>
    <t>Date of
Offering</t>
  </si>
  <si>
    <t>Date of
Maturity</t>
  </si>
  <si>
    <t>Price to
Public</t>
  </si>
  <si>
    <t>Coupon</t>
  </si>
  <si>
    <t>Yield to 
Maturity</t>
  </si>
  <si>
    <t>Net Premium,
Discount &amp;
Expense</t>
  </si>
  <si>
    <t>Net Proceeds
to Company (b)</t>
  </si>
  <si>
    <t>Long-Term
Debt Capital
Outstanding (d)</t>
  </si>
  <si>
    <t>Annual Cost
of Long-Term
Debt Capital</t>
  </si>
  <si>
    <t>Pledged General Mortgage Bonds</t>
  </si>
  <si>
    <t>KCPL MATES  Series 1993-A</t>
  </si>
  <si>
    <t>12/1/2023</t>
  </si>
  <si>
    <t>KCPL MATES  Series 1993-B</t>
  </si>
  <si>
    <t>KCPL EIRR La Cygne 2005 Series - 4.65% Coupon</t>
  </si>
  <si>
    <t>9/1/2035</t>
  </si>
  <si>
    <t>KCPL 2005 Series Due 2035 - 4.65% Coupon</t>
  </si>
  <si>
    <t>KCPL Senior Notes Due 2035 - 6.05% Coupon</t>
  </si>
  <si>
    <t>KCPL Senior Notes Due 2041 - 5.30% Coupon</t>
  </si>
  <si>
    <t>KCPL Senior Notes Due 2023 - 3.15% Coupon</t>
  </si>
  <si>
    <t>KCPL Senior Notes Due 2023 - 3.65% Coupon</t>
  </si>
  <si>
    <t>KCPL Senior Notes Due 2047 - 4.20% Coupon</t>
  </si>
  <si>
    <t>KCPL Senior Notes Due 2048 - 4.20% Coupon</t>
  </si>
  <si>
    <t>KCPL GMB Due 2049 - 4.125% Coupon</t>
  </si>
  <si>
    <t>KCPL GMB Due 2030 - 2.25% Coupon</t>
  </si>
  <si>
    <t>KCPL 2007 Series A Due 2035 (a)</t>
  </si>
  <si>
    <t>KCPL 2007 Series B Due 2035 (a)</t>
  </si>
  <si>
    <t>KCPL 2008 Series Due 2038</t>
  </si>
  <si>
    <t>5/1/2038</t>
  </si>
  <si>
    <t>Other Long-Term Debt</t>
  </si>
  <si>
    <t>Miscellaneous loss on reacquired debt</t>
  </si>
  <si>
    <t>(c)</t>
  </si>
  <si>
    <t>Put/call option settlement</t>
  </si>
  <si>
    <t>(e)</t>
  </si>
  <si>
    <t>Total Evergy Metro Long-Term Debt Capital</t>
  </si>
  <si>
    <t>Evergy Metro Weighted Avg. Cost of Long-Term Debt Capital</t>
  </si>
  <si>
    <t>(a) Variable rate security, interest rates are based on average monthly rate as of month in heading plus 8 basis point annual broker fee.</t>
  </si>
  <si>
    <t>(b) Includes adjustments for losses on reacquired debt (call premium and unamortized debt expenses) associated with replaced issues.</t>
  </si>
  <si>
    <t>(c) Annualized cost for loss on reacquired debt for issues not specifically refinanced.</t>
  </si>
  <si>
    <t>(d) Represents debt balances on a consolidated basis.</t>
  </si>
  <si>
    <t xml:space="preserve">(e) Cost of option settlement gain of ~$12.0MM (amortized over 30 years) </t>
  </si>
  <si>
    <t>Environmental Improvement Revenue Refunding Bonds</t>
  </si>
  <si>
    <t>COST OF DEBT ANALYSIS</t>
  </si>
  <si>
    <t>EVERGY METRO LONG TERM DEBT ISSUANCES COMPARED TO MOODY'S A-RATED AND BAA-RATED UTILITY BOND INDICES</t>
  </si>
  <si>
    <t>Initial
Offering</t>
  </si>
  <si>
    <t>Years to Maturity</t>
  </si>
  <si>
    <t>Moody's A Util. Bonds</t>
  </si>
  <si>
    <t>Moody's Baa Util. Bonds</t>
  </si>
  <si>
    <t>Weighted Average</t>
  </si>
  <si>
    <t>[1] Source: Company Provided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</si>
</sst>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00_);_(* \(#,##0.000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&quot;$&quot;#,##0.0"/>
    <numFmt numFmtId="179" formatCode="0.0%"/>
    <numFmt numFmtId="180" formatCode="_(&quot;$&quot;* #,##0_);_(&quot;$&quot;* \(#,##0\);_(&quot;$&quot;* &quot;-&quot;??_);_(@_)"/>
    <numFmt numFmtId="181" formatCode="0_)"/>
    <numFmt numFmtId="182" formatCode="[$-409]mmmm\ d\,\ yyyy;@"/>
    <numFmt numFmtId="183" formatCode="0.0000%"/>
    <numFmt numFmtId="184" formatCode="mmmm\ d\,\ yyyy"/>
    <numFmt numFmtId="185" formatCode="mm/dd/yyyy"/>
    <numFmt numFmtId="186" formatCode="[$$-409]#,##0"/>
  </numFmts>
  <fonts count="12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u/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sz val="12"/>
      <name val="Helv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27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6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55" fillId="51" borderId="17" applyNumberFormat="0" applyAlignment="0" applyProtection="0"/>
    <xf numFmtId="0" fontId="55" fillId="51" borderId="17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56" fillId="52" borderId="18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9">
      <alignment horizontal="center"/>
    </xf>
    <xf numFmtId="37" fontId="31" fillId="0" borderId="19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2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3"/>
    <xf numFmtId="42" fontId="29" fillId="0" borderId="3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20"/>
    <xf numFmtId="0" fontId="29" fillId="0" borderId="0" applyFont="0" applyFill="0" applyBorder="0" applyAlignment="0" applyProtection="0"/>
    <xf numFmtId="169" fontId="29" fillId="0" borderId="0"/>
    <xf numFmtId="7" fontId="66" fillId="0" borderId="21"/>
    <xf numFmtId="7" fontId="66" fillId="0" borderId="21"/>
    <xf numFmtId="7" fontId="66" fillId="0" borderId="21"/>
    <xf numFmtId="7" fontId="66" fillId="0" borderId="21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72" fillId="0" borderId="22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73" fillId="0" borderId="2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7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78" fillId="38" borderId="17" applyNumberFormat="0" applyAlignment="0" applyProtection="0"/>
    <xf numFmtId="0" fontId="78" fillId="38" borderId="17" applyNumberFormat="0" applyAlignment="0" applyProtection="0"/>
    <xf numFmtId="0" fontId="79" fillId="55" borderId="20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81" fillId="0" borderId="25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9" fillId="58" borderId="26" applyNumberFormat="0" applyFon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86" fillId="51" borderId="27" applyNumberFormat="0" applyAlignment="0" applyProtection="0"/>
    <xf numFmtId="0" fontId="86" fillId="51" borderId="27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8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2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2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9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99" fillId="0" borderId="30"/>
    <xf numFmtId="0" fontId="65" fillId="0" borderId="20"/>
    <xf numFmtId="0" fontId="65" fillId="0" borderId="20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79" fillId="0" borderId="32"/>
    <xf numFmtId="0" fontId="79" fillId="0" borderId="32"/>
    <xf numFmtId="0" fontId="79" fillId="0" borderId="20"/>
    <xf numFmtId="0" fontId="79" fillId="0" borderId="20"/>
    <xf numFmtId="174" fontId="106" fillId="0" borderId="0"/>
    <xf numFmtId="39" fontId="66" fillId="0" borderId="33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1" fontId="122" fillId="0" borderId="0"/>
    <xf numFmtId="9" fontId="1" fillId="0" borderId="0" applyFont="0" applyFill="0" applyBorder="0" applyAlignment="0" applyProtection="0"/>
    <xf numFmtId="0" fontId="1" fillId="0" borderId="0"/>
  </cellStyleXfs>
  <cellXfs count="529">
    <xf numFmtId="0" fontId="0" fillId="0" borderId="0" xfId="0"/>
    <xf numFmtId="0" fontId="0" fillId="0" borderId="0" xfId="0" applyFill="1" applyBorder="1"/>
    <xf numFmtId="0" fontId="28" fillId="0" borderId="0" xfId="0" applyFont="1" applyAlignment="1">
      <alignment horizontal="centerContinuous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quotePrefix="1" applyFont="1" applyFill="1"/>
    <xf numFmtId="0" fontId="0" fillId="0" borderId="0" xfId="0" applyFont="1" applyFill="1"/>
    <xf numFmtId="0" fontId="28" fillId="0" borderId="0" xfId="0" applyFont="1" applyFill="1" applyAlignment="1">
      <alignment horizontal="centerContinuous"/>
    </xf>
    <xf numFmtId="0" fontId="28" fillId="0" borderId="4" xfId="0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0" fontId="28" fillId="0" borderId="0" xfId="0" applyNumberFormat="1" applyFont="1" applyFill="1" applyAlignment="1">
      <alignment horizontal="center"/>
    </xf>
    <xf numFmtId="0" fontId="28" fillId="0" borderId="0" xfId="0" applyFont="1" applyFill="1"/>
    <xf numFmtId="0" fontId="0" fillId="0" borderId="0" xfId="0" applyFill="1" applyBorder="1" applyAlignment="1">
      <alignment horizontal="center"/>
    </xf>
    <xf numFmtId="0" fontId="29" fillId="0" borderId="34" xfId="0" applyFont="1" applyFill="1" applyBorder="1" applyAlignment="1">
      <alignment horizontal="center" wrapText="1"/>
    </xf>
    <xf numFmtId="165" fontId="29" fillId="0" borderId="0" xfId="0" applyNumberFormat="1" applyFont="1" applyFill="1" applyAlignment="1">
      <alignment horizontal="center"/>
    </xf>
    <xf numFmtId="0" fontId="29" fillId="0" borderId="19" xfId="0" applyFont="1" applyBorder="1"/>
    <xf numFmtId="0" fontId="29" fillId="0" borderId="19" xfId="0" applyFont="1" applyFill="1" applyBorder="1"/>
    <xf numFmtId="0" fontId="29" fillId="0" borderId="34" xfId="0" applyFont="1" applyFill="1" applyBorder="1" applyAlignment="1">
      <alignment horizontal="center"/>
    </xf>
    <xf numFmtId="0" fontId="29" fillId="0" borderId="0" xfId="9388" applyFont="1"/>
    <xf numFmtId="0" fontId="29" fillId="0" borderId="0" xfId="9388" applyFont="1" applyFill="1" applyBorder="1"/>
    <xf numFmtId="0" fontId="29" fillId="0" borderId="34" xfId="0" applyFont="1" applyFill="1" applyBorder="1" applyAlignment="1">
      <alignment horizontal="left"/>
    </xf>
    <xf numFmtId="0" fontId="51" fillId="0" borderId="4" xfId="0" applyFont="1" applyFill="1" applyBorder="1"/>
    <xf numFmtId="0" fontId="29" fillId="0" borderId="4" xfId="0" applyFont="1" applyFill="1" applyBorder="1"/>
    <xf numFmtId="0" fontId="29" fillId="0" borderId="0" xfId="9388" applyFont="1" applyFill="1"/>
    <xf numFmtId="0" fontId="29" fillId="0" borderId="34" xfId="0" applyFont="1" applyFill="1" applyBorder="1"/>
    <xf numFmtId="0" fontId="28" fillId="0" borderId="0" xfId="0" applyFont="1" applyFill="1" applyBorder="1"/>
    <xf numFmtId="0" fontId="28" fillId="0" borderId="19" xfId="0" applyFont="1" applyFill="1" applyBorder="1"/>
    <xf numFmtId="10" fontId="29" fillId="0" borderId="0" xfId="0" applyNumberFormat="1" applyFont="1" applyFill="1"/>
    <xf numFmtId="0" fontId="29" fillId="0" borderId="36" xfId="0" applyFont="1" applyFill="1" applyBorder="1"/>
    <xf numFmtId="0" fontId="29" fillId="0" borderId="42" xfId="0" applyFont="1" applyFill="1" applyBorder="1"/>
    <xf numFmtId="0" fontId="29" fillId="0" borderId="0" xfId="9388" applyFont="1" applyFill="1" applyBorder="1" applyAlignment="1">
      <alignment horizontal="center"/>
    </xf>
    <xf numFmtId="164" fontId="29" fillId="0" borderId="0" xfId="0" applyNumberFormat="1" applyFont="1" applyFill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Fill="1" applyBorder="1" applyAlignment="1">
      <alignment horizontal="center"/>
    </xf>
    <xf numFmtId="0" fontId="29" fillId="0" borderId="36" xfId="0" applyFont="1" applyFill="1" applyBorder="1" applyAlignment="1">
      <alignment horizontal="left"/>
    </xf>
    <xf numFmtId="10" fontId="29" fillId="0" borderId="0" xfId="1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36" xfId="7147" applyFont="1" applyFill="1" applyBorder="1" applyAlignment="1">
      <alignment horizontal="center"/>
    </xf>
    <xf numFmtId="0" fontId="31" fillId="0" borderId="0" xfId="7147" applyFont="1" applyFill="1" applyBorder="1" applyAlignment="1">
      <alignment horizontal="center"/>
    </xf>
    <xf numFmtId="0" fontId="29" fillId="0" borderId="0" xfId="9388" applyFont="1" applyBorder="1"/>
    <xf numFmtId="0" fontId="29" fillId="0" borderId="0" xfId="9388" applyFont="1" applyBorder="1" applyAlignment="1">
      <alignment horizontal="center"/>
    </xf>
    <xf numFmtId="10" fontId="31" fillId="0" borderId="0" xfId="7610" applyNumberFormat="1" applyFont="1" applyFill="1" applyBorder="1" applyAlignment="1">
      <alignment horizontal="center"/>
    </xf>
    <xf numFmtId="10" fontId="31" fillId="0" borderId="42" xfId="7610" applyNumberFormat="1" applyFont="1" applyFill="1" applyBorder="1" applyAlignment="1">
      <alignment horizontal="center"/>
    </xf>
    <xf numFmtId="0" fontId="29" fillId="0" borderId="0" xfId="9387" applyFont="1" applyFill="1" applyBorder="1"/>
    <xf numFmtId="0" fontId="29" fillId="0" borderId="0" xfId="7147" applyFont="1" applyFill="1" applyBorder="1" applyAlignment="1">
      <alignment horizontal="center"/>
    </xf>
    <xf numFmtId="0" fontId="29" fillId="0" borderId="0" xfId="0" applyFont="1" applyFill="1" applyAlignment="1">
      <alignment vertical="top"/>
    </xf>
    <xf numFmtId="0" fontId="31" fillId="0" borderId="0" xfId="9388" applyFont="1" applyAlignment="1">
      <alignment horizontal="center"/>
    </xf>
    <xf numFmtId="0" fontId="31" fillId="0" borderId="41" xfId="9388" applyFont="1" applyBorder="1"/>
    <xf numFmtId="0" fontId="31" fillId="0" borderId="41" xfId="9388" applyFont="1" applyBorder="1" applyAlignment="1">
      <alignment horizontal="center"/>
    </xf>
    <xf numFmtId="0" fontId="31" fillId="0" borderId="36" xfId="9388" applyFont="1" applyFill="1" applyBorder="1" applyAlignment="1">
      <alignment horizontal="center"/>
    </xf>
    <xf numFmtId="0" fontId="31" fillId="0" borderId="0" xfId="9388" applyFont="1" applyFill="1" applyBorder="1" applyAlignment="1">
      <alignment horizontal="center"/>
    </xf>
    <xf numFmtId="10" fontId="31" fillId="0" borderId="0" xfId="9388" applyNumberFormat="1" applyFont="1" applyFill="1" applyBorder="1" applyAlignment="1">
      <alignment horizontal="center"/>
    </xf>
    <xf numFmtId="0" fontId="31" fillId="0" borderId="42" xfId="7147" applyFont="1" applyFill="1" applyBorder="1" applyAlignment="1">
      <alignment horizontal="center"/>
    </xf>
    <xf numFmtId="0" fontId="31" fillId="0" borderId="42" xfId="9388" applyFont="1" applyFill="1" applyBorder="1" applyAlignment="1">
      <alignment horizontal="center"/>
    </xf>
    <xf numFmtId="10" fontId="31" fillId="0" borderId="42" xfId="9388" applyNumberFormat="1" applyFont="1" applyFill="1" applyBorder="1" applyAlignment="1">
      <alignment horizontal="center"/>
    </xf>
    <xf numFmtId="0" fontId="31" fillId="0" borderId="1" xfId="9388" applyFont="1" applyBorder="1"/>
    <xf numFmtId="0" fontId="31" fillId="0" borderId="0" xfId="9388" applyFont="1" applyFill="1" applyBorder="1"/>
    <xf numFmtId="164" fontId="0" fillId="0" borderId="0" xfId="0" applyNumberFormat="1" applyFont="1"/>
    <xf numFmtId="0" fontId="0" fillId="0" borderId="0" xfId="7147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84" fillId="0" borderId="0" xfId="0" applyFont="1" applyFill="1" applyAlignment="1">
      <alignment vertical="center" wrapText="1"/>
    </xf>
    <xf numFmtId="0" fontId="84" fillId="0" borderId="0" xfId="0" applyFont="1" applyFill="1" applyAlignment="1">
      <alignment vertical="top" wrapText="1"/>
    </xf>
    <xf numFmtId="0" fontId="84" fillId="0" borderId="0" xfId="0" applyFont="1" applyAlignment="1">
      <alignment vertical="top" wrapText="1"/>
    </xf>
    <xf numFmtId="0" fontId="0" fillId="0" borderId="0" xfId="9388" applyFont="1" applyFill="1" applyBorder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29" fillId="0" borderId="19" xfId="3579" applyBorder="1"/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9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9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40" xfId="9394" applyNumberFormat="1" applyFont="1" applyBorder="1" applyAlignment="1">
      <alignment horizontal="center" vertical="center" wrapText="1"/>
    </xf>
    <xf numFmtId="10" fontId="110" fillId="0" borderId="0" xfId="9394" applyNumberFormat="1" applyFont="1" applyAlignment="1">
      <alignment horizontal="right" vertical="center"/>
    </xf>
    <xf numFmtId="0" fontId="110" fillId="0" borderId="0" xfId="9394" applyFont="1"/>
    <xf numFmtId="0" fontId="110" fillId="0" borderId="0" xfId="9394" applyFont="1" applyFill="1" applyAlignment="1">
      <alignment horizontal="center" vertical="center" wrapText="1"/>
    </xf>
    <xf numFmtId="10" fontId="110" fillId="0" borderId="0" xfId="9394" applyNumberFormat="1" applyFont="1" applyFill="1" applyAlignment="1">
      <alignment horizontal="center" vertical="center" wrapText="1"/>
    </xf>
    <xf numFmtId="173" fontId="110" fillId="0" borderId="0" xfId="9394" applyNumberFormat="1" applyFont="1" applyAlignment="1">
      <alignment horizontal="center" vertical="center" wrapText="1"/>
    </xf>
    <xf numFmtId="10" fontId="28" fillId="0" borderId="0" xfId="1" applyNumberFormat="1" applyFont="1" applyFill="1" applyAlignment="1">
      <alignment horizontal="center"/>
    </xf>
    <xf numFmtId="0" fontId="31" fillId="0" borderId="0" xfId="9388" applyFont="1" applyAlignment="1">
      <alignment horizontal="center"/>
    </xf>
    <xf numFmtId="0" fontId="31" fillId="0" borderId="0" xfId="9388"/>
    <xf numFmtId="0" fontId="31" fillId="0" borderId="0" xfId="9388" applyAlignment="1">
      <alignment horizontal="center"/>
    </xf>
    <xf numFmtId="0" fontId="31" fillId="0" borderId="44" xfId="9388" applyBorder="1" applyAlignment="1">
      <alignment horizontal="center"/>
    </xf>
    <xf numFmtId="0" fontId="0" fillId="0" borderId="44" xfId="9388" applyFont="1" applyBorder="1" applyAlignment="1">
      <alignment horizontal="center" wrapText="1"/>
    </xf>
    <xf numFmtId="0" fontId="31" fillId="0" borderId="44" xfId="9388" applyBorder="1" applyAlignment="1">
      <alignment horizontal="center" wrapText="1"/>
    </xf>
    <xf numFmtId="0" fontId="29" fillId="0" borderId="44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5" xfId="0" applyBorder="1"/>
    <xf numFmtId="10" fontId="0" fillId="0" borderId="35" xfId="0" applyNumberFormat="1" applyBorder="1" applyAlignment="1">
      <alignment horizontal="center"/>
    </xf>
    <xf numFmtId="0" fontId="31" fillId="0" borderId="19" xfId="9388" applyBorder="1"/>
    <xf numFmtId="0" fontId="0" fillId="0" borderId="0" xfId="9388" applyFont="1"/>
    <xf numFmtId="0" fontId="0" fillId="0" borderId="0" xfId="0" applyAlignment="1">
      <alignment horizontal="left"/>
    </xf>
    <xf numFmtId="0" fontId="0" fillId="0" borderId="0" xfId="9388" applyFont="1" applyFill="1"/>
    <xf numFmtId="14" fontId="29" fillId="0" borderId="19" xfId="0" applyNumberFormat="1" applyFont="1" applyBorder="1" applyAlignment="1">
      <alignment horizontal="center"/>
    </xf>
    <xf numFmtId="14" fontId="29" fillId="0" borderId="19" xfId="0" applyNumberFormat="1" applyFont="1" applyBorder="1" applyAlignment="1">
      <alignment horizontal="center" wrapText="1"/>
    </xf>
    <xf numFmtId="0" fontId="0" fillId="0" borderId="37" xfId="0" applyBorder="1"/>
    <xf numFmtId="0" fontId="31" fillId="0" borderId="19" xfId="0" applyFont="1" applyBorder="1"/>
    <xf numFmtId="0" fontId="29" fillId="0" borderId="37" xfId="0" applyFont="1" applyBorder="1"/>
    <xf numFmtId="165" fontId="31" fillId="0" borderId="37" xfId="0" applyNumberFormat="1" applyFon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29" fillId="0" borderId="38" xfId="0" applyFont="1" applyBorder="1"/>
    <xf numFmtId="0" fontId="29" fillId="0" borderId="38" xfId="0" applyFon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44" xfId="3579" applyBorder="1"/>
    <xf numFmtId="0" fontId="29" fillId="0" borderId="44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0" fontId="29" fillId="0" borderId="0" xfId="3162" applyAlignment="1">
      <alignment horizontal="center"/>
    </xf>
    <xf numFmtId="0" fontId="29" fillId="0" borderId="43" xfId="3579" applyBorder="1"/>
    <xf numFmtId="0" fontId="29" fillId="0" borderId="43" xfId="3579" applyBorder="1" applyAlignment="1">
      <alignment horizontal="center"/>
    </xf>
    <xf numFmtId="0" fontId="29" fillId="0" borderId="19" xfId="3579" applyBorder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10" fontId="29" fillId="0" borderId="19" xfId="13" applyNumberFormat="1" applyFont="1" applyBorder="1" applyAlignment="1">
      <alignment horizontal="center"/>
    </xf>
    <xf numFmtId="0" fontId="29" fillId="0" borderId="35" xfId="3579" applyBorder="1"/>
    <xf numFmtId="10" fontId="29" fillId="0" borderId="35" xfId="13" applyNumberFormat="1" applyFont="1" applyBorder="1" applyAlignment="1">
      <alignment horizontal="center"/>
    </xf>
    <xf numFmtId="0" fontId="29" fillId="0" borderId="19" xfId="5308" applyBorder="1" applyAlignment="1">
      <alignment horizontal="left"/>
    </xf>
    <xf numFmtId="0" fontId="29" fillId="0" borderId="36" xfId="3579" applyBorder="1" applyAlignment="1">
      <alignment horizontal="center"/>
    </xf>
    <xf numFmtId="10" fontId="31" fillId="0" borderId="36" xfId="3579" applyNumberFormat="1" applyFont="1" applyBorder="1" applyAlignment="1">
      <alignment horizontal="center"/>
    </xf>
    <xf numFmtId="0" fontId="29" fillId="0" borderId="37" xfId="3579" applyBorder="1" applyAlignment="1">
      <alignment horizontal="center"/>
    </xf>
    <xf numFmtId="10" fontId="31" fillId="0" borderId="37" xfId="3579" applyNumberFormat="1" applyFont="1" applyBorder="1" applyAlignment="1">
      <alignment horizontal="center"/>
    </xf>
    <xf numFmtId="0" fontId="0" fillId="0" borderId="52" xfId="0" applyBorder="1"/>
    <xf numFmtId="0" fontId="71" fillId="0" borderId="49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0" fontId="110" fillId="0" borderId="49" xfId="9394" applyFont="1" applyBorder="1" applyAlignment="1">
      <alignment horizontal="center" vertical="center" wrapText="1"/>
    </xf>
    <xf numFmtId="10" fontId="110" fillId="0" borderId="46" xfId="9394" applyNumberFormat="1" applyFont="1" applyBorder="1" applyAlignment="1">
      <alignment horizontal="center" vertical="center" wrapText="1"/>
    </xf>
    <xf numFmtId="0" fontId="110" fillId="0" borderId="53" xfId="9394" applyFont="1" applyBorder="1" applyAlignment="1">
      <alignment horizontal="center" vertical="center" wrapText="1"/>
    </xf>
    <xf numFmtId="0" fontId="110" fillId="0" borderId="54" xfId="9394" applyFont="1" applyBorder="1" applyAlignment="1">
      <alignment horizontal="center" vertical="center" wrapText="1"/>
    </xf>
    <xf numFmtId="10" fontId="110" fillId="0" borderId="55" xfId="9394" applyNumberFormat="1" applyFont="1" applyBorder="1" applyAlignment="1">
      <alignment horizontal="center" vertical="center" wrapText="1"/>
    </xf>
    <xf numFmtId="0" fontId="112" fillId="0" borderId="49" xfId="9394" applyFont="1" applyBorder="1" applyAlignment="1">
      <alignment horizontal="center" vertical="center" wrapText="1"/>
    </xf>
    <xf numFmtId="0" fontId="112" fillId="0" borderId="46" xfId="9394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2" fontId="29" fillId="0" borderId="38" xfId="9400" applyNumberFormat="1" applyFont="1" applyBorder="1" applyAlignment="1">
      <alignment horizontal="center"/>
    </xf>
    <xf numFmtId="10" fontId="84" fillId="0" borderId="0" xfId="0" applyNumberFormat="1" applyFont="1" applyFill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88" applyFont="1" applyBorder="1" applyAlignment="1">
      <alignment horizontal="center"/>
    </xf>
    <xf numFmtId="0" fontId="110" fillId="0" borderId="0" xfId="9394" applyFont="1" applyFill="1" applyAlignment="1">
      <alignment wrapText="1"/>
    </xf>
    <xf numFmtId="0" fontId="110" fillId="0" borderId="0" xfId="9394" applyFont="1" applyFill="1" applyAlignment="1">
      <alignment horizontal="right" vertical="center"/>
    </xf>
    <xf numFmtId="173" fontId="110" fillId="0" borderId="0" xfId="9394" applyNumberFormat="1" applyFont="1" applyFill="1" applyBorder="1" applyAlignment="1">
      <alignment horizontal="center" vertical="center" wrapText="1"/>
    </xf>
    <xf numFmtId="173" fontId="110" fillId="0" borderId="0" xfId="9394" applyNumberFormat="1" applyFont="1" applyFill="1" applyAlignment="1">
      <alignment horizontal="center" vertical="center"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10" fontId="0" fillId="0" borderId="36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10" fillId="0" borderId="45" xfId="9394" applyFont="1" applyBorder="1" applyAlignment="1">
      <alignment horizontal="center" vertical="center" wrapText="1"/>
    </xf>
    <xf numFmtId="10" fontId="110" fillId="0" borderId="50" xfId="9394" applyNumberFormat="1" applyFont="1" applyBorder="1" applyAlignment="1">
      <alignment horizontal="center" vertical="center" wrapText="1"/>
    </xf>
    <xf numFmtId="10" fontId="110" fillId="0" borderId="51" xfId="9394" applyNumberFormat="1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Continuous"/>
    </xf>
    <xf numFmtId="175" fontId="0" fillId="0" borderId="0" xfId="377" applyNumberFormat="1" applyFont="1" applyFill="1" applyBorder="1" applyAlignment="1"/>
    <xf numFmtId="0" fontId="30" fillId="0" borderId="44" xfId="0" applyFont="1" applyBorder="1" applyAlignment="1">
      <alignment horizontal="center"/>
    </xf>
    <xf numFmtId="176" fontId="0" fillId="0" borderId="0" xfId="377" applyNumberFormat="1" applyFont="1" applyFill="1" applyBorder="1" applyAlignment="1"/>
    <xf numFmtId="177" fontId="0" fillId="0" borderId="0" xfId="377" applyNumberFormat="1" applyFont="1" applyFill="1" applyBorder="1" applyAlignment="1"/>
    <xf numFmtId="43" fontId="0" fillId="0" borderId="0" xfId="377" applyFont="1" applyFill="1" applyBorder="1" applyAlignment="1"/>
    <xf numFmtId="0" fontId="112" fillId="0" borderId="45" xfId="9394" applyFont="1" applyBorder="1" applyAlignment="1">
      <alignment horizontal="center" vertical="center" wrapText="1"/>
    </xf>
    <xf numFmtId="10" fontId="112" fillId="0" borderId="51" xfId="9394" applyNumberFormat="1" applyFont="1" applyFill="1" applyBorder="1" applyAlignment="1">
      <alignment horizontal="center" vertical="center" wrapText="1"/>
    </xf>
    <xf numFmtId="10" fontId="110" fillId="0" borderId="56" xfId="9394" applyNumberFormat="1" applyFont="1" applyFill="1" applyBorder="1" applyAlignment="1">
      <alignment horizontal="center" vertical="center" wrapText="1"/>
    </xf>
    <xf numFmtId="10" fontId="110" fillId="0" borderId="35" xfId="9394" applyNumberFormat="1" applyFont="1" applyFill="1" applyBorder="1" applyAlignment="1">
      <alignment horizontal="center" vertical="center" wrapText="1"/>
    </xf>
    <xf numFmtId="10" fontId="110" fillId="0" borderId="57" xfId="9394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/>
    <xf numFmtId="0" fontId="31" fillId="0" borderId="43" xfId="9388" applyFont="1" applyBorder="1"/>
    <xf numFmtId="0" fontId="31" fillId="0" borderId="43" xfId="9388" applyFont="1" applyBorder="1" applyAlignment="1">
      <alignment horizontal="center"/>
    </xf>
    <xf numFmtId="0" fontId="31" fillId="0" borderId="43" xfId="9388" applyFont="1" applyBorder="1" applyAlignment="1">
      <alignment horizontal="center" wrapText="1"/>
    </xf>
    <xf numFmtId="0" fontId="31" fillId="0" borderId="43" xfId="9388" applyFont="1" applyFill="1" applyBorder="1" applyAlignment="1">
      <alignment horizontal="center" wrapText="1"/>
    </xf>
    <xf numFmtId="0" fontId="0" fillId="0" borderId="43" xfId="9388" applyFont="1" applyBorder="1" applyAlignment="1">
      <alignment horizontal="center" wrapText="1"/>
    </xf>
    <xf numFmtId="10" fontId="31" fillId="0" borderId="36" xfId="9388" applyNumberFormat="1" applyFont="1" applyFill="1" applyBorder="1" applyAlignment="1">
      <alignment horizontal="center"/>
    </xf>
    <xf numFmtId="10" fontId="31" fillId="0" borderId="36" xfId="7610" applyNumberFormat="1" applyFont="1" applyFill="1" applyBorder="1" applyAlignment="1">
      <alignment horizontal="center"/>
    </xf>
    <xf numFmtId="175" fontId="0" fillId="0" borderId="37" xfId="377" applyNumberFormat="1" applyFont="1" applyFill="1" applyBorder="1" applyAlignment="1"/>
    <xf numFmtId="176" fontId="0" fillId="0" borderId="37" xfId="377" applyNumberFormat="1" applyFont="1" applyFill="1" applyBorder="1" applyAlignment="1"/>
    <xf numFmtId="43" fontId="0" fillId="0" borderId="37" xfId="377" applyFont="1" applyFill="1" applyBorder="1" applyAlignment="1"/>
    <xf numFmtId="10" fontId="29" fillId="0" borderId="19" xfId="13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0" fontId="0" fillId="0" borderId="36" xfId="0" applyBorder="1"/>
    <xf numFmtId="10" fontId="29" fillId="0" borderId="36" xfId="9379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/>
    <xf numFmtId="10" fontId="29" fillId="0" borderId="1" xfId="0" applyNumberFormat="1" applyFont="1" applyFill="1" applyBorder="1" applyAlignment="1">
      <alignment horizontal="center"/>
    </xf>
    <xf numFmtId="10" fontId="29" fillId="0" borderId="0" xfId="1" applyNumberFormat="1" applyFont="1"/>
    <xf numFmtId="10" fontId="29" fillId="0" borderId="19" xfId="1" applyNumberFormat="1" applyFont="1" applyFill="1" applyBorder="1" applyAlignment="1">
      <alignment horizontal="center"/>
    </xf>
    <xf numFmtId="10" fontId="29" fillId="0" borderId="19" xfId="0" applyNumberFormat="1" applyFont="1" applyFill="1" applyBorder="1" applyAlignment="1">
      <alignment horizontal="center"/>
    </xf>
    <xf numFmtId="1" fontId="31" fillId="0" borderId="0" xfId="9410" applyNumberFormat="1" applyFont="1" applyAlignment="1">
      <alignment horizontal="right"/>
    </xf>
    <xf numFmtId="0" fontId="31" fillId="0" borderId="0" xfId="9410" applyFont="1"/>
    <xf numFmtId="0" fontId="31" fillId="0" borderId="0" xfId="9410" applyFont="1" applyAlignment="1">
      <alignment horizontal="center"/>
    </xf>
    <xf numFmtId="0" fontId="31" fillId="0" borderId="0" xfId="9410" applyFont="1" applyAlignment="1">
      <alignment horizontal="centerContinuous"/>
    </xf>
    <xf numFmtId="0" fontId="31" fillId="0" borderId="19" xfId="9410" applyFont="1" applyBorder="1" applyAlignment="1">
      <alignment horizontal="centerContinuous"/>
    </xf>
    <xf numFmtId="0" fontId="31" fillId="0" borderId="19" xfId="9410" applyFont="1" applyBorder="1"/>
    <xf numFmtId="0" fontId="31" fillId="0" borderId="19" xfId="9410" applyFont="1" applyBorder="1" applyAlignment="1">
      <alignment horizontal="center"/>
    </xf>
    <xf numFmtId="0" fontId="29" fillId="0" borderId="19" xfId="6640" applyBorder="1" applyAlignment="1">
      <alignment horizontal="center"/>
    </xf>
    <xf numFmtId="10" fontId="29" fillId="0" borderId="0" xfId="9411" applyNumberFormat="1" applyFont="1" applyFill="1" applyBorder="1" applyAlignment="1">
      <alignment horizontal="center"/>
    </xf>
    <xf numFmtId="10" fontId="29" fillId="0" borderId="0" xfId="6640" applyNumberFormat="1" applyAlignment="1">
      <alignment horizontal="center"/>
    </xf>
    <xf numFmtId="0" fontId="29" fillId="0" borderId="0" xfId="6640" applyAlignment="1">
      <alignment horizontal="center"/>
    </xf>
    <xf numFmtId="0" fontId="31" fillId="0" borderId="0" xfId="9410" applyFont="1" applyAlignment="1">
      <alignment horizontal="right"/>
    </xf>
    <xf numFmtId="0" fontId="31" fillId="0" borderId="0" xfId="9410" applyFont="1" applyAlignment="1">
      <alignment horizontal="left"/>
    </xf>
    <xf numFmtId="0" fontId="114" fillId="0" borderId="0" xfId="9410" applyFont="1"/>
    <xf numFmtId="0" fontId="31" fillId="0" borderId="0" xfId="9410" applyFont="1" applyAlignment="1">
      <alignment horizontal="left" vertical="top"/>
    </xf>
    <xf numFmtId="10" fontId="29" fillId="0" borderId="0" xfId="9411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115" fillId="0" borderId="0" xfId="0" applyFont="1" applyAlignment="1">
      <alignment vertical="center" wrapText="1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29" fillId="0" borderId="0" xfId="0" applyFont="1" applyAlignment="1">
      <alignment horizontal="center"/>
    </xf>
    <xf numFmtId="0" fontId="30" fillId="0" borderId="43" xfId="0" applyFont="1" applyBorder="1"/>
    <xf numFmtId="0" fontId="29" fillId="0" borderId="43" xfId="0" applyFont="1" applyBorder="1"/>
    <xf numFmtId="0" fontId="29" fillId="0" borderId="43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center"/>
    </xf>
    <xf numFmtId="4" fontId="29" fillId="0" borderId="19" xfId="0" applyNumberFormat="1" applyFont="1" applyBorder="1" applyAlignment="1">
      <alignment horizontal="center"/>
    </xf>
    <xf numFmtId="178" fontId="29" fillId="0" borderId="0" xfId="0" applyNumberFormat="1" applyFont="1" applyAlignment="1">
      <alignment horizontal="center"/>
    </xf>
    <xf numFmtId="10" fontId="29" fillId="0" borderId="0" xfId="9414" applyNumberFormat="1" applyFont="1" applyFill="1" applyAlignment="1">
      <alignment horizontal="center"/>
    </xf>
    <xf numFmtId="0" fontId="0" fillId="0" borderId="0" xfId="9405" applyFont="1"/>
    <xf numFmtId="0" fontId="116" fillId="0" borderId="0" xfId="0" applyFont="1"/>
    <xf numFmtId="164" fontId="29" fillId="0" borderId="19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10" fontId="29" fillId="0" borderId="0" xfId="9414" applyNumberFormat="1" applyFont="1"/>
    <xf numFmtId="10" fontId="29" fillId="0" borderId="0" xfId="0" applyNumberFormat="1" applyFont="1"/>
    <xf numFmtId="0" fontId="0" fillId="0" borderId="0" xfId="0" applyAlignment="1">
      <alignment horizontal="center" vertical="center"/>
    </xf>
    <xf numFmtId="166" fontId="29" fillId="0" borderId="0" xfId="9412" applyNumberFormat="1" applyFont="1"/>
    <xf numFmtId="0" fontId="29" fillId="0" borderId="0" xfId="0" applyFont="1" applyAlignment="1">
      <alignment horizontal="center" vertical="center"/>
    </xf>
    <xf numFmtId="0" fontId="29" fillId="0" borderId="36" xfId="0" applyFont="1" applyBorder="1"/>
    <xf numFmtId="10" fontId="29" fillId="0" borderId="36" xfId="9414" applyNumberFormat="1" applyFont="1" applyFill="1" applyBorder="1" applyAlignment="1">
      <alignment horizontal="center"/>
    </xf>
    <xf numFmtId="10" fontId="29" fillId="0" borderId="0" xfId="9414" applyNumberFormat="1" applyFont="1" applyFill="1" applyBorder="1" applyAlignment="1">
      <alignment horizontal="center"/>
    </xf>
    <xf numFmtId="164" fontId="29" fillId="0" borderId="0" xfId="9412" applyNumberFormat="1" applyFont="1" applyFill="1" applyAlignment="1">
      <alignment horizontal="center"/>
    </xf>
    <xf numFmtId="178" fontId="29" fillId="0" borderId="0" xfId="0" applyNumberFormat="1" applyFont="1"/>
    <xf numFmtId="179" fontId="29" fillId="0" borderId="0" xfId="9414" applyNumberFormat="1" applyFont="1" applyFill="1"/>
    <xf numFmtId="43" fontId="29" fillId="0" borderId="0" xfId="9412" applyFont="1" applyFill="1"/>
    <xf numFmtId="0" fontId="117" fillId="0" borderId="0" xfId="0" applyFont="1" applyAlignment="1">
      <alignment horizontal="centerContinuous"/>
    </xf>
    <xf numFmtId="0" fontId="117" fillId="0" borderId="19" xfId="0" applyFont="1" applyBorder="1" applyAlignment="1">
      <alignment horizontal="center"/>
    </xf>
    <xf numFmtId="0" fontId="117" fillId="0" borderId="19" xfId="0" applyFont="1" applyBorder="1"/>
    <xf numFmtId="10" fontId="29" fillId="0" borderId="0" xfId="0" applyNumberFormat="1" applyFont="1" applyAlignment="1">
      <alignment horizontal="center"/>
    </xf>
    <xf numFmtId="10" fontId="0" fillId="0" borderId="0" xfId="9414" applyNumberFormat="1" applyFont="1"/>
    <xf numFmtId="10" fontId="0" fillId="0" borderId="0" xfId="0" applyNumberFormat="1"/>
    <xf numFmtId="2" fontId="29" fillId="0" borderId="37" xfId="0" applyNumberFormat="1" applyFont="1" applyBorder="1" applyAlignment="1">
      <alignment horizontal="center"/>
    </xf>
    <xf numFmtId="0" fontId="0" fillId="0" borderId="19" xfId="0" applyBorder="1"/>
    <xf numFmtId="0" fontId="118" fillId="0" borderId="0" xfId="0" applyFont="1"/>
    <xf numFmtId="0" fontId="118" fillId="0" borderId="0" xfId="0" applyFont="1" applyAlignment="1">
      <alignment horizontal="center"/>
    </xf>
    <xf numFmtId="10" fontId="118" fillId="0" borderId="0" xfId="0" applyNumberFormat="1" applyFont="1"/>
    <xf numFmtId="180" fontId="29" fillId="0" borderId="0" xfId="9413" applyNumberFormat="1" applyFont="1"/>
    <xf numFmtId="0" fontId="31" fillId="0" borderId="0" xfId="19"/>
    <xf numFmtId="0" fontId="31" fillId="0" borderId="0" xfId="19" applyAlignment="1">
      <alignment horizontal="left"/>
    </xf>
    <xf numFmtId="0" fontId="0" fillId="0" borderId="0" xfId="19" applyFont="1" applyAlignment="1">
      <alignment horizontal="center"/>
    </xf>
    <xf numFmtId="0" fontId="31" fillId="0" borderId="0" xfId="19" applyAlignment="1">
      <alignment wrapText="1"/>
    </xf>
    <xf numFmtId="0" fontId="0" fillId="0" borderId="0" xfId="19" applyFont="1"/>
    <xf numFmtId="0" fontId="31" fillId="0" borderId="0" xfId="19" applyAlignment="1">
      <alignment horizontal="center"/>
    </xf>
    <xf numFmtId="0" fontId="29" fillId="0" borderId="0" xfId="19" applyFont="1" applyAlignment="1">
      <alignment horizontal="center"/>
    </xf>
    <xf numFmtId="0" fontId="77" fillId="0" borderId="0" xfId="9415" applyAlignment="1">
      <alignment horizontal="left"/>
    </xf>
    <xf numFmtId="0" fontId="0" fillId="0" borderId="0" xfId="19" applyFont="1" applyAlignment="1">
      <alignment horizontal="left"/>
    </xf>
    <xf numFmtId="0" fontId="31" fillId="0" borderId="0" xfId="7147" applyAlignment="1">
      <alignment horizontal="left"/>
    </xf>
    <xf numFmtId="0" fontId="116" fillId="0" borderId="0" xfId="9388" applyFont="1"/>
    <xf numFmtId="0" fontId="31" fillId="0" borderId="0" xfId="19" quotePrefix="1"/>
    <xf numFmtId="0" fontId="31" fillId="0" borderId="0" xfId="9404"/>
    <xf numFmtId="0" fontId="31" fillId="0" borderId="0" xfId="9404" applyAlignment="1">
      <alignment horizontal="center"/>
    </xf>
    <xf numFmtId="10" fontId="31" fillId="0" borderId="0" xfId="941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0" fontId="29" fillId="0" borderId="0" xfId="19" applyFont="1" applyAlignment="1">
      <alignment horizontal="left"/>
    </xf>
    <xf numFmtId="0" fontId="31" fillId="0" borderId="0" xfId="9395"/>
    <xf numFmtId="0" fontId="0" fillId="0" borderId="0" xfId="9396" applyFont="1" applyAlignment="1">
      <alignment vertical="center"/>
    </xf>
    <xf numFmtId="10" fontId="31" fillId="0" borderId="0" xfId="9417" applyNumberFormat="1" applyFont="1" applyAlignment="1">
      <alignment horizontal="center"/>
    </xf>
    <xf numFmtId="10" fontId="0" fillId="0" borderId="0" xfId="9416" applyNumberFormat="1" applyFont="1" applyAlignment="1">
      <alignment horizontal="center"/>
    </xf>
    <xf numFmtId="0" fontId="0" fillId="0" borderId="0" xfId="9404" applyFont="1" applyAlignment="1">
      <alignment horizontal="center"/>
    </xf>
    <xf numFmtId="0" fontId="0" fillId="0" borderId="38" xfId="19" applyFont="1" applyBorder="1"/>
    <xf numFmtId="0" fontId="31" fillId="0" borderId="38" xfId="19" applyBorder="1"/>
    <xf numFmtId="0" fontId="0" fillId="0" borderId="38" xfId="0" applyBorder="1" applyAlignment="1">
      <alignment horizontal="left"/>
    </xf>
    <xf numFmtId="0" fontId="31" fillId="0" borderId="38" xfId="19" applyBorder="1" applyAlignment="1">
      <alignment horizontal="center"/>
    </xf>
    <xf numFmtId="179" fontId="29" fillId="0" borderId="38" xfId="9417" applyNumberFormat="1" applyFont="1" applyFill="1" applyBorder="1" applyAlignment="1">
      <alignment horizontal="center"/>
    </xf>
    <xf numFmtId="0" fontId="29" fillId="0" borderId="35" xfId="19" applyFont="1" applyBorder="1"/>
    <xf numFmtId="0" fontId="29" fillId="0" borderId="35" xfId="0" applyFont="1" applyBorder="1" applyAlignment="1">
      <alignment horizontal="left"/>
    </xf>
    <xf numFmtId="0" fontId="29" fillId="0" borderId="35" xfId="19" applyFont="1" applyBorder="1" applyAlignment="1">
      <alignment horizontal="center"/>
    </xf>
    <xf numFmtId="179" fontId="29" fillId="0" borderId="35" xfId="19" applyNumberFormat="1" applyFont="1" applyBorder="1" applyAlignment="1">
      <alignment horizontal="center"/>
    </xf>
    <xf numFmtId="0" fontId="31" fillId="0" borderId="19" xfId="19" applyBorder="1"/>
    <xf numFmtId="0" fontId="0" fillId="0" borderId="0" xfId="18" applyFont="1"/>
    <xf numFmtId="0" fontId="0" fillId="0" borderId="0" xfId="9395" applyFont="1" applyAlignment="1">
      <alignment horizontal="left" wrapText="1"/>
    </xf>
    <xf numFmtId="0" fontId="31" fillId="0" borderId="0" xfId="19" applyAlignment="1">
      <alignment vertical="top"/>
    </xf>
    <xf numFmtId="0" fontId="31" fillId="0" borderId="0" xfId="19" applyAlignment="1">
      <alignment horizontal="center" vertical="top"/>
    </xf>
    <xf numFmtId="0" fontId="31" fillId="0" borderId="0" xfId="19" applyBorder="1"/>
    <xf numFmtId="0" fontId="0" fillId="0" borderId="0" xfId="9395" applyFont="1" applyAlignment="1">
      <alignment horizontal="left" wrapText="1"/>
    </xf>
    <xf numFmtId="0" fontId="31" fillId="0" borderId="0" xfId="9404" applyAlignment="1">
      <alignment horizontal="center"/>
    </xf>
    <xf numFmtId="0" fontId="31" fillId="0" borderId="0" xfId="19" applyFill="1"/>
    <xf numFmtId="0" fontId="29" fillId="0" borderId="0" xfId="19" applyFont="1" applyAlignment="1">
      <alignment horizontal="center" vertical="center"/>
    </xf>
    <xf numFmtId="0" fontId="29" fillId="0" borderId="0" xfId="19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9405" applyFont="1" applyAlignment="1">
      <alignment horizontal="center"/>
    </xf>
    <xf numFmtId="0" fontId="31" fillId="0" borderId="36" xfId="19" applyBorder="1"/>
    <xf numFmtId="0" fontId="0" fillId="0" borderId="36" xfId="19" applyFont="1" applyBorder="1"/>
    <xf numFmtId="0" fontId="0" fillId="0" borderId="36" xfId="0" applyBorder="1" applyAlignment="1">
      <alignment horizontal="left"/>
    </xf>
    <xf numFmtId="0" fontId="31" fillId="0" borderId="36" xfId="19" applyBorder="1" applyAlignment="1">
      <alignment horizontal="center"/>
    </xf>
    <xf numFmtId="0" fontId="0" fillId="0" borderId="19" xfId="9404" applyFont="1" applyBorder="1" applyAlignment="1">
      <alignment horizontal="center"/>
    </xf>
    <xf numFmtId="10" fontId="31" fillId="0" borderId="19" xfId="9417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179" fontId="29" fillId="0" borderId="19" xfId="1" applyNumberFormat="1" applyFont="1" applyBorder="1" applyAlignment="1">
      <alignment horizontal="center" vertical="center"/>
    </xf>
    <xf numFmtId="0" fontId="0" fillId="0" borderId="0" xfId="9395" applyFont="1" applyAlignment="1">
      <alignment wrapText="1"/>
    </xf>
    <xf numFmtId="0" fontId="0" fillId="0" borderId="0" xfId="9395" applyFont="1" applyAlignment="1"/>
    <xf numFmtId="44" fontId="31" fillId="0" borderId="0" xfId="9419" applyFont="1" applyAlignment="1">
      <alignment horizontal="center"/>
    </xf>
    <xf numFmtId="0" fontId="31" fillId="0" borderId="43" xfId="19" applyBorder="1"/>
    <xf numFmtId="44" fontId="31" fillId="0" borderId="43" xfId="9419" applyFont="1" applyBorder="1"/>
    <xf numFmtId="0" fontId="31" fillId="0" borderId="43" xfId="19" applyBorder="1" applyAlignment="1">
      <alignment horizontal="center"/>
    </xf>
    <xf numFmtId="0" fontId="31" fillId="0" borderId="19" xfId="19" applyBorder="1" applyAlignment="1">
      <alignment horizontal="center"/>
    </xf>
    <xf numFmtId="0" fontId="28" fillId="0" borderId="19" xfId="19" applyFont="1" applyBorder="1" applyAlignment="1">
      <alignment horizontal="center" vertical="center"/>
    </xf>
    <xf numFmtId="44" fontId="31" fillId="0" borderId="0" xfId="9419" applyFont="1" applyFill="1" applyAlignment="1">
      <alignment horizontal="center"/>
    </xf>
    <xf numFmtId="44" fontId="119" fillId="0" borderId="0" xfId="9419" applyFont="1" applyFill="1" applyAlignment="1">
      <alignment horizontal="center"/>
    </xf>
    <xf numFmtId="0" fontId="29" fillId="0" borderId="0" xfId="19" applyFont="1" applyAlignment="1">
      <alignment horizontal="center" vertical="top"/>
    </xf>
    <xf numFmtId="44" fontId="31" fillId="0" borderId="0" xfId="9419" applyFont="1" applyFill="1"/>
    <xf numFmtId="0" fontId="31" fillId="0" borderId="19" xfId="19" applyBorder="1" applyAlignment="1">
      <alignment horizontal="left"/>
    </xf>
    <xf numFmtId="44" fontId="31" fillId="0" borderId="19" xfId="9419" applyFont="1" applyBorder="1" applyAlignment="1">
      <alignment horizontal="center"/>
    </xf>
    <xf numFmtId="0" fontId="29" fillId="0" borderId="19" xfId="19" applyFont="1" applyBorder="1" applyAlignment="1">
      <alignment horizontal="center"/>
    </xf>
    <xf numFmtId="0" fontId="31" fillId="0" borderId="0" xfId="9395" applyAlignment="1">
      <alignment horizontal="left"/>
    </xf>
    <xf numFmtId="0" fontId="31" fillId="0" borderId="0" xfId="9395" applyAlignment="1">
      <alignment horizontal="center"/>
    </xf>
    <xf numFmtId="179" fontId="29" fillId="0" borderId="0" xfId="9420" applyNumberFormat="1" applyFont="1" applyAlignment="1">
      <alignment horizontal="center"/>
    </xf>
    <xf numFmtId="10" fontId="29" fillId="0" borderId="0" xfId="9420" applyNumberFormat="1" applyFont="1" applyAlignment="1">
      <alignment horizontal="center"/>
    </xf>
    <xf numFmtId="0" fontId="31" fillId="0" borderId="38" xfId="19" applyBorder="1" applyAlignment="1">
      <alignment horizontal="left"/>
    </xf>
    <xf numFmtId="44" fontId="31" fillId="0" borderId="38" xfId="9419" applyFont="1" applyBorder="1" applyAlignment="1">
      <alignment horizontal="center"/>
    </xf>
    <xf numFmtId="179" fontId="29" fillId="0" borderId="38" xfId="9420" applyNumberFormat="1" applyFont="1" applyBorder="1" applyAlignment="1">
      <alignment horizontal="center"/>
    </xf>
    <xf numFmtId="0" fontId="31" fillId="0" borderId="35" xfId="19" applyBorder="1"/>
    <xf numFmtId="44" fontId="31" fillId="0" borderId="35" xfId="9419" applyFont="1" applyBorder="1" applyAlignment="1">
      <alignment horizontal="center"/>
    </xf>
    <xf numFmtId="8" fontId="31" fillId="0" borderId="35" xfId="19" applyNumberFormat="1" applyBorder="1" applyAlignment="1">
      <alignment horizontal="center"/>
    </xf>
    <xf numFmtId="0" fontId="31" fillId="0" borderId="35" xfId="19" applyBorder="1" applyAlignment="1">
      <alignment horizontal="center"/>
    </xf>
    <xf numFmtId="179" fontId="0" fillId="0" borderId="35" xfId="19" applyNumberFormat="1" applyFont="1" applyBorder="1" applyAlignment="1">
      <alignment horizontal="center"/>
    </xf>
    <xf numFmtId="44" fontId="31" fillId="0" borderId="0" xfId="9419" applyFont="1"/>
    <xf numFmtId="10" fontId="31" fillId="0" borderId="0" xfId="9420" applyNumberFormat="1" applyFont="1" applyAlignment="1">
      <alignment horizontal="center"/>
    </xf>
    <xf numFmtId="0" fontId="0" fillId="0" borderId="0" xfId="9395" applyFont="1"/>
    <xf numFmtId="44" fontId="31" fillId="0" borderId="0" xfId="9419" applyFont="1" applyAlignment="1">
      <alignment horizontal="center" vertical="top"/>
    </xf>
    <xf numFmtId="0" fontId="29" fillId="0" borderId="0" xfId="18"/>
    <xf numFmtId="0" fontId="31" fillId="0" borderId="0" xfId="9421"/>
    <xf numFmtId="0" fontId="29" fillId="0" borderId="0" xfId="18" applyAlignment="1">
      <alignment horizontal="center"/>
    </xf>
    <xf numFmtId="0" fontId="29" fillId="0" borderId="43" xfId="18" applyBorder="1"/>
    <xf numFmtId="0" fontId="29" fillId="0" borderId="19" xfId="18" applyBorder="1"/>
    <xf numFmtId="0" fontId="0" fillId="0" borderId="19" xfId="18" applyFont="1" applyBorder="1" applyAlignment="1">
      <alignment horizontal="center"/>
    </xf>
    <xf numFmtId="0" fontId="29" fillId="0" borderId="19" xfId="18" applyBorder="1" applyAlignment="1">
      <alignment horizontal="center"/>
    </xf>
    <xf numFmtId="0" fontId="29" fillId="0" borderId="19" xfId="18" applyBorder="1" applyAlignment="1">
      <alignment horizontal="center" wrapText="1"/>
    </xf>
    <xf numFmtId="0" fontId="117" fillId="0" borderId="0" xfId="9404" applyFont="1" applyAlignment="1">
      <alignment horizontal="center"/>
    </xf>
    <xf numFmtId="0" fontId="29" fillId="0" borderId="0" xfId="18" applyAlignment="1">
      <alignment horizontal="left"/>
    </xf>
    <xf numFmtId="0" fontId="0" fillId="0" borderId="0" xfId="18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9404" applyFont="1"/>
    <xf numFmtId="0" fontId="29" fillId="0" borderId="38" xfId="20" applyBorder="1" applyAlignment="1">
      <alignment vertical="center"/>
    </xf>
    <xf numFmtId="0" fontId="31" fillId="0" borderId="38" xfId="9396" applyBorder="1" applyAlignment="1">
      <alignment vertical="center"/>
    </xf>
    <xf numFmtId="2" fontId="0" fillId="0" borderId="38" xfId="9396" applyNumberFormat="1" applyFont="1" applyBorder="1" applyAlignment="1">
      <alignment horizontal="center" vertical="center" wrapText="1"/>
    </xf>
    <xf numFmtId="2" fontId="29" fillId="0" borderId="38" xfId="9396" applyNumberFormat="1" applyFont="1" applyBorder="1" applyAlignment="1">
      <alignment horizontal="center" vertical="center"/>
    </xf>
    <xf numFmtId="0" fontId="0" fillId="0" borderId="35" xfId="20" applyFont="1" applyBorder="1"/>
    <xf numFmtId="0" fontId="29" fillId="0" borderId="35" xfId="9396" applyFont="1" applyBorder="1"/>
    <xf numFmtId="0" fontId="29" fillId="0" borderId="35" xfId="9396" applyFont="1" applyBorder="1" applyAlignment="1">
      <alignment horizontal="center"/>
    </xf>
    <xf numFmtId="0" fontId="31" fillId="0" borderId="35" xfId="9404" applyBorder="1" applyAlignment="1">
      <alignment horizontal="center"/>
    </xf>
    <xf numFmtId="0" fontId="29" fillId="0" borderId="19" xfId="9422" applyFont="1" applyBorder="1"/>
    <xf numFmtId="0" fontId="0" fillId="0" borderId="0" xfId="20" applyFont="1"/>
    <xf numFmtId="0" fontId="117" fillId="0" borderId="58" xfId="9404" applyFont="1" applyBorder="1" applyAlignment="1">
      <alignment horizontal="center"/>
    </xf>
    <xf numFmtId="0" fontId="117" fillId="0" borderId="59" xfId="9404" applyFont="1" applyBorder="1" applyAlignment="1">
      <alignment horizontal="center"/>
    </xf>
    <xf numFmtId="0" fontId="31" fillId="0" borderId="60" xfId="19" applyBorder="1" applyAlignment="1">
      <alignment horizontal="left"/>
    </xf>
    <xf numFmtId="0" fontId="31" fillId="0" borderId="28" xfId="19" applyBorder="1"/>
    <xf numFmtId="0" fontId="31" fillId="0" borderId="61" xfId="19" applyBorder="1" applyAlignment="1">
      <alignment horizontal="left"/>
    </xf>
    <xf numFmtId="0" fontId="31" fillId="0" borderId="62" xfId="19" applyBorder="1"/>
    <xf numFmtId="10" fontId="0" fillId="0" borderId="0" xfId="9420" applyNumberFormat="1" applyFont="1" applyAlignment="1">
      <alignment horizontal="center"/>
    </xf>
    <xf numFmtId="0" fontId="71" fillId="0" borderId="19" xfId="9394" applyFont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28" fillId="0" borderId="0" xfId="19" applyFont="1" applyAlignment="1">
      <alignment horizontal="center"/>
    </xf>
    <xf numFmtId="0" fontId="28" fillId="0" borderId="43" xfId="19" applyFont="1" applyBorder="1"/>
    <xf numFmtId="0" fontId="28" fillId="0" borderId="0" xfId="19" applyFont="1"/>
    <xf numFmtId="0" fontId="28" fillId="0" borderId="19" xfId="19" applyFont="1" applyBorder="1" applyAlignment="1">
      <alignment horizontal="center"/>
    </xf>
    <xf numFmtId="9" fontId="28" fillId="0" borderId="0" xfId="0" applyNumberFormat="1" applyFont="1"/>
    <xf numFmtId="10" fontId="29" fillId="0" borderId="0" xfId="1" applyNumberFormat="1" applyFont="1" applyAlignment="1">
      <alignment horizontal="center"/>
    </xf>
    <xf numFmtId="178" fontId="29" fillId="0" borderId="36" xfId="0" applyNumberFormat="1" applyFont="1" applyFill="1" applyBorder="1" applyAlignment="1">
      <alignment horizontal="center"/>
    </xf>
    <xf numFmtId="181" fontId="29" fillId="0" borderId="0" xfId="9424" applyFont="1"/>
    <xf numFmtId="0" fontId="29" fillId="0" borderId="0" xfId="3162" applyFont="1"/>
    <xf numFmtId="181" fontId="29" fillId="0" borderId="0" xfId="9424" applyFont="1" applyAlignment="1">
      <alignment horizontal="centerContinuous"/>
    </xf>
    <xf numFmtId="182" fontId="29" fillId="0" borderId="0" xfId="9424" applyNumberFormat="1" applyFont="1" applyAlignment="1">
      <alignment horizontal="centerContinuous"/>
    </xf>
    <xf numFmtId="182" fontId="29" fillId="0" borderId="0" xfId="9424" applyNumberFormat="1" applyFont="1"/>
    <xf numFmtId="181" fontId="29" fillId="0" borderId="0" xfId="9424" applyFont="1" applyAlignment="1">
      <alignment horizontal="center"/>
    </xf>
    <xf numFmtId="181" fontId="29" fillId="0" borderId="16" xfId="9424" applyFont="1" applyBorder="1" applyAlignment="1">
      <alignment horizontal="center"/>
    </xf>
    <xf numFmtId="181" fontId="29" fillId="0" borderId="16" xfId="9424" applyFont="1" applyBorder="1" applyAlignment="1">
      <alignment horizontal="right"/>
    </xf>
    <xf numFmtId="181" fontId="29" fillId="0" borderId="16" xfId="9424" applyFont="1" applyBorder="1"/>
    <xf numFmtId="5" fontId="29" fillId="0" borderId="0" xfId="9424" applyNumberFormat="1" applyFont="1"/>
    <xf numFmtId="10" fontId="29" fillId="0" borderId="0" xfId="9424" applyNumberFormat="1" applyFont="1"/>
    <xf numFmtId="183" fontId="29" fillId="0" borderId="0" xfId="9424" applyNumberFormat="1" applyFont="1"/>
    <xf numFmtId="37" fontId="123" fillId="0" borderId="0" xfId="9424" applyNumberFormat="1" applyFont="1"/>
    <xf numFmtId="10" fontId="29" fillId="0" borderId="0" xfId="7610" applyNumberFormat="1" applyFont="1" applyFill="1" applyProtection="1"/>
    <xf numFmtId="5" fontId="29" fillId="0" borderId="63" xfId="9424" applyNumberFormat="1" applyFont="1" applyBorder="1"/>
    <xf numFmtId="10" fontId="29" fillId="0" borderId="63" xfId="9424" applyNumberFormat="1" applyFont="1" applyBorder="1"/>
    <xf numFmtId="10" fontId="29" fillId="0" borderId="64" xfId="9424" applyNumberFormat="1" applyFont="1" applyBorder="1"/>
    <xf numFmtId="183" fontId="29" fillId="0" borderId="63" xfId="9424" applyNumberFormat="1" applyFont="1" applyBorder="1"/>
    <xf numFmtId="166" fontId="29" fillId="0" borderId="0" xfId="377" applyNumberFormat="1" applyFont="1" applyFill="1" applyBorder="1"/>
    <xf numFmtId="10" fontId="29" fillId="0" borderId="0" xfId="9424" applyNumberFormat="1" applyFont="1" applyFill="1"/>
    <xf numFmtId="183" fontId="29" fillId="0" borderId="0" xfId="9424" applyNumberFormat="1" applyFont="1" applyFill="1"/>
    <xf numFmtId="0" fontId="29" fillId="0" borderId="0" xfId="3162" applyFont="1" applyAlignment="1">
      <alignment horizontal="center"/>
    </xf>
    <xf numFmtId="0" fontId="29" fillId="0" borderId="19" xfId="3162" applyFont="1" applyBorder="1" applyAlignment="1">
      <alignment horizontal="center"/>
    </xf>
    <xf numFmtId="0" fontId="124" fillId="0" borderId="0" xfId="3162" applyFont="1" applyAlignment="1">
      <alignment horizontal="left"/>
    </xf>
    <xf numFmtId="0" fontId="117" fillId="0" borderId="0" xfId="3162" applyFont="1" applyAlignment="1">
      <alignment horizontal="centerContinuous"/>
    </xf>
    <xf numFmtId="0" fontId="29" fillId="0" borderId="0" xfId="3162" applyFont="1" applyAlignment="1">
      <alignment horizontal="centerContinuous"/>
    </xf>
    <xf numFmtId="4" fontId="29" fillId="0" borderId="0" xfId="3162" applyNumberFormat="1" applyFont="1" applyAlignment="1">
      <alignment horizontal="centerContinuous"/>
    </xf>
    <xf numFmtId="4" fontId="34" fillId="0" borderId="0" xfId="3162" applyNumberFormat="1" applyFont="1" applyAlignment="1">
      <alignment horizontal="centerContinuous"/>
    </xf>
    <xf numFmtId="184" fontId="117" fillId="0" borderId="0" xfId="3162" applyNumberFormat="1" applyFont="1" applyAlignment="1">
      <alignment horizontal="centerContinuous"/>
    </xf>
    <xf numFmtId="184" fontId="34" fillId="0" borderId="0" xfId="3162" applyNumberFormat="1" applyFont="1" applyAlignment="1">
      <alignment horizontal="centerContinuous"/>
    </xf>
    <xf numFmtId="0" fontId="29" fillId="0" borderId="19" xfId="3162" applyFont="1" applyBorder="1" applyAlignment="1">
      <alignment horizontal="center" wrapText="1"/>
    </xf>
    <xf numFmtId="0" fontId="29" fillId="0" borderId="0" xfId="3162" applyFont="1" applyAlignment="1">
      <alignment horizontal="center" wrapText="1"/>
    </xf>
    <xf numFmtId="0" fontId="125" fillId="0" borderId="0" xfId="3162" applyFont="1" applyAlignment="1">
      <alignment horizontal="left"/>
    </xf>
    <xf numFmtId="7" fontId="29" fillId="0" borderId="0" xfId="1807" applyNumberFormat="1" applyFont="1"/>
    <xf numFmtId="185" fontId="29" fillId="0" borderId="0" xfId="3162" applyNumberFormat="1" applyFont="1" applyAlignment="1">
      <alignment horizontal="right"/>
    </xf>
    <xf numFmtId="0" fontId="29" fillId="0" borderId="0" xfId="3162" applyFont="1" applyAlignment="1">
      <alignment horizontal="right"/>
    </xf>
    <xf numFmtId="164" fontId="29" fillId="0" borderId="0" xfId="3162" applyNumberFormat="1" applyFont="1" applyAlignment="1">
      <alignment horizontal="right"/>
    </xf>
    <xf numFmtId="183" fontId="29" fillId="0" borderId="0" xfId="3162" applyNumberFormat="1" applyFont="1" applyAlignment="1" applyProtection="1">
      <alignment horizontal="right"/>
      <protection locked="0"/>
    </xf>
    <xf numFmtId="183" fontId="29" fillId="0" borderId="0" xfId="3162" applyNumberFormat="1" applyFont="1" applyAlignment="1">
      <alignment horizontal="right"/>
    </xf>
    <xf numFmtId="7" fontId="29" fillId="0" borderId="0" xfId="3162" applyNumberFormat="1" applyFont="1"/>
    <xf numFmtId="3" fontId="29" fillId="0" borderId="0" xfId="3162" applyNumberFormat="1" applyFont="1" applyAlignment="1">
      <alignment horizontal="right"/>
    </xf>
    <xf numFmtId="3" fontId="29" fillId="0" borderId="0" xfId="3162" applyNumberFormat="1" applyFont="1" applyAlignment="1" applyProtection="1">
      <alignment horizontal="right"/>
      <protection locked="0"/>
    </xf>
    <xf numFmtId="4" fontId="29" fillId="0" borderId="0" xfId="3162" applyNumberFormat="1" applyFont="1"/>
    <xf numFmtId="166" fontId="29" fillId="0" borderId="0" xfId="377" applyNumberFormat="1" applyFont="1" applyAlignment="1"/>
    <xf numFmtId="37" fontId="29" fillId="0" borderId="0" xfId="3162" applyNumberFormat="1" applyFont="1"/>
    <xf numFmtId="0" fontId="29" fillId="0" borderId="0" xfId="3162" applyFont="1" applyProtection="1">
      <protection locked="0"/>
    </xf>
    <xf numFmtId="0" fontId="125" fillId="0" borderId="0" xfId="3162" applyFont="1"/>
    <xf numFmtId="183" fontId="51" fillId="0" borderId="0" xfId="3162" applyNumberFormat="1" applyFont="1" applyAlignment="1" applyProtection="1">
      <alignment horizontal="right"/>
      <protection locked="0"/>
    </xf>
    <xf numFmtId="183" fontId="31" fillId="0" borderId="0" xfId="7610" applyNumberFormat="1" applyFont="1" applyAlignment="1">
      <alignment horizontal="right"/>
    </xf>
    <xf numFmtId="0" fontId="125" fillId="0" borderId="0" xfId="3162" applyFont="1" applyProtection="1">
      <protection locked="0"/>
    </xf>
    <xf numFmtId="185" fontId="29" fillId="0" borderId="0" xfId="3162" applyNumberFormat="1" applyFont="1"/>
    <xf numFmtId="183" fontId="29" fillId="0" borderId="0" xfId="3162" applyNumberFormat="1" applyFont="1" applyProtection="1">
      <protection locked="0"/>
    </xf>
    <xf numFmtId="3" fontId="29" fillId="0" borderId="0" xfId="3162" applyNumberFormat="1" applyFont="1" applyProtection="1">
      <protection locked="0"/>
    </xf>
    <xf numFmtId="3" fontId="29" fillId="0" borderId="0" xfId="3162" applyNumberFormat="1" applyFont="1"/>
    <xf numFmtId="183" fontId="29" fillId="0" borderId="0" xfId="3162" applyNumberFormat="1" applyFont="1"/>
    <xf numFmtId="0" fontId="29" fillId="0" borderId="0" xfId="3162" applyFont="1" applyAlignment="1">
      <alignment horizontal="left"/>
    </xf>
    <xf numFmtId="0" fontId="34" fillId="0" borderId="0" xfId="3162" applyFont="1"/>
    <xf numFmtId="186" fontId="29" fillId="0" borderId="0" xfId="3162" applyNumberFormat="1" applyFont="1"/>
    <xf numFmtId="186" fontId="29" fillId="0" borderId="42" xfId="3162" applyNumberFormat="1" applyFont="1" applyBorder="1"/>
    <xf numFmtId="183" fontId="29" fillId="0" borderId="42" xfId="7610" applyNumberFormat="1" applyFont="1" applyBorder="1"/>
    <xf numFmtId="0" fontId="29" fillId="0" borderId="0" xfId="3162" quotePrefix="1" applyFont="1"/>
    <xf numFmtId="0" fontId="29" fillId="0" borderId="44" xfId="3162" applyBorder="1" applyAlignment="1">
      <alignment horizontal="center"/>
    </xf>
    <xf numFmtId="0" fontId="29" fillId="0" borderId="44" xfId="3162" applyBorder="1" applyAlignment="1">
      <alignment horizontal="center" wrapText="1"/>
    </xf>
    <xf numFmtId="0" fontId="29" fillId="0" borderId="44" xfId="3162" applyBorder="1"/>
    <xf numFmtId="9" fontId="31" fillId="0" borderId="44" xfId="9425" applyFont="1" applyBorder="1" applyAlignment="1">
      <alignment horizontal="center" wrapText="1"/>
    </xf>
    <xf numFmtId="0" fontId="29" fillId="0" borderId="0" xfId="3162" applyAlignment="1">
      <alignment horizontal="center" wrapText="1"/>
    </xf>
    <xf numFmtId="185" fontId="29" fillId="0" borderId="0" xfId="3162" applyNumberFormat="1" applyAlignment="1">
      <alignment horizontal="right"/>
    </xf>
    <xf numFmtId="0" fontId="29" fillId="0" borderId="0" xfId="3162" applyAlignment="1">
      <alignment horizontal="right"/>
    </xf>
    <xf numFmtId="183" fontId="29" fillId="0" borderId="0" xfId="3162" applyNumberFormat="1" applyAlignment="1" applyProtection="1">
      <alignment horizontal="right"/>
      <protection locked="0"/>
    </xf>
    <xf numFmtId="1" fontId="29" fillId="0" borderId="0" xfId="1807" applyNumberFormat="1" applyFont="1"/>
    <xf numFmtId="10" fontId="29" fillId="0" borderId="0" xfId="3162" applyNumberFormat="1" applyAlignment="1" applyProtection="1">
      <alignment horizontal="right"/>
      <protection locked="0"/>
    </xf>
    <xf numFmtId="10" fontId="29" fillId="0" borderId="0" xfId="9425" applyNumberFormat="1" applyFont="1"/>
    <xf numFmtId="37" fontId="29" fillId="0" borderId="0" xfId="3162" applyNumberFormat="1"/>
    <xf numFmtId="0" fontId="29" fillId="0" borderId="0" xfId="3162" applyProtection="1">
      <protection locked="0"/>
    </xf>
    <xf numFmtId="10" fontId="31" fillId="0" borderId="0" xfId="7610" applyNumberFormat="1" applyFont="1" applyAlignment="1">
      <alignment horizontal="right"/>
    </xf>
    <xf numFmtId="0" fontId="29" fillId="0" borderId="19" xfId="3162" applyBorder="1" applyAlignment="1">
      <alignment horizontal="center"/>
    </xf>
    <xf numFmtId="0" fontId="29" fillId="0" borderId="19" xfId="3162" applyBorder="1" applyAlignment="1">
      <alignment horizontal="center" wrapText="1"/>
    </xf>
    <xf numFmtId="0" fontId="29" fillId="0" borderId="19" xfId="3162" applyBorder="1"/>
    <xf numFmtId="9" fontId="31" fillId="0" borderId="19" xfId="9425" applyFont="1" applyBorder="1" applyAlignment="1">
      <alignment horizontal="center" wrapText="1"/>
    </xf>
    <xf numFmtId="0" fontId="34" fillId="0" borderId="65" xfId="3162" applyFont="1" applyBorder="1" applyAlignment="1">
      <alignment horizontal="center"/>
    </xf>
    <xf numFmtId="0" fontId="34" fillId="0" borderId="65" xfId="3162" applyFont="1" applyBorder="1"/>
    <xf numFmtId="7" fontId="34" fillId="0" borderId="65" xfId="3162" applyNumberFormat="1" applyFont="1" applyBorder="1"/>
    <xf numFmtId="0" fontId="34" fillId="0" borderId="65" xfId="3162" applyFont="1" applyBorder="1" applyAlignment="1">
      <alignment horizontal="right"/>
    </xf>
    <xf numFmtId="10" fontId="34" fillId="0" borderId="65" xfId="9425" applyNumberFormat="1" applyFont="1" applyBorder="1"/>
    <xf numFmtId="183" fontId="31" fillId="0" borderId="19" xfId="9425" applyNumberFormat="1" applyFont="1" applyBorder="1"/>
    <xf numFmtId="0" fontId="31" fillId="0" borderId="0" xfId="9426" applyFont="1"/>
    <xf numFmtId="185" fontId="29" fillId="0" borderId="0" xfId="3162" applyNumberFormat="1"/>
    <xf numFmtId="10" fontId="29" fillId="0" borderId="0" xfId="9414" applyNumberFormat="1" applyFont="1" applyFill="1"/>
    <xf numFmtId="0" fontId="84" fillId="0" borderId="0" xfId="0" applyFont="1" applyAlignment="1">
      <alignment horizontal="left" vertical="top" wrapText="1"/>
    </xf>
    <xf numFmtId="0" fontId="111" fillId="64" borderId="47" xfId="9394" applyFont="1" applyFill="1" applyBorder="1" applyAlignment="1">
      <alignment horizontal="center" vertical="center" wrapText="1"/>
    </xf>
    <xf numFmtId="0" fontId="111" fillId="64" borderId="44" xfId="9394" applyFont="1" applyFill="1" applyBorder="1" applyAlignment="1">
      <alignment horizontal="center" vertical="center" wrapText="1"/>
    </xf>
    <xf numFmtId="0" fontId="111" fillId="64" borderId="48" xfId="9394" applyFont="1" applyFill="1" applyBorder="1" applyAlignment="1">
      <alignment horizontal="center" vertical="center" wrapText="1"/>
    </xf>
    <xf numFmtId="0" fontId="110" fillId="0" borderId="0" xfId="9394" applyFont="1" applyFill="1" applyBorder="1" applyAlignment="1">
      <alignment horizontal="center" wrapText="1"/>
    </xf>
    <xf numFmtId="0" fontId="111" fillId="64" borderId="47" xfId="9394" applyFont="1" applyFill="1" applyBorder="1" applyAlignment="1">
      <alignment horizontal="center" vertical="center"/>
    </xf>
    <xf numFmtId="0" fontId="111" fillId="64" borderId="44" xfId="9394" applyFont="1" applyFill="1" applyBorder="1" applyAlignment="1">
      <alignment horizontal="center" vertical="center"/>
    </xf>
    <xf numFmtId="0" fontId="111" fillId="64" borderId="48" xfId="9394" applyFont="1" applyFill="1" applyBorder="1" applyAlignment="1">
      <alignment horizontal="center" vertical="center"/>
    </xf>
    <xf numFmtId="0" fontId="29" fillId="0" borderId="0" xfId="9388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Fill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0" fillId="0" borderId="0" xfId="0" applyFont="1" applyFill="1" applyAlignment="1">
      <alignment horizontal="center" wrapText="1"/>
    </xf>
    <xf numFmtId="10" fontId="28" fillId="0" borderId="5" xfId="0" applyNumberFormat="1" applyFont="1" applyFill="1" applyBorder="1" applyAlignment="1">
      <alignment horizontal="center"/>
    </xf>
    <xf numFmtId="10" fontId="28" fillId="0" borderId="6" xfId="0" applyNumberFormat="1" applyFont="1" applyFill="1" applyBorder="1" applyAlignment="1">
      <alignment horizontal="center"/>
    </xf>
    <xf numFmtId="10" fontId="28" fillId="0" borderId="5" xfId="1" applyNumberFormat="1" applyFont="1" applyFill="1" applyBorder="1" applyAlignment="1">
      <alignment horizontal="center"/>
    </xf>
    <xf numFmtId="10" fontId="28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166" fontId="29" fillId="0" borderId="0" xfId="9412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31" fillId="0" borderId="36" xfId="19" applyBorder="1" applyAlignment="1">
      <alignment horizontal="center"/>
    </xf>
    <xf numFmtId="0" fontId="34" fillId="0" borderId="44" xfId="9418" applyFont="1" applyBorder="1" applyAlignment="1">
      <alignment horizontal="center" vertical="center" wrapText="1"/>
    </xf>
    <xf numFmtId="0" fontId="0" fillId="0" borderId="0" xfId="9395" applyFont="1" applyAlignment="1">
      <alignment horizontal="left" wrapText="1"/>
    </xf>
    <xf numFmtId="0" fontId="31" fillId="0" borderId="0" xfId="19" applyBorder="1" applyAlignment="1">
      <alignment horizontal="center"/>
    </xf>
    <xf numFmtId="0" fontId="117" fillId="0" borderId="19" xfId="9404" applyFont="1" applyBorder="1" applyAlignment="1">
      <alignment horizontal="center" vertical="center" wrapText="1"/>
    </xf>
    <xf numFmtId="0" fontId="0" fillId="0" borderId="0" xfId="19" applyFont="1" applyBorder="1" applyAlignment="1">
      <alignment horizontal="center"/>
    </xf>
    <xf numFmtId="0" fontId="117" fillId="0" borderId="19" xfId="19" applyFont="1" applyBorder="1" applyAlignment="1">
      <alignment horizontal="center" wrapText="1"/>
    </xf>
    <xf numFmtId="0" fontId="31" fillId="0" borderId="36" xfId="9404" applyBorder="1" applyAlignment="1">
      <alignment horizontal="center"/>
    </xf>
    <xf numFmtId="0" fontId="117" fillId="0" borderId="43" xfId="19" applyFont="1" applyBorder="1" applyAlignment="1">
      <alignment horizontal="center" wrapText="1"/>
    </xf>
    <xf numFmtId="0" fontId="31" fillId="0" borderId="37" xfId="19" applyBorder="1" applyAlignment="1">
      <alignment horizontal="center"/>
    </xf>
    <xf numFmtId="0" fontId="117" fillId="0" borderId="0" xfId="19" applyFont="1" applyAlignment="1">
      <alignment horizontal="center"/>
    </xf>
    <xf numFmtId="0" fontId="117" fillId="0" borderId="43" xfId="19" applyFont="1" applyBorder="1" applyAlignment="1">
      <alignment horizontal="center" vertical="center"/>
    </xf>
    <xf numFmtId="0" fontId="117" fillId="0" borderId="19" xfId="19" applyFont="1" applyBorder="1" applyAlignment="1">
      <alignment horizontal="center" vertical="center"/>
    </xf>
    <xf numFmtId="0" fontId="117" fillId="0" borderId="44" xfId="19" applyFont="1" applyBorder="1" applyAlignment="1">
      <alignment horizontal="center"/>
    </xf>
    <xf numFmtId="0" fontId="0" fillId="0" borderId="37" xfId="19" applyFont="1" applyBorder="1" applyAlignment="1">
      <alignment horizontal="center"/>
    </xf>
    <xf numFmtId="0" fontId="31" fillId="0" borderId="19" xfId="19" applyBorder="1" applyAlignment="1">
      <alignment horizontal="center"/>
    </xf>
    <xf numFmtId="0" fontId="120" fillId="0" borderId="0" xfId="18" applyFont="1" applyAlignment="1">
      <alignment horizontal="center"/>
    </xf>
    <xf numFmtId="0" fontId="34" fillId="0" borderId="0" xfId="18" applyFont="1" applyAlignment="1">
      <alignment horizontal="center"/>
    </xf>
    <xf numFmtId="0" fontId="29" fillId="0" borderId="44" xfId="18" applyBorder="1" applyAlignment="1">
      <alignment horizontal="center"/>
    </xf>
    <xf numFmtId="0" fontId="117" fillId="0" borderId="19" xfId="9404" applyFont="1" applyBorder="1" applyAlignment="1">
      <alignment horizontal="center"/>
    </xf>
    <xf numFmtId="0" fontId="71" fillId="0" borderId="0" xfId="18" applyFont="1" applyAlignment="1">
      <alignment horizontal="center"/>
    </xf>
    <xf numFmtId="0" fontId="29" fillId="0" borderId="0" xfId="22" applyFont="1" applyAlignment="1">
      <alignment horizontal="left" wrapText="1"/>
    </xf>
    <xf numFmtId="0" fontId="117" fillId="0" borderId="0" xfId="9404" applyFont="1" applyAlignment="1">
      <alignment horizontal="center"/>
    </xf>
    <xf numFmtId="0" fontId="29" fillId="0" borderId="0" xfId="3162" applyAlignment="1">
      <alignment horizontal="center"/>
    </xf>
  </cellXfs>
  <cellStyles count="9427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3" xfId="31" xr:uid="{00000000-0005-0000-0000-000008000000}"/>
    <cellStyle name="20% - Accent1 2 3 2" xfId="32" xr:uid="{00000000-0005-0000-0000-000009000000}"/>
    <cellStyle name="20% - Accent1 2 4" xfId="33" xr:uid="{00000000-0005-0000-0000-00000A000000}"/>
    <cellStyle name="20% - Accent1 2 5" xfId="34" xr:uid="{00000000-0005-0000-0000-00000B000000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3" xfId="53" xr:uid="{00000000-0005-0000-0000-00001E000000}"/>
    <cellStyle name="20% - Accent2 2 3 2" xfId="54" xr:uid="{00000000-0005-0000-0000-00001F000000}"/>
    <cellStyle name="20% - Accent2 2 4" xfId="55" xr:uid="{00000000-0005-0000-0000-000020000000}"/>
    <cellStyle name="20% - Accent2 2 5" xfId="56" xr:uid="{00000000-0005-0000-0000-000021000000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3" xfId="75" xr:uid="{00000000-0005-0000-0000-000034000000}"/>
    <cellStyle name="20% - Accent3 2 3 2" xfId="76" xr:uid="{00000000-0005-0000-0000-000035000000}"/>
    <cellStyle name="20% - Accent3 2 4" xfId="77" xr:uid="{00000000-0005-0000-0000-000036000000}"/>
    <cellStyle name="20% - Accent3 2 5" xfId="78" xr:uid="{00000000-0005-0000-0000-000037000000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3" xfId="97" xr:uid="{00000000-0005-0000-0000-00004A000000}"/>
    <cellStyle name="20% - Accent4 2 3 2" xfId="98" xr:uid="{00000000-0005-0000-0000-00004B000000}"/>
    <cellStyle name="20% - Accent4 2 4" xfId="99" xr:uid="{00000000-0005-0000-0000-00004C000000}"/>
    <cellStyle name="20% - Accent4 2 5" xfId="100" xr:uid="{00000000-0005-0000-0000-00004D000000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3" xfId="119" xr:uid="{00000000-0005-0000-0000-000060000000}"/>
    <cellStyle name="20% - Accent5 2 3 2" xfId="120" xr:uid="{00000000-0005-0000-0000-000061000000}"/>
    <cellStyle name="20% - Accent5 2 4" xfId="121" xr:uid="{00000000-0005-0000-0000-000062000000}"/>
    <cellStyle name="20% - Accent5 2 5" xfId="122" xr:uid="{00000000-0005-0000-0000-000063000000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3" xfId="141" xr:uid="{00000000-0005-0000-0000-000076000000}"/>
    <cellStyle name="20% - Accent6 2 3 2" xfId="142" xr:uid="{00000000-0005-0000-0000-000077000000}"/>
    <cellStyle name="20% - Accent6 2 4" xfId="143" xr:uid="{00000000-0005-0000-0000-000078000000}"/>
    <cellStyle name="20% - Accent6 2 5" xfId="144" xr:uid="{00000000-0005-0000-0000-000079000000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3" xfId="163" xr:uid="{00000000-0005-0000-0000-00008C000000}"/>
    <cellStyle name="40% - Accent1 2 3 2" xfId="164" xr:uid="{00000000-0005-0000-0000-00008D000000}"/>
    <cellStyle name="40% - Accent1 2 4" xfId="165" xr:uid="{00000000-0005-0000-0000-00008E000000}"/>
    <cellStyle name="40% - Accent1 2 5" xfId="166" xr:uid="{00000000-0005-0000-0000-00008F000000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3" xfId="185" xr:uid="{00000000-0005-0000-0000-0000A2000000}"/>
    <cellStyle name="40% - Accent2 2 3 2" xfId="186" xr:uid="{00000000-0005-0000-0000-0000A3000000}"/>
    <cellStyle name="40% - Accent2 2 4" xfId="187" xr:uid="{00000000-0005-0000-0000-0000A4000000}"/>
    <cellStyle name="40% - Accent2 2 5" xfId="188" xr:uid="{00000000-0005-0000-0000-0000A5000000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3" xfId="207" xr:uid="{00000000-0005-0000-0000-0000B8000000}"/>
    <cellStyle name="40% - Accent3 2 3 2" xfId="208" xr:uid="{00000000-0005-0000-0000-0000B9000000}"/>
    <cellStyle name="40% - Accent3 2 4" xfId="209" xr:uid="{00000000-0005-0000-0000-0000BA000000}"/>
    <cellStyle name="40% - Accent3 2 5" xfId="210" xr:uid="{00000000-0005-0000-0000-0000BB000000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3" xfId="229" xr:uid="{00000000-0005-0000-0000-0000CE000000}"/>
    <cellStyle name="40% - Accent4 2 3 2" xfId="230" xr:uid="{00000000-0005-0000-0000-0000CF000000}"/>
    <cellStyle name="40% - Accent4 2 4" xfId="231" xr:uid="{00000000-0005-0000-0000-0000D0000000}"/>
    <cellStyle name="40% - Accent4 2 5" xfId="232" xr:uid="{00000000-0005-0000-0000-0000D1000000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3" xfId="251" xr:uid="{00000000-0005-0000-0000-0000E4000000}"/>
    <cellStyle name="40% - Accent5 2 3 2" xfId="252" xr:uid="{00000000-0005-0000-0000-0000E5000000}"/>
    <cellStyle name="40% - Accent5 2 4" xfId="253" xr:uid="{00000000-0005-0000-0000-0000E6000000}"/>
    <cellStyle name="40% - Accent5 2 5" xfId="254" xr:uid="{00000000-0005-0000-0000-0000E7000000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3" xfId="273" xr:uid="{00000000-0005-0000-0000-0000FA000000}"/>
    <cellStyle name="40% - Accent6 2 3 2" xfId="274" xr:uid="{00000000-0005-0000-0000-0000FB000000}"/>
    <cellStyle name="40% - Accent6 2 4" xfId="275" xr:uid="{00000000-0005-0000-0000-0000FC000000}"/>
    <cellStyle name="40% - Accent6 2 5" xfId="276" xr:uid="{00000000-0005-0000-0000-0000FD000000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60% - Accent1 2" xfId="291" xr:uid="{00000000-0005-0000-0000-00000C010000}"/>
    <cellStyle name="60% - Accent1 3" xfId="292" xr:uid="{00000000-0005-0000-0000-00000D010000}"/>
    <cellStyle name="60% - Accent1 4" xfId="293" xr:uid="{00000000-0005-0000-0000-00000E010000}"/>
    <cellStyle name="60% - Accent1 5" xfId="294" xr:uid="{00000000-0005-0000-0000-00000F010000}"/>
    <cellStyle name="60% - Accent1 6" xfId="295" xr:uid="{00000000-0005-0000-0000-000010010000}"/>
    <cellStyle name="60% - Accent2 2" xfId="296" xr:uid="{00000000-0005-0000-0000-000011010000}"/>
    <cellStyle name="60% - Accent2 3" xfId="297" xr:uid="{00000000-0005-0000-0000-000012010000}"/>
    <cellStyle name="60% - Accent2 4" xfId="298" xr:uid="{00000000-0005-0000-0000-000013010000}"/>
    <cellStyle name="60% - Accent2 5" xfId="299" xr:uid="{00000000-0005-0000-0000-000014010000}"/>
    <cellStyle name="60% - Accent2 6" xfId="300" xr:uid="{00000000-0005-0000-0000-000015010000}"/>
    <cellStyle name="60% - Accent3 2" xfId="301" xr:uid="{00000000-0005-0000-0000-000016010000}"/>
    <cellStyle name="60% - Accent3 3" xfId="302" xr:uid="{00000000-0005-0000-0000-000017010000}"/>
    <cellStyle name="60% - Accent3 4" xfId="303" xr:uid="{00000000-0005-0000-0000-000018010000}"/>
    <cellStyle name="60% - Accent3 5" xfId="304" xr:uid="{00000000-0005-0000-0000-000019010000}"/>
    <cellStyle name="60% - Accent3 6" xfId="305" xr:uid="{00000000-0005-0000-0000-00001A010000}"/>
    <cellStyle name="60% - Accent4 2" xfId="306" xr:uid="{00000000-0005-0000-0000-00001B010000}"/>
    <cellStyle name="60% - Accent4 3" xfId="307" xr:uid="{00000000-0005-0000-0000-00001C010000}"/>
    <cellStyle name="60% - Accent4 4" xfId="308" xr:uid="{00000000-0005-0000-0000-00001D010000}"/>
    <cellStyle name="60% - Accent4 5" xfId="309" xr:uid="{00000000-0005-0000-0000-00001E010000}"/>
    <cellStyle name="60% - Accent4 6" xfId="310" xr:uid="{00000000-0005-0000-0000-00001F010000}"/>
    <cellStyle name="60% - Accent5 2" xfId="311" xr:uid="{00000000-0005-0000-0000-000020010000}"/>
    <cellStyle name="60% - Accent5 3" xfId="312" xr:uid="{00000000-0005-0000-0000-000021010000}"/>
    <cellStyle name="60% - Accent5 4" xfId="313" xr:uid="{00000000-0005-0000-0000-000022010000}"/>
    <cellStyle name="60% - Accent5 5" xfId="314" xr:uid="{00000000-0005-0000-0000-000023010000}"/>
    <cellStyle name="60% - Accent5 6" xfId="315" xr:uid="{00000000-0005-0000-0000-000024010000}"/>
    <cellStyle name="60% - Accent6 2" xfId="316" xr:uid="{00000000-0005-0000-0000-000025010000}"/>
    <cellStyle name="60% - Accent6 3" xfId="317" xr:uid="{00000000-0005-0000-0000-000026010000}"/>
    <cellStyle name="60% - Accent6 4" xfId="318" xr:uid="{00000000-0005-0000-0000-000027010000}"/>
    <cellStyle name="60% - Accent6 5" xfId="319" xr:uid="{00000000-0005-0000-0000-000028010000}"/>
    <cellStyle name="60% - Accent6 6" xfId="320" xr:uid="{00000000-0005-0000-0000-000029010000}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12" builtinId="3"/>
    <cellStyle name="Comma [0] 2" xfId="376" xr:uid="{00000000-0005-0000-0000-000062010000}"/>
    <cellStyle name="Comma 10" xfId="377" xr:uid="{00000000-0005-0000-0000-000063010000}"/>
    <cellStyle name="Comma 101" xfId="9400" xr:uid="{06E49EB9-C2DD-462B-813B-CBF2BC97ADD0}"/>
    <cellStyle name="Comma 11" xfId="378" xr:uid="{00000000-0005-0000-0000-000064010000}"/>
    <cellStyle name="Comma 12" xfId="379" xr:uid="{00000000-0005-0000-0000-000065010000}"/>
    <cellStyle name="Comma 13" xfId="380" xr:uid="{00000000-0005-0000-0000-000066010000}"/>
    <cellStyle name="Comma 14" xfId="381" xr:uid="{00000000-0005-0000-0000-000067010000}"/>
    <cellStyle name="Comma 15" xfId="382" xr:uid="{00000000-0005-0000-0000-000068010000}"/>
    <cellStyle name="Comma 16" xfId="383" xr:uid="{00000000-0005-0000-0000-000069010000}"/>
    <cellStyle name="Comma 17" xfId="384" xr:uid="{00000000-0005-0000-0000-00006A010000}"/>
    <cellStyle name="Comma 18" xfId="385" xr:uid="{00000000-0005-0000-0000-00006B010000}"/>
    <cellStyle name="Comma 18 2" xfId="386" xr:uid="{00000000-0005-0000-0000-00006C010000}"/>
    <cellStyle name="Comma 18 3" xfId="387" xr:uid="{00000000-0005-0000-0000-00006D010000}"/>
    <cellStyle name="Comma 19" xfId="388" xr:uid="{00000000-0005-0000-0000-00006E010000}"/>
    <cellStyle name="Comma 2" xfId="9" xr:uid="{00000000-0005-0000-0000-00006F010000}"/>
    <cellStyle name="Comma 2 10" xfId="389" xr:uid="{00000000-0005-0000-0000-000070010000}"/>
    <cellStyle name="Comma 2 10 2" xfId="390" xr:uid="{00000000-0005-0000-0000-000071010000}"/>
    <cellStyle name="Comma 2 10 2 2" xfId="391" xr:uid="{00000000-0005-0000-0000-000072010000}"/>
    <cellStyle name="Comma 2 10 2 3" xfId="392" xr:uid="{00000000-0005-0000-0000-000073010000}"/>
    <cellStyle name="Comma 2 10 3" xfId="393" xr:uid="{00000000-0005-0000-0000-000074010000}"/>
    <cellStyle name="Comma 2 100" xfId="394" xr:uid="{00000000-0005-0000-0000-000075010000}"/>
    <cellStyle name="Comma 2 101" xfId="395" xr:uid="{00000000-0005-0000-0000-000076010000}"/>
    <cellStyle name="Comma 2 102" xfId="396" xr:uid="{00000000-0005-0000-0000-000077010000}"/>
    <cellStyle name="Comma 2 103" xfId="397" xr:uid="{00000000-0005-0000-0000-000078010000}"/>
    <cellStyle name="Comma 2 104" xfId="398" xr:uid="{00000000-0005-0000-0000-000079010000}"/>
    <cellStyle name="Comma 2 105" xfId="399" xr:uid="{00000000-0005-0000-0000-00007A010000}"/>
    <cellStyle name="Comma 2 106" xfId="400" xr:uid="{00000000-0005-0000-0000-00007B010000}"/>
    <cellStyle name="Comma 2 107" xfId="401" xr:uid="{00000000-0005-0000-0000-00007C010000}"/>
    <cellStyle name="Comma 2 108" xfId="402" xr:uid="{00000000-0005-0000-0000-00007D010000}"/>
    <cellStyle name="Comma 2 109" xfId="403" xr:uid="{00000000-0005-0000-0000-00007E010000}"/>
    <cellStyle name="Comma 2 11" xfId="404" xr:uid="{00000000-0005-0000-0000-00007F010000}"/>
    <cellStyle name="Comma 2 11 2" xfId="405" xr:uid="{00000000-0005-0000-0000-000080010000}"/>
    <cellStyle name="Comma 2 11 2 2" xfId="406" xr:uid="{00000000-0005-0000-0000-000081010000}"/>
    <cellStyle name="Comma 2 11 2 3" xfId="407" xr:uid="{00000000-0005-0000-0000-000082010000}"/>
    <cellStyle name="Comma 2 11 3" xfId="408" xr:uid="{00000000-0005-0000-0000-000083010000}"/>
    <cellStyle name="Comma 2 110" xfId="409" xr:uid="{00000000-0005-0000-0000-000084010000}"/>
    <cellStyle name="Comma 2 111" xfId="410" xr:uid="{00000000-0005-0000-0000-000085010000}"/>
    <cellStyle name="Comma 2 112" xfId="411" xr:uid="{00000000-0005-0000-0000-000086010000}"/>
    <cellStyle name="Comma 2 113" xfId="412" xr:uid="{00000000-0005-0000-0000-000087010000}"/>
    <cellStyle name="Comma 2 114" xfId="413" xr:uid="{00000000-0005-0000-0000-000088010000}"/>
    <cellStyle name="Comma 2 115" xfId="414" xr:uid="{00000000-0005-0000-0000-000089010000}"/>
    <cellStyle name="Comma 2 116" xfId="415" xr:uid="{00000000-0005-0000-0000-00008A010000}"/>
    <cellStyle name="Comma 2 117" xfId="416" xr:uid="{00000000-0005-0000-0000-00008B010000}"/>
    <cellStyle name="Comma 2 118" xfId="417" xr:uid="{00000000-0005-0000-0000-00008C010000}"/>
    <cellStyle name="Comma 2 119" xfId="418" xr:uid="{00000000-0005-0000-0000-00008D010000}"/>
    <cellStyle name="Comma 2 12" xfId="419" xr:uid="{00000000-0005-0000-0000-00008E010000}"/>
    <cellStyle name="Comma 2 12 2" xfId="420" xr:uid="{00000000-0005-0000-0000-00008F010000}"/>
    <cellStyle name="Comma 2 12 2 2" xfId="421" xr:uid="{00000000-0005-0000-0000-000090010000}"/>
    <cellStyle name="Comma 2 12 2 3" xfId="422" xr:uid="{00000000-0005-0000-0000-000091010000}"/>
    <cellStyle name="Comma 2 12 3" xfId="423" xr:uid="{00000000-0005-0000-0000-000092010000}"/>
    <cellStyle name="Comma 2 120" xfId="424" xr:uid="{00000000-0005-0000-0000-000093010000}"/>
    <cellStyle name="Comma 2 121" xfId="425" xr:uid="{00000000-0005-0000-0000-000094010000}"/>
    <cellStyle name="Comma 2 122" xfId="426" xr:uid="{00000000-0005-0000-0000-000095010000}"/>
    <cellStyle name="Comma 2 123" xfId="427" xr:uid="{00000000-0005-0000-0000-000096010000}"/>
    <cellStyle name="Comma 2 124" xfId="428" xr:uid="{00000000-0005-0000-0000-000097010000}"/>
    <cellStyle name="Comma 2 125" xfId="429" xr:uid="{00000000-0005-0000-0000-000098010000}"/>
    <cellStyle name="Comma 2 126" xfId="430" xr:uid="{00000000-0005-0000-0000-000099010000}"/>
    <cellStyle name="Comma 2 127" xfId="431" xr:uid="{00000000-0005-0000-0000-00009A010000}"/>
    <cellStyle name="Comma 2 128" xfId="432" xr:uid="{00000000-0005-0000-0000-00009B010000}"/>
    <cellStyle name="Comma 2 129" xfId="433" xr:uid="{00000000-0005-0000-0000-00009C010000}"/>
    <cellStyle name="Comma 2 13" xfId="434" xr:uid="{00000000-0005-0000-0000-00009D010000}"/>
    <cellStyle name="Comma 2 13 2" xfId="435" xr:uid="{00000000-0005-0000-0000-00009E010000}"/>
    <cellStyle name="Comma 2 13 2 2" xfId="436" xr:uid="{00000000-0005-0000-0000-00009F010000}"/>
    <cellStyle name="Comma 2 13 2 3" xfId="437" xr:uid="{00000000-0005-0000-0000-0000A0010000}"/>
    <cellStyle name="Comma 2 13 3" xfId="438" xr:uid="{00000000-0005-0000-0000-0000A1010000}"/>
    <cellStyle name="Comma 2 130" xfId="439" xr:uid="{00000000-0005-0000-0000-0000A2010000}"/>
    <cellStyle name="Comma 2 131" xfId="440" xr:uid="{00000000-0005-0000-0000-0000A3010000}"/>
    <cellStyle name="Comma 2 132" xfId="441" xr:uid="{00000000-0005-0000-0000-0000A4010000}"/>
    <cellStyle name="Comma 2 133" xfId="442" xr:uid="{00000000-0005-0000-0000-0000A5010000}"/>
    <cellStyle name="Comma 2 134" xfId="443" xr:uid="{00000000-0005-0000-0000-0000A6010000}"/>
    <cellStyle name="Comma 2 135" xfId="444" xr:uid="{00000000-0005-0000-0000-0000A7010000}"/>
    <cellStyle name="Comma 2 136" xfId="445" xr:uid="{00000000-0005-0000-0000-0000A8010000}"/>
    <cellStyle name="Comma 2 137" xfId="446" xr:uid="{00000000-0005-0000-0000-0000A9010000}"/>
    <cellStyle name="Comma 2 138" xfId="447" xr:uid="{00000000-0005-0000-0000-0000AA010000}"/>
    <cellStyle name="Comma 2 139" xfId="448" xr:uid="{00000000-0005-0000-0000-0000AB010000}"/>
    <cellStyle name="Comma 2 14" xfId="449" xr:uid="{00000000-0005-0000-0000-0000AC010000}"/>
    <cellStyle name="Comma 2 14 2" xfId="450" xr:uid="{00000000-0005-0000-0000-0000AD010000}"/>
    <cellStyle name="Comma 2 14 2 2" xfId="451" xr:uid="{00000000-0005-0000-0000-0000AE010000}"/>
    <cellStyle name="Comma 2 14 2 3" xfId="452" xr:uid="{00000000-0005-0000-0000-0000AF010000}"/>
    <cellStyle name="Comma 2 14 3" xfId="453" xr:uid="{00000000-0005-0000-0000-0000B0010000}"/>
    <cellStyle name="Comma 2 140" xfId="454" xr:uid="{00000000-0005-0000-0000-0000B1010000}"/>
    <cellStyle name="Comma 2 141" xfId="455" xr:uid="{00000000-0005-0000-0000-0000B2010000}"/>
    <cellStyle name="Comma 2 142" xfId="456" xr:uid="{00000000-0005-0000-0000-0000B3010000}"/>
    <cellStyle name="Comma 2 143" xfId="457" xr:uid="{00000000-0005-0000-0000-0000B4010000}"/>
    <cellStyle name="Comma 2 144" xfId="458" xr:uid="{00000000-0005-0000-0000-0000B5010000}"/>
    <cellStyle name="Comma 2 145" xfId="459" xr:uid="{00000000-0005-0000-0000-0000B6010000}"/>
    <cellStyle name="Comma 2 146" xfId="460" xr:uid="{00000000-0005-0000-0000-0000B7010000}"/>
    <cellStyle name="Comma 2 147" xfId="461" xr:uid="{00000000-0005-0000-0000-0000B8010000}"/>
    <cellStyle name="Comma 2 148" xfId="462" xr:uid="{00000000-0005-0000-0000-0000B9010000}"/>
    <cellStyle name="Comma 2 149" xfId="463" xr:uid="{00000000-0005-0000-0000-0000BA010000}"/>
    <cellStyle name="Comma 2 15" xfId="464" xr:uid="{00000000-0005-0000-0000-0000BB010000}"/>
    <cellStyle name="Comma 2 15 2" xfId="465" xr:uid="{00000000-0005-0000-0000-0000BC010000}"/>
    <cellStyle name="Comma 2 15 2 2" xfId="466" xr:uid="{00000000-0005-0000-0000-0000BD010000}"/>
    <cellStyle name="Comma 2 15 2 3" xfId="467" xr:uid="{00000000-0005-0000-0000-0000BE010000}"/>
    <cellStyle name="Comma 2 15 3" xfId="468" xr:uid="{00000000-0005-0000-0000-0000BF010000}"/>
    <cellStyle name="Comma 2 150" xfId="469" xr:uid="{00000000-0005-0000-0000-0000C0010000}"/>
    <cellStyle name="Comma 2 151" xfId="470" xr:uid="{00000000-0005-0000-0000-0000C1010000}"/>
    <cellStyle name="Comma 2 152" xfId="471" xr:uid="{00000000-0005-0000-0000-0000C2010000}"/>
    <cellStyle name="Comma 2 153" xfId="472" xr:uid="{00000000-0005-0000-0000-0000C3010000}"/>
    <cellStyle name="Comma 2 16" xfId="473" xr:uid="{00000000-0005-0000-0000-0000C4010000}"/>
    <cellStyle name="Comma 2 16 2" xfId="474" xr:uid="{00000000-0005-0000-0000-0000C5010000}"/>
    <cellStyle name="Comma 2 16 2 2" xfId="475" xr:uid="{00000000-0005-0000-0000-0000C6010000}"/>
    <cellStyle name="Comma 2 16 2 3" xfId="476" xr:uid="{00000000-0005-0000-0000-0000C7010000}"/>
    <cellStyle name="Comma 2 16 3" xfId="477" xr:uid="{00000000-0005-0000-0000-0000C8010000}"/>
    <cellStyle name="Comma 2 17" xfId="478" xr:uid="{00000000-0005-0000-0000-0000C9010000}"/>
    <cellStyle name="Comma 2 17 2" xfId="479" xr:uid="{00000000-0005-0000-0000-0000CA010000}"/>
    <cellStyle name="Comma 2 18" xfId="480" xr:uid="{00000000-0005-0000-0000-0000CB010000}"/>
    <cellStyle name="Comma 2 18 2" xfId="481" xr:uid="{00000000-0005-0000-0000-0000CC010000}"/>
    <cellStyle name="Comma 2 19" xfId="482" xr:uid="{00000000-0005-0000-0000-0000CD010000}"/>
    <cellStyle name="Comma 2 19 2" xfId="483" xr:uid="{00000000-0005-0000-0000-0000CE010000}"/>
    <cellStyle name="Comma 2 2" xfId="484" xr:uid="{00000000-0005-0000-0000-0000CF010000}"/>
    <cellStyle name="Comma 2 2 10" xfId="485" xr:uid="{00000000-0005-0000-0000-0000D0010000}"/>
    <cellStyle name="Comma 2 2 10 2" xfId="486" xr:uid="{00000000-0005-0000-0000-0000D1010000}"/>
    <cellStyle name="Comma 2 2 11" xfId="487" xr:uid="{00000000-0005-0000-0000-0000D2010000}"/>
    <cellStyle name="Comma 2 2 11 2" xfId="488" xr:uid="{00000000-0005-0000-0000-0000D3010000}"/>
    <cellStyle name="Comma 2 2 12" xfId="489" xr:uid="{00000000-0005-0000-0000-0000D4010000}"/>
    <cellStyle name="Comma 2 2 12 2" xfId="490" xr:uid="{00000000-0005-0000-0000-0000D5010000}"/>
    <cellStyle name="Comma 2 2 12 2 2" xfId="491" xr:uid="{00000000-0005-0000-0000-0000D6010000}"/>
    <cellStyle name="Comma 2 2 12 3" xfId="492" xr:uid="{00000000-0005-0000-0000-0000D7010000}"/>
    <cellStyle name="Comma 2 2 13" xfId="493" xr:uid="{00000000-0005-0000-0000-0000D8010000}"/>
    <cellStyle name="Comma 2 2 13 2" xfId="494" xr:uid="{00000000-0005-0000-0000-0000D9010000}"/>
    <cellStyle name="Comma 2 2 14" xfId="495" xr:uid="{00000000-0005-0000-0000-0000DA010000}"/>
    <cellStyle name="Comma 2 2 14 2" xfId="496" xr:uid="{00000000-0005-0000-0000-0000DB010000}"/>
    <cellStyle name="Comma 2 2 14 2 2" xfId="497" xr:uid="{00000000-0005-0000-0000-0000DC010000}"/>
    <cellStyle name="Comma 2 2 14 3" xfId="498" xr:uid="{00000000-0005-0000-0000-0000DD010000}"/>
    <cellStyle name="Comma 2 2 15" xfId="499" xr:uid="{00000000-0005-0000-0000-0000DE010000}"/>
    <cellStyle name="Comma 2 2 15 2" xfId="500" xr:uid="{00000000-0005-0000-0000-0000DF010000}"/>
    <cellStyle name="Comma 2 2 15 2 2" xfId="501" xr:uid="{00000000-0005-0000-0000-0000E0010000}"/>
    <cellStyle name="Comma 2 2 15 3" xfId="502" xr:uid="{00000000-0005-0000-0000-0000E1010000}"/>
    <cellStyle name="Comma 2 2 16" xfId="503" xr:uid="{00000000-0005-0000-0000-0000E2010000}"/>
    <cellStyle name="Comma 2 2 16 2" xfId="504" xr:uid="{00000000-0005-0000-0000-0000E3010000}"/>
    <cellStyle name="Comma 2 2 16 2 2" xfId="505" xr:uid="{00000000-0005-0000-0000-0000E4010000}"/>
    <cellStyle name="Comma 2 2 16 3" xfId="506" xr:uid="{00000000-0005-0000-0000-0000E5010000}"/>
    <cellStyle name="Comma 2 2 17" xfId="507" xr:uid="{00000000-0005-0000-0000-0000E6010000}"/>
    <cellStyle name="Comma 2 2 17 2" xfId="508" xr:uid="{00000000-0005-0000-0000-0000E7010000}"/>
    <cellStyle name="Comma 2 2 17 2 2" xfId="509" xr:uid="{00000000-0005-0000-0000-0000E8010000}"/>
    <cellStyle name="Comma 2 2 17 3" xfId="510" xr:uid="{00000000-0005-0000-0000-0000E9010000}"/>
    <cellStyle name="Comma 2 2 18" xfId="511" xr:uid="{00000000-0005-0000-0000-0000EA010000}"/>
    <cellStyle name="Comma 2 2 18 2" xfId="512" xr:uid="{00000000-0005-0000-0000-0000EB010000}"/>
    <cellStyle name="Comma 2 2 19" xfId="513" xr:uid="{00000000-0005-0000-0000-0000EC010000}"/>
    <cellStyle name="Comma 2 2 2" xfId="514" xr:uid="{00000000-0005-0000-0000-0000ED010000}"/>
    <cellStyle name="Comma 2 2 2 10" xfId="515" xr:uid="{00000000-0005-0000-0000-0000EE010000}"/>
    <cellStyle name="Comma 2 2 2 11" xfId="516" xr:uid="{00000000-0005-0000-0000-0000EF010000}"/>
    <cellStyle name="Comma 2 2 2 12" xfId="517" xr:uid="{00000000-0005-0000-0000-0000F0010000}"/>
    <cellStyle name="Comma 2 2 2 13" xfId="518" xr:uid="{00000000-0005-0000-0000-0000F1010000}"/>
    <cellStyle name="Comma 2 2 2 14" xfId="519" xr:uid="{00000000-0005-0000-0000-0000F2010000}"/>
    <cellStyle name="Comma 2 2 2 15" xfId="520" xr:uid="{00000000-0005-0000-0000-0000F3010000}"/>
    <cellStyle name="Comma 2 2 2 16" xfId="521" xr:uid="{00000000-0005-0000-0000-0000F4010000}"/>
    <cellStyle name="Comma 2 2 2 17" xfId="522" xr:uid="{00000000-0005-0000-0000-0000F5010000}"/>
    <cellStyle name="Comma 2 2 2 18" xfId="523" xr:uid="{00000000-0005-0000-0000-0000F6010000}"/>
    <cellStyle name="Comma 2 2 2 18 2" xfId="524" xr:uid="{00000000-0005-0000-0000-0000F7010000}"/>
    <cellStyle name="Comma 2 2 2 19" xfId="525" xr:uid="{00000000-0005-0000-0000-0000F8010000}"/>
    <cellStyle name="Comma 2 2 2 2" xfId="526" xr:uid="{00000000-0005-0000-0000-0000F9010000}"/>
    <cellStyle name="Comma 2 2 2 2 10" xfId="527" xr:uid="{00000000-0005-0000-0000-0000FA010000}"/>
    <cellStyle name="Comma 2 2 2 2 10 2" xfId="528" xr:uid="{00000000-0005-0000-0000-0000FB010000}"/>
    <cellStyle name="Comma 2 2 2 2 10 2 2" xfId="529" xr:uid="{00000000-0005-0000-0000-0000FC010000}"/>
    <cellStyle name="Comma 2 2 2 2 10 3" xfId="530" xr:uid="{00000000-0005-0000-0000-0000FD010000}"/>
    <cellStyle name="Comma 2 2 2 2 11" xfId="531" xr:uid="{00000000-0005-0000-0000-0000FE010000}"/>
    <cellStyle name="Comma 2 2 2 2 11 2" xfId="532" xr:uid="{00000000-0005-0000-0000-0000FF010000}"/>
    <cellStyle name="Comma 2 2 2 2 11 2 2" xfId="533" xr:uid="{00000000-0005-0000-0000-000000020000}"/>
    <cellStyle name="Comma 2 2 2 2 11 3" xfId="534" xr:uid="{00000000-0005-0000-0000-000001020000}"/>
    <cellStyle name="Comma 2 2 2 2 12" xfId="535" xr:uid="{00000000-0005-0000-0000-000002020000}"/>
    <cellStyle name="Comma 2 2 2 2 12 2" xfId="536" xr:uid="{00000000-0005-0000-0000-000003020000}"/>
    <cellStyle name="Comma 2 2 2 2 12 2 2" xfId="537" xr:uid="{00000000-0005-0000-0000-000004020000}"/>
    <cellStyle name="Comma 2 2 2 2 12 3" xfId="538" xr:uid="{00000000-0005-0000-0000-000005020000}"/>
    <cellStyle name="Comma 2 2 2 2 13" xfId="539" xr:uid="{00000000-0005-0000-0000-000006020000}"/>
    <cellStyle name="Comma 2 2 2 2 13 2" xfId="540" xr:uid="{00000000-0005-0000-0000-000007020000}"/>
    <cellStyle name="Comma 2 2 2 2 13 2 2" xfId="541" xr:uid="{00000000-0005-0000-0000-000008020000}"/>
    <cellStyle name="Comma 2 2 2 2 13 3" xfId="542" xr:uid="{00000000-0005-0000-0000-000009020000}"/>
    <cellStyle name="Comma 2 2 2 2 14" xfId="543" xr:uid="{00000000-0005-0000-0000-00000A020000}"/>
    <cellStyle name="Comma 2 2 2 2 14 2" xfId="544" xr:uid="{00000000-0005-0000-0000-00000B020000}"/>
    <cellStyle name="Comma 2 2 2 2 14 2 2" xfId="545" xr:uid="{00000000-0005-0000-0000-00000C020000}"/>
    <cellStyle name="Comma 2 2 2 2 14 3" xfId="546" xr:uid="{00000000-0005-0000-0000-00000D020000}"/>
    <cellStyle name="Comma 2 2 2 2 15" xfId="547" xr:uid="{00000000-0005-0000-0000-00000E020000}"/>
    <cellStyle name="Comma 2 2 2 2 15 2" xfId="548" xr:uid="{00000000-0005-0000-0000-00000F020000}"/>
    <cellStyle name="Comma 2 2 2 2 15 2 2" xfId="549" xr:uid="{00000000-0005-0000-0000-000010020000}"/>
    <cellStyle name="Comma 2 2 2 2 15 3" xfId="550" xr:uid="{00000000-0005-0000-0000-000011020000}"/>
    <cellStyle name="Comma 2 2 2 2 16" xfId="551" xr:uid="{00000000-0005-0000-0000-000012020000}"/>
    <cellStyle name="Comma 2 2 2 2 16 2" xfId="552" xr:uid="{00000000-0005-0000-0000-000013020000}"/>
    <cellStyle name="Comma 2 2 2 2 16 2 2" xfId="553" xr:uid="{00000000-0005-0000-0000-000014020000}"/>
    <cellStyle name="Comma 2 2 2 2 16 3" xfId="554" xr:uid="{00000000-0005-0000-0000-000015020000}"/>
    <cellStyle name="Comma 2 2 2 2 17" xfId="555" xr:uid="{00000000-0005-0000-0000-000016020000}"/>
    <cellStyle name="Comma 2 2 2 2 17 2" xfId="556" xr:uid="{00000000-0005-0000-0000-000017020000}"/>
    <cellStyle name="Comma 2 2 2 2 17 2 2" xfId="557" xr:uid="{00000000-0005-0000-0000-000018020000}"/>
    <cellStyle name="Comma 2 2 2 2 17 3" xfId="558" xr:uid="{00000000-0005-0000-0000-000019020000}"/>
    <cellStyle name="Comma 2 2 2 2 2" xfId="559" xr:uid="{00000000-0005-0000-0000-00001A020000}"/>
    <cellStyle name="Comma 2 2 2 2 2 2" xfId="560" xr:uid="{00000000-0005-0000-0000-00001B020000}"/>
    <cellStyle name="Comma 2 2 2 2 2 2 2" xfId="561" xr:uid="{00000000-0005-0000-0000-00001C020000}"/>
    <cellStyle name="Comma 2 2 2 2 2 2 2 2" xfId="562" xr:uid="{00000000-0005-0000-0000-00001D020000}"/>
    <cellStyle name="Comma 2 2 2 2 2 2 2 2 2" xfId="563" xr:uid="{00000000-0005-0000-0000-00001E020000}"/>
    <cellStyle name="Comma 2 2 2 2 2 2 2 3" xfId="564" xr:uid="{00000000-0005-0000-0000-00001F020000}"/>
    <cellStyle name="Comma 2 2 2 2 2 2 3" xfId="565" xr:uid="{00000000-0005-0000-0000-000020020000}"/>
    <cellStyle name="Comma 2 2 2 2 2 2 3 2" xfId="566" xr:uid="{00000000-0005-0000-0000-000021020000}"/>
    <cellStyle name="Comma 2 2 2 2 2 2 3 2 2" xfId="567" xr:uid="{00000000-0005-0000-0000-000022020000}"/>
    <cellStyle name="Comma 2 2 2 2 2 2 3 3" xfId="568" xr:uid="{00000000-0005-0000-0000-000023020000}"/>
    <cellStyle name="Comma 2 2 2 2 2 2 4" xfId="569" xr:uid="{00000000-0005-0000-0000-000024020000}"/>
    <cellStyle name="Comma 2 2 2 2 2 2 4 2" xfId="570" xr:uid="{00000000-0005-0000-0000-000025020000}"/>
    <cellStyle name="Comma 2 2 2 2 2 2 4 2 2" xfId="571" xr:uid="{00000000-0005-0000-0000-000026020000}"/>
    <cellStyle name="Comma 2 2 2 2 2 2 4 3" xfId="572" xr:uid="{00000000-0005-0000-0000-000027020000}"/>
    <cellStyle name="Comma 2 2 2 2 2 2 5" xfId="573" xr:uid="{00000000-0005-0000-0000-000028020000}"/>
    <cellStyle name="Comma 2 2 2 2 2 2 5 2" xfId="574" xr:uid="{00000000-0005-0000-0000-000029020000}"/>
    <cellStyle name="Comma 2 2 2 2 2 2 5 2 2" xfId="575" xr:uid="{00000000-0005-0000-0000-00002A020000}"/>
    <cellStyle name="Comma 2 2 2 2 2 2 5 3" xfId="576" xr:uid="{00000000-0005-0000-0000-00002B020000}"/>
    <cellStyle name="Comma 2 2 2 2 2 3" xfId="577" xr:uid="{00000000-0005-0000-0000-00002C020000}"/>
    <cellStyle name="Comma 2 2 2 2 2 4" xfId="578" xr:uid="{00000000-0005-0000-0000-00002D020000}"/>
    <cellStyle name="Comma 2 2 2 2 2 5" xfId="579" xr:uid="{00000000-0005-0000-0000-00002E020000}"/>
    <cellStyle name="Comma 2 2 2 2 2 6" xfId="580" xr:uid="{00000000-0005-0000-0000-00002F020000}"/>
    <cellStyle name="Comma 2 2 2 2 2 6 2" xfId="581" xr:uid="{00000000-0005-0000-0000-000030020000}"/>
    <cellStyle name="Comma 2 2 2 2 2 7" xfId="582" xr:uid="{00000000-0005-0000-0000-000031020000}"/>
    <cellStyle name="Comma 2 2 2 2 3" xfId="583" xr:uid="{00000000-0005-0000-0000-000032020000}"/>
    <cellStyle name="Comma 2 2 2 2 3 2" xfId="584" xr:uid="{00000000-0005-0000-0000-000033020000}"/>
    <cellStyle name="Comma 2 2 2 2 3 2 2" xfId="585" xr:uid="{00000000-0005-0000-0000-000034020000}"/>
    <cellStyle name="Comma 2 2 2 2 3 3" xfId="586" xr:uid="{00000000-0005-0000-0000-000035020000}"/>
    <cellStyle name="Comma 2 2 2 2 4" xfId="587" xr:uid="{00000000-0005-0000-0000-000036020000}"/>
    <cellStyle name="Comma 2 2 2 2 4 2" xfId="588" xr:uid="{00000000-0005-0000-0000-000037020000}"/>
    <cellStyle name="Comma 2 2 2 2 4 2 2" xfId="589" xr:uid="{00000000-0005-0000-0000-000038020000}"/>
    <cellStyle name="Comma 2 2 2 2 4 3" xfId="590" xr:uid="{00000000-0005-0000-0000-000039020000}"/>
    <cellStyle name="Comma 2 2 2 2 5" xfId="591" xr:uid="{00000000-0005-0000-0000-00003A020000}"/>
    <cellStyle name="Comma 2 2 2 2 5 2" xfId="592" xr:uid="{00000000-0005-0000-0000-00003B020000}"/>
    <cellStyle name="Comma 2 2 2 2 5 2 2" xfId="593" xr:uid="{00000000-0005-0000-0000-00003C020000}"/>
    <cellStyle name="Comma 2 2 2 2 5 3" xfId="594" xr:uid="{00000000-0005-0000-0000-00003D020000}"/>
    <cellStyle name="Comma 2 2 2 2 6" xfId="595" xr:uid="{00000000-0005-0000-0000-00003E020000}"/>
    <cellStyle name="Comma 2 2 2 2 6 2" xfId="596" xr:uid="{00000000-0005-0000-0000-00003F020000}"/>
    <cellStyle name="Comma 2 2 2 2 6 2 2" xfId="597" xr:uid="{00000000-0005-0000-0000-000040020000}"/>
    <cellStyle name="Comma 2 2 2 2 6 3" xfId="598" xr:uid="{00000000-0005-0000-0000-000041020000}"/>
    <cellStyle name="Comma 2 2 2 2 7" xfId="599" xr:uid="{00000000-0005-0000-0000-000042020000}"/>
    <cellStyle name="Comma 2 2 2 2 7 2" xfId="600" xr:uid="{00000000-0005-0000-0000-000043020000}"/>
    <cellStyle name="Comma 2 2 2 2 7 2 2" xfId="601" xr:uid="{00000000-0005-0000-0000-000044020000}"/>
    <cellStyle name="Comma 2 2 2 2 7 3" xfId="602" xr:uid="{00000000-0005-0000-0000-000045020000}"/>
    <cellStyle name="Comma 2 2 2 2 8" xfId="603" xr:uid="{00000000-0005-0000-0000-000046020000}"/>
    <cellStyle name="Comma 2 2 2 2 8 2" xfId="604" xr:uid="{00000000-0005-0000-0000-000047020000}"/>
    <cellStyle name="Comma 2 2 2 2 8 2 2" xfId="605" xr:uid="{00000000-0005-0000-0000-000048020000}"/>
    <cellStyle name="Comma 2 2 2 2 8 3" xfId="606" xr:uid="{00000000-0005-0000-0000-000049020000}"/>
    <cellStyle name="Comma 2 2 2 2 9" xfId="607" xr:uid="{00000000-0005-0000-0000-00004A020000}"/>
    <cellStyle name="Comma 2 2 2 2 9 2" xfId="608" xr:uid="{00000000-0005-0000-0000-00004B020000}"/>
    <cellStyle name="Comma 2 2 2 2 9 2 2" xfId="609" xr:uid="{00000000-0005-0000-0000-00004C020000}"/>
    <cellStyle name="Comma 2 2 2 2 9 3" xfId="610" xr:uid="{00000000-0005-0000-0000-00004D020000}"/>
    <cellStyle name="Comma 2 2 2 3" xfId="611" xr:uid="{00000000-0005-0000-0000-00004E020000}"/>
    <cellStyle name="Comma 2 2 2 4" xfId="612" xr:uid="{00000000-0005-0000-0000-00004F020000}"/>
    <cellStyle name="Comma 2 2 2 5" xfId="613" xr:uid="{00000000-0005-0000-0000-000050020000}"/>
    <cellStyle name="Comma 2 2 2 6" xfId="614" xr:uid="{00000000-0005-0000-0000-000051020000}"/>
    <cellStyle name="Comma 2 2 2 7" xfId="615" xr:uid="{00000000-0005-0000-0000-000052020000}"/>
    <cellStyle name="Comma 2 2 2 8" xfId="616" xr:uid="{00000000-0005-0000-0000-000053020000}"/>
    <cellStyle name="Comma 2 2 2 9" xfId="617" xr:uid="{00000000-0005-0000-0000-000054020000}"/>
    <cellStyle name="Comma 2 2 20" xfId="618" xr:uid="{00000000-0005-0000-0000-000055020000}"/>
    <cellStyle name="Comma 2 2 20 2" xfId="619" xr:uid="{00000000-0005-0000-0000-000056020000}"/>
    <cellStyle name="Comma 2 2 20 3" xfId="620" xr:uid="{00000000-0005-0000-0000-000057020000}"/>
    <cellStyle name="Comma 2 2 3" xfId="621" xr:uid="{00000000-0005-0000-0000-000058020000}"/>
    <cellStyle name="Comma 2 2 3 2" xfId="622" xr:uid="{00000000-0005-0000-0000-000059020000}"/>
    <cellStyle name="Comma 2 2 3 2 2" xfId="623" xr:uid="{00000000-0005-0000-0000-00005A020000}"/>
    <cellStyle name="Comma 2 2 3 2 3" xfId="624" xr:uid="{00000000-0005-0000-0000-00005B020000}"/>
    <cellStyle name="Comma 2 2 3 3" xfId="625" xr:uid="{00000000-0005-0000-0000-00005C020000}"/>
    <cellStyle name="Comma 2 2 4" xfId="626" xr:uid="{00000000-0005-0000-0000-00005D020000}"/>
    <cellStyle name="Comma 2 2 4 2" xfId="627" xr:uid="{00000000-0005-0000-0000-00005E020000}"/>
    <cellStyle name="Comma 2 2 4 2 2" xfId="628" xr:uid="{00000000-0005-0000-0000-00005F020000}"/>
    <cellStyle name="Comma 2 2 4 2 3" xfId="629" xr:uid="{00000000-0005-0000-0000-000060020000}"/>
    <cellStyle name="Comma 2 2 4 3" xfId="630" xr:uid="{00000000-0005-0000-0000-000061020000}"/>
    <cellStyle name="Comma 2 2 5" xfId="631" xr:uid="{00000000-0005-0000-0000-000062020000}"/>
    <cellStyle name="Comma 2 2 5 2" xfId="632" xr:uid="{00000000-0005-0000-0000-000063020000}"/>
    <cellStyle name="Comma 2 2 5 2 2" xfId="633" xr:uid="{00000000-0005-0000-0000-000064020000}"/>
    <cellStyle name="Comma 2 2 5 2 3" xfId="634" xr:uid="{00000000-0005-0000-0000-000065020000}"/>
    <cellStyle name="Comma 2 2 5 3" xfId="635" xr:uid="{00000000-0005-0000-0000-000066020000}"/>
    <cellStyle name="Comma 2 2 6" xfId="636" xr:uid="{00000000-0005-0000-0000-000067020000}"/>
    <cellStyle name="Comma 2 2 6 2" xfId="637" xr:uid="{00000000-0005-0000-0000-000068020000}"/>
    <cellStyle name="Comma 2 2 6 2 2" xfId="638" xr:uid="{00000000-0005-0000-0000-000069020000}"/>
    <cellStyle name="Comma 2 2 6 2 3" xfId="639" xr:uid="{00000000-0005-0000-0000-00006A020000}"/>
    <cellStyle name="Comma 2 2 6 3" xfId="640" xr:uid="{00000000-0005-0000-0000-00006B020000}"/>
    <cellStyle name="Comma 2 2 7" xfId="641" xr:uid="{00000000-0005-0000-0000-00006C020000}"/>
    <cellStyle name="Comma 2 2 7 2" xfId="642" xr:uid="{00000000-0005-0000-0000-00006D020000}"/>
    <cellStyle name="Comma 2 2 7 2 2" xfId="643" xr:uid="{00000000-0005-0000-0000-00006E020000}"/>
    <cellStyle name="Comma 2 2 7 2 3" xfId="644" xr:uid="{00000000-0005-0000-0000-00006F020000}"/>
    <cellStyle name="Comma 2 2 7 3" xfId="645" xr:uid="{00000000-0005-0000-0000-000070020000}"/>
    <cellStyle name="Comma 2 2 8" xfId="646" xr:uid="{00000000-0005-0000-0000-000071020000}"/>
    <cellStyle name="Comma 2 2 8 2" xfId="647" xr:uid="{00000000-0005-0000-0000-000072020000}"/>
    <cellStyle name="Comma 2 2 8 2 2" xfId="648" xr:uid="{00000000-0005-0000-0000-000073020000}"/>
    <cellStyle name="Comma 2 2 8 2 3" xfId="649" xr:uid="{00000000-0005-0000-0000-000074020000}"/>
    <cellStyle name="Comma 2 2 8 3" xfId="650" xr:uid="{00000000-0005-0000-0000-000075020000}"/>
    <cellStyle name="Comma 2 2 9" xfId="651" xr:uid="{00000000-0005-0000-0000-000076020000}"/>
    <cellStyle name="Comma 2 2 9 2" xfId="652" xr:uid="{00000000-0005-0000-0000-000077020000}"/>
    <cellStyle name="Comma 2 20" xfId="653" xr:uid="{00000000-0005-0000-0000-000078020000}"/>
    <cellStyle name="Comma 2 20 2" xfId="654" xr:uid="{00000000-0005-0000-0000-000079020000}"/>
    <cellStyle name="Comma 2 21" xfId="655" xr:uid="{00000000-0005-0000-0000-00007A020000}"/>
    <cellStyle name="Comma 2 21 2" xfId="656" xr:uid="{00000000-0005-0000-0000-00007B020000}"/>
    <cellStyle name="Comma 2 22" xfId="657" xr:uid="{00000000-0005-0000-0000-00007C020000}"/>
    <cellStyle name="Comma 2 22 2" xfId="658" xr:uid="{00000000-0005-0000-0000-00007D020000}"/>
    <cellStyle name="Comma 2 23" xfId="659" xr:uid="{00000000-0005-0000-0000-00007E020000}"/>
    <cellStyle name="Comma 2 23 2" xfId="660" xr:uid="{00000000-0005-0000-0000-00007F020000}"/>
    <cellStyle name="Comma 2 24" xfId="661" xr:uid="{00000000-0005-0000-0000-000080020000}"/>
    <cellStyle name="Comma 2 24 2" xfId="662" xr:uid="{00000000-0005-0000-0000-000081020000}"/>
    <cellStyle name="Comma 2 25" xfId="663" xr:uid="{00000000-0005-0000-0000-000082020000}"/>
    <cellStyle name="Comma 2 25 2" xfId="664" xr:uid="{00000000-0005-0000-0000-000083020000}"/>
    <cellStyle name="Comma 2 26" xfId="665" xr:uid="{00000000-0005-0000-0000-000084020000}"/>
    <cellStyle name="Comma 2 26 2" xfId="666" xr:uid="{00000000-0005-0000-0000-000085020000}"/>
    <cellStyle name="Comma 2 27" xfId="667" xr:uid="{00000000-0005-0000-0000-000086020000}"/>
    <cellStyle name="Comma 2 27 2" xfId="668" xr:uid="{00000000-0005-0000-0000-000087020000}"/>
    <cellStyle name="Comma 2 28" xfId="669" xr:uid="{00000000-0005-0000-0000-000088020000}"/>
    <cellStyle name="Comma 2 28 2" xfId="670" xr:uid="{00000000-0005-0000-0000-000089020000}"/>
    <cellStyle name="Comma 2 29" xfId="671" xr:uid="{00000000-0005-0000-0000-00008A020000}"/>
    <cellStyle name="Comma 2 29 2" xfId="672" xr:uid="{00000000-0005-0000-0000-00008B020000}"/>
    <cellStyle name="Comma 2 3" xfId="673" xr:uid="{00000000-0005-0000-0000-00008C020000}"/>
    <cellStyle name="Comma 2 3 2" xfId="674" xr:uid="{00000000-0005-0000-0000-00008D020000}"/>
    <cellStyle name="Comma 2 3 2 2" xfId="675" xr:uid="{00000000-0005-0000-0000-00008E020000}"/>
    <cellStyle name="Comma 2 3 2 3" xfId="676" xr:uid="{00000000-0005-0000-0000-00008F020000}"/>
    <cellStyle name="Comma 2 3 3" xfId="677" xr:uid="{00000000-0005-0000-0000-000090020000}"/>
    <cellStyle name="Comma 2 30" xfId="678" xr:uid="{00000000-0005-0000-0000-000091020000}"/>
    <cellStyle name="Comma 2 30 2" xfId="679" xr:uid="{00000000-0005-0000-0000-000092020000}"/>
    <cellStyle name="Comma 2 31" xfId="680" xr:uid="{00000000-0005-0000-0000-000093020000}"/>
    <cellStyle name="Comma 2 31 2" xfId="681" xr:uid="{00000000-0005-0000-0000-000094020000}"/>
    <cellStyle name="Comma 2 32" xfId="682" xr:uid="{00000000-0005-0000-0000-000095020000}"/>
    <cellStyle name="Comma 2 32 2" xfId="683" xr:uid="{00000000-0005-0000-0000-000096020000}"/>
    <cellStyle name="Comma 2 33" xfId="684" xr:uid="{00000000-0005-0000-0000-000097020000}"/>
    <cellStyle name="Comma 2 33 2" xfId="685" xr:uid="{00000000-0005-0000-0000-000098020000}"/>
    <cellStyle name="Comma 2 34" xfId="686" xr:uid="{00000000-0005-0000-0000-000099020000}"/>
    <cellStyle name="Comma 2 34 2" xfId="687" xr:uid="{00000000-0005-0000-0000-00009A020000}"/>
    <cellStyle name="Comma 2 35" xfId="688" xr:uid="{00000000-0005-0000-0000-00009B020000}"/>
    <cellStyle name="Comma 2 35 2" xfId="689" xr:uid="{00000000-0005-0000-0000-00009C020000}"/>
    <cellStyle name="Comma 2 36" xfId="690" xr:uid="{00000000-0005-0000-0000-00009D020000}"/>
    <cellStyle name="Comma 2 36 2" xfId="691" xr:uid="{00000000-0005-0000-0000-00009E020000}"/>
    <cellStyle name="Comma 2 37" xfId="692" xr:uid="{00000000-0005-0000-0000-00009F020000}"/>
    <cellStyle name="Comma 2 37 2" xfId="693" xr:uid="{00000000-0005-0000-0000-0000A0020000}"/>
    <cellStyle name="Comma 2 38" xfId="694" xr:uid="{00000000-0005-0000-0000-0000A1020000}"/>
    <cellStyle name="Comma 2 38 2" xfId="695" xr:uid="{00000000-0005-0000-0000-0000A2020000}"/>
    <cellStyle name="Comma 2 39" xfId="696" xr:uid="{00000000-0005-0000-0000-0000A3020000}"/>
    <cellStyle name="Comma 2 39 2" xfId="697" xr:uid="{00000000-0005-0000-0000-0000A4020000}"/>
    <cellStyle name="Comma 2 4" xfId="698" xr:uid="{00000000-0005-0000-0000-0000A5020000}"/>
    <cellStyle name="Comma 2 4 2" xfId="699" xr:uid="{00000000-0005-0000-0000-0000A6020000}"/>
    <cellStyle name="Comma 2 4 2 2" xfId="700" xr:uid="{00000000-0005-0000-0000-0000A7020000}"/>
    <cellStyle name="Comma 2 4 2 3" xfId="701" xr:uid="{00000000-0005-0000-0000-0000A8020000}"/>
    <cellStyle name="Comma 2 4 3" xfId="702" xr:uid="{00000000-0005-0000-0000-0000A9020000}"/>
    <cellStyle name="Comma 2 40" xfId="703" xr:uid="{00000000-0005-0000-0000-0000AA020000}"/>
    <cellStyle name="Comma 2 40 2" xfId="704" xr:uid="{00000000-0005-0000-0000-0000AB020000}"/>
    <cellStyle name="Comma 2 41" xfId="705" xr:uid="{00000000-0005-0000-0000-0000AC020000}"/>
    <cellStyle name="Comma 2 41 2" xfId="706" xr:uid="{00000000-0005-0000-0000-0000AD020000}"/>
    <cellStyle name="Comma 2 42" xfId="707" xr:uid="{00000000-0005-0000-0000-0000AE020000}"/>
    <cellStyle name="Comma 2 42 2" xfId="708" xr:uid="{00000000-0005-0000-0000-0000AF020000}"/>
    <cellStyle name="Comma 2 43" xfId="709" xr:uid="{00000000-0005-0000-0000-0000B0020000}"/>
    <cellStyle name="Comma 2 43 2" xfId="710" xr:uid="{00000000-0005-0000-0000-0000B1020000}"/>
    <cellStyle name="Comma 2 44" xfId="711" xr:uid="{00000000-0005-0000-0000-0000B2020000}"/>
    <cellStyle name="Comma 2 44 2" xfId="712" xr:uid="{00000000-0005-0000-0000-0000B3020000}"/>
    <cellStyle name="Comma 2 45" xfId="713" xr:uid="{00000000-0005-0000-0000-0000B4020000}"/>
    <cellStyle name="Comma 2 45 2" xfId="714" xr:uid="{00000000-0005-0000-0000-0000B5020000}"/>
    <cellStyle name="Comma 2 46" xfId="715" xr:uid="{00000000-0005-0000-0000-0000B6020000}"/>
    <cellStyle name="Comma 2 46 2" xfId="716" xr:uid="{00000000-0005-0000-0000-0000B7020000}"/>
    <cellStyle name="Comma 2 47" xfId="717" xr:uid="{00000000-0005-0000-0000-0000B8020000}"/>
    <cellStyle name="Comma 2 47 2" xfId="718" xr:uid="{00000000-0005-0000-0000-0000B9020000}"/>
    <cellStyle name="Comma 2 48" xfId="719" xr:uid="{00000000-0005-0000-0000-0000BA020000}"/>
    <cellStyle name="Comma 2 48 2" xfId="720" xr:uid="{00000000-0005-0000-0000-0000BB020000}"/>
    <cellStyle name="Comma 2 49" xfId="721" xr:uid="{00000000-0005-0000-0000-0000BC020000}"/>
    <cellStyle name="Comma 2 49 2" xfId="722" xr:uid="{00000000-0005-0000-0000-0000BD020000}"/>
    <cellStyle name="Comma 2 5" xfId="723" xr:uid="{00000000-0005-0000-0000-0000BE020000}"/>
    <cellStyle name="Comma 2 5 2" xfId="724" xr:uid="{00000000-0005-0000-0000-0000BF020000}"/>
    <cellStyle name="Comma 2 5 2 2" xfId="725" xr:uid="{00000000-0005-0000-0000-0000C0020000}"/>
    <cellStyle name="Comma 2 5 2 3" xfId="726" xr:uid="{00000000-0005-0000-0000-0000C1020000}"/>
    <cellStyle name="Comma 2 5 3" xfId="727" xr:uid="{00000000-0005-0000-0000-0000C2020000}"/>
    <cellStyle name="Comma 2 50" xfId="728" xr:uid="{00000000-0005-0000-0000-0000C3020000}"/>
    <cellStyle name="Comma 2 50 2" xfId="729" xr:uid="{00000000-0005-0000-0000-0000C4020000}"/>
    <cellStyle name="Comma 2 51" xfId="730" xr:uid="{00000000-0005-0000-0000-0000C5020000}"/>
    <cellStyle name="Comma 2 51 2" xfId="731" xr:uid="{00000000-0005-0000-0000-0000C6020000}"/>
    <cellStyle name="Comma 2 52" xfId="732" xr:uid="{00000000-0005-0000-0000-0000C7020000}"/>
    <cellStyle name="Comma 2 52 2" xfId="733" xr:uid="{00000000-0005-0000-0000-0000C8020000}"/>
    <cellStyle name="Comma 2 53" xfId="734" xr:uid="{00000000-0005-0000-0000-0000C9020000}"/>
    <cellStyle name="Comma 2 53 2" xfId="735" xr:uid="{00000000-0005-0000-0000-0000CA020000}"/>
    <cellStyle name="Comma 2 54" xfId="736" xr:uid="{00000000-0005-0000-0000-0000CB020000}"/>
    <cellStyle name="Comma 2 54 2" xfId="737" xr:uid="{00000000-0005-0000-0000-0000CC020000}"/>
    <cellStyle name="Comma 2 55" xfId="738" xr:uid="{00000000-0005-0000-0000-0000CD020000}"/>
    <cellStyle name="Comma 2 55 2" xfId="739" xr:uid="{00000000-0005-0000-0000-0000CE020000}"/>
    <cellStyle name="Comma 2 56" xfId="740" xr:uid="{00000000-0005-0000-0000-0000CF020000}"/>
    <cellStyle name="Comma 2 56 2" xfId="741" xr:uid="{00000000-0005-0000-0000-0000D0020000}"/>
    <cellStyle name="Comma 2 57" xfId="742" xr:uid="{00000000-0005-0000-0000-0000D1020000}"/>
    <cellStyle name="Comma 2 57 2" xfId="743" xr:uid="{00000000-0005-0000-0000-0000D2020000}"/>
    <cellStyle name="Comma 2 58" xfId="744" xr:uid="{00000000-0005-0000-0000-0000D3020000}"/>
    <cellStyle name="Comma 2 58 2" xfId="745" xr:uid="{00000000-0005-0000-0000-0000D4020000}"/>
    <cellStyle name="Comma 2 59" xfId="746" xr:uid="{00000000-0005-0000-0000-0000D5020000}"/>
    <cellStyle name="Comma 2 59 2" xfId="747" xr:uid="{00000000-0005-0000-0000-0000D6020000}"/>
    <cellStyle name="Comma 2 6" xfId="748" xr:uid="{00000000-0005-0000-0000-0000D7020000}"/>
    <cellStyle name="Comma 2 6 2" xfId="749" xr:uid="{00000000-0005-0000-0000-0000D8020000}"/>
    <cellStyle name="Comma 2 6 2 2" xfId="750" xr:uid="{00000000-0005-0000-0000-0000D9020000}"/>
    <cellStyle name="Comma 2 6 2 3" xfId="751" xr:uid="{00000000-0005-0000-0000-0000DA020000}"/>
    <cellStyle name="Comma 2 6 3" xfId="752" xr:uid="{00000000-0005-0000-0000-0000DB020000}"/>
    <cellStyle name="Comma 2 60" xfId="753" xr:uid="{00000000-0005-0000-0000-0000DC020000}"/>
    <cellStyle name="Comma 2 60 2" xfId="754" xr:uid="{00000000-0005-0000-0000-0000DD020000}"/>
    <cellStyle name="Comma 2 61" xfId="755" xr:uid="{00000000-0005-0000-0000-0000DE020000}"/>
    <cellStyle name="Comma 2 61 2" xfId="756" xr:uid="{00000000-0005-0000-0000-0000DF020000}"/>
    <cellStyle name="Comma 2 62" xfId="757" xr:uid="{00000000-0005-0000-0000-0000E0020000}"/>
    <cellStyle name="Comma 2 63" xfId="758" xr:uid="{00000000-0005-0000-0000-0000E1020000}"/>
    <cellStyle name="Comma 2 64" xfId="759" xr:uid="{00000000-0005-0000-0000-0000E2020000}"/>
    <cellStyle name="Comma 2 65" xfId="760" xr:uid="{00000000-0005-0000-0000-0000E3020000}"/>
    <cellStyle name="Comma 2 66" xfId="761" xr:uid="{00000000-0005-0000-0000-0000E4020000}"/>
    <cellStyle name="Comma 2 67" xfId="762" xr:uid="{00000000-0005-0000-0000-0000E5020000}"/>
    <cellStyle name="Comma 2 68" xfId="763" xr:uid="{00000000-0005-0000-0000-0000E6020000}"/>
    <cellStyle name="Comma 2 68 2" xfId="764" xr:uid="{00000000-0005-0000-0000-0000E7020000}"/>
    <cellStyle name="Comma 2 68 3" xfId="765" xr:uid="{00000000-0005-0000-0000-0000E8020000}"/>
    <cellStyle name="Comma 2 69" xfId="766" xr:uid="{00000000-0005-0000-0000-0000E9020000}"/>
    <cellStyle name="Comma 2 7" xfId="767" xr:uid="{00000000-0005-0000-0000-0000EA020000}"/>
    <cellStyle name="Comma 2 7 2" xfId="768" xr:uid="{00000000-0005-0000-0000-0000EB020000}"/>
    <cellStyle name="Comma 2 7 2 2" xfId="769" xr:uid="{00000000-0005-0000-0000-0000EC020000}"/>
    <cellStyle name="Comma 2 7 2 3" xfId="770" xr:uid="{00000000-0005-0000-0000-0000ED020000}"/>
    <cellStyle name="Comma 2 7 3" xfId="771" xr:uid="{00000000-0005-0000-0000-0000EE020000}"/>
    <cellStyle name="Comma 2 70" xfId="772" xr:uid="{00000000-0005-0000-0000-0000EF020000}"/>
    <cellStyle name="Comma 2 71" xfId="773" xr:uid="{00000000-0005-0000-0000-0000F0020000}"/>
    <cellStyle name="Comma 2 72" xfId="774" xr:uid="{00000000-0005-0000-0000-0000F1020000}"/>
    <cellStyle name="Comma 2 73" xfId="775" xr:uid="{00000000-0005-0000-0000-0000F2020000}"/>
    <cellStyle name="Comma 2 74" xfId="776" xr:uid="{00000000-0005-0000-0000-0000F3020000}"/>
    <cellStyle name="Comma 2 75" xfId="777" xr:uid="{00000000-0005-0000-0000-0000F4020000}"/>
    <cellStyle name="Comma 2 76" xfId="778" xr:uid="{00000000-0005-0000-0000-0000F5020000}"/>
    <cellStyle name="Comma 2 77" xfId="779" xr:uid="{00000000-0005-0000-0000-0000F6020000}"/>
    <cellStyle name="Comma 2 78" xfId="780" xr:uid="{00000000-0005-0000-0000-0000F7020000}"/>
    <cellStyle name="Comma 2 79" xfId="781" xr:uid="{00000000-0005-0000-0000-0000F8020000}"/>
    <cellStyle name="Comma 2 8" xfId="782" xr:uid="{00000000-0005-0000-0000-0000F9020000}"/>
    <cellStyle name="Comma 2 8 2" xfId="783" xr:uid="{00000000-0005-0000-0000-0000FA020000}"/>
    <cellStyle name="Comma 2 8 2 2" xfId="784" xr:uid="{00000000-0005-0000-0000-0000FB020000}"/>
    <cellStyle name="Comma 2 8 2 3" xfId="785" xr:uid="{00000000-0005-0000-0000-0000FC020000}"/>
    <cellStyle name="Comma 2 8 3" xfId="786" xr:uid="{00000000-0005-0000-0000-0000FD020000}"/>
    <cellStyle name="Comma 2 80" xfId="787" xr:uid="{00000000-0005-0000-0000-0000FE020000}"/>
    <cellStyle name="Comma 2 81" xfId="788" xr:uid="{00000000-0005-0000-0000-0000FF020000}"/>
    <cellStyle name="Comma 2 82" xfId="789" xr:uid="{00000000-0005-0000-0000-000000030000}"/>
    <cellStyle name="Comma 2 83" xfId="790" xr:uid="{00000000-0005-0000-0000-000001030000}"/>
    <cellStyle name="Comma 2 84" xfId="791" xr:uid="{00000000-0005-0000-0000-000002030000}"/>
    <cellStyle name="Comma 2 85" xfId="792" xr:uid="{00000000-0005-0000-0000-000003030000}"/>
    <cellStyle name="Comma 2 86" xfId="793" xr:uid="{00000000-0005-0000-0000-000004030000}"/>
    <cellStyle name="Comma 2 87" xfId="794" xr:uid="{00000000-0005-0000-0000-000005030000}"/>
    <cellStyle name="Comma 2 88" xfId="795" xr:uid="{00000000-0005-0000-0000-000006030000}"/>
    <cellStyle name="Comma 2 89" xfId="796" xr:uid="{00000000-0005-0000-0000-000007030000}"/>
    <cellStyle name="Comma 2 9" xfId="797" xr:uid="{00000000-0005-0000-0000-000008030000}"/>
    <cellStyle name="Comma 2 9 2" xfId="798" xr:uid="{00000000-0005-0000-0000-000009030000}"/>
    <cellStyle name="Comma 2 9 2 2" xfId="799" xr:uid="{00000000-0005-0000-0000-00000A030000}"/>
    <cellStyle name="Comma 2 9 2 3" xfId="800" xr:uid="{00000000-0005-0000-0000-00000B030000}"/>
    <cellStyle name="Comma 2 9 3" xfId="801" xr:uid="{00000000-0005-0000-0000-00000C030000}"/>
    <cellStyle name="Comma 2 90" xfId="802" xr:uid="{00000000-0005-0000-0000-00000D030000}"/>
    <cellStyle name="Comma 2 91" xfId="803" xr:uid="{00000000-0005-0000-0000-00000E030000}"/>
    <cellStyle name="Comma 2 92" xfId="804" xr:uid="{00000000-0005-0000-0000-00000F030000}"/>
    <cellStyle name="Comma 2 93" xfId="805" xr:uid="{00000000-0005-0000-0000-000010030000}"/>
    <cellStyle name="Comma 2 94" xfId="806" xr:uid="{00000000-0005-0000-0000-000011030000}"/>
    <cellStyle name="Comma 2 95" xfId="807" xr:uid="{00000000-0005-0000-0000-000012030000}"/>
    <cellStyle name="Comma 2 96" xfId="808" xr:uid="{00000000-0005-0000-0000-000013030000}"/>
    <cellStyle name="Comma 2 97" xfId="809" xr:uid="{00000000-0005-0000-0000-000014030000}"/>
    <cellStyle name="Comma 2 98" xfId="810" xr:uid="{00000000-0005-0000-0000-000015030000}"/>
    <cellStyle name="Comma 2 99" xfId="811" xr:uid="{00000000-0005-0000-0000-000016030000}"/>
    <cellStyle name="Comma 20" xfId="812" xr:uid="{00000000-0005-0000-0000-000017030000}"/>
    <cellStyle name="Comma 21" xfId="813" xr:uid="{00000000-0005-0000-0000-000018030000}"/>
    <cellStyle name="Comma 22" xfId="814" xr:uid="{00000000-0005-0000-0000-000019030000}"/>
    <cellStyle name="Comma 23" xfId="815" xr:uid="{00000000-0005-0000-0000-00001A030000}"/>
    <cellStyle name="Comma 24" xfId="816" xr:uid="{00000000-0005-0000-0000-00001B030000}"/>
    <cellStyle name="Comma 25" xfId="817" xr:uid="{00000000-0005-0000-0000-00001C030000}"/>
    <cellStyle name="Comma 26" xfId="818" xr:uid="{00000000-0005-0000-0000-00001D030000}"/>
    <cellStyle name="Comma 27" xfId="819" xr:uid="{00000000-0005-0000-0000-00001E030000}"/>
    <cellStyle name="Comma 28" xfId="820" xr:uid="{00000000-0005-0000-0000-00001F030000}"/>
    <cellStyle name="Comma 29" xfId="821" xr:uid="{00000000-0005-0000-0000-000020030000}"/>
    <cellStyle name="Comma 3" xfId="822" xr:uid="{00000000-0005-0000-0000-000021030000}"/>
    <cellStyle name="Comma 3 10" xfId="823" xr:uid="{00000000-0005-0000-0000-000022030000}"/>
    <cellStyle name="Comma 3 10 2" xfId="824" xr:uid="{00000000-0005-0000-0000-000023030000}"/>
    <cellStyle name="Comma 3 10 2 2" xfId="825" xr:uid="{00000000-0005-0000-0000-000024030000}"/>
    <cellStyle name="Comma 3 10 2 3" xfId="826" xr:uid="{00000000-0005-0000-0000-000025030000}"/>
    <cellStyle name="Comma 3 10 3" xfId="827" xr:uid="{00000000-0005-0000-0000-000026030000}"/>
    <cellStyle name="Comma 3 100" xfId="828" xr:uid="{00000000-0005-0000-0000-000027030000}"/>
    <cellStyle name="Comma 3 101" xfId="829" xr:uid="{00000000-0005-0000-0000-000028030000}"/>
    <cellStyle name="Comma 3 102" xfId="830" xr:uid="{00000000-0005-0000-0000-000029030000}"/>
    <cellStyle name="Comma 3 103" xfId="831" xr:uid="{00000000-0005-0000-0000-00002A030000}"/>
    <cellStyle name="Comma 3 104" xfId="832" xr:uid="{00000000-0005-0000-0000-00002B030000}"/>
    <cellStyle name="Comma 3 105" xfId="833" xr:uid="{00000000-0005-0000-0000-00002C030000}"/>
    <cellStyle name="Comma 3 106" xfId="834" xr:uid="{00000000-0005-0000-0000-00002D030000}"/>
    <cellStyle name="Comma 3 107" xfId="835" xr:uid="{00000000-0005-0000-0000-00002E030000}"/>
    <cellStyle name="Comma 3 108" xfId="836" xr:uid="{00000000-0005-0000-0000-00002F030000}"/>
    <cellStyle name="Comma 3 109" xfId="837" xr:uid="{00000000-0005-0000-0000-000030030000}"/>
    <cellStyle name="Comma 3 11" xfId="838" xr:uid="{00000000-0005-0000-0000-000031030000}"/>
    <cellStyle name="Comma 3 11 2" xfId="839" xr:uid="{00000000-0005-0000-0000-000032030000}"/>
    <cellStyle name="Comma 3 11 2 2" xfId="840" xr:uid="{00000000-0005-0000-0000-000033030000}"/>
    <cellStyle name="Comma 3 11 2 3" xfId="841" xr:uid="{00000000-0005-0000-0000-000034030000}"/>
    <cellStyle name="Comma 3 11 3" xfId="842" xr:uid="{00000000-0005-0000-0000-000035030000}"/>
    <cellStyle name="Comma 3 110" xfId="843" xr:uid="{00000000-0005-0000-0000-000036030000}"/>
    <cellStyle name="Comma 3 111" xfId="844" xr:uid="{00000000-0005-0000-0000-000037030000}"/>
    <cellStyle name="Comma 3 112" xfId="845" xr:uid="{00000000-0005-0000-0000-000038030000}"/>
    <cellStyle name="Comma 3 113" xfId="846" xr:uid="{00000000-0005-0000-0000-000039030000}"/>
    <cellStyle name="Comma 3 114" xfId="847" xr:uid="{00000000-0005-0000-0000-00003A030000}"/>
    <cellStyle name="Comma 3 115" xfId="848" xr:uid="{00000000-0005-0000-0000-00003B030000}"/>
    <cellStyle name="Comma 3 116" xfId="849" xr:uid="{00000000-0005-0000-0000-00003C030000}"/>
    <cellStyle name="Comma 3 117" xfId="850" xr:uid="{00000000-0005-0000-0000-00003D030000}"/>
    <cellStyle name="Comma 3 118" xfId="851" xr:uid="{00000000-0005-0000-0000-00003E030000}"/>
    <cellStyle name="Comma 3 119" xfId="852" xr:uid="{00000000-0005-0000-0000-00003F030000}"/>
    <cellStyle name="Comma 3 12" xfId="853" xr:uid="{00000000-0005-0000-0000-000040030000}"/>
    <cellStyle name="Comma 3 12 2" xfId="854" xr:uid="{00000000-0005-0000-0000-000041030000}"/>
    <cellStyle name="Comma 3 12 2 2" xfId="855" xr:uid="{00000000-0005-0000-0000-000042030000}"/>
    <cellStyle name="Comma 3 12 2 3" xfId="856" xr:uid="{00000000-0005-0000-0000-000043030000}"/>
    <cellStyle name="Comma 3 12 3" xfId="857" xr:uid="{00000000-0005-0000-0000-000044030000}"/>
    <cellStyle name="Comma 3 120" xfId="858" xr:uid="{00000000-0005-0000-0000-000045030000}"/>
    <cellStyle name="Comma 3 121" xfId="859" xr:uid="{00000000-0005-0000-0000-000046030000}"/>
    <cellStyle name="Comma 3 122" xfId="860" xr:uid="{00000000-0005-0000-0000-000047030000}"/>
    <cellStyle name="Comma 3 123" xfId="861" xr:uid="{00000000-0005-0000-0000-000048030000}"/>
    <cellStyle name="Comma 3 124" xfId="862" xr:uid="{00000000-0005-0000-0000-000049030000}"/>
    <cellStyle name="Comma 3 125" xfId="863" xr:uid="{00000000-0005-0000-0000-00004A030000}"/>
    <cellStyle name="Comma 3 126" xfId="864" xr:uid="{00000000-0005-0000-0000-00004B030000}"/>
    <cellStyle name="Comma 3 127" xfId="865" xr:uid="{00000000-0005-0000-0000-00004C030000}"/>
    <cellStyle name="Comma 3 128" xfId="866" xr:uid="{00000000-0005-0000-0000-00004D030000}"/>
    <cellStyle name="Comma 3 129" xfId="867" xr:uid="{00000000-0005-0000-0000-00004E030000}"/>
    <cellStyle name="Comma 3 13" xfId="868" xr:uid="{00000000-0005-0000-0000-00004F030000}"/>
    <cellStyle name="Comma 3 13 2" xfId="869" xr:uid="{00000000-0005-0000-0000-000050030000}"/>
    <cellStyle name="Comma 3 13 2 2" xfId="870" xr:uid="{00000000-0005-0000-0000-000051030000}"/>
    <cellStyle name="Comma 3 13 2 3" xfId="871" xr:uid="{00000000-0005-0000-0000-000052030000}"/>
    <cellStyle name="Comma 3 13 3" xfId="872" xr:uid="{00000000-0005-0000-0000-000053030000}"/>
    <cellStyle name="Comma 3 130" xfId="873" xr:uid="{00000000-0005-0000-0000-000054030000}"/>
    <cellStyle name="Comma 3 131" xfId="874" xr:uid="{00000000-0005-0000-0000-000055030000}"/>
    <cellStyle name="Comma 3 132" xfId="875" xr:uid="{00000000-0005-0000-0000-000056030000}"/>
    <cellStyle name="Comma 3 133" xfId="876" xr:uid="{00000000-0005-0000-0000-000057030000}"/>
    <cellStyle name="Comma 3 134" xfId="877" xr:uid="{00000000-0005-0000-0000-000058030000}"/>
    <cellStyle name="Comma 3 135" xfId="878" xr:uid="{00000000-0005-0000-0000-000059030000}"/>
    <cellStyle name="Comma 3 136" xfId="879" xr:uid="{00000000-0005-0000-0000-00005A030000}"/>
    <cellStyle name="Comma 3 137" xfId="880" xr:uid="{00000000-0005-0000-0000-00005B030000}"/>
    <cellStyle name="Comma 3 138" xfId="881" xr:uid="{00000000-0005-0000-0000-00005C030000}"/>
    <cellStyle name="Comma 3 139" xfId="882" xr:uid="{00000000-0005-0000-0000-00005D030000}"/>
    <cellStyle name="Comma 3 14" xfId="883" xr:uid="{00000000-0005-0000-0000-00005E030000}"/>
    <cellStyle name="Comma 3 14 2" xfId="884" xr:uid="{00000000-0005-0000-0000-00005F030000}"/>
    <cellStyle name="Comma 3 14 2 2" xfId="885" xr:uid="{00000000-0005-0000-0000-000060030000}"/>
    <cellStyle name="Comma 3 14 2 3" xfId="886" xr:uid="{00000000-0005-0000-0000-000061030000}"/>
    <cellStyle name="Comma 3 14 3" xfId="887" xr:uid="{00000000-0005-0000-0000-000062030000}"/>
    <cellStyle name="Comma 3 140" xfId="888" xr:uid="{00000000-0005-0000-0000-000063030000}"/>
    <cellStyle name="Comma 3 141" xfId="889" xr:uid="{00000000-0005-0000-0000-000064030000}"/>
    <cellStyle name="Comma 3 142" xfId="890" xr:uid="{00000000-0005-0000-0000-000065030000}"/>
    <cellStyle name="Comma 3 143" xfId="891" xr:uid="{00000000-0005-0000-0000-000066030000}"/>
    <cellStyle name="Comma 3 144" xfId="892" xr:uid="{00000000-0005-0000-0000-000067030000}"/>
    <cellStyle name="Comma 3 145" xfId="893" xr:uid="{00000000-0005-0000-0000-000068030000}"/>
    <cellStyle name="Comma 3 146" xfId="894" xr:uid="{00000000-0005-0000-0000-000069030000}"/>
    <cellStyle name="Comma 3 147" xfId="895" xr:uid="{00000000-0005-0000-0000-00006A030000}"/>
    <cellStyle name="Comma 3 148" xfId="896" xr:uid="{00000000-0005-0000-0000-00006B030000}"/>
    <cellStyle name="Comma 3 149" xfId="897" xr:uid="{00000000-0005-0000-0000-00006C030000}"/>
    <cellStyle name="Comma 3 15" xfId="898" xr:uid="{00000000-0005-0000-0000-00006D030000}"/>
    <cellStyle name="Comma 3 15 2" xfId="899" xr:uid="{00000000-0005-0000-0000-00006E030000}"/>
    <cellStyle name="Comma 3 15 2 2" xfId="900" xr:uid="{00000000-0005-0000-0000-00006F030000}"/>
    <cellStyle name="Comma 3 15 2 3" xfId="901" xr:uid="{00000000-0005-0000-0000-000070030000}"/>
    <cellStyle name="Comma 3 15 3" xfId="902" xr:uid="{00000000-0005-0000-0000-000071030000}"/>
    <cellStyle name="Comma 3 150" xfId="903" xr:uid="{00000000-0005-0000-0000-000072030000}"/>
    <cellStyle name="Comma 3 151" xfId="904" xr:uid="{00000000-0005-0000-0000-000073030000}"/>
    <cellStyle name="Comma 3 152" xfId="905" xr:uid="{00000000-0005-0000-0000-000074030000}"/>
    <cellStyle name="Comma 3 16" xfId="906" xr:uid="{00000000-0005-0000-0000-000075030000}"/>
    <cellStyle name="Comma 3 16 2" xfId="907" xr:uid="{00000000-0005-0000-0000-000076030000}"/>
    <cellStyle name="Comma 3 16 2 2" xfId="908" xr:uid="{00000000-0005-0000-0000-000077030000}"/>
    <cellStyle name="Comma 3 16 2 3" xfId="909" xr:uid="{00000000-0005-0000-0000-000078030000}"/>
    <cellStyle name="Comma 3 16 3" xfId="910" xr:uid="{00000000-0005-0000-0000-000079030000}"/>
    <cellStyle name="Comma 3 17" xfId="911" xr:uid="{00000000-0005-0000-0000-00007A030000}"/>
    <cellStyle name="Comma 3 17 2" xfId="912" xr:uid="{00000000-0005-0000-0000-00007B030000}"/>
    <cellStyle name="Comma 3 17 2 2" xfId="913" xr:uid="{00000000-0005-0000-0000-00007C030000}"/>
    <cellStyle name="Comma 3 17 2 3" xfId="914" xr:uid="{00000000-0005-0000-0000-00007D030000}"/>
    <cellStyle name="Comma 3 17 3" xfId="915" xr:uid="{00000000-0005-0000-0000-00007E030000}"/>
    <cellStyle name="Comma 3 18" xfId="916" xr:uid="{00000000-0005-0000-0000-00007F030000}"/>
    <cellStyle name="Comma 3 18 2" xfId="917" xr:uid="{00000000-0005-0000-0000-000080030000}"/>
    <cellStyle name="Comma 3 18 2 2" xfId="918" xr:uid="{00000000-0005-0000-0000-000081030000}"/>
    <cellStyle name="Comma 3 18 2 3" xfId="919" xr:uid="{00000000-0005-0000-0000-000082030000}"/>
    <cellStyle name="Comma 3 18 3" xfId="920" xr:uid="{00000000-0005-0000-0000-000083030000}"/>
    <cellStyle name="Comma 3 19" xfId="921" xr:uid="{00000000-0005-0000-0000-000084030000}"/>
    <cellStyle name="Comma 3 19 2" xfId="922" xr:uid="{00000000-0005-0000-0000-000085030000}"/>
    <cellStyle name="Comma 3 19 3" xfId="923" xr:uid="{00000000-0005-0000-0000-000086030000}"/>
    <cellStyle name="Comma 3 19 4" xfId="924" xr:uid="{00000000-0005-0000-0000-000087030000}"/>
    <cellStyle name="Comma 3 2" xfId="925" xr:uid="{00000000-0005-0000-0000-000088030000}"/>
    <cellStyle name="Comma 3 2 10" xfId="926" xr:uid="{00000000-0005-0000-0000-000089030000}"/>
    <cellStyle name="Comma 3 2 10 2" xfId="927" xr:uid="{00000000-0005-0000-0000-00008A030000}"/>
    <cellStyle name="Comma 3 2 11" xfId="928" xr:uid="{00000000-0005-0000-0000-00008B030000}"/>
    <cellStyle name="Comma 3 2 11 2" xfId="929" xr:uid="{00000000-0005-0000-0000-00008C030000}"/>
    <cellStyle name="Comma 3 2 12" xfId="930" xr:uid="{00000000-0005-0000-0000-00008D030000}"/>
    <cellStyle name="Comma 3 2 12 2" xfId="931" xr:uid="{00000000-0005-0000-0000-00008E030000}"/>
    <cellStyle name="Comma 3 2 12 2 2" xfId="932" xr:uid="{00000000-0005-0000-0000-00008F030000}"/>
    <cellStyle name="Comma 3 2 12 3" xfId="933" xr:uid="{00000000-0005-0000-0000-000090030000}"/>
    <cellStyle name="Comma 3 2 13" xfId="934" xr:uid="{00000000-0005-0000-0000-000091030000}"/>
    <cellStyle name="Comma 3 2 13 2" xfId="935" xr:uid="{00000000-0005-0000-0000-000092030000}"/>
    <cellStyle name="Comma 3 2 14" xfId="936" xr:uid="{00000000-0005-0000-0000-000093030000}"/>
    <cellStyle name="Comma 3 2 14 2" xfId="937" xr:uid="{00000000-0005-0000-0000-000094030000}"/>
    <cellStyle name="Comma 3 2 14 2 2" xfId="938" xr:uid="{00000000-0005-0000-0000-000095030000}"/>
    <cellStyle name="Comma 3 2 14 3" xfId="939" xr:uid="{00000000-0005-0000-0000-000096030000}"/>
    <cellStyle name="Comma 3 2 15" xfId="940" xr:uid="{00000000-0005-0000-0000-000097030000}"/>
    <cellStyle name="Comma 3 2 15 2" xfId="941" xr:uid="{00000000-0005-0000-0000-000098030000}"/>
    <cellStyle name="Comma 3 2 15 2 2" xfId="942" xr:uid="{00000000-0005-0000-0000-000099030000}"/>
    <cellStyle name="Comma 3 2 15 3" xfId="943" xr:uid="{00000000-0005-0000-0000-00009A030000}"/>
    <cellStyle name="Comma 3 2 16" xfId="944" xr:uid="{00000000-0005-0000-0000-00009B030000}"/>
    <cellStyle name="Comma 3 2 16 2" xfId="945" xr:uid="{00000000-0005-0000-0000-00009C030000}"/>
    <cellStyle name="Comma 3 2 16 2 2" xfId="946" xr:uid="{00000000-0005-0000-0000-00009D030000}"/>
    <cellStyle name="Comma 3 2 16 3" xfId="947" xr:uid="{00000000-0005-0000-0000-00009E030000}"/>
    <cellStyle name="Comma 3 2 17" xfId="948" xr:uid="{00000000-0005-0000-0000-00009F030000}"/>
    <cellStyle name="Comma 3 2 17 2" xfId="949" xr:uid="{00000000-0005-0000-0000-0000A0030000}"/>
    <cellStyle name="Comma 3 2 17 2 2" xfId="950" xr:uid="{00000000-0005-0000-0000-0000A1030000}"/>
    <cellStyle name="Comma 3 2 17 3" xfId="951" xr:uid="{00000000-0005-0000-0000-0000A2030000}"/>
    <cellStyle name="Comma 3 2 18" xfId="952" xr:uid="{00000000-0005-0000-0000-0000A3030000}"/>
    <cellStyle name="Comma 3 2 19" xfId="953" xr:uid="{00000000-0005-0000-0000-0000A4030000}"/>
    <cellStyle name="Comma 3 2 2" xfId="954" xr:uid="{00000000-0005-0000-0000-0000A5030000}"/>
    <cellStyle name="Comma 3 2 2 10" xfId="955" xr:uid="{00000000-0005-0000-0000-0000A6030000}"/>
    <cellStyle name="Comma 3 2 2 11" xfId="956" xr:uid="{00000000-0005-0000-0000-0000A7030000}"/>
    <cellStyle name="Comma 3 2 2 12" xfId="957" xr:uid="{00000000-0005-0000-0000-0000A8030000}"/>
    <cellStyle name="Comma 3 2 2 13" xfId="958" xr:uid="{00000000-0005-0000-0000-0000A9030000}"/>
    <cellStyle name="Comma 3 2 2 14" xfId="959" xr:uid="{00000000-0005-0000-0000-0000AA030000}"/>
    <cellStyle name="Comma 3 2 2 15" xfId="960" xr:uid="{00000000-0005-0000-0000-0000AB030000}"/>
    <cellStyle name="Comma 3 2 2 16" xfId="961" xr:uid="{00000000-0005-0000-0000-0000AC030000}"/>
    <cellStyle name="Comma 3 2 2 17" xfId="962" xr:uid="{00000000-0005-0000-0000-0000AD030000}"/>
    <cellStyle name="Comma 3 2 2 18" xfId="963" xr:uid="{00000000-0005-0000-0000-0000AE030000}"/>
    <cellStyle name="Comma 3 2 2 18 2" xfId="964" xr:uid="{00000000-0005-0000-0000-0000AF030000}"/>
    <cellStyle name="Comma 3 2 2 19" xfId="965" xr:uid="{00000000-0005-0000-0000-0000B0030000}"/>
    <cellStyle name="Comma 3 2 2 2" xfId="966" xr:uid="{00000000-0005-0000-0000-0000B1030000}"/>
    <cellStyle name="Comma 3 2 2 2 10" xfId="967" xr:uid="{00000000-0005-0000-0000-0000B2030000}"/>
    <cellStyle name="Comma 3 2 2 2 10 2" xfId="968" xr:uid="{00000000-0005-0000-0000-0000B3030000}"/>
    <cellStyle name="Comma 3 2 2 2 10 2 2" xfId="969" xr:uid="{00000000-0005-0000-0000-0000B4030000}"/>
    <cellStyle name="Comma 3 2 2 2 10 3" xfId="970" xr:uid="{00000000-0005-0000-0000-0000B5030000}"/>
    <cellStyle name="Comma 3 2 2 2 11" xfId="971" xr:uid="{00000000-0005-0000-0000-0000B6030000}"/>
    <cellStyle name="Comma 3 2 2 2 11 2" xfId="972" xr:uid="{00000000-0005-0000-0000-0000B7030000}"/>
    <cellStyle name="Comma 3 2 2 2 11 2 2" xfId="973" xr:uid="{00000000-0005-0000-0000-0000B8030000}"/>
    <cellStyle name="Comma 3 2 2 2 11 3" xfId="974" xr:uid="{00000000-0005-0000-0000-0000B9030000}"/>
    <cellStyle name="Comma 3 2 2 2 12" xfId="975" xr:uid="{00000000-0005-0000-0000-0000BA030000}"/>
    <cellStyle name="Comma 3 2 2 2 12 2" xfId="976" xr:uid="{00000000-0005-0000-0000-0000BB030000}"/>
    <cellStyle name="Comma 3 2 2 2 12 2 2" xfId="977" xr:uid="{00000000-0005-0000-0000-0000BC030000}"/>
    <cellStyle name="Comma 3 2 2 2 12 3" xfId="978" xr:uid="{00000000-0005-0000-0000-0000BD030000}"/>
    <cellStyle name="Comma 3 2 2 2 13" xfId="979" xr:uid="{00000000-0005-0000-0000-0000BE030000}"/>
    <cellStyle name="Comma 3 2 2 2 13 2" xfId="980" xr:uid="{00000000-0005-0000-0000-0000BF030000}"/>
    <cellStyle name="Comma 3 2 2 2 13 2 2" xfId="981" xr:uid="{00000000-0005-0000-0000-0000C0030000}"/>
    <cellStyle name="Comma 3 2 2 2 13 3" xfId="982" xr:uid="{00000000-0005-0000-0000-0000C1030000}"/>
    <cellStyle name="Comma 3 2 2 2 14" xfId="983" xr:uid="{00000000-0005-0000-0000-0000C2030000}"/>
    <cellStyle name="Comma 3 2 2 2 14 2" xfId="984" xr:uid="{00000000-0005-0000-0000-0000C3030000}"/>
    <cellStyle name="Comma 3 2 2 2 14 2 2" xfId="985" xr:uid="{00000000-0005-0000-0000-0000C4030000}"/>
    <cellStyle name="Comma 3 2 2 2 14 3" xfId="986" xr:uid="{00000000-0005-0000-0000-0000C5030000}"/>
    <cellStyle name="Comma 3 2 2 2 15" xfId="987" xr:uid="{00000000-0005-0000-0000-0000C6030000}"/>
    <cellStyle name="Comma 3 2 2 2 15 2" xfId="988" xr:uid="{00000000-0005-0000-0000-0000C7030000}"/>
    <cellStyle name="Comma 3 2 2 2 15 2 2" xfId="989" xr:uid="{00000000-0005-0000-0000-0000C8030000}"/>
    <cellStyle name="Comma 3 2 2 2 15 3" xfId="990" xr:uid="{00000000-0005-0000-0000-0000C9030000}"/>
    <cellStyle name="Comma 3 2 2 2 16" xfId="991" xr:uid="{00000000-0005-0000-0000-0000CA030000}"/>
    <cellStyle name="Comma 3 2 2 2 16 2" xfId="992" xr:uid="{00000000-0005-0000-0000-0000CB030000}"/>
    <cellStyle name="Comma 3 2 2 2 16 2 2" xfId="993" xr:uid="{00000000-0005-0000-0000-0000CC030000}"/>
    <cellStyle name="Comma 3 2 2 2 16 3" xfId="994" xr:uid="{00000000-0005-0000-0000-0000CD030000}"/>
    <cellStyle name="Comma 3 2 2 2 17" xfId="995" xr:uid="{00000000-0005-0000-0000-0000CE030000}"/>
    <cellStyle name="Comma 3 2 2 2 17 2" xfId="996" xr:uid="{00000000-0005-0000-0000-0000CF030000}"/>
    <cellStyle name="Comma 3 2 2 2 17 2 2" xfId="997" xr:uid="{00000000-0005-0000-0000-0000D0030000}"/>
    <cellStyle name="Comma 3 2 2 2 17 3" xfId="998" xr:uid="{00000000-0005-0000-0000-0000D1030000}"/>
    <cellStyle name="Comma 3 2 2 2 2" xfId="999" xr:uid="{00000000-0005-0000-0000-0000D2030000}"/>
    <cellStyle name="Comma 3 2 2 2 2 2" xfId="1000" xr:uid="{00000000-0005-0000-0000-0000D3030000}"/>
    <cellStyle name="Comma 3 2 2 2 2 2 2" xfId="1001" xr:uid="{00000000-0005-0000-0000-0000D4030000}"/>
    <cellStyle name="Comma 3 2 2 2 2 2 2 2" xfId="1002" xr:uid="{00000000-0005-0000-0000-0000D5030000}"/>
    <cellStyle name="Comma 3 2 2 2 2 2 2 2 2" xfId="1003" xr:uid="{00000000-0005-0000-0000-0000D6030000}"/>
    <cellStyle name="Comma 3 2 2 2 2 2 2 3" xfId="1004" xr:uid="{00000000-0005-0000-0000-0000D7030000}"/>
    <cellStyle name="Comma 3 2 2 2 2 2 3" xfId="1005" xr:uid="{00000000-0005-0000-0000-0000D8030000}"/>
    <cellStyle name="Comma 3 2 2 2 2 2 3 2" xfId="1006" xr:uid="{00000000-0005-0000-0000-0000D9030000}"/>
    <cellStyle name="Comma 3 2 2 2 2 2 3 2 2" xfId="1007" xr:uid="{00000000-0005-0000-0000-0000DA030000}"/>
    <cellStyle name="Comma 3 2 2 2 2 2 3 3" xfId="1008" xr:uid="{00000000-0005-0000-0000-0000DB030000}"/>
    <cellStyle name="Comma 3 2 2 2 2 2 4" xfId="1009" xr:uid="{00000000-0005-0000-0000-0000DC030000}"/>
    <cellStyle name="Comma 3 2 2 2 2 2 4 2" xfId="1010" xr:uid="{00000000-0005-0000-0000-0000DD030000}"/>
    <cellStyle name="Comma 3 2 2 2 2 2 4 2 2" xfId="1011" xr:uid="{00000000-0005-0000-0000-0000DE030000}"/>
    <cellStyle name="Comma 3 2 2 2 2 2 4 3" xfId="1012" xr:uid="{00000000-0005-0000-0000-0000DF030000}"/>
    <cellStyle name="Comma 3 2 2 2 2 2 5" xfId="1013" xr:uid="{00000000-0005-0000-0000-0000E0030000}"/>
    <cellStyle name="Comma 3 2 2 2 2 2 5 2" xfId="1014" xr:uid="{00000000-0005-0000-0000-0000E1030000}"/>
    <cellStyle name="Comma 3 2 2 2 2 2 5 2 2" xfId="1015" xr:uid="{00000000-0005-0000-0000-0000E2030000}"/>
    <cellStyle name="Comma 3 2 2 2 2 2 5 3" xfId="1016" xr:uid="{00000000-0005-0000-0000-0000E3030000}"/>
    <cellStyle name="Comma 3 2 2 2 2 3" xfId="1017" xr:uid="{00000000-0005-0000-0000-0000E4030000}"/>
    <cellStyle name="Comma 3 2 2 2 2 4" xfId="1018" xr:uid="{00000000-0005-0000-0000-0000E5030000}"/>
    <cellStyle name="Comma 3 2 2 2 2 5" xfId="1019" xr:uid="{00000000-0005-0000-0000-0000E6030000}"/>
    <cellStyle name="Comma 3 2 2 2 2 6" xfId="1020" xr:uid="{00000000-0005-0000-0000-0000E7030000}"/>
    <cellStyle name="Comma 3 2 2 2 2 6 2" xfId="1021" xr:uid="{00000000-0005-0000-0000-0000E8030000}"/>
    <cellStyle name="Comma 3 2 2 2 2 7" xfId="1022" xr:uid="{00000000-0005-0000-0000-0000E9030000}"/>
    <cellStyle name="Comma 3 2 2 2 3" xfId="1023" xr:uid="{00000000-0005-0000-0000-0000EA030000}"/>
    <cellStyle name="Comma 3 2 2 2 3 2" xfId="1024" xr:uid="{00000000-0005-0000-0000-0000EB030000}"/>
    <cellStyle name="Comma 3 2 2 2 3 2 2" xfId="1025" xr:uid="{00000000-0005-0000-0000-0000EC030000}"/>
    <cellStyle name="Comma 3 2 2 2 3 3" xfId="1026" xr:uid="{00000000-0005-0000-0000-0000ED030000}"/>
    <cellStyle name="Comma 3 2 2 2 4" xfId="1027" xr:uid="{00000000-0005-0000-0000-0000EE030000}"/>
    <cellStyle name="Comma 3 2 2 2 4 2" xfId="1028" xr:uid="{00000000-0005-0000-0000-0000EF030000}"/>
    <cellStyle name="Comma 3 2 2 2 4 2 2" xfId="1029" xr:uid="{00000000-0005-0000-0000-0000F0030000}"/>
    <cellStyle name="Comma 3 2 2 2 4 3" xfId="1030" xr:uid="{00000000-0005-0000-0000-0000F1030000}"/>
    <cellStyle name="Comma 3 2 2 2 5" xfId="1031" xr:uid="{00000000-0005-0000-0000-0000F2030000}"/>
    <cellStyle name="Comma 3 2 2 2 5 2" xfId="1032" xr:uid="{00000000-0005-0000-0000-0000F3030000}"/>
    <cellStyle name="Comma 3 2 2 2 5 2 2" xfId="1033" xr:uid="{00000000-0005-0000-0000-0000F4030000}"/>
    <cellStyle name="Comma 3 2 2 2 5 3" xfId="1034" xr:uid="{00000000-0005-0000-0000-0000F5030000}"/>
    <cellStyle name="Comma 3 2 2 2 6" xfId="1035" xr:uid="{00000000-0005-0000-0000-0000F6030000}"/>
    <cellStyle name="Comma 3 2 2 2 6 2" xfId="1036" xr:uid="{00000000-0005-0000-0000-0000F7030000}"/>
    <cellStyle name="Comma 3 2 2 2 6 2 2" xfId="1037" xr:uid="{00000000-0005-0000-0000-0000F8030000}"/>
    <cellStyle name="Comma 3 2 2 2 6 3" xfId="1038" xr:uid="{00000000-0005-0000-0000-0000F9030000}"/>
    <cellStyle name="Comma 3 2 2 2 7" xfId="1039" xr:uid="{00000000-0005-0000-0000-0000FA030000}"/>
    <cellStyle name="Comma 3 2 2 2 7 2" xfId="1040" xr:uid="{00000000-0005-0000-0000-0000FB030000}"/>
    <cellStyle name="Comma 3 2 2 2 7 2 2" xfId="1041" xr:uid="{00000000-0005-0000-0000-0000FC030000}"/>
    <cellStyle name="Comma 3 2 2 2 7 3" xfId="1042" xr:uid="{00000000-0005-0000-0000-0000FD030000}"/>
    <cellStyle name="Comma 3 2 2 2 8" xfId="1043" xr:uid="{00000000-0005-0000-0000-0000FE030000}"/>
    <cellStyle name="Comma 3 2 2 2 8 2" xfId="1044" xr:uid="{00000000-0005-0000-0000-0000FF030000}"/>
    <cellStyle name="Comma 3 2 2 2 8 2 2" xfId="1045" xr:uid="{00000000-0005-0000-0000-000000040000}"/>
    <cellStyle name="Comma 3 2 2 2 8 3" xfId="1046" xr:uid="{00000000-0005-0000-0000-000001040000}"/>
    <cellStyle name="Comma 3 2 2 2 9" xfId="1047" xr:uid="{00000000-0005-0000-0000-000002040000}"/>
    <cellStyle name="Comma 3 2 2 2 9 2" xfId="1048" xr:uid="{00000000-0005-0000-0000-000003040000}"/>
    <cellStyle name="Comma 3 2 2 2 9 2 2" xfId="1049" xr:uid="{00000000-0005-0000-0000-000004040000}"/>
    <cellStyle name="Comma 3 2 2 2 9 3" xfId="1050" xr:uid="{00000000-0005-0000-0000-000005040000}"/>
    <cellStyle name="Comma 3 2 2 3" xfId="1051" xr:uid="{00000000-0005-0000-0000-000006040000}"/>
    <cellStyle name="Comma 3 2 2 4" xfId="1052" xr:uid="{00000000-0005-0000-0000-000007040000}"/>
    <cellStyle name="Comma 3 2 2 5" xfId="1053" xr:uid="{00000000-0005-0000-0000-000008040000}"/>
    <cellStyle name="Comma 3 2 2 6" xfId="1054" xr:uid="{00000000-0005-0000-0000-000009040000}"/>
    <cellStyle name="Comma 3 2 2 7" xfId="1055" xr:uid="{00000000-0005-0000-0000-00000A040000}"/>
    <cellStyle name="Comma 3 2 2 8" xfId="1056" xr:uid="{00000000-0005-0000-0000-00000B040000}"/>
    <cellStyle name="Comma 3 2 2 9" xfId="1057" xr:uid="{00000000-0005-0000-0000-00000C040000}"/>
    <cellStyle name="Comma 3 2 20" xfId="1058" xr:uid="{00000000-0005-0000-0000-00000D040000}"/>
    <cellStyle name="Comma 3 2 3" xfId="1059" xr:uid="{00000000-0005-0000-0000-00000E040000}"/>
    <cellStyle name="Comma 3 2 3 2" xfId="1060" xr:uid="{00000000-0005-0000-0000-00000F040000}"/>
    <cellStyle name="Comma 3 2 4" xfId="1061" xr:uid="{00000000-0005-0000-0000-000010040000}"/>
    <cellStyle name="Comma 3 2 4 2" xfId="1062" xr:uid="{00000000-0005-0000-0000-000011040000}"/>
    <cellStyle name="Comma 3 2 5" xfId="1063" xr:uid="{00000000-0005-0000-0000-000012040000}"/>
    <cellStyle name="Comma 3 2 5 2" xfId="1064" xr:uid="{00000000-0005-0000-0000-000013040000}"/>
    <cellStyle name="Comma 3 2 6" xfId="1065" xr:uid="{00000000-0005-0000-0000-000014040000}"/>
    <cellStyle name="Comma 3 2 6 2" xfId="1066" xr:uid="{00000000-0005-0000-0000-000015040000}"/>
    <cellStyle name="Comma 3 2 7" xfId="1067" xr:uid="{00000000-0005-0000-0000-000016040000}"/>
    <cellStyle name="Comma 3 2 7 2" xfId="1068" xr:uid="{00000000-0005-0000-0000-000017040000}"/>
    <cellStyle name="Comma 3 2 8" xfId="1069" xr:uid="{00000000-0005-0000-0000-000018040000}"/>
    <cellStyle name="Comma 3 2 8 2" xfId="1070" xr:uid="{00000000-0005-0000-0000-000019040000}"/>
    <cellStyle name="Comma 3 2 9" xfId="1071" xr:uid="{00000000-0005-0000-0000-00001A040000}"/>
    <cellStyle name="Comma 3 2 9 2" xfId="1072" xr:uid="{00000000-0005-0000-0000-00001B040000}"/>
    <cellStyle name="Comma 3 20" xfId="1073" xr:uid="{00000000-0005-0000-0000-00001C040000}"/>
    <cellStyle name="Comma 3 20 2" xfId="1074" xr:uid="{00000000-0005-0000-0000-00001D040000}"/>
    <cellStyle name="Comma 3 21" xfId="1075" xr:uid="{00000000-0005-0000-0000-00001E040000}"/>
    <cellStyle name="Comma 3 21 2" xfId="1076" xr:uid="{00000000-0005-0000-0000-00001F040000}"/>
    <cellStyle name="Comma 3 22" xfId="1077" xr:uid="{00000000-0005-0000-0000-000020040000}"/>
    <cellStyle name="Comma 3 22 2" xfId="1078" xr:uid="{00000000-0005-0000-0000-000021040000}"/>
    <cellStyle name="Comma 3 23" xfId="1079" xr:uid="{00000000-0005-0000-0000-000022040000}"/>
    <cellStyle name="Comma 3 23 2" xfId="1080" xr:uid="{00000000-0005-0000-0000-000023040000}"/>
    <cellStyle name="Comma 3 24" xfId="1081" xr:uid="{00000000-0005-0000-0000-000024040000}"/>
    <cellStyle name="Comma 3 24 2" xfId="1082" xr:uid="{00000000-0005-0000-0000-000025040000}"/>
    <cellStyle name="Comma 3 25" xfId="1083" xr:uid="{00000000-0005-0000-0000-000026040000}"/>
    <cellStyle name="Comma 3 25 2" xfId="1084" xr:uid="{00000000-0005-0000-0000-000027040000}"/>
    <cellStyle name="Comma 3 26" xfId="1085" xr:uid="{00000000-0005-0000-0000-000028040000}"/>
    <cellStyle name="Comma 3 26 2" xfId="1086" xr:uid="{00000000-0005-0000-0000-000029040000}"/>
    <cellStyle name="Comma 3 27" xfId="1087" xr:uid="{00000000-0005-0000-0000-00002A040000}"/>
    <cellStyle name="Comma 3 27 2" xfId="1088" xr:uid="{00000000-0005-0000-0000-00002B040000}"/>
    <cellStyle name="Comma 3 28" xfId="1089" xr:uid="{00000000-0005-0000-0000-00002C040000}"/>
    <cellStyle name="Comma 3 28 2" xfId="1090" xr:uid="{00000000-0005-0000-0000-00002D040000}"/>
    <cellStyle name="Comma 3 29" xfId="1091" xr:uid="{00000000-0005-0000-0000-00002E040000}"/>
    <cellStyle name="Comma 3 29 2" xfId="1092" xr:uid="{00000000-0005-0000-0000-00002F040000}"/>
    <cellStyle name="Comma 3 3" xfId="1093" xr:uid="{00000000-0005-0000-0000-000030040000}"/>
    <cellStyle name="Comma 3 3 2" xfId="1094" xr:uid="{00000000-0005-0000-0000-000031040000}"/>
    <cellStyle name="Comma 3 3 2 2" xfId="1095" xr:uid="{00000000-0005-0000-0000-000032040000}"/>
    <cellStyle name="Comma 3 3 2 2 2" xfId="1096" xr:uid="{00000000-0005-0000-0000-000033040000}"/>
    <cellStyle name="Comma 3 3 2 3" xfId="1097" xr:uid="{00000000-0005-0000-0000-000034040000}"/>
    <cellStyle name="Comma 3 3 2 4" xfId="1098" xr:uid="{00000000-0005-0000-0000-000035040000}"/>
    <cellStyle name="Comma 3 3 2 5" xfId="1099" xr:uid="{00000000-0005-0000-0000-000036040000}"/>
    <cellStyle name="Comma 3 3 3" xfId="1100" xr:uid="{00000000-0005-0000-0000-000037040000}"/>
    <cellStyle name="Comma 3 3 4" xfId="1101" xr:uid="{00000000-0005-0000-0000-000038040000}"/>
    <cellStyle name="Comma 3 3 5" xfId="1102" xr:uid="{00000000-0005-0000-0000-000039040000}"/>
    <cellStyle name="Comma 3 3 6" xfId="1103" xr:uid="{00000000-0005-0000-0000-00003A040000}"/>
    <cellStyle name="Comma 3 30" xfId="1104" xr:uid="{00000000-0005-0000-0000-00003B040000}"/>
    <cellStyle name="Comma 3 30 2" xfId="1105" xr:uid="{00000000-0005-0000-0000-00003C040000}"/>
    <cellStyle name="Comma 3 31" xfId="1106" xr:uid="{00000000-0005-0000-0000-00003D040000}"/>
    <cellStyle name="Comma 3 31 2" xfId="1107" xr:uid="{00000000-0005-0000-0000-00003E040000}"/>
    <cellStyle name="Comma 3 32" xfId="1108" xr:uid="{00000000-0005-0000-0000-00003F040000}"/>
    <cellStyle name="Comma 3 32 2" xfId="1109" xr:uid="{00000000-0005-0000-0000-000040040000}"/>
    <cellStyle name="Comma 3 33" xfId="1110" xr:uid="{00000000-0005-0000-0000-000041040000}"/>
    <cellStyle name="Comma 3 33 2" xfId="1111" xr:uid="{00000000-0005-0000-0000-000042040000}"/>
    <cellStyle name="Comma 3 34" xfId="1112" xr:uid="{00000000-0005-0000-0000-000043040000}"/>
    <cellStyle name="Comma 3 34 2" xfId="1113" xr:uid="{00000000-0005-0000-0000-000044040000}"/>
    <cellStyle name="Comma 3 35" xfId="1114" xr:uid="{00000000-0005-0000-0000-000045040000}"/>
    <cellStyle name="Comma 3 35 2" xfId="1115" xr:uid="{00000000-0005-0000-0000-000046040000}"/>
    <cellStyle name="Comma 3 36" xfId="1116" xr:uid="{00000000-0005-0000-0000-000047040000}"/>
    <cellStyle name="Comma 3 36 2" xfId="1117" xr:uid="{00000000-0005-0000-0000-000048040000}"/>
    <cellStyle name="Comma 3 37" xfId="1118" xr:uid="{00000000-0005-0000-0000-000049040000}"/>
    <cellStyle name="Comma 3 37 2" xfId="1119" xr:uid="{00000000-0005-0000-0000-00004A040000}"/>
    <cellStyle name="Comma 3 38" xfId="1120" xr:uid="{00000000-0005-0000-0000-00004B040000}"/>
    <cellStyle name="Comma 3 38 2" xfId="1121" xr:uid="{00000000-0005-0000-0000-00004C040000}"/>
    <cellStyle name="Comma 3 39" xfId="1122" xr:uid="{00000000-0005-0000-0000-00004D040000}"/>
    <cellStyle name="Comma 3 39 2" xfId="1123" xr:uid="{00000000-0005-0000-0000-00004E040000}"/>
    <cellStyle name="Comma 3 4" xfId="1124" xr:uid="{00000000-0005-0000-0000-00004F040000}"/>
    <cellStyle name="Comma 3 4 2" xfId="1125" xr:uid="{00000000-0005-0000-0000-000050040000}"/>
    <cellStyle name="Comma 3 4 2 2" xfId="1126" xr:uid="{00000000-0005-0000-0000-000051040000}"/>
    <cellStyle name="Comma 3 4 2 3" xfId="1127" xr:uid="{00000000-0005-0000-0000-000052040000}"/>
    <cellStyle name="Comma 3 4 3" xfId="1128" xr:uid="{00000000-0005-0000-0000-000053040000}"/>
    <cellStyle name="Comma 3 40" xfId="1129" xr:uid="{00000000-0005-0000-0000-000054040000}"/>
    <cellStyle name="Comma 3 40 2" xfId="1130" xr:uid="{00000000-0005-0000-0000-000055040000}"/>
    <cellStyle name="Comma 3 41" xfId="1131" xr:uid="{00000000-0005-0000-0000-000056040000}"/>
    <cellStyle name="Comma 3 41 2" xfId="1132" xr:uid="{00000000-0005-0000-0000-000057040000}"/>
    <cellStyle name="Comma 3 42" xfId="1133" xr:uid="{00000000-0005-0000-0000-000058040000}"/>
    <cellStyle name="Comma 3 42 2" xfId="1134" xr:uid="{00000000-0005-0000-0000-000059040000}"/>
    <cellStyle name="Comma 3 43" xfId="1135" xr:uid="{00000000-0005-0000-0000-00005A040000}"/>
    <cellStyle name="Comma 3 43 2" xfId="1136" xr:uid="{00000000-0005-0000-0000-00005B040000}"/>
    <cellStyle name="Comma 3 44" xfId="1137" xr:uid="{00000000-0005-0000-0000-00005C040000}"/>
    <cellStyle name="Comma 3 44 2" xfId="1138" xr:uid="{00000000-0005-0000-0000-00005D040000}"/>
    <cellStyle name="Comma 3 45" xfId="1139" xr:uid="{00000000-0005-0000-0000-00005E040000}"/>
    <cellStyle name="Comma 3 45 2" xfId="1140" xr:uid="{00000000-0005-0000-0000-00005F040000}"/>
    <cellStyle name="Comma 3 46" xfId="1141" xr:uid="{00000000-0005-0000-0000-000060040000}"/>
    <cellStyle name="Comma 3 46 2" xfId="1142" xr:uid="{00000000-0005-0000-0000-000061040000}"/>
    <cellStyle name="Comma 3 47" xfId="1143" xr:uid="{00000000-0005-0000-0000-000062040000}"/>
    <cellStyle name="Comma 3 47 2" xfId="1144" xr:uid="{00000000-0005-0000-0000-000063040000}"/>
    <cellStyle name="Comma 3 48" xfId="1145" xr:uid="{00000000-0005-0000-0000-000064040000}"/>
    <cellStyle name="Comma 3 48 2" xfId="1146" xr:uid="{00000000-0005-0000-0000-000065040000}"/>
    <cellStyle name="Comma 3 49" xfId="1147" xr:uid="{00000000-0005-0000-0000-000066040000}"/>
    <cellStyle name="Comma 3 49 2" xfId="1148" xr:uid="{00000000-0005-0000-0000-000067040000}"/>
    <cellStyle name="Comma 3 5" xfId="1149" xr:uid="{00000000-0005-0000-0000-000068040000}"/>
    <cellStyle name="Comma 3 5 2" xfId="1150" xr:uid="{00000000-0005-0000-0000-000069040000}"/>
    <cellStyle name="Comma 3 5 2 2" xfId="1151" xr:uid="{00000000-0005-0000-0000-00006A040000}"/>
    <cellStyle name="Comma 3 5 2 3" xfId="1152" xr:uid="{00000000-0005-0000-0000-00006B040000}"/>
    <cellStyle name="Comma 3 5 3" xfId="1153" xr:uid="{00000000-0005-0000-0000-00006C040000}"/>
    <cellStyle name="Comma 3 50" xfId="1154" xr:uid="{00000000-0005-0000-0000-00006D040000}"/>
    <cellStyle name="Comma 3 50 2" xfId="1155" xr:uid="{00000000-0005-0000-0000-00006E040000}"/>
    <cellStyle name="Comma 3 51" xfId="1156" xr:uid="{00000000-0005-0000-0000-00006F040000}"/>
    <cellStyle name="Comma 3 51 2" xfId="1157" xr:uid="{00000000-0005-0000-0000-000070040000}"/>
    <cellStyle name="Comma 3 52" xfId="1158" xr:uid="{00000000-0005-0000-0000-000071040000}"/>
    <cellStyle name="Comma 3 52 2" xfId="1159" xr:uid="{00000000-0005-0000-0000-000072040000}"/>
    <cellStyle name="Comma 3 53" xfId="1160" xr:uid="{00000000-0005-0000-0000-000073040000}"/>
    <cellStyle name="Comma 3 53 2" xfId="1161" xr:uid="{00000000-0005-0000-0000-000074040000}"/>
    <cellStyle name="Comma 3 54" xfId="1162" xr:uid="{00000000-0005-0000-0000-000075040000}"/>
    <cellStyle name="Comma 3 54 2" xfId="1163" xr:uid="{00000000-0005-0000-0000-000076040000}"/>
    <cellStyle name="Comma 3 55" xfId="1164" xr:uid="{00000000-0005-0000-0000-000077040000}"/>
    <cellStyle name="Comma 3 55 2" xfId="1165" xr:uid="{00000000-0005-0000-0000-000078040000}"/>
    <cellStyle name="Comma 3 56" xfId="1166" xr:uid="{00000000-0005-0000-0000-000079040000}"/>
    <cellStyle name="Comma 3 56 2" xfId="1167" xr:uid="{00000000-0005-0000-0000-00007A040000}"/>
    <cellStyle name="Comma 3 57" xfId="1168" xr:uid="{00000000-0005-0000-0000-00007B040000}"/>
    <cellStyle name="Comma 3 57 2" xfId="1169" xr:uid="{00000000-0005-0000-0000-00007C040000}"/>
    <cellStyle name="Comma 3 58" xfId="1170" xr:uid="{00000000-0005-0000-0000-00007D040000}"/>
    <cellStyle name="Comma 3 58 2" xfId="1171" xr:uid="{00000000-0005-0000-0000-00007E040000}"/>
    <cellStyle name="Comma 3 59" xfId="1172" xr:uid="{00000000-0005-0000-0000-00007F040000}"/>
    <cellStyle name="Comma 3 59 2" xfId="1173" xr:uid="{00000000-0005-0000-0000-000080040000}"/>
    <cellStyle name="Comma 3 6" xfId="1174" xr:uid="{00000000-0005-0000-0000-000081040000}"/>
    <cellStyle name="Comma 3 6 2" xfId="1175" xr:uid="{00000000-0005-0000-0000-000082040000}"/>
    <cellStyle name="Comma 3 6 2 2" xfId="1176" xr:uid="{00000000-0005-0000-0000-000083040000}"/>
    <cellStyle name="Comma 3 6 2 3" xfId="1177" xr:uid="{00000000-0005-0000-0000-000084040000}"/>
    <cellStyle name="Comma 3 6 3" xfId="1178" xr:uid="{00000000-0005-0000-0000-000085040000}"/>
    <cellStyle name="Comma 3 60" xfId="1179" xr:uid="{00000000-0005-0000-0000-000086040000}"/>
    <cellStyle name="Comma 3 60 2" xfId="1180" xr:uid="{00000000-0005-0000-0000-000087040000}"/>
    <cellStyle name="Comma 3 61" xfId="1181" xr:uid="{00000000-0005-0000-0000-000088040000}"/>
    <cellStyle name="Comma 3 61 2" xfId="1182" xr:uid="{00000000-0005-0000-0000-000089040000}"/>
    <cellStyle name="Comma 3 62" xfId="1183" xr:uid="{00000000-0005-0000-0000-00008A040000}"/>
    <cellStyle name="Comma 3 63" xfId="1184" xr:uid="{00000000-0005-0000-0000-00008B040000}"/>
    <cellStyle name="Comma 3 64" xfId="1185" xr:uid="{00000000-0005-0000-0000-00008C040000}"/>
    <cellStyle name="Comma 3 65" xfId="1186" xr:uid="{00000000-0005-0000-0000-00008D040000}"/>
    <cellStyle name="Comma 3 66" xfId="1187" xr:uid="{00000000-0005-0000-0000-00008E040000}"/>
    <cellStyle name="Comma 3 67" xfId="1188" xr:uid="{00000000-0005-0000-0000-00008F040000}"/>
    <cellStyle name="Comma 3 68" xfId="1189" xr:uid="{00000000-0005-0000-0000-000090040000}"/>
    <cellStyle name="Comma 3 69" xfId="1190" xr:uid="{00000000-0005-0000-0000-000091040000}"/>
    <cellStyle name="Comma 3 7" xfId="1191" xr:uid="{00000000-0005-0000-0000-000092040000}"/>
    <cellStyle name="Comma 3 7 2" xfId="1192" xr:uid="{00000000-0005-0000-0000-000093040000}"/>
    <cellStyle name="Comma 3 7 2 2" xfId="1193" xr:uid="{00000000-0005-0000-0000-000094040000}"/>
    <cellStyle name="Comma 3 7 2 3" xfId="1194" xr:uid="{00000000-0005-0000-0000-000095040000}"/>
    <cellStyle name="Comma 3 7 3" xfId="1195" xr:uid="{00000000-0005-0000-0000-000096040000}"/>
    <cellStyle name="Comma 3 70" xfId="1196" xr:uid="{00000000-0005-0000-0000-000097040000}"/>
    <cellStyle name="Comma 3 71" xfId="1197" xr:uid="{00000000-0005-0000-0000-000098040000}"/>
    <cellStyle name="Comma 3 72" xfId="1198" xr:uid="{00000000-0005-0000-0000-000099040000}"/>
    <cellStyle name="Comma 3 73" xfId="1199" xr:uid="{00000000-0005-0000-0000-00009A040000}"/>
    <cellStyle name="Comma 3 74" xfId="1200" xr:uid="{00000000-0005-0000-0000-00009B040000}"/>
    <cellStyle name="Comma 3 75" xfId="1201" xr:uid="{00000000-0005-0000-0000-00009C040000}"/>
    <cellStyle name="Comma 3 76" xfId="1202" xr:uid="{00000000-0005-0000-0000-00009D040000}"/>
    <cellStyle name="Comma 3 77" xfId="1203" xr:uid="{00000000-0005-0000-0000-00009E040000}"/>
    <cellStyle name="Comma 3 78" xfId="1204" xr:uid="{00000000-0005-0000-0000-00009F040000}"/>
    <cellStyle name="Comma 3 79" xfId="1205" xr:uid="{00000000-0005-0000-0000-0000A0040000}"/>
    <cellStyle name="Comma 3 8" xfId="1206" xr:uid="{00000000-0005-0000-0000-0000A1040000}"/>
    <cellStyle name="Comma 3 8 2" xfId="1207" xr:uid="{00000000-0005-0000-0000-0000A2040000}"/>
    <cellStyle name="Comma 3 8 2 2" xfId="1208" xr:uid="{00000000-0005-0000-0000-0000A3040000}"/>
    <cellStyle name="Comma 3 8 2 3" xfId="1209" xr:uid="{00000000-0005-0000-0000-0000A4040000}"/>
    <cellStyle name="Comma 3 8 3" xfId="1210" xr:uid="{00000000-0005-0000-0000-0000A5040000}"/>
    <cellStyle name="Comma 3 80" xfId="1211" xr:uid="{00000000-0005-0000-0000-0000A6040000}"/>
    <cellStyle name="Comma 3 81" xfId="1212" xr:uid="{00000000-0005-0000-0000-0000A7040000}"/>
    <cellStyle name="Comma 3 82" xfId="1213" xr:uid="{00000000-0005-0000-0000-0000A8040000}"/>
    <cellStyle name="Comma 3 83" xfId="1214" xr:uid="{00000000-0005-0000-0000-0000A9040000}"/>
    <cellStyle name="Comma 3 84" xfId="1215" xr:uid="{00000000-0005-0000-0000-0000AA040000}"/>
    <cellStyle name="Comma 3 85" xfId="1216" xr:uid="{00000000-0005-0000-0000-0000AB040000}"/>
    <cellStyle name="Comma 3 86" xfId="1217" xr:uid="{00000000-0005-0000-0000-0000AC040000}"/>
    <cellStyle name="Comma 3 87" xfId="1218" xr:uid="{00000000-0005-0000-0000-0000AD040000}"/>
    <cellStyle name="Comma 3 88" xfId="1219" xr:uid="{00000000-0005-0000-0000-0000AE040000}"/>
    <cellStyle name="Comma 3 89" xfId="1220" xr:uid="{00000000-0005-0000-0000-0000AF040000}"/>
    <cellStyle name="Comma 3 9" xfId="1221" xr:uid="{00000000-0005-0000-0000-0000B0040000}"/>
    <cellStyle name="Comma 3 9 2" xfId="1222" xr:uid="{00000000-0005-0000-0000-0000B1040000}"/>
    <cellStyle name="Comma 3 9 2 2" xfId="1223" xr:uid="{00000000-0005-0000-0000-0000B2040000}"/>
    <cellStyle name="Comma 3 9 2 3" xfId="1224" xr:uid="{00000000-0005-0000-0000-0000B3040000}"/>
    <cellStyle name="Comma 3 9 3" xfId="1225" xr:uid="{00000000-0005-0000-0000-0000B4040000}"/>
    <cellStyle name="Comma 3 90" xfId="1226" xr:uid="{00000000-0005-0000-0000-0000B5040000}"/>
    <cellStyle name="Comma 3 91" xfId="1227" xr:uid="{00000000-0005-0000-0000-0000B6040000}"/>
    <cellStyle name="Comma 3 92" xfId="1228" xr:uid="{00000000-0005-0000-0000-0000B7040000}"/>
    <cellStyle name="Comma 3 93" xfId="1229" xr:uid="{00000000-0005-0000-0000-0000B8040000}"/>
    <cellStyle name="Comma 3 94" xfId="1230" xr:uid="{00000000-0005-0000-0000-0000B9040000}"/>
    <cellStyle name="Comma 3 95" xfId="1231" xr:uid="{00000000-0005-0000-0000-0000BA040000}"/>
    <cellStyle name="Comma 3 96" xfId="1232" xr:uid="{00000000-0005-0000-0000-0000BB040000}"/>
    <cellStyle name="Comma 3 97" xfId="1233" xr:uid="{00000000-0005-0000-0000-0000BC040000}"/>
    <cellStyle name="Comma 3 98" xfId="1234" xr:uid="{00000000-0005-0000-0000-0000BD040000}"/>
    <cellStyle name="Comma 3 99" xfId="1235" xr:uid="{00000000-0005-0000-0000-0000BE040000}"/>
    <cellStyle name="Comma 30" xfId="1236" xr:uid="{00000000-0005-0000-0000-0000BF040000}"/>
    <cellStyle name="Comma 30 2" xfId="1237" xr:uid="{00000000-0005-0000-0000-0000C0040000}"/>
    <cellStyle name="Comma 31" xfId="1238" xr:uid="{00000000-0005-0000-0000-0000C1040000}"/>
    <cellStyle name="Comma 32" xfId="1239" xr:uid="{00000000-0005-0000-0000-0000C2040000}"/>
    <cellStyle name="Comma 33" xfId="1240" xr:uid="{00000000-0005-0000-0000-0000C3040000}"/>
    <cellStyle name="Comma 34" xfId="1241" xr:uid="{00000000-0005-0000-0000-0000C4040000}"/>
    <cellStyle name="Comma 35" xfId="1242" xr:uid="{00000000-0005-0000-0000-0000C5040000}"/>
    <cellStyle name="Comma 36" xfId="1243" xr:uid="{00000000-0005-0000-0000-0000C6040000}"/>
    <cellStyle name="Comma 37" xfId="1244" xr:uid="{00000000-0005-0000-0000-0000C7040000}"/>
    <cellStyle name="Comma 38" xfId="1245" xr:uid="{00000000-0005-0000-0000-0000C8040000}"/>
    <cellStyle name="Comma 39" xfId="1246" xr:uid="{00000000-0005-0000-0000-0000C9040000}"/>
    <cellStyle name="Comma 39 2" xfId="1247" xr:uid="{00000000-0005-0000-0000-0000CA040000}"/>
    <cellStyle name="Comma 4" xfId="1248" xr:uid="{00000000-0005-0000-0000-0000CB040000}"/>
    <cellStyle name="Comma 4 10" xfId="1249" xr:uid="{00000000-0005-0000-0000-0000CC040000}"/>
    <cellStyle name="Comma 4 11" xfId="1250" xr:uid="{00000000-0005-0000-0000-0000CD040000}"/>
    <cellStyle name="Comma 4 12" xfId="1251" xr:uid="{00000000-0005-0000-0000-0000CE040000}"/>
    <cellStyle name="Comma 4 13" xfId="1252" xr:uid="{00000000-0005-0000-0000-0000CF040000}"/>
    <cellStyle name="Comma 4 13 2" xfId="1253" xr:uid="{00000000-0005-0000-0000-0000D0040000}"/>
    <cellStyle name="Comma 4 13 2 2" xfId="1254" xr:uid="{00000000-0005-0000-0000-0000D1040000}"/>
    <cellStyle name="Comma 4 13 3" xfId="1255" xr:uid="{00000000-0005-0000-0000-0000D2040000}"/>
    <cellStyle name="Comma 4 13 4" xfId="1256" xr:uid="{00000000-0005-0000-0000-0000D3040000}"/>
    <cellStyle name="Comma 4 14" xfId="1257" xr:uid="{00000000-0005-0000-0000-0000D4040000}"/>
    <cellStyle name="Comma 4 15" xfId="1258" xr:uid="{00000000-0005-0000-0000-0000D5040000}"/>
    <cellStyle name="Comma 4 16" xfId="1259" xr:uid="{00000000-0005-0000-0000-0000D6040000}"/>
    <cellStyle name="Comma 4 17" xfId="1260" xr:uid="{00000000-0005-0000-0000-0000D7040000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8" xfId="1787" xr:uid="{00000000-0005-0000-0000-0000E6060000}"/>
    <cellStyle name="Comma 89" xfId="1788" xr:uid="{00000000-0005-0000-0000-0000E7060000}"/>
    <cellStyle name="Comma 9" xfId="1789" xr:uid="{00000000-0005-0000-0000-0000E8060000}"/>
    <cellStyle name="Comma 9 2" xfId="1790" xr:uid="{00000000-0005-0000-0000-0000E9060000}"/>
    <cellStyle name="Comma 9 3" xfId="1791" xr:uid="{00000000-0005-0000-0000-0000EA060000}"/>
    <cellStyle name="Comma 9 4" xfId="1792" xr:uid="{00000000-0005-0000-0000-0000EB060000}"/>
    <cellStyle name="Comma 90" xfId="1793" xr:uid="{00000000-0005-0000-0000-0000EC060000}"/>
    <cellStyle name="Comma 91" xfId="1794" xr:uid="{00000000-0005-0000-0000-0000ED060000}"/>
    <cellStyle name="Comma 92" xfId="1795" xr:uid="{00000000-0005-0000-0000-0000EE060000}"/>
    <cellStyle name="Comma 93" xfId="1796" xr:uid="{00000000-0005-0000-0000-0000EF060000}"/>
    <cellStyle name="Comma 94" xfId="1797" xr:uid="{00000000-0005-0000-0000-0000F0060000}"/>
    <cellStyle name="Comma 94 2" xfId="1798" xr:uid="{00000000-0005-0000-0000-0000F1060000}"/>
    <cellStyle name="Comma 95" xfId="1799" xr:uid="{00000000-0005-0000-0000-0000F2060000}"/>
    <cellStyle name="Comma 96" xfId="1800" xr:uid="{00000000-0005-0000-0000-0000F3060000}"/>
    <cellStyle name="Comma 97" xfId="1801" xr:uid="{00000000-0005-0000-0000-0000F4060000}"/>
    <cellStyle name="Comma0" xfId="1802" xr:uid="{00000000-0005-0000-0000-0000F5060000}"/>
    <cellStyle name="corpload" xfId="1803" xr:uid="{00000000-0005-0000-0000-0000F6060000}"/>
    <cellStyle name="Currency" xfId="9413" builtinId="4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5" xfId="2613" xr:uid="{00000000-0005-0000-0000-0000210A0000}"/>
    <cellStyle name="Currency 36" xfId="2614" xr:uid="{00000000-0005-0000-0000-0000220A0000}"/>
    <cellStyle name="Currency 37" xfId="9408" xr:uid="{B89F5DD5-FB3F-486B-B4D0-E17DF27FE43E}"/>
    <cellStyle name="Currency 37 2" xfId="9419" xr:uid="{4718D8C6-86EF-4E3B-AB4E-18C99FFC642E}"/>
    <cellStyle name="Currency 4" xfId="2615" xr:uid="{00000000-0005-0000-0000-0000230A0000}"/>
    <cellStyle name="Currency 4 10" xfId="2616" xr:uid="{00000000-0005-0000-0000-0000240A0000}"/>
    <cellStyle name="Currency 4 11" xfId="2617" xr:uid="{00000000-0005-0000-0000-0000250A0000}"/>
    <cellStyle name="Currency 4 12" xfId="2618" xr:uid="{00000000-0005-0000-0000-0000260A0000}"/>
    <cellStyle name="Currency 4 13" xfId="2619" xr:uid="{00000000-0005-0000-0000-0000270A0000}"/>
    <cellStyle name="Currency 4 14" xfId="2620" xr:uid="{00000000-0005-0000-0000-0000280A0000}"/>
    <cellStyle name="Currency 4 15" xfId="2621" xr:uid="{00000000-0005-0000-0000-0000290A0000}"/>
    <cellStyle name="Currency 4 16" xfId="2622" xr:uid="{00000000-0005-0000-0000-00002A0A0000}"/>
    <cellStyle name="Currency 4 17" xfId="2623" xr:uid="{00000000-0005-0000-0000-00002B0A0000}"/>
    <cellStyle name="Currency 4 18" xfId="2624" xr:uid="{00000000-0005-0000-0000-00002C0A0000}"/>
    <cellStyle name="Currency 4 19" xfId="2625" xr:uid="{00000000-0005-0000-0000-00002D0A0000}"/>
    <cellStyle name="Currency 4 2" xfId="2626" xr:uid="{00000000-0005-0000-0000-00002E0A0000}"/>
    <cellStyle name="Currency 4 2 2" xfId="2627" xr:uid="{00000000-0005-0000-0000-00002F0A0000}"/>
    <cellStyle name="Currency 4 2 2 2" xfId="2628" xr:uid="{00000000-0005-0000-0000-0000300A0000}"/>
    <cellStyle name="Currency 4 2 2 3" xfId="2629" xr:uid="{00000000-0005-0000-0000-0000310A0000}"/>
    <cellStyle name="Currency 4 2 2 4" xfId="2630" xr:uid="{00000000-0005-0000-0000-0000320A0000}"/>
    <cellStyle name="Currency 4 2 2 5" xfId="2631" xr:uid="{00000000-0005-0000-0000-0000330A0000}"/>
    <cellStyle name="Currency 4 2 2 6" xfId="2632" xr:uid="{00000000-0005-0000-0000-0000340A0000}"/>
    <cellStyle name="Currency 4 2 2 7" xfId="2633" xr:uid="{00000000-0005-0000-0000-0000350A0000}"/>
    <cellStyle name="Currency 4 2 2 8" xfId="2634" xr:uid="{00000000-0005-0000-0000-0000360A0000}"/>
    <cellStyle name="Currency 4 2 2 9" xfId="2635" xr:uid="{00000000-0005-0000-0000-0000370A0000}"/>
    <cellStyle name="Currency 4 2 3" xfId="2636" xr:uid="{00000000-0005-0000-0000-0000380A0000}"/>
    <cellStyle name="Currency 4 2 4" xfId="2637" xr:uid="{00000000-0005-0000-0000-0000390A0000}"/>
    <cellStyle name="Currency 4 2 5" xfId="2638" xr:uid="{00000000-0005-0000-0000-00003A0A0000}"/>
    <cellStyle name="Currency 4 2 6" xfId="2639" xr:uid="{00000000-0005-0000-0000-00003B0A0000}"/>
    <cellStyle name="Currency 4 2 7" xfId="2640" xr:uid="{00000000-0005-0000-0000-00003C0A0000}"/>
    <cellStyle name="Currency 4 2 8" xfId="2641" xr:uid="{00000000-0005-0000-0000-00003D0A0000}"/>
    <cellStyle name="Currency 4 2 9" xfId="2642" xr:uid="{00000000-0005-0000-0000-00003E0A0000}"/>
    <cellStyle name="Currency 4 20" xfId="2643" xr:uid="{00000000-0005-0000-0000-00003F0A0000}"/>
    <cellStyle name="Currency 4 21" xfId="2644" xr:uid="{00000000-0005-0000-0000-0000400A0000}"/>
    <cellStyle name="Currency 4 22" xfId="2645" xr:uid="{00000000-0005-0000-0000-0000410A0000}"/>
    <cellStyle name="Currency 4 23" xfId="2646" xr:uid="{00000000-0005-0000-0000-0000420A0000}"/>
    <cellStyle name="Currency 4 24" xfId="2647" xr:uid="{00000000-0005-0000-0000-0000430A0000}"/>
    <cellStyle name="Currency 4 25" xfId="2648" xr:uid="{00000000-0005-0000-0000-0000440A0000}"/>
    <cellStyle name="Currency 4 26" xfId="2649" xr:uid="{00000000-0005-0000-0000-0000450A0000}"/>
    <cellStyle name="Currency 4 27" xfId="2650" xr:uid="{00000000-0005-0000-0000-0000460A0000}"/>
    <cellStyle name="Currency 4 28" xfId="2651" xr:uid="{00000000-0005-0000-0000-0000470A0000}"/>
    <cellStyle name="Currency 4 29" xfId="2652" xr:uid="{00000000-0005-0000-0000-0000480A0000}"/>
    <cellStyle name="Currency 4 3" xfId="2653" xr:uid="{00000000-0005-0000-0000-0000490A0000}"/>
    <cellStyle name="Currency 4 30" xfId="2654" xr:uid="{00000000-0005-0000-0000-00004A0A0000}"/>
    <cellStyle name="Currency 4 31" xfId="2655" xr:uid="{00000000-0005-0000-0000-00004B0A0000}"/>
    <cellStyle name="Currency 4 32" xfId="2656" xr:uid="{00000000-0005-0000-0000-00004C0A0000}"/>
    <cellStyle name="Currency 4 33" xfId="2657" xr:uid="{00000000-0005-0000-0000-00004D0A0000}"/>
    <cellStyle name="Currency 4 34" xfId="2658" xr:uid="{00000000-0005-0000-0000-00004E0A0000}"/>
    <cellStyle name="Currency 4 35" xfId="2659" xr:uid="{00000000-0005-0000-0000-00004F0A0000}"/>
    <cellStyle name="Currency 4 36" xfId="2660" xr:uid="{00000000-0005-0000-0000-0000500A0000}"/>
    <cellStyle name="Currency 4 37" xfId="2661" xr:uid="{00000000-0005-0000-0000-0000510A0000}"/>
    <cellStyle name="Currency 4 38" xfId="2662" xr:uid="{00000000-0005-0000-0000-0000520A0000}"/>
    <cellStyle name="Currency 4 39" xfId="2663" xr:uid="{00000000-0005-0000-0000-0000530A0000}"/>
    <cellStyle name="Currency 4 4" xfId="2664" xr:uid="{00000000-0005-0000-0000-0000540A0000}"/>
    <cellStyle name="Currency 4 40" xfId="2665" xr:uid="{00000000-0005-0000-0000-0000550A0000}"/>
    <cellStyle name="Currency 4 41" xfId="2666" xr:uid="{00000000-0005-0000-0000-0000560A0000}"/>
    <cellStyle name="Currency 4 42" xfId="2667" xr:uid="{00000000-0005-0000-0000-0000570A0000}"/>
    <cellStyle name="Currency 4 43" xfId="2668" xr:uid="{00000000-0005-0000-0000-0000580A0000}"/>
    <cellStyle name="Currency 4 44" xfId="2669" xr:uid="{00000000-0005-0000-0000-0000590A0000}"/>
    <cellStyle name="Currency 4 45" xfId="2670" xr:uid="{00000000-0005-0000-0000-00005A0A0000}"/>
    <cellStyle name="Currency 4 46" xfId="2671" xr:uid="{00000000-0005-0000-0000-00005B0A0000}"/>
    <cellStyle name="Currency 4 5" xfId="2672" xr:uid="{00000000-0005-0000-0000-00005C0A0000}"/>
    <cellStyle name="Currency 4 6" xfId="2673" xr:uid="{00000000-0005-0000-0000-00005D0A0000}"/>
    <cellStyle name="Currency 4 7" xfId="2674" xr:uid="{00000000-0005-0000-0000-00005E0A0000}"/>
    <cellStyle name="Currency 4 8" xfId="2675" xr:uid="{00000000-0005-0000-0000-00005F0A0000}"/>
    <cellStyle name="Currency 4 9" xfId="2676" xr:uid="{00000000-0005-0000-0000-0000600A0000}"/>
    <cellStyle name="Currency 5" xfId="2677" xr:uid="{00000000-0005-0000-0000-0000610A0000}"/>
    <cellStyle name="Currency 5 10" xfId="2678" xr:uid="{00000000-0005-0000-0000-0000620A0000}"/>
    <cellStyle name="Currency 5 100" xfId="2679" xr:uid="{00000000-0005-0000-0000-0000630A0000}"/>
    <cellStyle name="Currency 5 11" xfId="2680" xr:uid="{00000000-0005-0000-0000-0000640A0000}"/>
    <cellStyle name="Currency 5 12" xfId="2681" xr:uid="{00000000-0005-0000-0000-0000650A0000}"/>
    <cellStyle name="Currency 5 13" xfId="2682" xr:uid="{00000000-0005-0000-0000-0000660A0000}"/>
    <cellStyle name="Currency 5 14" xfId="2683" xr:uid="{00000000-0005-0000-0000-0000670A0000}"/>
    <cellStyle name="Currency 5 15" xfId="2684" xr:uid="{00000000-0005-0000-0000-0000680A0000}"/>
    <cellStyle name="Currency 5 16" xfId="2685" xr:uid="{00000000-0005-0000-0000-0000690A0000}"/>
    <cellStyle name="Currency 5 17" xfId="2686" xr:uid="{00000000-0005-0000-0000-00006A0A0000}"/>
    <cellStyle name="Currency 5 18" xfId="2687" xr:uid="{00000000-0005-0000-0000-00006B0A0000}"/>
    <cellStyle name="Currency 5 19" xfId="2688" xr:uid="{00000000-0005-0000-0000-00006C0A0000}"/>
    <cellStyle name="Currency 5 2" xfId="2689" xr:uid="{00000000-0005-0000-0000-00006D0A0000}"/>
    <cellStyle name="Currency 5 2 10" xfId="2690" xr:uid="{00000000-0005-0000-0000-00006E0A0000}"/>
    <cellStyle name="Currency 5 2 10 2" xfId="2691" xr:uid="{00000000-0005-0000-0000-00006F0A0000}"/>
    <cellStyle name="Currency 5 2 11" xfId="2692" xr:uid="{00000000-0005-0000-0000-0000700A0000}"/>
    <cellStyle name="Currency 5 2 11 2" xfId="2693" xr:uid="{00000000-0005-0000-0000-0000710A0000}"/>
    <cellStyle name="Currency 5 2 12" xfId="2694" xr:uid="{00000000-0005-0000-0000-0000720A0000}"/>
    <cellStyle name="Currency 5 2 13" xfId="2695" xr:uid="{00000000-0005-0000-0000-0000730A0000}"/>
    <cellStyle name="Currency 5 2 14" xfId="2696" xr:uid="{00000000-0005-0000-0000-0000740A0000}"/>
    <cellStyle name="Currency 5 2 14 2" xfId="2697" xr:uid="{00000000-0005-0000-0000-0000750A0000}"/>
    <cellStyle name="Currency 5 2 15" xfId="2698" xr:uid="{00000000-0005-0000-0000-0000760A0000}"/>
    <cellStyle name="Currency 5 2 2" xfId="2699" xr:uid="{00000000-0005-0000-0000-0000770A0000}"/>
    <cellStyle name="Currency 5 2 2 10" xfId="2700" xr:uid="{00000000-0005-0000-0000-0000780A0000}"/>
    <cellStyle name="Currency 5 2 2 10 2" xfId="2701" xr:uid="{00000000-0005-0000-0000-0000790A0000}"/>
    <cellStyle name="Currency 5 2 2 10 2 2" xfId="2702" xr:uid="{00000000-0005-0000-0000-00007A0A0000}"/>
    <cellStyle name="Currency 5 2 2 10 3" xfId="2703" xr:uid="{00000000-0005-0000-0000-00007B0A0000}"/>
    <cellStyle name="Currency 5 2 2 11" xfId="2704" xr:uid="{00000000-0005-0000-0000-00007C0A0000}"/>
    <cellStyle name="Currency 5 2 2 11 2" xfId="2705" xr:uid="{00000000-0005-0000-0000-00007D0A0000}"/>
    <cellStyle name="Currency 5 2 2 11 2 2" xfId="2706" xr:uid="{00000000-0005-0000-0000-00007E0A0000}"/>
    <cellStyle name="Currency 5 2 2 11 3" xfId="2707" xr:uid="{00000000-0005-0000-0000-00007F0A0000}"/>
    <cellStyle name="Currency 5 2 2 12" xfId="2708" xr:uid="{00000000-0005-0000-0000-0000800A0000}"/>
    <cellStyle name="Currency 5 2 2 12 2" xfId="2709" xr:uid="{00000000-0005-0000-0000-0000810A0000}"/>
    <cellStyle name="Currency 5 2 2 12 2 2" xfId="2710" xr:uid="{00000000-0005-0000-0000-0000820A0000}"/>
    <cellStyle name="Currency 5 2 2 12 3" xfId="2711" xr:uid="{00000000-0005-0000-0000-0000830A0000}"/>
    <cellStyle name="Currency 5 2 2 12 4" xfId="2712" xr:uid="{00000000-0005-0000-0000-0000840A0000}"/>
    <cellStyle name="Currency 5 2 2 13" xfId="2713" xr:uid="{00000000-0005-0000-0000-0000850A0000}"/>
    <cellStyle name="Currency 5 2 2 13 2" xfId="2714" xr:uid="{00000000-0005-0000-0000-0000860A0000}"/>
    <cellStyle name="Currency 5 2 2 13 2 2" xfId="2715" xr:uid="{00000000-0005-0000-0000-0000870A0000}"/>
    <cellStyle name="Currency 5 2 2 13 3" xfId="2716" xr:uid="{00000000-0005-0000-0000-0000880A0000}"/>
    <cellStyle name="Currency 5 2 2 14" xfId="2717" xr:uid="{00000000-0005-0000-0000-0000890A0000}"/>
    <cellStyle name="Currency 5 2 2 15" xfId="2718" xr:uid="{00000000-0005-0000-0000-00008A0A0000}"/>
    <cellStyle name="Currency 5 2 2 2" xfId="2719" xr:uid="{00000000-0005-0000-0000-00008B0A0000}"/>
    <cellStyle name="Currency 5 2 2 2 2" xfId="2720" xr:uid="{00000000-0005-0000-0000-00008C0A0000}"/>
    <cellStyle name="Currency 5 2 2 2 2 2" xfId="2721" xr:uid="{00000000-0005-0000-0000-00008D0A0000}"/>
    <cellStyle name="Currency 5 2 2 2 3" xfId="2722" xr:uid="{00000000-0005-0000-0000-00008E0A0000}"/>
    <cellStyle name="Currency 5 2 2 3" xfId="2723" xr:uid="{00000000-0005-0000-0000-00008F0A0000}"/>
    <cellStyle name="Currency 5 2 2 3 2" xfId="2724" xr:uid="{00000000-0005-0000-0000-0000900A0000}"/>
    <cellStyle name="Currency 5 2 2 3 2 2" xfId="2725" xr:uid="{00000000-0005-0000-0000-0000910A0000}"/>
    <cellStyle name="Currency 5 2 2 3 3" xfId="2726" xr:uid="{00000000-0005-0000-0000-0000920A0000}"/>
    <cellStyle name="Currency 5 2 2 4" xfId="2727" xr:uid="{00000000-0005-0000-0000-0000930A0000}"/>
    <cellStyle name="Currency 5 2 2 4 2" xfId="2728" xr:uid="{00000000-0005-0000-0000-0000940A0000}"/>
    <cellStyle name="Currency 5 2 2 4 2 2" xfId="2729" xr:uid="{00000000-0005-0000-0000-0000950A0000}"/>
    <cellStyle name="Currency 5 2 2 4 3" xfId="2730" xr:uid="{00000000-0005-0000-0000-0000960A0000}"/>
    <cellStyle name="Currency 5 2 2 5" xfId="2731" xr:uid="{00000000-0005-0000-0000-0000970A0000}"/>
    <cellStyle name="Currency 5 2 2 5 2" xfId="2732" xr:uid="{00000000-0005-0000-0000-0000980A0000}"/>
    <cellStyle name="Currency 5 2 2 5 2 2" xfId="2733" xr:uid="{00000000-0005-0000-0000-0000990A0000}"/>
    <cellStyle name="Currency 5 2 2 5 3" xfId="2734" xr:uid="{00000000-0005-0000-0000-00009A0A0000}"/>
    <cellStyle name="Currency 5 2 2 6" xfId="2735" xr:uid="{00000000-0005-0000-0000-00009B0A0000}"/>
    <cellStyle name="Currency 5 2 2 6 2" xfId="2736" xr:uid="{00000000-0005-0000-0000-00009C0A0000}"/>
    <cellStyle name="Currency 5 2 2 6 2 2" xfId="2737" xr:uid="{00000000-0005-0000-0000-00009D0A0000}"/>
    <cellStyle name="Currency 5 2 2 6 3" xfId="2738" xr:uid="{00000000-0005-0000-0000-00009E0A0000}"/>
    <cellStyle name="Currency 5 2 2 7" xfId="2739" xr:uid="{00000000-0005-0000-0000-00009F0A0000}"/>
    <cellStyle name="Currency 5 2 2 7 2" xfId="2740" xr:uid="{00000000-0005-0000-0000-0000A00A0000}"/>
    <cellStyle name="Currency 5 2 2 7 2 2" xfId="2741" xr:uid="{00000000-0005-0000-0000-0000A10A0000}"/>
    <cellStyle name="Currency 5 2 2 7 3" xfId="2742" xr:uid="{00000000-0005-0000-0000-0000A20A0000}"/>
    <cellStyle name="Currency 5 2 2 8" xfId="2743" xr:uid="{00000000-0005-0000-0000-0000A30A0000}"/>
    <cellStyle name="Currency 5 2 2 8 2" xfId="2744" xr:uid="{00000000-0005-0000-0000-0000A40A0000}"/>
    <cellStyle name="Currency 5 2 2 8 2 2" xfId="2745" xr:uid="{00000000-0005-0000-0000-0000A50A0000}"/>
    <cellStyle name="Currency 5 2 2 8 3" xfId="2746" xr:uid="{00000000-0005-0000-0000-0000A60A0000}"/>
    <cellStyle name="Currency 5 2 2 9" xfId="2747" xr:uid="{00000000-0005-0000-0000-0000A70A0000}"/>
    <cellStyle name="Currency 5 2 2 9 2" xfId="2748" xr:uid="{00000000-0005-0000-0000-0000A80A0000}"/>
    <cellStyle name="Currency 5 2 2 9 2 2" xfId="2749" xr:uid="{00000000-0005-0000-0000-0000A90A0000}"/>
    <cellStyle name="Currency 5 2 2 9 3" xfId="2750" xr:uid="{00000000-0005-0000-0000-0000AA0A0000}"/>
    <cellStyle name="Currency 5 2 3" xfId="2751" xr:uid="{00000000-0005-0000-0000-0000AB0A0000}"/>
    <cellStyle name="Currency 5 2 3 2" xfId="2752" xr:uid="{00000000-0005-0000-0000-0000AC0A0000}"/>
    <cellStyle name="Currency 5 2 4" xfId="2753" xr:uid="{00000000-0005-0000-0000-0000AD0A0000}"/>
    <cellStyle name="Currency 5 2 4 2" xfId="2754" xr:uid="{00000000-0005-0000-0000-0000AE0A0000}"/>
    <cellStyle name="Currency 5 2 5" xfId="2755" xr:uid="{00000000-0005-0000-0000-0000AF0A0000}"/>
    <cellStyle name="Currency 5 2 5 2" xfId="2756" xr:uid="{00000000-0005-0000-0000-0000B00A0000}"/>
    <cellStyle name="Currency 5 2 6" xfId="2757" xr:uid="{00000000-0005-0000-0000-0000B10A0000}"/>
    <cellStyle name="Currency 5 2 6 2" xfId="2758" xr:uid="{00000000-0005-0000-0000-0000B20A0000}"/>
    <cellStyle name="Currency 5 2 7" xfId="2759" xr:uid="{00000000-0005-0000-0000-0000B30A0000}"/>
    <cellStyle name="Currency 5 2 7 2" xfId="2760" xr:uid="{00000000-0005-0000-0000-0000B40A0000}"/>
    <cellStyle name="Currency 5 2 8" xfId="2761" xr:uid="{00000000-0005-0000-0000-0000B50A0000}"/>
    <cellStyle name="Currency 5 2 8 2" xfId="2762" xr:uid="{00000000-0005-0000-0000-0000B60A0000}"/>
    <cellStyle name="Currency 5 2 9" xfId="2763" xr:uid="{00000000-0005-0000-0000-0000B70A0000}"/>
    <cellStyle name="Currency 5 2 9 2" xfId="2764" xr:uid="{00000000-0005-0000-0000-0000B80A0000}"/>
    <cellStyle name="Currency 5 20" xfId="2765" xr:uid="{00000000-0005-0000-0000-0000B90A0000}"/>
    <cellStyle name="Currency 5 21" xfId="2766" xr:uid="{00000000-0005-0000-0000-0000BA0A0000}"/>
    <cellStyle name="Currency 5 22" xfId="2767" xr:uid="{00000000-0005-0000-0000-0000BB0A0000}"/>
    <cellStyle name="Currency 5 23" xfId="2768" xr:uid="{00000000-0005-0000-0000-0000BC0A0000}"/>
    <cellStyle name="Currency 5 24" xfId="2769" xr:uid="{00000000-0005-0000-0000-0000BD0A0000}"/>
    <cellStyle name="Currency 5 25" xfId="2770" xr:uid="{00000000-0005-0000-0000-0000BE0A0000}"/>
    <cellStyle name="Currency 5 26" xfId="2771" xr:uid="{00000000-0005-0000-0000-0000BF0A0000}"/>
    <cellStyle name="Currency 5 27" xfId="2772" xr:uid="{00000000-0005-0000-0000-0000C00A0000}"/>
    <cellStyle name="Currency 5 28" xfId="2773" xr:uid="{00000000-0005-0000-0000-0000C10A0000}"/>
    <cellStyle name="Currency 5 29" xfId="2774" xr:uid="{00000000-0005-0000-0000-0000C20A0000}"/>
    <cellStyle name="Currency 5 3" xfId="2775" xr:uid="{00000000-0005-0000-0000-0000C30A0000}"/>
    <cellStyle name="Currency 5 3 2" xfId="2776" xr:uid="{00000000-0005-0000-0000-0000C40A0000}"/>
    <cellStyle name="Currency 5 3 3" xfId="2777" xr:uid="{00000000-0005-0000-0000-0000C50A0000}"/>
    <cellStyle name="Currency 5 30" xfId="2778" xr:uid="{00000000-0005-0000-0000-0000C60A0000}"/>
    <cellStyle name="Currency 5 31" xfId="2779" xr:uid="{00000000-0005-0000-0000-0000C70A0000}"/>
    <cellStyle name="Currency 5 32" xfId="2780" xr:uid="{00000000-0005-0000-0000-0000C80A0000}"/>
    <cellStyle name="Currency 5 33" xfId="2781" xr:uid="{00000000-0005-0000-0000-0000C90A0000}"/>
    <cellStyle name="Currency 5 34" xfId="2782" xr:uid="{00000000-0005-0000-0000-0000CA0A0000}"/>
    <cellStyle name="Currency 5 35" xfId="2783" xr:uid="{00000000-0005-0000-0000-0000CB0A0000}"/>
    <cellStyle name="Currency 5 36" xfId="2784" xr:uid="{00000000-0005-0000-0000-0000CC0A0000}"/>
    <cellStyle name="Currency 5 37" xfId="2785" xr:uid="{00000000-0005-0000-0000-0000CD0A0000}"/>
    <cellStyle name="Currency 5 38" xfId="2786" xr:uid="{00000000-0005-0000-0000-0000CE0A0000}"/>
    <cellStyle name="Currency 5 39" xfId="2787" xr:uid="{00000000-0005-0000-0000-0000CF0A0000}"/>
    <cellStyle name="Currency 5 4" xfId="2788" xr:uid="{00000000-0005-0000-0000-0000D00A0000}"/>
    <cellStyle name="Currency 5 40" xfId="2789" xr:uid="{00000000-0005-0000-0000-0000D10A0000}"/>
    <cellStyle name="Currency 5 41" xfId="2790" xr:uid="{00000000-0005-0000-0000-0000D20A0000}"/>
    <cellStyle name="Currency 5 42" xfId="2791" xr:uid="{00000000-0005-0000-0000-0000D30A0000}"/>
    <cellStyle name="Currency 5 43" xfId="2792" xr:uid="{00000000-0005-0000-0000-0000D40A0000}"/>
    <cellStyle name="Currency 5 44" xfId="2793" xr:uid="{00000000-0005-0000-0000-0000D50A0000}"/>
    <cellStyle name="Currency 5 45" xfId="2794" xr:uid="{00000000-0005-0000-0000-0000D60A0000}"/>
    <cellStyle name="Currency 5 46" xfId="2795" xr:uid="{00000000-0005-0000-0000-0000D70A0000}"/>
    <cellStyle name="Currency 5 47" xfId="2796" xr:uid="{00000000-0005-0000-0000-0000D80A0000}"/>
    <cellStyle name="Currency 5 48" xfId="2797" xr:uid="{00000000-0005-0000-0000-0000D90A0000}"/>
    <cellStyle name="Currency 5 49" xfId="2798" xr:uid="{00000000-0005-0000-0000-0000DA0A0000}"/>
    <cellStyle name="Currency 5 5" xfId="2799" xr:uid="{00000000-0005-0000-0000-0000DB0A0000}"/>
    <cellStyle name="Currency 5 50" xfId="2800" xr:uid="{00000000-0005-0000-0000-0000DC0A0000}"/>
    <cellStyle name="Currency 5 51" xfId="2801" xr:uid="{00000000-0005-0000-0000-0000DD0A0000}"/>
    <cellStyle name="Currency 5 52" xfId="2802" xr:uid="{00000000-0005-0000-0000-0000DE0A0000}"/>
    <cellStyle name="Currency 5 53" xfId="2803" xr:uid="{00000000-0005-0000-0000-0000DF0A0000}"/>
    <cellStyle name="Currency 5 54" xfId="2804" xr:uid="{00000000-0005-0000-0000-0000E00A0000}"/>
    <cellStyle name="Currency 5 55" xfId="2805" xr:uid="{00000000-0005-0000-0000-0000E10A0000}"/>
    <cellStyle name="Currency 5 56" xfId="2806" xr:uid="{00000000-0005-0000-0000-0000E20A0000}"/>
    <cellStyle name="Currency 5 57" xfId="2807" xr:uid="{00000000-0005-0000-0000-0000E30A0000}"/>
    <cellStyle name="Currency 5 58" xfId="2808" xr:uid="{00000000-0005-0000-0000-0000E40A0000}"/>
    <cellStyle name="Currency 5 59" xfId="2809" xr:uid="{00000000-0005-0000-0000-0000E50A0000}"/>
    <cellStyle name="Currency 5 6" xfId="2810" xr:uid="{00000000-0005-0000-0000-0000E60A0000}"/>
    <cellStyle name="Currency 5 60" xfId="2811" xr:uid="{00000000-0005-0000-0000-0000E70A0000}"/>
    <cellStyle name="Currency 5 61" xfId="2812" xr:uid="{00000000-0005-0000-0000-0000E80A0000}"/>
    <cellStyle name="Currency 5 62" xfId="2813" xr:uid="{00000000-0005-0000-0000-0000E90A0000}"/>
    <cellStyle name="Currency 5 63" xfId="2814" xr:uid="{00000000-0005-0000-0000-0000EA0A0000}"/>
    <cellStyle name="Currency 5 64" xfId="2815" xr:uid="{00000000-0005-0000-0000-0000EB0A0000}"/>
    <cellStyle name="Currency 5 65" xfId="2816" xr:uid="{00000000-0005-0000-0000-0000EC0A0000}"/>
    <cellStyle name="Currency 5 66" xfId="2817" xr:uid="{00000000-0005-0000-0000-0000ED0A0000}"/>
    <cellStyle name="Currency 5 67" xfId="2818" xr:uid="{00000000-0005-0000-0000-0000EE0A0000}"/>
    <cellStyle name="Currency 5 68" xfId="2819" xr:uid="{00000000-0005-0000-0000-0000EF0A0000}"/>
    <cellStyle name="Currency 5 69" xfId="2820" xr:uid="{00000000-0005-0000-0000-0000F00A0000}"/>
    <cellStyle name="Currency 5 7" xfId="2821" xr:uid="{00000000-0005-0000-0000-0000F10A0000}"/>
    <cellStyle name="Currency 5 70" xfId="2822" xr:uid="{00000000-0005-0000-0000-0000F20A0000}"/>
    <cellStyle name="Currency 5 71" xfId="2823" xr:uid="{00000000-0005-0000-0000-0000F30A0000}"/>
    <cellStyle name="Currency 5 72" xfId="2824" xr:uid="{00000000-0005-0000-0000-0000F40A0000}"/>
    <cellStyle name="Currency 5 73" xfId="2825" xr:uid="{00000000-0005-0000-0000-0000F50A0000}"/>
    <cellStyle name="Currency 5 74" xfId="2826" xr:uid="{00000000-0005-0000-0000-0000F60A0000}"/>
    <cellStyle name="Currency 5 75" xfId="2827" xr:uid="{00000000-0005-0000-0000-0000F70A0000}"/>
    <cellStyle name="Currency 5 76" xfId="2828" xr:uid="{00000000-0005-0000-0000-0000F80A0000}"/>
    <cellStyle name="Currency 5 77" xfId="2829" xr:uid="{00000000-0005-0000-0000-0000F90A0000}"/>
    <cellStyle name="Currency 5 78" xfId="2830" xr:uid="{00000000-0005-0000-0000-0000FA0A0000}"/>
    <cellStyle name="Currency 5 79" xfId="2831" xr:uid="{00000000-0005-0000-0000-0000FB0A0000}"/>
    <cellStyle name="Currency 5 8" xfId="2832" xr:uid="{00000000-0005-0000-0000-0000FC0A0000}"/>
    <cellStyle name="Currency 5 80" xfId="2833" xr:uid="{00000000-0005-0000-0000-0000FD0A0000}"/>
    <cellStyle name="Currency 5 81" xfId="2834" xr:uid="{00000000-0005-0000-0000-0000FE0A0000}"/>
    <cellStyle name="Currency 5 82" xfId="2835" xr:uid="{00000000-0005-0000-0000-0000FF0A0000}"/>
    <cellStyle name="Currency 5 83" xfId="2836" xr:uid="{00000000-0005-0000-0000-0000000B0000}"/>
    <cellStyle name="Currency 5 84" xfId="2837" xr:uid="{00000000-0005-0000-0000-0000010B0000}"/>
    <cellStyle name="Currency 5 85" xfId="2838" xr:uid="{00000000-0005-0000-0000-0000020B0000}"/>
    <cellStyle name="Currency 5 86" xfId="2839" xr:uid="{00000000-0005-0000-0000-0000030B0000}"/>
    <cellStyle name="Currency 5 87" xfId="2840" xr:uid="{00000000-0005-0000-0000-0000040B0000}"/>
    <cellStyle name="Currency 5 88" xfId="2841" xr:uid="{00000000-0005-0000-0000-0000050B0000}"/>
    <cellStyle name="Currency 5 89" xfId="2842" xr:uid="{00000000-0005-0000-0000-0000060B0000}"/>
    <cellStyle name="Currency 5 9" xfId="2843" xr:uid="{00000000-0005-0000-0000-0000070B0000}"/>
    <cellStyle name="Currency 5 90" xfId="2844" xr:uid="{00000000-0005-0000-0000-0000080B0000}"/>
    <cellStyle name="Currency 5 91" xfId="2845" xr:uid="{00000000-0005-0000-0000-0000090B0000}"/>
    <cellStyle name="Currency 5 92" xfId="2846" xr:uid="{00000000-0005-0000-0000-00000A0B0000}"/>
    <cellStyle name="Currency 5 93" xfId="2847" xr:uid="{00000000-0005-0000-0000-00000B0B0000}"/>
    <cellStyle name="Currency 5 94" xfId="2848" xr:uid="{00000000-0005-0000-0000-00000C0B0000}"/>
    <cellStyle name="Currency 5 95" xfId="2849" xr:uid="{00000000-0005-0000-0000-00000D0B0000}"/>
    <cellStyle name="Currency 5 96" xfId="2850" xr:uid="{00000000-0005-0000-0000-00000E0B0000}"/>
    <cellStyle name="Currency 5 97" xfId="2851" xr:uid="{00000000-0005-0000-0000-00000F0B0000}"/>
    <cellStyle name="Currency 5 98" xfId="2852" xr:uid="{00000000-0005-0000-0000-0000100B0000}"/>
    <cellStyle name="Currency 5 99" xfId="2853" xr:uid="{00000000-0005-0000-0000-0000110B0000}"/>
    <cellStyle name="Currency 6" xfId="2854" xr:uid="{00000000-0005-0000-0000-0000120B0000}"/>
    <cellStyle name="Currency 6 10" xfId="2855" xr:uid="{00000000-0005-0000-0000-0000130B0000}"/>
    <cellStyle name="Currency 6 11" xfId="2856" xr:uid="{00000000-0005-0000-0000-0000140B0000}"/>
    <cellStyle name="Currency 6 12" xfId="2857" xr:uid="{00000000-0005-0000-0000-0000150B0000}"/>
    <cellStyle name="Currency 6 13" xfId="2858" xr:uid="{00000000-0005-0000-0000-0000160B0000}"/>
    <cellStyle name="Currency 6 14" xfId="2859" xr:uid="{00000000-0005-0000-0000-0000170B0000}"/>
    <cellStyle name="Currency 6 15" xfId="2860" xr:uid="{00000000-0005-0000-0000-0000180B0000}"/>
    <cellStyle name="Currency 6 16" xfId="2861" xr:uid="{00000000-0005-0000-0000-0000190B0000}"/>
    <cellStyle name="Currency 6 17" xfId="2862" xr:uid="{00000000-0005-0000-0000-00001A0B0000}"/>
    <cellStyle name="Currency 6 18" xfId="2863" xr:uid="{00000000-0005-0000-0000-00001B0B0000}"/>
    <cellStyle name="Currency 6 2" xfId="2864" xr:uid="{00000000-0005-0000-0000-00001C0B0000}"/>
    <cellStyle name="Currency 6 2 2" xfId="2865" xr:uid="{00000000-0005-0000-0000-00001D0B0000}"/>
    <cellStyle name="Currency 6 2 2 2" xfId="2866" xr:uid="{00000000-0005-0000-0000-00001E0B0000}"/>
    <cellStyle name="Currency 6 2 3" xfId="2867" xr:uid="{00000000-0005-0000-0000-00001F0B0000}"/>
    <cellStyle name="Currency 6 3" xfId="2868" xr:uid="{00000000-0005-0000-0000-0000200B0000}"/>
    <cellStyle name="Currency 6 4" xfId="2869" xr:uid="{00000000-0005-0000-0000-0000210B0000}"/>
    <cellStyle name="Currency 6 5" xfId="2870" xr:uid="{00000000-0005-0000-0000-0000220B0000}"/>
    <cellStyle name="Currency 6 6" xfId="2871" xr:uid="{00000000-0005-0000-0000-0000230B0000}"/>
    <cellStyle name="Currency 6 7" xfId="2872" xr:uid="{00000000-0005-0000-0000-0000240B0000}"/>
    <cellStyle name="Currency 6 8" xfId="2873" xr:uid="{00000000-0005-0000-0000-0000250B0000}"/>
    <cellStyle name="Currency 6 9" xfId="2874" xr:uid="{00000000-0005-0000-0000-0000260B0000}"/>
    <cellStyle name="Currency 7" xfId="2875" xr:uid="{00000000-0005-0000-0000-0000270B0000}"/>
    <cellStyle name="Currency 7 10" xfId="2876" xr:uid="{00000000-0005-0000-0000-0000280B0000}"/>
    <cellStyle name="Currency 7 11" xfId="2877" xr:uid="{00000000-0005-0000-0000-0000290B0000}"/>
    <cellStyle name="Currency 7 12" xfId="2878" xr:uid="{00000000-0005-0000-0000-00002A0B0000}"/>
    <cellStyle name="Currency 7 13" xfId="2879" xr:uid="{00000000-0005-0000-0000-00002B0B0000}"/>
    <cellStyle name="Currency 7 13 2" xfId="2880" xr:uid="{00000000-0005-0000-0000-00002C0B0000}"/>
    <cellStyle name="Currency 7 13 2 2" xfId="2881" xr:uid="{00000000-0005-0000-0000-00002D0B0000}"/>
    <cellStyle name="Currency 7 13 3" xfId="2882" xr:uid="{00000000-0005-0000-0000-00002E0B0000}"/>
    <cellStyle name="Currency 7 13 4" xfId="2883" xr:uid="{00000000-0005-0000-0000-00002F0B0000}"/>
    <cellStyle name="Currency 7 14" xfId="2884" xr:uid="{00000000-0005-0000-0000-0000300B0000}"/>
    <cellStyle name="Currency 7 15" xfId="2885" xr:uid="{00000000-0005-0000-0000-0000310B0000}"/>
    <cellStyle name="Currency 7 16" xfId="2886" xr:uid="{00000000-0005-0000-0000-0000320B0000}"/>
    <cellStyle name="Currency 7 17" xfId="2887" xr:uid="{00000000-0005-0000-0000-0000330B0000}"/>
    <cellStyle name="Currency 7 2" xfId="2888" xr:uid="{00000000-0005-0000-0000-0000340B0000}"/>
    <cellStyle name="Currency 7 2 10" xfId="2889" xr:uid="{00000000-0005-0000-0000-0000350B0000}"/>
    <cellStyle name="Currency 7 2 10 2" xfId="2890" xr:uid="{00000000-0005-0000-0000-0000360B0000}"/>
    <cellStyle name="Currency 7 2 10 2 2" xfId="2891" xr:uid="{00000000-0005-0000-0000-0000370B0000}"/>
    <cellStyle name="Currency 7 2 10 3" xfId="2892" xr:uid="{00000000-0005-0000-0000-0000380B0000}"/>
    <cellStyle name="Currency 7 2 11" xfId="2893" xr:uid="{00000000-0005-0000-0000-0000390B0000}"/>
    <cellStyle name="Currency 7 2 11 2" xfId="2894" xr:uid="{00000000-0005-0000-0000-00003A0B0000}"/>
    <cellStyle name="Currency 7 2 11 2 2" xfId="2895" xr:uid="{00000000-0005-0000-0000-00003B0B0000}"/>
    <cellStyle name="Currency 7 2 11 3" xfId="2896" xr:uid="{00000000-0005-0000-0000-00003C0B0000}"/>
    <cellStyle name="Currency 7 2 12" xfId="2897" xr:uid="{00000000-0005-0000-0000-00003D0B0000}"/>
    <cellStyle name="Currency 7 2 12 2" xfId="2898" xr:uid="{00000000-0005-0000-0000-00003E0B0000}"/>
    <cellStyle name="Currency 7 2 13" xfId="2899" xr:uid="{00000000-0005-0000-0000-00003F0B0000}"/>
    <cellStyle name="Currency 7 2 13 2" xfId="2900" xr:uid="{00000000-0005-0000-0000-0000400B0000}"/>
    <cellStyle name="Currency 7 2 14" xfId="2901" xr:uid="{00000000-0005-0000-0000-0000410B0000}"/>
    <cellStyle name="Currency 7 2 2" xfId="2902" xr:uid="{00000000-0005-0000-0000-0000420B0000}"/>
    <cellStyle name="Currency 7 2 2 2" xfId="2903" xr:uid="{00000000-0005-0000-0000-0000430B0000}"/>
    <cellStyle name="Currency 7 2 2 2 2" xfId="2904" xr:uid="{00000000-0005-0000-0000-0000440B0000}"/>
    <cellStyle name="Currency 7 2 2 3" xfId="2905" xr:uid="{00000000-0005-0000-0000-0000450B0000}"/>
    <cellStyle name="Currency 7 2 3" xfId="2906" xr:uid="{00000000-0005-0000-0000-0000460B0000}"/>
    <cellStyle name="Currency 7 2 3 2" xfId="2907" xr:uid="{00000000-0005-0000-0000-0000470B0000}"/>
    <cellStyle name="Currency 7 2 3 2 2" xfId="2908" xr:uid="{00000000-0005-0000-0000-0000480B0000}"/>
    <cellStyle name="Currency 7 2 3 3" xfId="2909" xr:uid="{00000000-0005-0000-0000-0000490B0000}"/>
    <cellStyle name="Currency 7 2 4" xfId="2910" xr:uid="{00000000-0005-0000-0000-00004A0B0000}"/>
    <cellStyle name="Currency 7 2 4 2" xfId="2911" xr:uid="{00000000-0005-0000-0000-00004B0B0000}"/>
    <cellStyle name="Currency 7 2 4 2 2" xfId="2912" xr:uid="{00000000-0005-0000-0000-00004C0B0000}"/>
    <cellStyle name="Currency 7 2 4 3" xfId="2913" xr:uid="{00000000-0005-0000-0000-00004D0B0000}"/>
    <cellStyle name="Currency 7 2 5" xfId="2914" xr:uid="{00000000-0005-0000-0000-00004E0B0000}"/>
    <cellStyle name="Currency 7 2 5 2" xfId="2915" xr:uid="{00000000-0005-0000-0000-00004F0B0000}"/>
    <cellStyle name="Currency 7 2 5 2 2" xfId="2916" xr:uid="{00000000-0005-0000-0000-0000500B0000}"/>
    <cellStyle name="Currency 7 2 5 3" xfId="2917" xr:uid="{00000000-0005-0000-0000-0000510B0000}"/>
    <cellStyle name="Currency 7 2 6" xfId="2918" xr:uid="{00000000-0005-0000-0000-0000520B0000}"/>
    <cellStyle name="Currency 7 2 6 2" xfId="2919" xr:uid="{00000000-0005-0000-0000-0000530B0000}"/>
    <cellStyle name="Currency 7 2 6 2 2" xfId="2920" xr:uid="{00000000-0005-0000-0000-0000540B0000}"/>
    <cellStyle name="Currency 7 2 6 3" xfId="2921" xr:uid="{00000000-0005-0000-0000-0000550B0000}"/>
    <cellStyle name="Currency 7 2 7" xfId="2922" xr:uid="{00000000-0005-0000-0000-0000560B0000}"/>
    <cellStyle name="Currency 7 2 7 2" xfId="2923" xr:uid="{00000000-0005-0000-0000-0000570B0000}"/>
    <cellStyle name="Currency 7 2 7 2 2" xfId="2924" xr:uid="{00000000-0005-0000-0000-0000580B0000}"/>
    <cellStyle name="Currency 7 2 7 3" xfId="2925" xr:uid="{00000000-0005-0000-0000-0000590B0000}"/>
    <cellStyle name="Currency 7 2 8" xfId="2926" xr:uid="{00000000-0005-0000-0000-00005A0B0000}"/>
    <cellStyle name="Currency 7 2 8 2" xfId="2927" xr:uid="{00000000-0005-0000-0000-00005B0B0000}"/>
    <cellStyle name="Currency 7 2 8 2 2" xfId="2928" xr:uid="{00000000-0005-0000-0000-00005C0B0000}"/>
    <cellStyle name="Currency 7 2 8 3" xfId="2929" xr:uid="{00000000-0005-0000-0000-00005D0B0000}"/>
    <cellStyle name="Currency 7 2 9" xfId="2930" xr:uid="{00000000-0005-0000-0000-00005E0B0000}"/>
    <cellStyle name="Currency 7 2 9 2" xfId="2931" xr:uid="{00000000-0005-0000-0000-00005F0B0000}"/>
    <cellStyle name="Currency 7 2 9 2 2" xfId="2932" xr:uid="{00000000-0005-0000-0000-0000600B0000}"/>
    <cellStyle name="Currency 7 2 9 3" xfId="2933" xr:uid="{00000000-0005-0000-0000-0000610B0000}"/>
    <cellStyle name="Currency 7 3" xfId="2934" xr:uid="{00000000-0005-0000-0000-0000620B0000}"/>
    <cellStyle name="Currency 7 3 2" xfId="2935" xr:uid="{00000000-0005-0000-0000-0000630B0000}"/>
    <cellStyle name="Currency 7 3 2 2" xfId="2936" xr:uid="{00000000-0005-0000-0000-0000640B0000}"/>
    <cellStyle name="Currency 7 3 3" xfId="2937" xr:uid="{00000000-0005-0000-0000-0000650B0000}"/>
    <cellStyle name="Currency 7 4" xfId="2938" xr:uid="{00000000-0005-0000-0000-0000660B0000}"/>
    <cellStyle name="Currency 7 5" xfId="2939" xr:uid="{00000000-0005-0000-0000-0000670B0000}"/>
    <cellStyle name="Currency 7 6" xfId="2940" xr:uid="{00000000-0005-0000-0000-0000680B0000}"/>
    <cellStyle name="Currency 7 7" xfId="2941" xr:uid="{00000000-0005-0000-0000-0000690B0000}"/>
    <cellStyle name="Currency 7 8" xfId="2942" xr:uid="{00000000-0005-0000-0000-00006A0B0000}"/>
    <cellStyle name="Currency 7 9" xfId="2943" xr:uid="{00000000-0005-0000-0000-00006B0B0000}"/>
    <cellStyle name="Currency 8" xfId="2944" xr:uid="{00000000-0005-0000-0000-00006C0B0000}"/>
    <cellStyle name="Currency 9" xfId="2945" xr:uid="{00000000-0005-0000-0000-00006D0B0000}"/>
    <cellStyle name="Currency No$" xfId="2946" xr:uid="{00000000-0005-0000-0000-00006E0B0000}"/>
    <cellStyle name="Currency Total" xfId="2947" xr:uid="{00000000-0005-0000-0000-00006F0B0000}"/>
    <cellStyle name="Currency Total 2" xfId="2948" xr:uid="{00000000-0005-0000-0000-0000700B0000}"/>
    <cellStyle name="Currency x2 No$" xfId="2949" xr:uid="{00000000-0005-0000-0000-0000710B0000}"/>
    <cellStyle name="Currency0" xfId="2950" xr:uid="{00000000-0005-0000-0000-0000720B0000}"/>
    <cellStyle name="Custom - Style1" xfId="2951" xr:uid="{00000000-0005-0000-0000-0000730B0000}"/>
    <cellStyle name="Custom - Style8" xfId="2952" xr:uid="{00000000-0005-0000-0000-0000740B0000}"/>
    <cellStyle name="Data   - Style2" xfId="2953" xr:uid="{00000000-0005-0000-0000-0000750B0000}"/>
    <cellStyle name="Date" xfId="2954" xr:uid="{00000000-0005-0000-0000-0000760B0000}"/>
    <cellStyle name="Dollarsign" xfId="2955" xr:uid="{00000000-0005-0000-0000-0000770B0000}"/>
    <cellStyle name="DOUBLEL" xfId="2956" xr:uid="{00000000-0005-0000-0000-0000780B0000}"/>
    <cellStyle name="DOUBLEL 2" xfId="2957" xr:uid="{00000000-0005-0000-0000-0000790B0000}"/>
    <cellStyle name="DOUBLEL 3" xfId="2958" xr:uid="{00000000-0005-0000-0000-00007A0B0000}"/>
    <cellStyle name="DOUBLEL 4" xfId="2959" xr:uid="{00000000-0005-0000-0000-00007B0B0000}"/>
    <cellStyle name="eatme" xfId="2960" xr:uid="{00000000-0005-0000-0000-00007C0B0000}"/>
    <cellStyle name="Explanatory Text 2" xfId="2961" xr:uid="{00000000-0005-0000-0000-00007D0B0000}"/>
    <cellStyle name="Explanatory Text 3" xfId="2962" xr:uid="{00000000-0005-0000-0000-00007E0B0000}"/>
    <cellStyle name="Explanatory Text 4" xfId="2963" xr:uid="{00000000-0005-0000-0000-00007F0B0000}"/>
    <cellStyle name="Explanatory Text 5" xfId="2964" xr:uid="{00000000-0005-0000-0000-0000800B0000}"/>
    <cellStyle name="Explanatory Text 6" xfId="2965" xr:uid="{00000000-0005-0000-0000-0000810B0000}"/>
    <cellStyle name="Fixed" xfId="2966" xr:uid="{00000000-0005-0000-0000-0000820B0000}"/>
    <cellStyle name="Formula" xfId="2967" xr:uid="{00000000-0005-0000-0000-0000830B0000}"/>
    <cellStyle name="Gas Cost x5" xfId="2968" xr:uid="{00000000-0005-0000-0000-0000840B0000}"/>
    <cellStyle name="Good 2" xfId="2969" xr:uid="{00000000-0005-0000-0000-0000850B0000}"/>
    <cellStyle name="Good 3" xfId="2970" xr:uid="{00000000-0005-0000-0000-0000860B0000}"/>
    <cellStyle name="Good 4" xfId="2971" xr:uid="{00000000-0005-0000-0000-0000870B0000}"/>
    <cellStyle name="Good 5" xfId="2972" xr:uid="{00000000-0005-0000-0000-0000880B0000}"/>
    <cellStyle name="Good 6" xfId="2973" xr:uid="{00000000-0005-0000-0000-0000890B0000}"/>
    <cellStyle name="Hardcoded" xfId="2974" xr:uid="{00000000-0005-0000-0000-00008A0B0000}"/>
    <cellStyle name="Head Title" xfId="2975" xr:uid="{00000000-0005-0000-0000-00008B0B0000}"/>
    <cellStyle name="Heading 1 2" xfId="2976" xr:uid="{00000000-0005-0000-0000-00008C0B0000}"/>
    <cellStyle name="Heading 1 3" xfId="2977" xr:uid="{00000000-0005-0000-0000-00008D0B0000}"/>
    <cellStyle name="Heading 1 4" xfId="2978" xr:uid="{00000000-0005-0000-0000-00008E0B0000}"/>
    <cellStyle name="Heading 1 5" xfId="2979" xr:uid="{00000000-0005-0000-0000-00008F0B0000}"/>
    <cellStyle name="Heading 1 6" xfId="2980" xr:uid="{00000000-0005-0000-0000-0000900B0000}"/>
    <cellStyle name="Heading 2 2" xfId="2981" xr:uid="{00000000-0005-0000-0000-0000910B0000}"/>
    <cellStyle name="Heading 2 3" xfId="2982" xr:uid="{00000000-0005-0000-0000-0000920B0000}"/>
    <cellStyle name="Heading 2 4" xfId="2983" xr:uid="{00000000-0005-0000-0000-0000930B0000}"/>
    <cellStyle name="Heading 2 5" xfId="2984" xr:uid="{00000000-0005-0000-0000-0000940B0000}"/>
    <cellStyle name="Heading 2 6" xfId="2985" xr:uid="{00000000-0005-0000-0000-0000950B0000}"/>
    <cellStyle name="Heading 3 2" xfId="2986" xr:uid="{00000000-0005-0000-0000-0000960B0000}"/>
    <cellStyle name="Heading 3 3" xfId="2987" xr:uid="{00000000-0005-0000-0000-0000970B0000}"/>
    <cellStyle name="Heading 3 4" xfId="2988" xr:uid="{00000000-0005-0000-0000-0000980B0000}"/>
    <cellStyle name="Heading 3 5" xfId="2989" xr:uid="{00000000-0005-0000-0000-0000990B0000}"/>
    <cellStyle name="Heading 3 6" xfId="2990" xr:uid="{00000000-0005-0000-0000-00009A0B0000}"/>
    <cellStyle name="Heading 4 2" xfId="2991" xr:uid="{00000000-0005-0000-0000-00009B0B0000}"/>
    <cellStyle name="Heading 4 3" xfId="2992" xr:uid="{00000000-0005-0000-0000-00009C0B0000}"/>
    <cellStyle name="Heading 4 4" xfId="2993" xr:uid="{00000000-0005-0000-0000-00009D0B0000}"/>
    <cellStyle name="Heading 4 5" xfId="2994" xr:uid="{00000000-0005-0000-0000-00009E0B0000}"/>
    <cellStyle name="Heading 4 6" xfId="2995" xr:uid="{00000000-0005-0000-0000-00009F0B0000}"/>
    <cellStyle name="HeadlineStyle" xfId="2996" xr:uid="{00000000-0005-0000-0000-0000A00B0000}"/>
    <cellStyle name="HeadlineStyle 10" xfId="2997" xr:uid="{00000000-0005-0000-0000-0000A10B0000}"/>
    <cellStyle name="HeadlineStyle 11" xfId="2998" xr:uid="{00000000-0005-0000-0000-0000A20B0000}"/>
    <cellStyle name="HeadlineStyle 12" xfId="2999" xr:uid="{00000000-0005-0000-0000-0000A30B0000}"/>
    <cellStyle name="HeadlineStyle 13" xfId="3000" xr:uid="{00000000-0005-0000-0000-0000A40B0000}"/>
    <cellStyle name="HeadlineStyle 14" xfId="3001" xr:uid="{00000000-0005-0000-0000-0000A50B0000}"/>
    <cellStyle name="HeadlineStyle 15" xfId="3002" xr:uid="{00000000-0005-0000-0000-0000A60B0000}"/>
    <cellStyle name="HeadlineStyle 16" xfId="3003" xr:uid="{00000000-0005-0000-0000-0000A70B0000}"/>
    <cellStyle name="HeadlineStyle 2" xfId="3004" xr:uid="{00000000-0005-0000-0000-0000A80B0000}"/>
    <cellStyle name="HeadlineStyle 3" xfId="3005" xr:uid="{00000000-0005-0000-0000-0000A90B0000}"/>
    <cellStyle name="HeadlineStyle 4" xfId="3006" xr:uid="{00000000-0005-0000-0000-0000AA0B0000}"/>
    <cellStyle name="HeadlineStyle 5" xfId="3007" xr:uid="{00000000-0005-0000-0000-0000AB0B0000}"/>
    <cellStyle name="HeadlineStyle 6" xfId="3008" xr:uid="{00000000-0005-0000-0000-0000AC0B0000}"/>
    <cellStyle name="HeadlineStyle 7" xfId="3009" xr:uid="{00000000-0005-0000-0000-0000AD0B0000}"/>
    <cellStyle name="HeadlineStyle 8" xfId="3010" xr:uid="{00000000-0005-0000-0000-0000AE0B0000}"/>
    <cellStyle name="HeadlineStyle 9" xfId="3011" xr:uid="{00000000-0005-0000-0000-0000AF0B0000}"/>
    <cellStyle name="HeadlineStyleJustified" xfId="3012" xr:uid="{00000000-0005-0000-0000-0000B00B0000}"/>
    <cellStyle name="HeadlineStyleJustified 10" xfId="3013" xr:uid="{00000000-0005-0000-0000-0000B10B0000}"/>
    <cellStyle name="HeadlineStyleJustified 11" xfId="3014" xr:uid="{00000000-0005-0000-0000-0000B20B0000}"/>
    <cellStyle name="HeadlineStyleJustified 12" xfId="3015" xr:uid="{00000000-0005-0000-0000-0000B30B0000}"/>
    <cellStyle name="HeadlineStyleJustified 13" xfId="3016" xr:uid="{00000000-0005-0000-0000-0000B40B0000}"/>
    <cellStyle name="HeadlineStyleJustified 14" xfId="3017" xr:uid="{00000000-0005-0000-0000-0000B50B0000}"/>
    <cellStyle name="HeadlineStyleJustified 15" xfId="3018" xr:uid="{00000000-0005-0000-0000-0000B60B0000}"/>
    <cellStyle name="HeadlineStyleJustified 16" xfId="3019" xr:uid="{00000000-0005-0000-0000-0000B70B0000}"/>
    <cellStyle name="HeadlineStyleJustified 2" xfId="3020" xr:uid="{00000000-0005-0000-0000-0000B80B0000}"/>
    <cellStyle name="HeadlineStyleJustified 3" xfId="3021" xr:uid="{00000000-0005-0000-0000-0000B90B0000}"/>
    <cellStyle name="HeadlineStyleJustified 4" xfId="3022" xr:uid="{00000000-0005-0000-0000-0000BA0B0000}"/>
    <cellStyle name="HeadlineStyleJustified 5" xfId="3023" xr:uid="{00000000-0005-0000-0000-0000BB0B0000}"/>
    <cellStyle name="HeadlineStyleJustified 6" xfId="3024" xr:uid="{00000000-0005-0000-0000-0000BC0B0000}"/>
    <cellStyle name="HeadlineStyleJustified 7" xfId="3025" xr:uid="{00000000-0005-0000-0000-0000BD0B0000}"/>
    <cellStyle name="HeadlineStyleJustified 8" xfId="3026" xr:uid="{00000000-0005-0000-0000-0000BE0B0000}"/>
    <cellStyle name="HeadlineStyleJustified 9" xfId="3027" xr:uid="{00000000-0005-0000-0000-0000BF0B0000}"/>
    <cellStyle name="Hyperlink" xfId="9415" builtinId="8"/>
    <cellStyle name="Hyperlink 2" xfId="3028" xr:uid="{00000000-0005-0000-0000-0000C00B0000}"/>
    <cellStyle name="Hyperlink 2 2" xfId="3029" xr:uid="{00000000-0005-0000-0000-0000C10B0000}"/>
    <cellStyle name="Hyperlink 3" xfId="3030" xr:uid="{00000000-0005-0000-0000-0000C20B0000}"/>
    <cellStyle name="inc/dec" xfId="3031" xr:uid="{00000000-0005-0000-0000-0000C30B0000}"/>
    <cellStyle name="inc/dec 2" xfId="3032" xr:uid="{00000000-0005-0000-0000-0000C40B0000}"/>
    <cellStyle name="Input 2" xfId="3033" xr:uid="{00000000-0005-0000-0000-0000C50B0000}"/>
    <cellStyle name="Input 3" xfId="3034" xr:uid="{00000000-0005-0000-0000-0000C60B0000}"/>
    <cellStyle name="Input 4" xfId="3035" xr:uid="{00000000-0005-0000-0000-0000C70B0000}"/>
    <cellStyle name="Input 5" xfId="3036" xr:uid="{00000000-0005-0000-0000-0000C80B0000}"/>
    <cellStyle name="Input 6" xfId="3037" xr:uid="{00000000-0005-0000-0000-0000C90B0000}"/>
    <cellStyle name="Input 7" xfId="3038" xr:uid="{00000000-0005-0000-0000-0000CA0B0000}"/>
    <cellStyle name="Labels - Style3" xfId="3039" xr:uid="{00000000-0005-0000-0000-0000CB0B0000}"/>
    <cellStyle name="Labor" xfId="3040" xr:uid="{00000000-0005-0000-0000-0000CC0B0000}"/>
    <cellStyle name="Lines" xfId="3041" xr:uid="{00000000-0005-0000-0000-0000CD0B0000}"/>
    <cellStyle name="Linked Amount" xfId="3042" xr:uid="{00000000-0005-0000-0000-0000CE0B0000}"/>
    <cellStyle name="Linked Cell 2" xfId="3043" xr:uid="{00000000-0005-0000-0000-0000CF0B0000}"/>
    <cellStyle name="Linked Cell 3" xfId="3044" xr:uid="{00000000-0005-0000-0000-0000D00B0000}"/>
    <cellStyle name="Linked Cell 4" xfId="3045" xr:uid="{00000000-0005-0000-0000-0000D10B0000}"/>
    <cellStyle name="Linked Cell 5" xfId="3046" xr:uid="{00000000-0005-0000-0000-0000D20B0000}"/>
    <cellStyle name="Linked Cell 6" xfId="3047" xr:uid="{00000000-0005-0000-0000-0000D30B0000}"/>
    <cellStyle name="Neutral 2" xfId="3048" xr:uid="{00000000-0005-0000-0000-0000D40B0000}"/>
    <cellStyle name="Neutral 3" xfId="3049" xr:uid="{00000000-0005-0000-0000-0000D50B0000}"/>
    <cellStyle name="Neutral 4" xfId="3050" xr:uid="{00000000-0005-0000-0000-0000D60B0000}"/>
    <cellStyle name="Neutral 5" xfId="3051" xr:uid="{00000000-0005-0000-0000-0000D70B0000}"/>
    <cellStyle name="Neutral 6" xfId="3052" xr:uid="{00000000-0005-0000-0000-0000D80B0000}"/>
    <cellStyle name="Normal" xfId="0" builtinId="0"/>
    <cellStyle name="Normal - Style1" xfId="3053" xr:uid="{00000000-0005-0000-0000-0000DA0B0000}"/>
    <cellStyle name="Normal - Style2" xfId="3054" xr:uid="{00000000-0005-0000-0000-0000DB0B0000}"/>
    <cellStyle name="Normal - Style3" xfId="3055" xr:uid="{00000000-0005-0000-0000-0000DC0B0000}"/>
    <cellStyle name="Normal - Style4" xfId="3056" xr:uid="{00000000-0005-0000-0000-0000DD0B0000}"/>
    <cellStyle name="Normal - Style5" xfId="3057" xr:uid="{00000000-0005-0000-0000-0000DE0B0000}"/>
    <cellStyle name="Normal - Style6" xfId="3058" xr:uid="{00000000-0005-0000-0000-0000DF0B0000}"/>
    <cellStyle name="Normal - Style7" xfId="3059" xr:uid="{00000000-0005-0000-0000-0000E00B0000}"/>
    <cellStyle name="Normal - Style8" xfId="3060" xr:uid="{00000000-0005-0000-0000-0000E10B0000}"/>
    <cellStyle name="Normal 10" xfId="3061" xr:uid="{00000000-0005-0000-0000-0000E20B0000}"/>
    <cellStyle name="Normal 10 10" xfId="19" xr:uid="{00000000-0005-0000-0000-0000E30B0000}"/>
    <cellStyle name="Normal 10 10 2" xfId="3062" xr:uid="{00000000-0005-0000-0000-0000E40B0000}"/>
    <cellStyle name="Normal 10 10 2 2" xfId="3063" xr:uid="{00000000-0005-0000-0000-0000E50B0000}"/>
    <cellStyle name="Normal 10 10 2 3" xfId="3064" xr:uid="{00000000-0005-0000-0000-0000E60B0000}"/>
    <cellStyle name="Normal 10 10 3" xfId="3065" xr:uid="{00000000-0005-0000-0000-0000E70B0000}"/>
    <cellStyle name="Normal 10 10 3 2" xfId="9405" xr:uid="{9AA8D37C-8384-4CC3-8252-392EB4AE1579}"/>
    <cellStyle name="Normal 10 10 4" xfId="3066" xr:uid="{00000000-0005-0000-0000-0000E80B0000}"/>
    <cellStyle name="Normal 10 10 5" xfId="3067" xr:uid="{00000000-0005-0000-0000-0000E90B0000}"/>
    <cellStyle name="Normal 10 10 6" xfId="3068" xr:uid="{00000000-0005-0000-0000-0000EA0B0000}"/>
    <cellStyle name="Normal 10 10 6 2" xfId="9395" xr:uid="{83A827F3-64F2-4ED2-B372-A7BE66F4B42B}"/>
    <cellStyle name="Normal 10 10 7" xfId="3069" xr:uid="{00000000-0005-0000-0000-0000EB0B0000}"/>
    <cellStyle name="Normal 10 10 8" xfId="9404" xr:uid="{8ACD3BF0-8773-41BC-B31D-69D8FF1ED9AB}"/>
    <cellStyle name="Normal 10 10 8 2" xfId="9423" xr:uid="{C42A49EE-6DF1-4839-A019-BAB59D4F0B78}"/>
    <cellStyle name="Normal 10 11" xfId="22" xr:uid="{00000000-0005-0000-0000-0000EC0B0000}"/>
    <cellStyle name="Normal 10 11 2" xfId="3070" xr:uid="{00000000-0005-0000-0000-0000ED0B0000}"/>
    <cellStyle name="Normal 10 11 2 2" xfId="3071" xr:uid="{00000000-0005-0000-0000-0000EE0B0000}"/>
    <cellStyle name="Normal 10 11 3" xfId="3072" xr:uid="{00000000-0005-0000-0000-0000EF0B0000}"/>
    <cellStyle name="Normal 10 11 4" xfId="9422" xr:uid="{8A6AAAEB-D406-4105-A013-A9C7268FDECB}"/>
    <cellStyle name="Normal 10 12" xfId="3073" xr:uid="{00000000-0005-0000-0000-0000F00B0000}"/>
    <cellStyle name="Normal 10 12 2" xfId="3074" xr:uid="{00000000-0005-0000-0000-0000F10B0000}"/>
    <cellStyle name="Normal 10 12 2 2" xfId="3075" xr:uid="{00000000-0005-0000-0000-0000F20B0000}"/>
    <cellStyle name="Normal 10 12 3" xfId="3076" xr:uid="{00000000-0005-0000-0000-0000F30B0000}"/>
    <cellStyle name="Normal 10 13" xfId="3077" xr:uid="{00000000-0005-0000-0000-0000F40B0000}"/>
    <cellStyle name="Normal 10 13 2" xfId="3078" xr:uid="{00000000-0005-0000-0000-0000F50B0000}"/>
    <cellStyle name="Normal 10 13 2 2" xfId="3079" xr:uid="{00000000-0005-0000-0000-0000F60B0000}"/>
    <cellStyle name="Normal 10 13 3" xfId="3080" xr:uid="{00000000-0005-0000-0000-0000F70B0000}"/>
    <cellStyle name="Normal 10 14" xfId="3081" xr:uid="{00000000-0005-0000-0000-0000F80B0000}"/>
    <cellStyle name="Normal 10 14 10" xfId="3082" xr:uid="{00000000-0005-0000-0000-0000F90B0000}"/>
    <cellStyle name="Normal 10 14 10 2" xfId="3083" xr:uid="{00000000-0005-0000-0000-0000FA0B0000}"/>
    <cellStyle name="Normal 10 14 10 2 2" xfId="3084" xr:uid="{00000000-0005-0000-0000-0000FB0B0000}"/>
    <cellStyle name="Normal 10 14 10 3" xfId="3085" xr:uid="{00000000-0005-0000-0000-0000FC0B0000}"/>
    <cellStyle name="Normal 10 14 11" xfId="3086" xr:uid="{00000000-0005-0000-0000-0000FD0B0000}"/>
    <cellStyle name="Normal 10 14 11 2" xfId="3087" xr:uid="{00000000-0005-0000-0000-0000FE0B0000}"/>
    <cellStyle name="Normal 10 14 11 2 2" xfId="3088" xr:uid="{00000000-0005-0000-0000-0000FF0B0000}"/>
    <cellStyle name="Normal 10 14 11 3" xfId="3089" xr:uid="{00000000-0005-0000-0000-0000000C0000}"/>
    <cellStyle name="Normal 10 14 12" xfId="3090" xr:uid="{00000000-0005-0000-0000-0000010C0000}"/>
    <cellStyle name="Normal 10 14 12 2" xfId="3091" xr:uid="{00000000-0005-0000-0000-0000020C0000}"/>
    <cellStyle name="Normal 10 14 12 2 2" xfId="3092" xr:uid="{00000000-0005-0000-0000-0000030C0000}"/>
    <cellStyle name="Normal 10 14 12 3" xfId="3093" xr:uid="{00000000-0005-0000-0000-0000040C0000}"/>
    <cellStyle name="Normal 10 14 13" xfId="3094" xr:uid="{00000000-0005-0000-0000-0000050C0000}"/>
    <cellStyle name="Normal 10 14 13 2" xfId="3095" xr:uid="{00000000-0005-0000-0000-0000060C0000}"/>
    <cellStyle name="Normal 10 14 14" xfId="3096" xr:uid="{00000000-0005-0000-0000-0000070C0000}"/>
    <cellStyle name="Normal 10 14 2" xfId="3097" xr:uid="{00000000-0005-0000-0000-0000080C0000}"/>
    <cellStyle name="Normal 10 14 2 2" xfId="3098" xr:uid="{00000000-0005-0000-0000-0000090C0000}"/>
    <cellStyle name="Normal 10 14 2 2 2" xfId="3099" xr:uid="{00000000-0005-0000-0000-00000A0C0000}"/>
    <cellStyle name="Normal 10 14 2 3" xfId="3100" xr:uid="{00000000-0005-0000-0000-00000B0C0000}"/>
    <cellStyle name="Normal 10 14 3" xfId="3101" xr:uid="{00000000-0005-0000-0000-00000C0C0000}"/>
    <cellStyle name="Normal 10 14 3 2" xfId="3102" xr:uid="{00000000-0005-0000-0000-00000D0C0000}"/>
    <cellStyle name="Normal 10 14 3 2 2" xfId="3103" xr:uid="{00000000-0005-0000-0000-00000E0C0000}"/>
    <cellStyle name="Normal 10 14 3 3" xfId="3104" xr:uid="{00000000-0005-0000-0000-00000F0C0000}"/>
    <cellStyle name="Normal 10 14 4" xfId="3105" xr:uid="{00000000-0005-0000-0000-0000100C0000}"/>
    <cellStyle name="Normal 10 14 4 2" xfId="3106" xr:uid="{00000000-0005-0000-0000-0000110C0000}"/>
    <cellStyle name="Normal 10 14 4 2 2" xfId="3107" xr:uid="{00000000-0005-0000-0000-0000120C0000}"/>
    <cellStyle name="Normal 10 14 4 3" xfId="3108" xr:uid="{00000000-0005-0000-0000-0000130C0000}"/>
    <cellStyle name="Normal 10 14 5" xfId="3109" xr:uid="{00000000-0005-0000-0000-0000140C0000}"/>
    <cellStyle name="Normal 10 14 5 2" xfId="3110" xr:uid="{00000000-0005-0000-0000-0000150C0000}"/>
    <cellStyle name="Normal 10 14 5 2 2" xfId="3111" xr:uid="{00000000-0005-0000-0000-0000160C0000}"/>
    <cellStyle name="Normal 10 14 5 3" xfId="3112" xr:uid="{00000000-0005-0000-0000-0000170C0000}"/>
    <cellStyle name="Normal 10 14 6" xfId="3113" xr:uid="{00000000-0005-0000-0000-0000180C0000}"/>
    <cellStyle name="Normal 10 14 6 2" xfId="3114" xr:uid="{00000000-0005-0000-0000-0000190C0000}"/>
    <cellStyle name="Normal 10 14 6 2 2" xfId="3115" xr:uid="{00000000-0005-0000-0000-00001A0C0000}"/>
    <cellStyle name="Normal 10 14 6 3" xfId="3116" xr:uid="{00000000-0005-0000-0000-00001B0C0000}"/>
    <cellStyle name="Normal 10 14 7" xfId="3117" xr:uid="{00000000-0005-0000-0000-00001C0C0000}"/>
    <cellStyle name="Normal 10 14 7 2" xfId="3118" xr:uid="{00000000-0005-0000-0000-00001D0C0000}"/>
    <cellStyle name="Normal 10 14 7 2 2" xfId="3119" xr:uid="{00000000-0005-0000-0000-00001E0C0000}"/>
    <cellStyle name="Normal 10 14 7 3" xfId="3120" xr:uid="{00000000-0005-0000-0000-00001F0C0000}"/>
    <cellStyle name="Normal 10 14 8" xfId="3121" xr:uid="{00000000-0005-0000-0000-0000200C0000}"/>
    <cellStyle name="Normal 10 14 8 2" xfId="3122" xr:uid="{00000000-0005-0000-0000-0000210C0000}"/>
    <cellStyle name="Normal 10 14 8 2 2" xfId="3123" xr:uid="{00000000-0005-0000-0000-0000220C0000}"/>
    <cellStyle name="Normal 10 14 8 3" xfId="3124" xr:uid="{00000000-0005-0000-0000-0000230C0000}"/>
    <cellStyle name="Normal 10 14 9" xfId="3125" xr:uid="{00000000-0005-0000-0000-0000240C0000}"/>
    <cellStyle name="Normal 10 14 9 2" xfId="3126" xr:uid="{00000000-0005-0000-0000-0000250C0000}"/>
    <cellStyle name="Normal 10 14 9 2 2" xfId="3127" xr:uid="{00000000-0005-0000-0000-0000260C0000}"/>
    <cellStyle name="Normal 10 14 9 3" xfId="3128" xr:uid="{00000000-0005-0000-0000-0000270C0000}"/>
    <cellStyle name="Normal 10 15" xfId="3129" xr:uid="{00000000-0005-0000-0000-0000280C0000}"/>
    <cellStyle name="Normal 10 15 2" xfId="3130" xr:uid="{00000000-0005-0000-0000-0000290C0000}"/>
    <cellStyle name="Normal 10 15 2 2" xfId="3131" xr:uid="{00000000-0005-0000-0000-00002A0C0000}"/>
    <cellStyle name="Normal 10 15 3" xfId="3132" xr:uid="{00000000-0005-0000-0000-00002B0C0000}"/>
    <cellStyle name="Normal 10 16" xfId="3133" xr:uid="{00000000-0005-0000-0000-00002C0C0000}"/>
    <cellStyle name="Normal 10 16 2" xfId="3134" xr:uid="{00000000-0005-0000-0000-00002D0C0000}"/>
    <cellStyle name="Normal 10 16 2 2" xfId="3135" xr:uid="{00000000-0005-0000-0000-00002E0C0000}"/>
    <cellStyle name="Normal 10 16 3" xfId="3136" xr:uid="{00000000-0005-0000-0000-00002F0C0000}"/>
    <cellStyle name="Normal 10 17" xfId="3137" xr:uid="{00000000-0005-0000-0000-0000300C0000}"/>
    <cellStyle name="Normal 10 17 2" xfId="3138" xr:uid="{00000000-0005-0000-0000-0000310C0000}"/>
    <cellStyle name="Normal 10 17 2 2" xfId="3139" xr:uid="{00000000-0005-0000-0000-0000320C0000}"/>
    <cellStyle name="Normal 10 17 3" xfId="3140" xr:uid="{00000000-0005-0000-0000-0000330C0000}"/>
    <cellStyle name="Normal 10 18" xfId="3141" xr:uid="{00000000-0005-0000-0000-0000340C0000}"/>
    <cellStyle name="Normal 10 18 2" xfId="3142" xr:uid="{00000000-0005-0000-0000-0000350C0000}"/>
    <cellStyle name="Normal 10 18 2 2" xfId="3143" xr:uid="{00000000-0005-0000-0000-0000360C0000}"/>
    <cellStyle name="Normal 10 18 3" xfId="3144" xr:uid="{00000000-0005-0000-0000-0000370C0000}"/>
    <cellStyle name="Normal 10 19" xfId="3145" xr:uid="{00000000-0005-0000-0000-0000380C0000}"/>
    <cellStyle name="Normal 10 19 2" xfId="3146" xr:uid="{00000000-0005-0000-0000-0000390C0000}"/>
    <cellStyle name="Normal 10 19 2 2" xfId="3147" xr:uid="{00000000-0005-0000-0000-00003A0C0000}"/>
    <cellStyle name="Normal 10 19 3" xfId="3148" xr:uid="{00000000-0005-0000-0000-00003B0C0000}"/>
    <cellStyle name="Normal 10 2" xfId="3149" xr:uid="{00000000-0005-0000-0000-00003C0C0000}"/>
    <cellStyle name="Normal 10 2 2" xfId="3150" xr:uid="{00000000-0005-0000-0000-00003D0C0000}"/>
    <cellStyle name="Normal 10 2 2 2" xfId="3151" xr:uid="{00000000-0005-0000-0000-00003E0C0000}"/>
    <cellStyle name="Normal 10 2 2 3" xfId="3152" xr:uid="{00000000-0005-0000-0000-00003F0C0000}"/>
    <cellStyle name="Normal 10 2 3" xfId="3153" xr:uid="{00000000-0005-0000-0000-0000400C0000}"/>
    <cellStyle name="Normal 10 2 4" xfId="3154" xr:uid="{00000000-0005-0000-0000-0000410C0000}"/>
    <cellStyle name="Normal 10 20" xfId="3155" xr:uid="{00000000-0005-0000-0000-0000420C0000}"/>
    <cellStyle name="Normal 10 20 2" xfId="3156" xr:uid="{00000000-0005-0000-0000-0000430C0000}"/>
    <cellStyle name="Normal 10 20 2 2" xfId="3157" xr:uid="{00000000-0005-0000-0000-0000440C0000}"/>
    <cellStyle name="Normal 10 20 3" xfId="3158" xr:uid="{00000000-0005-0000-0000-0000450C0000}"/>
    <cellStyle name="Normal 10 21" xfId="3159" xr:uid="{00000000-0005-0000-0000-0000460C0000}"/>
    <cellStyle name="Normal 10 21 2" xfId="3160" xr:uid="{00000000-0005-0000-0000-0000470C0000}"/>
    <cellStyle name="Normal 10 21 2 2" xfId="3161" xr:uid="{00000000-0005-0000-0000-0000480C0000}"/>
    <cellStyle name="Normal 10 21 3" xfId="3162" xr:uid="{00000000-0005-0000-0000-0000490C0000}"/>
    <cellStyle name="Normal 10 21 4" xfId="3163" xr:uid="{00000000-0005-0000-0000-00004A0C0000}"/>
    <cellStyle name="Normal 10 21 5" xfId="3164" xr:uid="{00000000-0005-0000-0000-00004B0C0000}"/>
    <cellStyle name="Normal 10 22" xfId="3165" xr:uid="{00000000-0005-0000-0000-00004C0C0000}"/>
    <cellStyle name="Normal 10 22 2" xfId="3166" xr:uid="{00000000-0005-0000-0000-00004D0C0000}"/>
    <cellStyle name="Normal 10 22 3" xfId="3167" xr:uid="{00000000-0005-0000-0000-00004E0C0000}"/>
    <cellStyle name="Normal 10 23" xfId="3168" xr:uid="{00000000-0005-0000-0000-00004F0C0000}"/>
    <cellStyle name="Normal 10 23 2" xfId="20" xr:uid="{00000000-0005-0000-0000-0000500C0000}"/>
    <cellStyle name="Normal 10 23 3" xfId="3169" xr:uid="{00000000-0005-0000-0000-0000510C0000}"/>
    <cellStyle name="Normal 10 24" xfId="3170" xr:uid="{00000000-0005-0000-0000-0000520C0000}"/>
    <cellStyle name="Normal 10 25" xfId="3171" xr:uid="{00000000-0005-0000-0000-0000530C0000}"/>
    <cellStyle name="Normal 10 26" xfId="3172" xr:uid="{00000000-0005-0000-0000-0000540C0000}"/>
    <cellStyle name="Normal 10 26 2" xfId="3173" xr:uid="{00000000-0005-0000-0000-0000550C0000}"/>
    <cellStyle name="Normal 10 27" xfId="3174" xr:uid="{00000000-0005-0000-0000-0000560C0000}"/>
    <cellStyle name="Normal 10 28" xfId="3175" xr:uid="{00000000-0005-0000-0000-0000570C0000}"/>
    <cellStyle name="Normal 10 29" xfId="3176" xr:uid="{00000000-0005-0000-0000-0000580C0000}"/>
    <cellStyle name="Normal 10 3" xfId="3177" xr:uid="{00000000-0005-0000-0000-0000590C0000}"/>
    <cellStyle name="Normal 10 3 2" xfId="3178" xr:uid="{00000000-0005-0000-0000-00005A0C0000}"/>
    <cellStyle name="Normal 10 3 2 2" xfId="3179" xr:uid="{00000000-0005-0000-0000-00005B0C0000}"/>
    <cellStyle name="Normal 10 3 2 3" xfId="3180" xr:uid="{00000000-0005-0000-0000-00005C0C0000}"/>
    <cellStyle name="Normal 10 3 3" xfId="3181" xr:uid="{00000000-0005-0000-0000-00005D0C0000}"/>
    <cellStyle name="Normal 10 3 4" xfId="3182" xr:uid="{00000000-0005-0000-0000-00005E0C0000}"/>
    <cellStyle name="Normal 10 30" xfId="3183" xr:uid="{00000000-0005-0000-0000-00005F0C0000}"/>
    <cellStyle name="Normal 10 31" xfId="3184" xr:uid="{00000000-0005-0000-0000-0000600C0000}"/>
    <cellStyle name="Normal 10 32" xfId="3185" xr:uid="{00000000-0005-0000-0000-0000610C0000}"/>
    <cellStyle name="Normal 10 33" xfId="3186" xr:uid="{00000000-0005-0000-0000-0000620C0000}"/>
    <cellStyle name="Normal 10 34" xfId="3187" xr:uid="{00000000-0005-0000-0000-0000630C0000}"/>
    <cellStyle name="Normal 10 35" xfId="3188" xr:uid="{00000000-0005-0000-0000-0000640C0000}"/>
    <cellStyle name="Normal 10 36" xfId="3189" xr:uid="{00000000-0005-0000-0000-0000650C0000}"/>
    <cellStyle name="Normal 10 37" xfId="3190" xr:uid="{00000000-0005-0000-0000-0000660C0000}"/>
    <cellStyle name="Normal 10 38" xfId="3191" xr:uid="{00000000-0005-0000-0000-0000670C0000}"/>
    <cellStyle name="Normal 10 39" xfId="3192" xr:uid="{00000000-0005-0000-0000-0000680C0000}"/>
    <cellStyle name="Normal 10 4" xfId="3193" xr:uid="{00000000-0005-0000-0000-0000690C0000}"/>
    <cellStyle name="Normal 10 4 2" xfId="3194" xr:uid="{00000000-0005-0000-0000-00006A0C0000}"/>
    <cellStyle name="Normal 10 4 2 2" xfId="3195" xr:uid="{00000000-0005-0000-0000-00006B0C0000}"/>
    <cellStyle name="Normal 10 4 2 3" xfId="3196" xr:uid="{00000000-0005-0000-0000-00006C0C0000}"/>
    <cellStyle name="Normal 10 4 3" xfId="3197" xr:uid="{00000000-0005-0000-0000-00006D0C0000}"/>
    <cellStyle name="Normal 10 4 4" xfId="3198" xr:uid="{00000000-0005-0000-0000-00006E0C0000}"/>
    <cellStyle name="Normal 10 40" xfId="3199" xr:uid="{00000000-0005-0000-0000-00006F0C0000}"/>
    <cellStyle name="Normal 10 41" xfId="3200" xr:uid="{00000000-0005-0000-0000-0000700C0000}"/>
    <cellStyle name="Normal 10 42" xfId="3201" xr:uid="{00000000-0005-0000-0000-0000710C0000}"/>
    <cellStyle name="Normal 10 43" xfId="3202" xr:uid="{00000000-0005-0000-0000-0000720C0000}"/>
    <cellStyle name="Normal 10 44" xfId="3203" xr:uid="{00000000-0005-0000-0000-0000730C0000}"/>
    <cellStyle name="Normal 10 45" xfId="3204" xr:uid="{00000000-0005-0000-0000-0000740C0000}"/>
    <cellStyle name="Normal 10 46" xfId="3205" xr:uid="{00000000-0005-0000-0000-0000750C0000}"/>
    <cellStyle name="Normal 10 47" xfId="3206" xr:uid="{00000000-0005-0000-0000-0000760C0000}"/>
    <cellStyle name="Normal 10 48" xfId="3207" xr:uid="{00000000-0005-0000-0000-0000770C0000}"/>
    <cellStyle name="Normal 10 49" xfId="3208" xr:uid="{00000000-0005-0000-0000-0000780C0000}"/>
    <cellStyle name="Normal 10 5" xfId="3209" xr:uid="{00000000-0005-0000-0000-0000790C0000}"/>
    <cellStyle name="Normal 10 5 2" xfId="3210" xr:uid="{00000000-0005-0000-0000-00007A0C0000}"/>
    <cellStyle name="Normal 10 5 2 2" xfId="3211" xr:uid="{00000000-0005-0000-0000-00007B0C0000}"/>
    <cellStyle name="Normal 10 5 2 3" xfId="3212" xr:uid="{00000000-0005-0000-0000-00007C0C0000}"/>
    <cellStyle name="Normal 10 5 3" xfId="3213" xr:uid="{00000000-0005-0000-0000-00007D0C0000}"/>
    <cellStyle name="Normal 10 5 4" xfId="3214" xr:uid="{00000000-0005-0000-0000-00007E0C0000}"/>
    <cellStyle name="Normal 10 50" xfId="3215" xr:uid="{00000000-0005-0000-0000-00007F0C0000}"/>
    <cellStyle name="Normal 10 51" xfId="3216" xr:uid="{00000000-0005-0000-0000-0000800C0000}"/>
    <cellStyle name="Normal 10 52" xfId="3217" xr:uid="{00000000-0005-0000-0000-0000810C0000}"/>
    <cellStyle name="Normal 10 53" xfId="3218" xr:uid="{00000000-0005-0000-0000-0000820C0000}"/>
    <cellStyle name="Normal 10 54" xfId="3219" xr:uid="{00000000-0005-0000-0000-0000830C0000}"/>
    <cellStyle name="Normal 10 55" xfId="3220" xr:uid="{00000000-0005-0000-0000-0000840C0000}"/>
    <cellStyle name="Normal 10 56" xfId="3221" xr:uid="{00000000-0005-0000-0000-0000850C0000}"/>
    <cellStyle name="Normal 10 57" xfId="3222" xr:uid="{00000000-0005-0000-0000-0000860C0000}"/>
    <cellStyle name="Normal 10 58" xfId="3223" xr:uid="{00000000-0005-0000-0000-0000870C0000}"/>
    <cellStyle name="Normal 10 59" xfId="3224" xr:uid="{00000000-0005-0000-0000-0000880C0000}"/>
    <cellStyle name="Normal 10 6" xfId="3225" xr:uid="{00000000-0005-0000-0000-0000890C0000}"/>
    <cellStyle name="Normal 10 6 2" xfId="3226" xr:uid="{00000000-0005-0000-0000-00008A0C0000}"/>
    <cellStyle name="Normal 10 6 2 2" xfId="3227" xr:uid="{00000000-0005-0000-0000-00008B0C0000}"/>
    <cellStyle name="Normal 10 6 2 3" xfId="3228" xr:uid="{00000000-0005-0000-0000-00008C0C0000}"/>
    <cellStyle name="Normal 10 6 3" xfId="3229" xr:uid="{00000000-0005-0000-0000-00008D0C0000}"/>
    <cellStyle name="Normal 10 6 4" xfId="3230" xr:uid="{00000000-0005-0000-0000-00008E0C0000}"/>
    <cellStyle name="Normal 10 60" xfId="3231" xr:uid="{00000000-0005-0000-0000-00008F0C0000}"/>
    <cellStyle name="Normal 10 61" xfId="3232" xr:uid="{00000000-0005-0000-0000-0000900C0000}"/>
    <cellStyle name="Normal 10 62" xfId="3233" xr:uid="{00000000-0005-0000-0000-0000910C0000}"/>
    <cellStyle name="Normal 10 63" xfId="3234" xr:uid="{00000000-0005-0000-0000-0000920C0000}"/>
    <cellStyle name="Normal 10 64" xfId="3235" xr:uid="{00000000-0005-0000-0000-0000930C0000}"/>
    <cellStyle name="Normal 10 65" xfId="3236" xr:uid="{00000000-0005-0000-0000-0000940C0000}"/>
    <cellStyle name="Normal 10 66" xfId="3237" xr:uid="{00000000-0005-0000-0000-0000950C0000}"/>
    <cellStyle name="Normal 10 67" xfId="3238" xr:uid="{00000000-0005-0000-0000-0000960C0000}"/>
    <cellStyle name="Normal 10 68" xfId="3239" xr:uid="{00000000-0005-0000-0000-0000970C0000}"/>
    <cellStyle name="Normal 10 69" xfId="3240" xr:uid="{00000000-0005-0000-0000-0000980C0000}"/>
    <cellStyle name="Normal 10 7" xfId="3241" xr:uid="{00000000-0005-0000-0000-0000990C0000}"/>
    <cellStyle name="Normal 10 7 2" xfId="3242" xr:uid="{00000000-0005-0000-0000-00009A0C0000}"/>
    <cellStyle name="Normal 10 7 2 2" xfId="3243" xr:uid="{00000000-0005-0000-0000-00009B0C0000}"/>
    <cellStyle name="Normal 10 7 2 3" xfId="3244" xr:uid="{00000000-0005-0000-0000-00009C0C0000}"/>
    <cellStyle name="Normal 10 7 3" xfId="3245" xr:uid="{00000000-0005-0000-0000-00009D0C0000}"/>
    <cellStyle name="Normal 10 7 4" xfId="3246" xr:uid="{00000000-0005-0000-0000-00009E0C0000}"/>
    <cellStyle name="Normal 10 70" xfId="3247" xr:uid="{00000000-0005-0000-0000-00009F0C0000}"/>
    <cellStyle name="Normal 10 71" xfId="3248" xr:uid="{00000000-0005-0000-0000-0000A00C0000}"/>
    <cellStyle name="Normal 10 71 2" xfId="3249" xr:uid="{00000000-0005-0000-0000-0000A10C0000}"/>
    <cellStyle name="Normal 10 72" xfId="3250" xr:uid="{00000000-0005-0000-0000-0000A20C0000}"/>
    <cellStyle name="Normal 10 73" xfId="3251" xr:uid="{00000000-0005-0000-0000-0000A30C0000}"/>
    <cellStyle name="Normal 10 8" xfId="3252" xr:uid="{00000000-0005-0000-0000-0000A40C0000}"/>
    <cellStyle name="Normal 10 8 2" xfId="3253" xr:uid="{00000000-0005-0000-0000-0000A50C0000}"/>
    <cellStyle name="Normal 10 8 2 2" xfId="3254" xr:uid="{00000000-0005-0000-0000-0000A60C0000}"/>
    <cellStyle name="Normal 10 8 2 3" xfId="3255" xr:uid="{00000000-0005-0000-0000-0000A70C0000}"/>
    <cellStyle name="Normal 10 8 3" xfId="3256" xr:uid="{00000000-0005-0000-0000-0000A80C0000}"/>
    <cellStyle name="Normal 10 8 4" xfId="3257" xr:uid="{00000000-0005-0000-0000-0000A90C0000}"/>
    <cellStyle name="Normal 10 9" xfId="3258" xr:uid="{00000000-0005-0000-0000-0000AA0C0000}"/>
    <cellStyle name="Normal 10 9 2" xfId="3259" xr:uid="{00000000-0005-0000-0000-0000AB0C0000}"/>
    <cellStyle name="Normal 10 9 2 2" xfId="3260" xr:uid="{00000000-0005-0000-0000-0000AC0C0000}"/>
    <cellStyle name="Normal 10 9 3" xfId="3261" xr:uid="{00000000-0005-0000-0000-0000AD0C0000}"/>
    <cellStyle name="Normal 10 9 4" xfId="3262" xr:uid="{00000000-0005-0000-0000-0000AE0C0000}"/>
    <cellStyle name="Normal 10 9 5" xfId="3263" xr:uid="{00000000-0005-0000-0000-0000AF0C0000}"/>
    <cellStyle name="Normal 100" xfId="3264" xr:uid="{00000000-0005-0000-0000-0000B00C0000}"/>
    <cellStyle name="Normal 101" xfId="3265" xr:uid="{00000000-0005-0000-0000-0000B10C0000}"/>
    <cellStyle name="Normal 102" xfId="3266" xr:uid="{00000000-0005-0000-0000-0000B20C0000}"/>
    <cellStyle name="Normal 103" xfId="3267" xr:uid="{00000000-0005-0000-0000-0000B30C0000}"/>
    <cellStyle name="Normal 104" xfId="3268" xr:uid="{00000000-0005-0000-0000-0000B40C0000}"/>
    <cellStyle name="Normal 105" xfId="3269" xr:uid="{00000000-0005-0000-0000-0000B50C0000}"/>
    <cellStyle name="Normal 106" xfId="3270" xr:uid="{00000000-0005-0000-0000-0000B60C0000}"/>
    <cellStyle name="Normal 107" xfId="3271" xr:uid="{00000000-0005-0000-0000-0000B70C0000}"/>
    <cellStyle name="Normal 108" xfId="3272" xr:uid="{00000000-0005-0000-0000-0000B80C0000}"/>
    <cellStyle name="Normal 109" xfId="3273" xr:uid="{00000000-0005-0000-0000-0000B90C0000}"/>
    <cellStyle name="Normal 11" xfId="3274" xr:uid="{00000000-0005-0000-0000-0000BA0C0000}"/>
    <cellStyle name="Normal 11 10" xfId="3275" xr:uid="{00000000-0005-0000-0000-0000BB0C0000}"/>
    <cellStyle name="Normal 11 11" xfId="3276" xr:uid="{00000000-0005-0000-0000-0000BC0C0000}"/>
    <cellStyle name="Normal 11 12" xfId="3277" xr:uid="{00000000-0005-0000-0000-0000BD0C0000}"/>
    <cellStyle name="Normal 11 13" xfId="3278" xr:uid="{00000000-0005-0000-0000-0000BE0C0000}"/>
    <cellStyle name="Normal 11 14" xfId="3279" xr:uid="{00000000-0005-0000-0000-0000BF0C0000}"/>
    <cellStyle name="Normal 11 2" xfId="3280" xr:uid="{00000000-0005-0000-0000-0000C00C0000}"/>
    <cellStyle name="Normal 11 2 10" xfId="3281" xr:uid="{00000000-0005-0000-0000-0000C10C0000}"/>
    <cellStyle name="Normal 11 2 2" xfId="3282" xr:uid="{00000000-0005-0000-0000-0000C20C0000}"/>
    <cellStyle name="Normal 11 2 2 2" xfId="3283" xr:uid="{00000000-0005-0000-0000-0000C30C0000}"/>
    <cellStyle name="Normal 11 2 2 2 2" xfId="3284" xr:uid="{00000000-0005-0000-0000-0000C40C0000}"/>
    <cellStyle name="Normal 11 2 2 3" xfId="3285" xr:uid="{00000000-0005-0000-0000-0000C50C0000}"/>
    <cellStyle name="Normal 11 2 2 4" xfId="3286" xr:uid="{00000000-0005-0000-0000-0000C60C0000}"/>
    <cellStyle name="Normal 11 2 2 5" xfId="3287" xr:uid="{00000000-0005-0000-0000-0000C70C0000}"/>
    <cellStyle name="Normal 11 2 2 6" xfId="3288" xr:uid="{00000000-0005-0000-0000-0000C80C0000}"/>
    <cellStyle name="Normal 11 2 2 7" xfId="3289" xr:uid="{00000000-0005-0000-0000-0000C90C0000}"/>
    <cellStyle name="Normal 11 2 2 8" xfId="3290" xr:uid="{00000000-0005-0000-0000-0000CA0C0000}"/>
    <cellStyle name="Normal 11 2 2 9" xfId="3291" xr:uid="{00000000-0005-0000-0000-0000CB0C0000}"/>
    <cellStyle name="Normal 11 2 3" xfId="3292" xr:uid="{00000000-0005-0000-0000-0000CC0C0000}"/>
    <cellStyle name="Normal 11 2 4" xfId="3293" xr:uid="{00000000-0005-0000-0000-0000CD0C0000}"/>
    <cellStyle name="Normal 11 2 5" xfId="3294" xr:uid="{00000000-0005-0000-0000-0000CE0C0000}"/>
    <cellStyle name="Normal 11 2 6" xfId="3295" xr:uid="{00000000-0005-0000-0000-0000CF0C0000}"/>
    <cellStyle name="Normal 11 2 7" xfId="3296" xr:uid="{00000000-0005-0000-0000-0000D00C0000}"/>
    <cellStyle name="Normal 11 2 8" xfId="3297" xr:uid="{00000000-0005-0000-0000-0000D10C0000}"/>
    <cellStyle name="Normal 11 2 9" xfId="3298" xr:uid="{00000000-0005-0000-0000-0000D20C0000}"/>
    <cellStyle name="Normal 11 3" xfId="3299" xr:uid="{00000000-0005-0000-0000-0000D30C0000}"/>
    <cellStyle name="Normal 11 4" xfId="3300" xr:uid="{00000000-0005-0000-0000-0000D40C0000}"/>
    <cellStyle name="Normal 11 5" xfId="3301" xr:uid="{00000000-0005-0000-0000-0000D50C0000}"/>
    <cellStyle name="Normal 11 5 2" xfId="3302" xr:uid="{00000000-0005-0000-0000-0000D60C0000}"/>
    <cellStyle name="Normal 11 6" xfId="3303" xr:uid="{00000000-0005-0000-0000-0000D70C0000}"/>
    <cellStyle name="Normal 11 6 2" xfId="3304" xr:uid="{00000000-0005-0000-0000-0000D80C0000}"/>
    <cellStyle name="Normal 11 7" xfId="3305" xr:uid="{00000000-0005-0000-0000-0000D90C0000}"/>
    <cellStyle name="Normal 11 8" xfId="3306" xr:uid="{00000000-0005-0000-0000-0000DA0C0000}"/>
    <cellStyle name="Normal 11 9" xfId="3307" xr:uid="{00000000-0005-0000-0000-0000DB0C0000}"/>
    <cellStyle name="Normal 110" xfId="3308" xr:uid="{00000000-0005-0000-0000-0000DC0C0000}"/>
    <cellStyle name="Normal 111" xfId="3309" xr:uid="{00000000-0005-0000-0000-0000DD0C0000}"/>
    <cellStyle name="Normal 112" xfId="3310" xr:uid="{00000000-0005-0000-0000-0000DE0C0000}"/>
    <cellStyle name="Normal 113" xfId="3311" xr:uid="{00000000-0005-0000-0000-0000DF0C0000}"/>
    <cellStyle name="Normal 114" xfId="3312" xr:uid="{00000000-0005-0000-0000-0000E00C0000}"/>
    <cellStyle name="Normal 115" xfId="3313" xr:uid="{00000000-0005-0000-0000-0000E10C0000}"/>
    <cellStyle name="Normal 116" xfId="3314" xr:uid="{00000000-0005-0000-0000-0000E20C0000}"/>
    <cellStyle name="Normal 117" xfId="3315" xr:uid="{00000000-0005-0000-0000-0000E30C0000}"/>
    <cellStyle name="Normal 118" xfId="3316" xr:uid="{00000000-0005-0000-0000-0000E40C0000}"/>
    <cellStyle name="Normal 119" xfId="3317" xr:uid="{00000000-0005-0000-0000-0000E50C0000}"/>
    <cellStyle name="Normal 12" xfId="3318" xr:uid="{00000000-0005-0000-0000-0000E60C0000}"/>
    <cellStyle name="Normal 12 10" xfId="3319" xr:uid="{00000000-0005-0000-0000-0000E70C0000}"/>
    <cellStyle name="Normal 12 10 2" xfId="9421" xr:uid="{BEE128E3-D947-40D3-9525-B03582DB5512}"/>
    <cellStyle name="Normal 12 11" xfId="3320" xr:uid="{00000000-0005-0000-0000-0000E80C0000}"/>
    <cellStyle name="Normal 12 12" xfId="3321" xr:uid="{00000000-0005-0000-0000-0000E90C0000}"/>
    <cellStyle name="Normal 12 13" xfId="3322" xr:uid="{00000000-0005-0000-0000-0000EA0C0000}"/>
    <cellStyle name="Normal 12 14" xfId="3323" xr:uid="{00000000-0005-0000-0000-0000EB0C0000}"/>
    <cellStyle name="Normal 12 15" xfId="3324" xr:uid="{00000000-0005-0000-0000-0000EC0C0000}"/>
    <cellStyle name="Normal 12 16" xfId="3325" xr:uid="{00000000-0005-0000-0000-0000ED0C0000}"/>
    <cellStyle name="Normal 12 17" xfId="3326" xr:uid="{00000000-0005-0000-0000-0000EE0C0000}"/>
    <cellStyle name="Normal 12 18" xfId="3327" xr:uid="{00000000-0005-0000-0000-0000EF0C0000}"/>
    <cellStyle name="Normal 12 19" xfId="3328" xr:uid="{00000000-0005-0000-0000-0000F00C0000}"/>
    <cellStyle name="Normal 12 2" xfId="3329" xr:uid="{00000000-0005-0000-0000-0000F10C0000}"/>
    <cellStyle name="Normal 12 2 2" xfId="3330" xr:uid="{00000000-0005-0000-0000-0000F20C0000}"/>
    <cellStyle name="Normal 12 2 2 2" xfId="3331" xr:uid="{00000000-0005-0000-0000-0000F30C0000}"/>
    <cellStyle name="Normal 12 2 3" xfId="3332" xr:uid="{00000000-0005-0000-0000-0000F40C0000}"/>
    <cellStyle name="Normal 12 2 4" xfId="3333" xr:uid="{00000000-0005-0000-0000-0000F50C0000}"/>
    <cellStyle name="Normal 12 20" xfId="3334" xr:uid="{00000000-0005-0000-0000-0000F60C0000}"/>
    <cellStyle name="Normal 12 21" xfId="3335" xr:uid="{00000000-0005-0000-0000-0000F70C0000}"/>
    <cellStyle name="Normal 12 22" xfId="3336" xr:uid="{00000000-0005-0000-0000-0000F80C0000}"/>
    <cellStyle name="Normal 12 23" xfId="3337" xr:uid="{00000000-0005-0000-0000-0000F90C0000}"/>
    <cellStyle name="Normal 12 24" xfId="3338" xr:uid="{00000000-0005-0000-0000-0000FA0C0000}"/>
    <cellStyle name="Normal 12 25" xfId="3339" xr:uid="{00000000-0005-0000-0000-0000FB0C0000}"/>
    <cellStyle name="Normal 12 26" xfId="3340" xr:uid="{00000000-0005-0000-0000-0000FC0C0000}"/>
    <cellStyle name="Normal 12 27" xfId="3341" xr:uid="{00000000-0005-0000-0000-0000FD0C0000}"/>
    <cellStyle name="Normal 12 28" xfId="3342" xr:uid="{00000000-0005-0000-0000-0000FE0C0000}"/>
    <cellStyle name="Normal 12 29" xfId="3343" xr:uid="{00000000-0005-0000-0000-0000FF0C0000}"/>
    <cellStyle name="Normal 12 3" xfId="3344" xr:uid="{00000000-0005-0000-0000-0000000D0000}"/>
    <cellStyle name="Normal 12 30" xfId="3345" xr:uid="{00000000-0005-0000-0000-0000010D0000}"/>
    <cellStyle name="Normal 12 31" xfId="3346" xr:uid="{00000000-0005-0000-0000-0000020D0000}"/>
    <cellStyle name="Normal 12 32" xfId="3347" xr:uid="{00000000-0005-0000-0000-0000030D0000}"/>
    <cellStyle name="Normal 12 33" xfId="3348" xr:uid="{00000000-0005-0000-0000-0000040D0000}"/>
    <cellStyle name="Normal 12 34" xfId="3349" xr:uid="{00000000-0005-0000-0000-0000050D0000}"/>
    <cellStyle name="Normal 12 35" xfId="3350" xr:uid="{00000000-0005-0000-0000-0000060D0000}"/>
    <cellStyle name="Normal 12 36" xfId="3351" xr:uid="{00000000-0005-0000-0000-0000070D0000}"/>
    <cellStyle name="Normal 12 37" xfId="3352" xr:uid="{00000000-0005-0000-0000-0000080D0000}"/>
    <cellStyle name="Normal 12 38" xfId="3353" xr:uid="{00000000-0005-0000-0000-0000090D0000}"/>
    <cellStyle name="Normal 12 39" xfId="3354" xr:uid="{00000000-0005-0000-0000-00000A0D0000}"/>
    <cellStyle name="Normal 12 4" xfId="3355" xr:uid="{00000000-0005-0000-0000-00000B0D0000}"/>
    <cellStyle name="Normal 12 40" xfId="3356" xr:uid="{00000000-0005-0000-0000-00000C0D0000}"/>
    <cellStyle name="Normal 12 41" xfId="3357" xr:uid="{00000000-0005-0000-0000-00000D0D0000}"/>
    <cellStyle name="Normal 12 42" xfId="3358" xr:uid="{00000000-0005-0000-0000-00000E0D0000}"/>
    <cellStyle name="Normal 12 43" xfId="3359" xr:uid="{00000000-0005-0000-0000-00000F0D0000}"/>
    <cellStyle name="Normal 12 44" xfId="3360" xr:uid="{00000000-0005-0000-0000-0000100D0000}"/>
    <cellStyle name="Normal 12 45" xfId="3361" xr:uid="{00000000-0005-0000-0000-0000110D0000}"/>
    <cellStyle name="Normal 12 46" xfId="3362" xr:uid="{00000000-0005-0000-0000-0000120D0000}"/>
    <cellStyle name="Normal 12 47" xfId="3363" xr:uid="{00000000-0005-0000-0000-0000130D0000}"/>
    <cellStyle name="Normal 12 48" xfId="3364" xr:uid="{00000000-0005-0000-0000-0000140D0000}"/>
    <cellStyle name="Normal 12 49" xfId="3365" xr:uid="{00000000-0005-0000-0000-0000150D0000}"/>
    <cellStyle name="Normal 12 5" xfId="3366" xr:uid="{00000000-0005-0000-0000-0000160D0000}"/>
    <cellStyle name="Normal 12 50 2" xfId="9426" xr:uid="{91AF2C5E-C275-4DDC-B9BE-F9A91B50A75F}"/>
    <cellStyle name="Normal 12 6" xfId="3367" xr:uid="{00000000-0005-0000-0000-0000170D0000}"/>
    <cellStyle name="Normal 12 7" xfId="3368" xr:uid="{00000000-0005-0000-0000-0000180D0000}"/>
    <cellStyle name="Normal 12 8" xfId="3369" xr:uid="{00000000-0005-0000-0000-0000190D0000}"/>
    <cellStyle name="Normal 12 9" xfId="3370" xr:uid="{00000000-0005-0000-0000-00001A0D0000}"/>
    <cellStyle name="Normal 120" xfId="3371" xr:uid="{00000000-0005-0000-0000-00001B0D0000}"/>
    <cellStyle name="Normal 121" xfId="3372" xr:uid="{00000000-0005-0000-0000-00001C0D0000}"/>
    <cellStyle name="Normal 122" xfId="3373" xr:uid="{00000000-0005-0000-0000-00001D0D0000}"/>
    <cellStyle name="Normal 123" xfId="3374" xr:uid="{00000000-0005-0000-0000-00001E0D0000}"/>
    <cellStyle name="Normal 124" xfId="3375" xr:uid="{00000000-0005-0000-0000-00001F0D0000}"/>
    <cellStyle name="Normal 125" xfId="3376" xr:uid="{00000000-0005-0000-0000-0000200D0000}"/>
    <cellStyle name="Normal 125 2" xfId="3377" xr:uid="{00000000-0005-0000-0000-0000210D0000}"/>
    <cellStyle name="Normal 126" xfId="3378" xr:uid="{00000000-0005-0000-0000-0000220D0000}"/>
    <cellStyle name="Normal 126 2" xfId="3379" xr:uid="{00000000-0005-0000-0000-0000230D0000}"/>
    <cellStyle name="Normal 127" xfId="3380" xr:uid="{00000000-0005-0000-0000-0000240D0000}"/>
    <cellStyle name="Normal 127 2" xfId="3381" xr:uid="{00000000-0005-0000-0000-0000250D0000}"/>
    <cellStyle name="Normal 128" xfId="3382" xr:uid="{00000000-0005-0000-0000-0000260D0000}"/>
    <cellStyle name="Normal 129" xfId="3383" xr:uid="{00000000-0005-0000-0000-0000270D0000}"/>
    <cellStyle name="Normal 129 2" xfId="3384" xr:uid="{00000000-0005-0000-0000-0000280D0000}"/>
    <cellStyle name="Normal 13" xfId="3385" xr:uid="{00000000-0005-0000-0000-0000290D0000}"/>
    <cellStyle name="Normal 13 10" xfId="3386" xr:uid="{00000000-0005-0000-0000-00002A0D0000}"/>
    <cellStyle name="Normal 13 11" xfId="3387" xr:uid="{00000000-0005-0000-0000-00002B0D0000}"/>
    <cellStyle name="Normal 13 12" xfId="3388" xr:uid="{00000000-0005-0000-0000-00002C0D0000}"/>
    <cellStyle name="Normal 13 13" xfId="3389" xr:uid="{00000000-0005-0000-0000-00002D0D0000}"/>
    <cellStyle name="Normal 13 14" xfId="3390" xr:uid="{00000000-0005-0000-0000-00002E0D0000}"/>
    <cellStyle name="Normal 13 15" xfId="3391" xr:uid="{00000000-0005-0000-0000-00002F0D0000}"/>
    <cellStyle name="Normal 13 16" xfId="3392" xr:uid="{00000000-0005-0000-0000-0000300D0000}"/>
    <cellStyle name="Normal 13 17" xfId="3393" xr:uid="{00000000-0005-0000-0000-0000310D0000}"/>
    <cellStyle name="Normal 13 18" xfId="3394" xr:uid="{00000000-0005-0000-0000-0000320D0000}"/>
    <cellStyle name="Normal 13 19" xfId="3395" xr:uid="{00000000-0005-0000-0000-0000330D0000}"/>
    <cellStyle name="Normal 13 2" xfId="3396" xr:uid="{00000000-0005-0000-0000-0000340D0000}"/>
    <cellStyle name="Normal 13 2 2" xfId="3397" xr:uid="{00000000-0005-0000-0000-0000350D0000}"/>
    <cellStyle name="Normal 13 2 2 2" xfId="3398" xr:uid="{00000000-0005-0000-0000-0000360D0000}"/>
    <cellStyle name="Normal 13 2 2 3" xfId="3399" xr:uid="{00000000-0005-0000-0000-0000370D0000}"/>
    <cellStyle name="Normal 13 2 3" xfId="3400" xr:uid="{00000000-0005-0000-0000-0000380D0000}"/>
    <cellStyle name="Normal 13 2 3 2" xfId="3401" xr:uid="{00000000-0005-0000-0000-0000390D0000}"/>
    <cellStyle name="Normal 13 2 4" xfId="3402" xr:uid="{00000000-0005-0000-0000-00003A0D0000}"/>
    <cellStyle name="Normal 13 2 5" xfId="3403" xr:uid="{00000000-0005-0000-0000-00003B0D0000}"/>
    <cellStyle name="Normal 13 20" xfId="3404" xr:uid="{00000000-0005-0000-0000-00003C0D0000}"/>
    <cellStyle name="Normal 13 21" xfId="3405" xr:uid="{00000000-0005-0000-0000-00003D0D0000}"/>
    <cellStyle name="Normal 13 21 2" xfId="3406" xr:uid="{00000000-0005-0000-0000-00003E0D0000}"/>
    <cellStyle name="Normal 13 22" xfId="3407" xr:uid="{00000000-0005-0000-0000-00003F0D0000}"/>
    <cellStyle name="Normal 13 3" xfId="3408" xr:uid="{00000000-0005-0000-0000-0000400D0000}"/>
    <cellStyle name="Normal 13 3 2" xfId="3409" xr:uid="{00000000-0005-0000-0000-0000410D0000}"/>
    <cellStyle name="Normal 13 3 3" xfId="3410" xr:uid="{00000000-0005-0000-0000-0000420D0000}"/>
    <cellStyle name="Normal 13 4" xfId="3411" xr:uid="{00000000-0005-0000-0000-0000430D0000}"/>
    <cellStyle name="Normal 13 4 2" xfId="3412" xr:uid="{00000000-0005-0000-0000-0000440D0000}"/>
    <cellStyle name="Normal 13 4 2 2" xfId="3413" xr:uid="{00000000-0005-0000-0000-0000450D0000}"/>
    <cellStyle name="Normal 13 4 3" xfId="3414" xr:uid="{00000000-0005-0000-0000-0000460D0000}"/>
    <cellStyle name="Normal 13 5" xfId="3415" xr:uid="{00000000-0005-0000-0000-0000470D0000}"/>
    <cellStyle name="Normal 13 5 2" xfId="3416" xr:uid="{00000000-0005-0000-0000-0000480D0000}"/>
    <cellStyle name="Normal 13 6" xfId="3417" xr:uid="{00000000-0005-0000-0000-0000490D0000}"/>
    <cellStyle name="Normal 13 7" xfId="3418" xr:uid="{00000000-0005-0000-0000-00004A0D0000}"/>
    <cellStyle name="Normal 13 8" xfId="3419" xr:uid="{00000000-0005-0000-0000-00004B0D0000}"/>
    <cellStyle name="Normal 13 9" xfId="3420" xr:uid="{00000000-0005-0000-0000-00004C0D0000}"/>
    <cellStyle name="Normal 130" xfId="3421" xr:uid="{00000000-0005-0000-0000-00004D0D0000}"/>
    <cellStyle name="Normal 130 2" xfId="3422" xr:uid="{00000000-0005-0000-0000-00004E0D0000}"/>
    <cellStyle name="Normal 131" xfId="3423" xr:uid="{00000000-0005-0000-0000-00004F0D0000}"/>
    <cellStyle name="Normal 131 2" xfId="3424" xr:uid="{00000000-0005-0000-0000-0000500D0000}"/>
    <cellStyle name="Normal 131 3" xfId="3425" xr:uid="{00000000-0005-0000-0000-0000510D0000}"/>
    <cellStyle name="Normal 132" xfId="3426" xr:uid="{00000000-0005-0000-0000-0000520D0000}"/>
    <cellStyle name="Normal 132 2" xfId="3427" xr:uid="{00000000-0005-0000-0000-0000530D0000}"/>
    <cellStyle name="Normal 133" xfId="3428" xr:uid="{00000000-0005-0000-0000-0000540D0000}"/>
    <cellStyle name="Normal 134" xfId="3429" xr:uid="{00000000-0005-0000-0000-0000550D0000}"/>
    <cellStyle name="Normal 134 2" xfId="3430" xr:uid="{00000000-0005-0000-0000-0000560D0000}"/>
    <cellStyle name="Normal 134 2 2" xfId="3431" xr:uid="{00000000-0005-0000-0000-0000570D0000}"/>
    <cellStyle name="Normal 135" xfId="3432" xr:uid="{00000000-0005-0000-0000-0000580D0000}"/>
    <cellStyle name="Normal 136" xfId="3433" xr:uid="{00000000-0005-0000-0000-0000590D0000}"/>
    <cellStyle name="Normal 137" xfId="3434" xr:uid="{00000000-0005-0000-0000-00005A0D0000}"/>
    <cellStyle name="Normal 138" xfId="3435" xr:uid="{00000000-0005-0000-0000-00005B0D0000}"/>
    <cellStyle name="Normal 139" xfId="3436" xr:uid="{00000000-0005-0000-0000-00005C0D0000}"/>
    <cellStyle name="Normal 139 2" xfId="3437" xr:uid="{00000000-0005-0000-0000-00005D0D0000}"/>
    <cellStyle name="Normal 14" xfId="3438" xr:uid="{00000000-0005-0000-0000-00005E0D0000}"/>
    <cellStyle name="Normal 14 10" xfId="3439" xr:uid="{00000000-0005-0000-0000-00005F0D0000}"/>
    <cellStyle name="Normal 14 10 2" xfId="3440" xr:uid="{00000000-0005-0000-0000-0000600D0000}"/>
    <cellStyle name="Normal 14 11" xfId="3441" xr:uid="{00000000-0005-0000-0000-0000610D0000}"/>
    <cellStyle name="Normal 14 12" xfId="3442" xr:uid="{00000000-0005-0000-0000-0000620D0000}"/>
    <cellStyle name="Normal 14 12 10 2 2 2" xfId="9418" xr:uid="{45209F1B-13C6-42C1-ADA4-6B424CAC4177}"/>
    <cellStyle name="Normal 14 13" xfId="3443" xr:uid="{00000000-0005-0000-0000-0000630D0000}"/>
    <cellStyle name="Normal 14 14" xfId="3444" xr:uid="{00000000-0005-0000-0000-0000640D0000}"/>
    <cellStyle name="Normal 14 2" xfId="3445" xr:uid="{00000000-0005-0000-0000-0000650D0000}"/>
    <cellStyle name="Normal 14 2 2" xfId="3446" xr:uid="{00000000-0005-0000-0000-0000660D0000}"/>
    <cellStyle name="Normal 14 2 3" xfId="3447" xr:uid="{00000000-0005-0000-0000-0000670D0000}"/>
    <cellStyle name="Normal 14 2 4" xfId="3448" xr:uid="{00000000-0005-0000-0000-0000680D0000}"/>
    <cellStyle name="Normal 14 3" xfId="3449" xr:uid="{00000000-0005-0000-0000-0000690D0000}"/>
    <cellStyle name="Normal 14 3 2" xfId="3450" xr:uid="{00000000-0005-0000-0000-00006A0D0000}"/>
    <cellStyle name="Normal 14 3 3" xfId="3451" xr:uid="{00000000-0005-0000-0000-00006B0D0000}"/>
    <cellStyle name="Normal 14 4" xfId="3452" xr:uid="{00000000-0005-0000-0000-00006C0D0000}"/>
    <cellStyle name="Normal 14 4 2" xfId="3453" xr:uid="{00000000-0005-0000-0000-00006D0D0000}"/>
    <cellStyle name="Normal 14 4 2 2" xfId="3454" xr:uid="{00000000-0005-0000-0000-00006E0D0000}"/>
    <cellStyle name="Normal 14 4 3" xfId="3455" xr:uid="{00000000-0005-0000-0000-00006F0D0000}"/>
    <cellStyle name="Normal 14 5" xfId="3456" xr:uid="{00000000-0005-0000-0000-0000700D0000}"/>
    <cellStyle name="Normal 14 5 2" xfId="3457" xr:uid="{00000000-0005-0000-0000-0000710D0000}"/>
    <cellStyle name="Normal 14 5 3" xfId="3458" xr:uid="{00000000-0005-0000-0000-0000720D0000}"/>
    <cellStyle name="Normal 14 5 4" xfId="3459" xr:uid="{00000000-0005-0000-0000-0000730D0000}"/>
    <cellStyle name="Normal 14 6" xfId="3460" xr:uid="{00000000-0005-0000-0000-0000740D0000}"/>
    <cellStyle name="Normal 14 6 2" xfId="3461" xr:uid="{00000000-0005-0000-0000-0000750D0000}"/>
    <cellStyle name="Normal 14 7" xfId="3462" xr:uid="{00000000-0005-0000-0000-0000760D0000}"/>
    <cellStyle name="Normal 14 7 2" xfId="3463" xr:uid="{00000000-0005-0000-0000-0000770D0000}"/>
    <cellStyle name="Normal 14 8" xfId="3464" xr:uid="{00000000-0005-0000-0000-0000780D0000}"/>
    <cellStyle name="Normal 14 8 2" xfId="3465" xr:uid="{00000000-0005-0000-0000-0000790D0000}"/>
    <cellStyle name="Normal 14 9" xfId="3466" xr:uid="{00000000-0005-0000-0000-00007A0D0000}"/>
    <cellStyle name="Normal 14 9 2" xfId="3467" xr:uid="{00000000-0005-0000-0000-00007B0D0000}"/>
    <cellStyle name="Normal 140" xfId="3468" xr:uid="{00000000-0005-0000-0000-00007C0D0000}"/>
    <cellStyle name="Normal 140 2" xfId="3469" xr:uid="{00000000-0005-0000-0000-00007D0D0000}"/>
    <cellStyle name="Normal 140 2 2" xfId="3470" xr:uid="{00000000-0005-0000-0000-00007E0D0000}"/>
    <cellStyle name="Normal 140 3" xfId="3471" xr:uid="{00000000-0005-0000-0000-00007F0D0000}"/>
    <cellStyle name="Normal 141" xfId="3472" xr:uid="{00000000-0005-0000-0000-0000800D0000}"/>
    <cellStyle name="Normal 142" xfId="3473" xr:uid="{00000000-0005-0000-0000-0000810D0000}"/>
    <cellStyle name="Normal 143" xfId="3474" xr:uid="{00000000-0005-0000-0000-0000820D0000}"/>
    <cellStyle name="Normal 144" xfId="3475" xr:uid="{00000000-0005-0000-0000-0000830D0000}"/>
    <cellStyle name="Normal 145" xfId="3476" xr:uid="{00000000-0005-0000-0000-0000840D0000}"/>
    <cellStyle name="Normal 146" xfId="3477" xr:uid="{00000000-0005-0000-0000-0000850D0000}"/>
    <cellStyle name="Normal 147" xfId="3478" xr:uid="{00000000-0005-0000-0000-0000860D0000}"/>
    <cellStyle name="Normal 148" xfId="3479" xr:uid="{00000000-0005-0000-0000-0000870D0000}"/>
    <cellStyle name="Normal 149" xfId="3480" xr:uid="{00000000-0005-0000-0000-0000880D0000}"/>
    <cellStyle name="Normal 15" xfId="3481" xr:uid="{00000000-0005-0000-0000-0000890D0000}"/>
    <cellStyle name="Normal 15 2" xfId="3482" xr:uid="{00000000-0005-0000-0000-00008A0D0000}"/>
    <cellStyle name="Normal 15 2 2" xfId="3483" xr:uid="{00000000-0005-0000-0000-00008B0D0000}"/>
    <cellStyle name="Normal 15 2 3" xfId="3484" xr:uid="{00000000-0005-0000-0000-00008C0D0000}"/>
    <cellStyle name="Normal 15 3" xfId="3485" xr:uid="{00000000-0005-0000-0000-00008D0D0000}"/>
    <cellStyle name="Normal 15 3 2" xfId="3486" xr:uid="{00000000-0005-0000-0000-00008E0D0000}"/>
    <cellStyle name="Normal 15 3 3" xfId="3487" xr:uid="{00000000-0005-0000-0000-00008F0D0000}"/>
    <cellStyle name="Normal 15 4" xfId="3488" xr:uid="{00000000-0005-0000-0000-0000900D0000}"/>
    <cellStyle name="Normal 15 4 2" xfId="3489" xr:uid="{00000000-0005-0000-0000-0000910D0000}"/>
    <cellStyle name="Normal 15 4 3" xfId="3490" xr:uid="{00000000-0005-0000-0000-0000920D0000}"/>
    <cellStyle name="Normal 15 5" xfId="3491" xr:uid="{00000000-0005-0000-0000-0000930D0000}"/>
    <cellStyle name="Normal 15 6" xfId="3492" xr:uid="{00000000-0005-0000-0000-0000940D0000}"/>
    <cellStyle name="Normal 15 7" xfId="3493" xr:uid="{00000000-0005-0000-0000-0000950D0000}"/>
    <cellStyle name="Normal 15 8" xfId="3494" xr:uid="{00000000-0005-0000-0000-0000960D0000}"/>
    <cellStyle name="Normal 150" xfId="3495" xr:uid="{00000000-0005-0000-0000-0000970D0000}"/>
    <cellStyle name="Normal 151" xfId="3496" xr:uid="{00000000-0005-0000-0000-0000980D0000}"/>
    <cellStyle name="Normal 152" xfId="3497" xr:uid="{00000000-0005-0000-0000-0000990D0000}"/>
    <cellStyle name="Normal 153" xfId="3498" xr:uid="{00000000-0005-0000-0000-00009A0D0000}"/>
    <cellStyle name="Normal 154" xfId="3499" xr:uid="{00000000-0005-0000-0000-00009B0D0000}"/>
    <cellStyle name="Normal 155" xfId="3500" xr:uid="{00000000-0005-0000-0000-00009C0D0000}"/>
    <cellStyle name="Normal 156" xfId="3501" xr:uid="{00000000-0005-0000-0000-00009D0D0000}"/>
    <cellStyle name="Normal 157" xfId="3502" xr:uid="{00000000-0005-0000-0000-00009E0D0000}"/>
    <cellStyle name="Normal 158" xfId="3503" xr:uid="{00000000-0005-0000-0000-00009F0D0000}"/>
    <cellStyle name="Normal 159" xfId="3504" xr:uid="{00000000-0005-0000-0000-0000A00D0000}"/>
    <cellStyle name="Normal 16" xfId="3505" xr:uid="{00000000-0005-0000-0000-0000A10D0000}"/>
    <cellStyle name="Normal 16 2" xfId="3506" xr:uid="{00000000-0005-0000-0000-0000A20D0000}"/>
    <cellStyle name="Normal 16 2 2" xfId="3507" xr:uid="{00000000-0005-0000-0000-0000A30D0000}"/>
    <cellStyle name="Normal 16 2 2 2" xfId="3508" xr:uid="{00000000-0005-0000-0000-0000A40D0000}"/>
    <cellStyle name="Normal 16 2 3" xfId="3509" xr:uid="{00000000-0005-0000-0000-0000A50D0000}"/>
    <cellStyle name="Normal 16 3" xfId="3510" xr:uid="{00000000-0005-0000-0000-0000A60D0000}"/>
    <cellStyle name="Normal 16 3 2" xfId="3511" xr:uid="{00000000-0005-0000-0000-0000A70D0000}"/>
    <cellStyle name="Normal 16 4" xfId="3512" xr:uid="{00000000-0005-0000-0000-0000A80D0000}"/>
    <cellStyle name="Normal 16 5" xfId="3513" xr:uid="{00000000-0005-0000-0000-0000A90D0000}"/>
    <cellStyle name="Normal 16 6" xfId="3514" xr:uid="{00000000-0005-0000-0000-0000AA0D0000}"/>
    <cellStyle name="Normal 16 7" xfId="3515" xr:uid="{00000000-0005-0000-0000-0000AB0D0000}"/>
    <cellStyle name="Normal 160" xfId="3516" xr:uid="{00000000-0005-0000-0000-0000AC0D0000}"/>
    <cellStyle name="Normal 161" xfId="3517" xr:uid="{00000000-0005-0000-0000-0000AD0D0000}"/>
    <cellStyle name="Normal 162" xfId="3518" xr:uid="{00000000-0005-0000-0000-0000AE0D0000}"/>
    <cellStyle name="Normal 163" xfId="3519" xr:uid="{00000000-0005-0000-0000-0000AF0D0000}"/>
    <cellStyle name="Normal 164" xfId="3520" xr:uid="{00000000-0005-0000-0000-0000B00D0000}"/>
    <cellStyle name="Normal 165" xfId="3521" xr:uid="{00000000-0005-0000-0000-0000B10D0000}"/>
    <cellStyle name="Normal 166" xfId="3522" xr:uid="{00000000-0005-0000-0000-0000B20D0000}"/>
    <cellStyle name="Normal 167" xfId="3523" xr:uid="{00000000-0005-0000-0000-0000B30D0000}"/>
    <cellStyle name="Normal 168" xfId="3524" xr:uid="{00000000-0005-0000-0000-0000B40D0000}"/>
    <cellStyle name="Normal 169" xfId="3525" xr:uid="{00000000-0005-0000-0000-0000B50D0000}"/>
    <cellStyle name="Normal 17" xfId="3526" xr:uid="{00000000-0005-0000-0000-0000B60D0000}"/>
    <cellStyle name="Normal 17 2" xfId="3527" xr:uid="{00000000-0005-0000-0000-0000B70D0000}"/>
    <cellStyle name="Normal 17 2 2" xfId="3528" xr:uid="{00000000-0005-0000-0000-0000B80D0000}"/>
    <cellStyle name="Normal 17 2 2 2" xfId="3529" xr:uid="{00000000-0005-0000-0000-0000B90D0000}"/>
    <cellStyle name="Normal 17 2 3" xfId="3530" xr:uid="{00000000-0005-0000-0000-0000BA0D0000}"/>
    <cellStyle name="Normal 17 3" xfId="3531" xr:uid="{00000000-0005-0000-0000-0000BB0D0000}"/>
    <cellStyle name="Normal 17 3 2" xfId="3532" xr:uid="{00000000-0005-0000-0000-0000BC0D0000}"/>
    <cellStyle name="Normal 17 4" xfId="3533" xr:uid="{00000000-0005-0000-0000-0000BD0D0000}"/>
    <cellStyle name="Normal 17 4 2" xfId="3534" xr:uid="{00000000-0005-0000-0000-0000BE0D0000}"/>
    <cellStyle name="Normal 17 4 3" xfId="3535" xr:uid="{00000000-0005-0000-0000-0000BF0D0000}"/>
    <cellStyle name="Normal 170" xfId="3536" xr:uid="{00000000-0005-0000-0000-0000C00D0000}"/>
    <cellStyle name="Normal 171" xfId="3537" xr:uid="{00000000-0005-0000-0000-0000C10D0000}"/>
    <cellStyle name="Normal 172" xfId="3538" xr:uid="{00000000-0005-0000-0000-0000C20D0000}"/>
    <cellStyle name="Normal 173" xfId="3539" xr:uid="{00000000-0005-0000-0000-0000C30D0000}"/>
    <cellStyle name="Normal 174" xfId="3540" xr:uid="{00000000-0005-0000-0000-0000C40D0000}"/>
    <cellStyle name="Normal 175" xfId="3541" xr:uid="{00000000-0005-0000-0000-0000C50D0000}"/>
    <cellStyle name="Normal 176" xfId="3542" xr:uid="{00000000-0005-0000-0000-0000C60D0000}"/>
    <cellStyle name="Normal 177" xfId="3543" xr:uid="{00000000-0005-0000-0000-0000C70D0000}"/>
    <cellStyle name="Normal 178" xfId="3544" xr:uid="{00000000-0005-0000-0000-0000C80D0000}"/>
    <cellStyle name="Normal 179" xfId="3545" xr:uid="{00000000-0005-0000-0000-0000C90D0000}"/>
    <cellStyle name="Normal 18" xfId="3546" xr:uid="{00000000-0005-0000-0000-0000CA0D0000}"/>
    <cellStyle name="Normal 18 2" xfId="3547" xr:uid="{00000000-0005-0000-0000-0000CB0D0000}"/>
    <cellStyle name="Normal 18 2 2" xfId="3548" xr:uid="{00000000-0005-0000-0000-0000CC0D0000}"/>
    <cellStyle name="Normal 18 2 3" xfId="3549" xr:uid="{00000000-0005-0000-0000-0000CD0D0000}"/>
    <cellStyle name="Normal 18 3" xfId="3550" xr:uid="{00000000-0005-0000-0000-0000CE0D0000}"/>
    <cellStyle name="Normal 18 3 2" xfId="3551" xr:uid="{00000000-0005-0000-0000-0000CF0D0000}"/>
    <cellStyle name="Normal 18 4" xfId="3552" xr:uid="{00000000-0005-0000-0000-0000D00D0000}"/>
    <cellStyle name="Normal 18 5" xfId="3553" xr:uid="{00000000-0005-0000-0000-0000D10D0000}"/>
    <cellStyle name="Normal 18 6" xfId="3554" xr:uid="{00000000-0005-0000-0000-0000D20D0000}"/>
    <cellStyle name="Normal 180" xfId="3555" xr:uid="{00000000-0005-0000-0000-0000D30D0000}"/>
    <cellStyle name="Normal 181" xfId="3556" xr:uid="{00000000-0005-0000-0000-0000D40D0000}"/>
    <cellStyle name="Normal 182" xfId="3557" xr:uid="{00000000-0005-0000-0000-0000D50D0000}"/>
    <cellStyle name="Normal 183" xfId="3558" xr:uid="{00000000-0005-0000-0000-0000D60D0000}"/>
    <cellStyle name="Normal 184" xfId="3559" xr:uid="{00000000-0005-0000-0000-0000D70D0000}"/>
    <cellStyle name="Normal 185" xfId="3560" xr:uid="{00000000-0005-0000-0000-0000D80D0000}"/>
    <cellStyle name="Normal 186" xfId="3561" xr:uid="{00000000-0005-0000-0000-0000D90D0000}"/>
    <cellStyle name="Normal 187" xfId="3562" xr:uid="{00000000-0005-0000-0000-0000DA0D0000}"/>
    <cellStyle name="Normal 188" xfId="3563" xr:uid="{00000000-0005-0000-0000-0000DB0D0000}"/>
    <cellStyle name="Normal 189" xfId="3564" xr:uid="{00000000-0005-0000-0000-0000DC0D0000}"/>
    <cellStyle name="Normal 19" xfId="3565" xr:uid="{00000000-0005-0000-0000-0000DD0D0000}"/>
    <cellStyle name="Normal 19 2" xfId="3566" xr:uid="{00000000-0005-0000-0000-0000DE0D0000}"/>
    <cellStyle name="Normal 190" xfId="3567" xr:uid="{00000000-0005-0000-0000-0000DF0D0000}"/>
    <cellStyle name="Normal 191" xfId="3568" xr:uid="{00000000-0005-0000-0000-0000E00D0000}"/>
    <cellStyle name="Normal 192" xfId="3569" xr:uid="{00000000-0005-0000-0000-0000E10D0000}"/>
    <cellStyle name="Normal 193" xfId="3570" xr:uid="{00000000-0005-0000-0000-0000E20D0000}"/>
    <cellStyle name="Normal 194" xfId="3571" xr:uid="{00000000-0005-0000-0000-0000E30D0000}"/>
    <cellStyle name="Normal 194 2" xfId="3572" xr:uid="{00000000-0005-0000-0000-0000E40D0000}"/>
    <cellStyle name="Normal 195" xfId="3573" xr:uid="{00000000-0005-0000-0000-0000E50D0000}"/>
    <cellStyle name="Normal 195 2" xfId="9388" xr:uid="{00000000-0005-0000-0000-0000E60D0000}"/>
    <cellStyle name="Normal 196" xfId="3574" xr:uid="{00000000-0005-0000-0000-0000E70D0000}"/>
    <cellStyle name="Normal 197" xfId="3575" xr:uid="{00000000-0005-0000-0000-0000E80D0000}"/>
    <cellStyle name="Normal 198" xfId="3576" xr:uid="{00000000-0005-0000-0000-0000E90D0000}"/>
    <cellStyle name="Normal 199" xfId="3577" xr:uid="{00000000-0005-0000-0000-0000EA0D0000}"/>
    <cellStyle name="Normal 199 2" xfId="9401" xr:uid="{BB2BB488-C4BA-4809-A5D0-10E114525642}"/>
    <cellStyle name="Normal 2" xfId="3" xr:uid="{00000000-0005-0000-0000-0000EB0D0000}"/>
    <cellStyle name="Normal 2 10" xfId="3578" xr:uid="{00000000-0005-0000-0000-0000EC0D0000}"/>
    <cellStyle name="Normal 2 10 2" xfId="3579" xr:uid="{00000000-0005-0000-0000-0000ED0D0000}"/>
    <cellStyle name="Normal 2 10 3" xfId="3580" xr:uid="{00000000-0005-0000-0000-0000EE0D0000}"/>
    <cellStyle name="Normal 2 10 4" xfId="3581" xr:uid="{00000000-0005-0000-0000-0000EF0D0000}"/>
    <cellStyle name="Normal 2 10 4 2" xfId="3582" xr:uid="{00000000-0005-0000-0000-0000F00D0000}"/>
    <cellStyle name="Normal 2 10 5" xfId="3583" xr:uid="{00000000-0005-0000-0000-0000F10D0000}"/>
    <cellStyle name="Normal 2 10 5 2" xfId="3584" xr:uid="{00000000-0005-0000-0000-0000F20D0000}"/>
    <cellStyle name="Normal 2 10 6" xfId="3585" xr:uid="{00000000-0005-0000-0000-0000F30D0000}"/>
    <cellStyle name="Normal 2 10 7" xfId="3586" xr:uid="{00000000-0005-0000-0000-0000F40D0000}"/>
    <cellStyle name="Normal 2 10 8" xfId="3587" xr:uid="{00000000-0005-0000-0000-0000F50D0000}"/>
    <cellStyle name="Normal 2 10 9" xfId="9378" xr:uid="{00000000-0005-0000-0000-0000F60D0000}"/>
    <cellStyle name="Normal 2 100" xfId="3588" xr:uid="{00000000-0005-0000-0000-0000F70D0000}"/>
    <cellStyle name="Normal 2 100 2" xfId="3589" xr:uid="{00000000-0005-0000-0000-0000F80D0000}"/>
    <cellStyle name="Normal 2 101" xfId="3590" xr:uid="{00000000-0005-0000-0000-0000F90D0000}"/>
    <cellStyle name="Normal 2 101 2" xfId="3591" xr:uid="{00000000-0005-0000-0000-0000FA0D0000}"/>
    <cellStyle name="Normal 2 102" xfId="3592" xr:uid="{00000000-0005-0000-0000-0000FB0D0000}"/>
    <cellStyle name="Normal 2 102 2" xfId="3593" xr:uid="{00000000-0005-0000-0000-0000FC0D0000}"/>
    <cellStyle name="Normal 2 103" xfId="3594" xr:uid="{00000000-0005-0000-0000-0000FD0D0000}"/>
    <cellStyle name="Normal 2 103 2" xfId="3595" xr:uid="{00000000-0005-0000-0000-0000FE0D0000}"/>
    <cellStyle name="Normal 2 104" xfId="3596" xr:uid="{00000000-0005-0000-0000-0000FF0D0000}"/>
    <cellStyle name="Normal 2 105" xfId="3597" xr:uid="{00000000-0005-0000-0000-0000000E0000}"/>
    <cellStyle name="Normal 2 105 2" xfId="3598" xr:uid="{00000000-0005-0000-0000-0000010E0000}"/>
    <cellStyle name="Normal 2 106" xfId="3599" xr:uid="{00000000-0005-0000-0000-0000020E0000}"/>
    <cellStyle name="Normal 2 106 2" xfId="3600" xr:uid="{00000000-0005-0000-0000-0000030E0000}"/>
    <cellStyle name="Normal 2 107" xfId="3601" xr:uid="{00000000-0005-0000-0000-0000040E0000}"/>
    <cellStyle name="Normal 2 107 2" xfId="3602" xr:uid="{00000000-0005-0000-0000-0000050E0000}"/>
    <cellStyle name="Normal 2 108" xfId="3603" xr:uid="{00000000-0005-0000-0000-0000060E0000}"/>
    <cellStyle name="Normal 2 108 2" xfId="3604" xr:uid="{00000000-0005-0000-0000-0000070E0000}"/>
    <cellStyle name="Normal 2 109" xfId="3605" xr:uid="{00000000-0005-0000-0000-0000080E0000}"/>
    <cellStyle name="Normal 2 109 2" xfId="3606" xr:uid="{00000000-0005-0000-0000-0000090E0000}"/>
    <cellStyle name="Normal 2 11" xfId="3607" xr:uid="{00000000-0005-0000-0000-00000A0E0000}"/>
    <cellStyle name="Normal 2 11 2" xfId="3608" xr:uid="{00000000-0005-0000-0000-00000B0E0000}"/>
    <cellStyle name="Normal 2 11 3" xfId="3609" xr:uid="{00000000-0005-0000-0000-00000C0E0000}"/>
    <cellStyle name="Normal 2 11 4" xfId="3610" xr:uid="{00000000-0005-0000-0000-00000D0E0000}"/>
    <cellStyle name="Normal 2 11 4 2" xfId="3611" xr:uid="{00000000-0005-0000-0000-00000E0E0000}"/>
    <cellStyle name="Normal 2 11 5" xfId="3612" xr:uid="{00000000-0005-0000-0000-00000F0E0000}"/>
    <cellStyle name="Normal 2 11 6" xfId="3613" xr:uid="{00000000-0005-0000-0000-0000100E0000}"/>
    <cellStyle name="Normal 2 110" xfId="3614" xr:uid="{00000000-0005-0000-0000-0000110E0000}"/>
    <cellStyle name="Normal 2 110 2" xfId="3615" xr:uid="{00000000-0005-0000-0000-0000120E0000}"/>
    <cellStyle name="Normal 2 111" xfId="3616" xr:uid="{00000000-0005-0000-0000-0000130E0000}"/>
    <cellStyle name="Normal 2 111 2" xfId="3617" xr:uid="{00000000-0005-0000-0000-0000140E0000}"/>
    <cellStyle name="Normal 2 112" xfId="3618" xr:uid="{00000000-0005-0000-0000-0000150E0000}"/>
    <cellStyle name="Normal 2 112 2" xfId="3619" xr:uid="{00000000-0005-0000-0000-0000160E0000}"/>
    <cellStyle name="Normal 2 113" xfId="3620" xr:uid="{00000000-0005-0000-0000-0000170E0000}"/>
    <cellStyle name="Normal 2 113 2" xfId="3621" xr:uid="{00000000-0005-0000-0000-0000180E0000}"/>
    <cellStyle name="Normal 2 114" xfId="3622" xr:uid="{00000000-0005-0000-0000-0000190E0000}"/>
    <cellStyle name="Normal 2 114 2" xfId="3623" xr:uid="{00000000-0005-0000-0000-00001A0E0000}"/>
    <cellStyle name="Normal 2 115" xfId="3624" xr:uid="{00000000-0005-0000-0000-00001B0E0000}"/>
    <cellStyle name="Normal 2 115 2" xfId="3625" xr:uid="{00000000-0005-0000-0000-00001C0E0000}"/>
    <cellStyle name="Normal 2 116" xfId="3626" xr:uid="{00000000-0005-0000-0000-00001D0E0000}"/>
    <cellStyle name="Normal 2 116 2" xfId="3627" xr:uid="{00000000-0005-0000-0000-00001E0E0000}"/>
    <cellStyle name="Normal 2 117" xfId="3628" xr:uid="{00000000-0005-0000-0000-00001F0E0000}"/>
    <cellStyle name="Normal 2 117 2" xfId="3629" xr:uid="{00000000-0005-0000-0000-0000200E0000}"/>
    <cellStyle name="Normal 2 118" xfId="3630" xr:uid="{00000000-0005-0000-0000-0000210E0000}"/>
    <cellStyle name="Normal 2 118 2" xfId="3631" xr:uid="{00000000-0005-0000-0000-0000220E0000}"/>
    <cellStyle name="Normal 2 119" xfId="3632" xr:uid="{00000000-0005-0000-0000-0000230E0000}"/>
    <cellStyle name="Normal 2 119 2" xfId="3633" xr:uid="{00000000-0005-0000-0000-0000240E0000}"/>
    <cellStyle name="Normal 2 12" xfId="3634" xr:uid="{00000000-0005-0000-0000-0000250E0000}"/>
    <cellStyle name="Normal 2 12 2" xfId="3635" xr:uid="{00000000-0005-0000-0000-0000260E0000}"/>
    <cellStyle name="Normal 2 12 2 2" xfId="3636" xr:uid="{00000000-0005-0000-0000-0000270E0000}"/>
    <cellStyle name="Normal 2 12 3" xfId="3637" xr:uid="{00000000-0005-0000-0000-0000280E0000}"/>
    <cellStyle name="Normal 2 12 4" xfId="3638" xr:uid="{00000000-0005-0000-0000-0000290E0000}"/>
    <cellStyle name="Normal 2 120" xfId="3639" xr:uid="{00000000-0005-0000-0000-00002A0E0000}"/>
    <cellStyle name="Normal 2 120 2" xfId="3640" xr:uid="{00000000-0005-0000-0000-00002B0E0000}"/>
    <cellStyle name="Normal 2 121" xfId="3641" xr:uid="{00000000-0005-0000-0000-00002C0E0000}"/>
    <cellStyle name="Normal 2 121 2" xfId="3642" xr:uid="{00000000-0005-0000-0000-00002D0E0000}"/>
    <cellStyle name="Normal 2 122" xfId="3643" xr:uid="{00000000-0005-0000-0000-00002E0E0000}"/>
    <cellStyle name="Normal 2 122 2" xfId="3644" xr:uid="{00000000-0005-0000-0000-00002F0E0000}"/>
    <cellStyle name="Normal 2 123" xfId="3645" xr:uid="{00000000-0005-0000-0000-0000300E0000}"/>
    <cellStyle name="Normal 2 123 2" xfId="3646" xr:uid="{00000000-0005-0000-0000-0000310E0000}"/>
    <cellStyle name="Normal 2 124" xfId="3647" xr:uid="{00000000-0005-0000-0000-0000320E0000}"/>
    <cellStyle name="Normal 2 124 2" xfId="3648" xr:uid="{00000000-0005-0000-0000-0000330E0000}"/>
    <cellStyle name="Normal 2 125" xfId="3649" xr:uid="{00000000-0005-0000-0000-0000340E0000}"/>
    <cellStyle name="Normal 2 125 2" xfId="3650" xr:uid="{00000000-0005-0000-0000-0000350E0000}"/>
    <cellStyle name="Normal 2 126" xfId="3651" xr:uid="{00000000-0005-0000-0000-0000360E0000}"/>
    <cellStyle name="Normal 2 126 2" xfId="3652" xr:uid="{00000000-0005-0000-0000-0000370E0000}"/>
    <cellStyle name="Normal 2 127" xfId="3653" xr:uid="{00000000-0005-0000-0000-0000380E0000}"/>
    <cellStyle name="Normal 2 127 2" xfId="3654" xr:uid="{00000000-0005-0000-0000-0000390E0000}"/>
    <cellStyle name="Normal 2 128" xfId="3655" xr:uid="{00000000-0005-0000-0000-00003A0E0000}"/>
    <cellStyle name="Normal 2 128 2" xfId="3656" xr:uid="{00000000-0005-0000-0000-00003B0E0000}"/>
    <cellStyle name="Normal 2 129" xfId="3657" xr:uid="{00000000-0005-0000-0000-00003C0E0000}"/>
    <cellStyle name="Normal 2 129 2" xfId="3658" xr:uid="{00000000-0005-0000-0000-00003D0E0000}"/>
    <cellStyle name="Normal 2 13" xfId="3659" xr:uid="{00000000-0005-0000-0000-00003E0E0000}"/>
    <cellStyle name="Normal 2 13 2" xfId="3660" xr:uid="{00000000-0005-0000-0000-00003F0E0000}"/>
    <cellStyle name="Normal 2 13 2 2" xfId="3661" xr:uid="{00000000-0005-0000-0000-0000400E0000}"/>
    <cellStyle name="Normal 2 13 3" xfId="3662" xr:uid="{00000000-0005-0000-0000-0000410E0000}"/>
    <cellStyle name="Normal 2 13 4" xfId="3663" xr:uid="{00000000-0005-0000-0000-0000420E0000}"/>
    <cellStyle name="Normal 2 130" xfId="3664" xr:uid="{00000000-0005-0000-0000-0000430E0000}"/>
    <cellStyle name="Normal 2 130 2" xfId="3665" xr:uid="{00000000-0005-0000-0000-0000440E0000}"/>
    <cellStyle name="Normal 2 131" xfId="3666" xr:uid="{00000000-0005-0000-0000-0000450E0000}"/>
    <cellStyle name="Normal 2 131 2" xfId="3667" xr:uid="{00000000-0005-0000-0000-0000460E0000}"/>
    <cellStyle name="Normal 2 132" xfId="3668" xr:uid="{00000000-0005-0000-0000-0000470E0000}"/>
    <cellStyle name="Normal 2 132 2" xfId="3669" xr:uid="{00000000-0005-0000-0000-0000480E0000}"/>
    <cellStyle name="Normal 2 133" xfId="3670" xr:uid="{00000000-0005-0000-0000-0000490E0000}"/>
    <cellStyle name="Normal 2 133 2" xfId="3671" xr:uid="{00000000-0005-0000-0000-00004A0E0000}"/>
    <cellStyle name="Normal 2 134" xfId="3672" xr:uid="{00000000-0005-0000-0000-00004B0E0000}"/>
    <cellStyle name="Normal 2 134 2" xfId="3673" xr:uid="{00000000-0005-0000-0000-00004C0E0000}"/>
    <cellStyle name="Normal 2 135" xfId="3674" xr:uid="{00000000-0005-0000-0000-00004D0E0000}"/>
    <cellStyle name="Normal 2 135 2" xfId="3675" xr:uid="{00000000-0005-0000-0000-00004E0E0000}"/>
    <cellStyle name="Normal 2 136" xfId="3676" xr:uid="{00000000-0005-0000-0000-00004F0E0000}"/>
    <cellStyle name="Normal 2 136 2" xfId="3677" xr:uid="{00000000-0005-0000-0000-0000500E0000}"/>
    <cellStyle name="Normal 2 137" xfId="3678" xr:uid="{00000000-0005-0000-0000-0000510E0000}"/>
    <cellStyle name="Normal 2 137 2" xfId="3679" xr:uid="{00000000-0005-0000-0000-0000520E0000}"/>
    <cellStyle name="Normal 2 138" xfId="3680" xr:uid="{00000000-0005-0000-0000-0000530E0000}"/>
    <cellStyle name="Normal 2 138 2" xfId="3681" xr:uid="{00000000-0005-0000-0000-0000540E0000}"/>
    <cellStyle name="Normal 2 139" xfId="3682" xr:uid="{00000000-0005-0000-0000-0000550E0000}"/>
    <cellStyle name="Normal 2 139 2" xfId="3683" xr:uid="{00000000-0005-0000-0000-0000560E0000}"/>
    <cellStyle name="Normal 2 14" xfId="3684" xr:uid="{00000000-0005-0000-0000-0000570E0000}"/>
    <cellStyle name="Normal 2 14 2" xfId="3685" xr:uid="{00000000-0005-0000-0000-0000580E0000}"/>
    <cellStyle name="Normal 2 14 2 2" xfId="3686" xr:uid="{00000000-0005-0000-0000-0000590E0000}"/>
    <cellStyle name="Normal 2 14 3" xfId="3687" xr:uid="{00000000-0005-0000-0000-00005A0E0000}"/>
    <cellStyle name="Normal 2 140" xfId="3688" xr:uid="{00000000-0005-0000-0000-00005B0E0000}"/>
    <cellStyle name="Normal 2 140 2" xfId="3689" xr:uid="{00000000-0005-0000-0000-00005C0E0000}"/>
    <cellStyle name="Normal 2 141" xfId="3690" xr:uid="{00000000-0005-0000-0000-00005D0E0000}"/>
    <cellStyle name="Normal 2 142" xfId="21" xr:uid="{00000000-0005-0000-0000-00005E0E0000}"/>
    <cellStyle name="Normal 2 142 2" xfId="9396" xr:uid="{CC504901-C7C3-4454-B7D7-38DF0D356753}"/>
    <cellStyle name="Normal 2 143" xfId="3691" xr:uid="{00000000-0005-0000-0000-00005F0E0000}"/>
    <cellStyle name="Normal 2 144" xfId="3692" xr:uid="{00000000-0005-0000-0000-0000600E0000}"/>
    <cellStyle name="Normal 2 145" xfId="3693" xr:uid="{00000000-0005-0000-0000-0000610E0000}"/>
    <cellStyle name="Normal 2 15" xfId="3694" xr:uid="{00000000-0005-0000-0000-0000620E0000}"/>
    <cellStyle name="Normal 2 15 2" xfId="3695" xr:uid="{00000000-0005-0000-0000-0000630E0000}"/>
    <cellStyle name="Normal 2 15 2 2" xfId="3696" xr:uid="{00000000-0005-0000-0000-0000640E0000}"/>
    <cellStyle name="Normal 2 15 3" xfId="3697" xr:uid="{00000000-0005-0000-0000-0000650E0000}"/>
    <cellStyle name="Normal 2 16" xfId="3698" xr:uid="{00000000-0005-0000-0000-0000660E0000}"/>
    <cellStyle name="Normal 2 16 2" xfId="3699" xr:uid="{00000000-0005-0000-0000-0000670E0000}"/>
    <cellStyle name="Normal 2 16 2 2" xfId="3700" xr:uid="{00000000-0005-0000-0000-0000680E0000}"/>
    <cellStyle name="Normal 2 16 3" xfId="3701" xr:uid="{00000000-0005-0000-0000-0000690E0000}"/>
    <cellStyle name="Normal 2 17" xfId="3702" xr:uid="{00000000-0005-0000-0000-00006A0E0000}"/>
    <cellStyle name="Normal 2 17 2" xfId="3703" xr:uid="{00000000-0005-0000-0000-00006B0E0000}"/>
    <cellStyle name="Normal 2 17 2 2" xfId="3704" xr:uid="{00000000-0005-0000-0000-00006C0E0000}"/>
    <cellStyle name="Normal 2 17 3" xfId="3705" xr:uid="{00000000-0005-0000-0000-00006D0E0000}"/>
    <cellStyle name="Normal 2 18" xfId="3706" xr:uid="{00000000-0005-0000-0000-00006E0E0000}"/>
    <cellStyle name="Normal 2 18 2" xfId="3707" xr:uid="{00000000-0005-0000-0000-00006F0E0000}"/>
    <cellStyle name="Normal 2 18 2 2" xfId="3708" xr:uid="{00000000-0005-0000-0000-0000700E0000}"/>
    <cellStyle name="Normal 2 18 3" xfId="3709" xr:uid="{00000000-0005-0000-0000-0000710E0000}"/>
    <cellStyle name="Normal 2 19" xfId="3710" xr:uid="{00000000-0005-0000-0000-0000720E0000}"/>
    <cellStyle name="Normal 2 19 2" xfId="3711" xr:uid="{00000000-0005-0000-0000-0000730E0000}"/>
    <cellStyle name="Normal 2 19 2 2" xfId="3712" xr:uid="{00000000-0005-0000-0000-0000740E0000}"/>
    <cellStyle name="Normal 2 19 3" xfId="3713" xr:uid="{00000000-0005-0000-0000-0000750E0000}"/>
    <cellStyle name="Normal 2 2" xfId="4" xr:uid="{00000000-0005-0000-0000-0000760E0000}"/>
    <cellStyle name="Normal 2 2 10" xfId="3714" xr:uid="{00000000-0005-0000-0000-0000770E0000}"/>
    <cellStyle name="Normal 2 2 10 2" xfId="3715" xr:uid="{00000000-0005-0000-0000-0000780E0000}"/>
    <cellStyle name="Normal 2 2 10 2 2" xfId="3716" xr:uid="{00000000-0005-0000-0000-0000790E0000}"/>
    <cellStyle name="Normal 2 2 10 3" xfId="3717" xr:uid="{00000000-0005-0000-0000-00007A0E0000}"/>
    <cellStyle name="Normal 2 2 100" xfId="3718" xr:uid="{00000000-0005-0000-0000-00007B0E0000}"/>
    <cellStyle name="Normal 2 2 100 2" xfId="3719" xr:uid="{00000000-0005-0000-0000-00007C0E0000}"/>
    <cellStyle name="Normal 2 2 101" xfId="3720" xr:uid="{00000000-0005-0000-0000-00007D0E0000}"/>
    <cellStyle name="Normal 2 2 101 2" xfId="3721" xr:uid="{00000000-0005-0000-0000-00007E0E0000}"/>
    <cellStyle name="Normal 2 2 102" xfId="3722" xr:uid="{00000000-0005-0000-0000-00007F0E0000}"/>
    <cellStyle name="Normal 2 2 102 2" xfId="3723" xr:uid="{00000000-0005-0000-0000-0000800E0000}"/>
    <cellStyle name="Normal 2 2 103" xfId="3724" xr:uid="{00000000-0005-0000-0000-0000810E0000}"/>
    <cellStyle name="Normal 2 2 103 2" xfId="3725" xr:uid="{00000000-0005-0000-0000-0000820E0000}"/>
    <cellStyle name="Normal 2 2 104" xfId="3726" xr:uid="{00000000-0005-0000-0000-0000830E0000}"/>
    <cellStyle name="Normal 2 2 104 2" xfId="3727" xr:uid="{00000000-0005-0000-0000-0000840E0000}"/>
    <cellStyle name="Normal 2 2 105" xfId="3728" xr:uid="{00000000-0005-0000-0000-0000850E0000}"/>
    <cellStyle name="Normal 2 2 105 2" xfId="3729" xr:uid="{00000000-0005-0000-0000-0000860E0000}"/>
    <cellStyle name="Normal 2 2 106" xfId="3730" xr:uid="{00000000-0005-0000-0000-0000870E0000}"/>
    <cellStyle name="Normal 2 2 106 2" xfId="3731" xr:uid="{00000000-0005-0000-0000-0000880E0000}"/>
    <cellStyle name="Normal 2 2 107" xfId="3732" xr:uid="{00000000-0005-0000-0000-0000890E0000}"/>
    <cellStyle name="Normal 2 2 107 2" xfId="3733" xr:uid="{00000000-0005-0000-0000-00008A0E0000}"/>
    <cellStyle name="Normal 2 2 108" xfId="3734" xr:uid="{00000000-0005-0000-0000-00008B0E0000}"/>
    <cellStyle name="Normal 2 2 108 2" xfId="3735" xr:uid="{00000000-0005-0000-0000-00008C0E0000}"/>
    <cellStyle name="Normal 2 2 109" xfId="3736" xr:uid="{00000000-0005-0000-0000-00008D0E0000}"/>
    <cellStyle name="Normal 2 2 109 2" xfId="3737" xr:uid="{00000000-0005-0000-0000-00008E0E0000}"/>
    <cellStyle name="Normal 2 2 11" xfId="3738" xr:uid="{00000000-0005-0000-0000-00008F0E0000}"/>
    <cellStyle name="Normal 2 2 11 2" xfId="3739" xr:uid="{00000000-0005-0000-0000-0000900E0000}"/>
    <cellStyle name="Normal 2 2 11 2 2" xfId="3740" xr:uid="{00000000-0005-0000-0000-0000910E0000}"/>
    <cellStyle name="Normal 2 2 11 3" xfId="3741" xr:uid="{00000000-0005-0000-0000-0000920E0000}"/>
    <cellStyle name="Normal 2 2 110" xfId="3742" xr:uid="{00000000-0005-0000-0000-0000930E0000}"/>
    <cellStyle name="Normal 2 2 110 2" xfId="3743" xr:uid="{00000000-0005-0000-0000-0000940E0000}"/>
    <cellStyle name="Normal 2 2 111" xfId="3744" xr:uid="{00000000-0005-0000-0000-0000950E0000}"/>
    <cellStyle name="Normal 2 2 111 2" xfId="3745" xr:uid="{00000000-0005-0000-0000-0000960E0000}"/>
    <cellStyle name="Normal 2 2 112" xfId="3746" xr:uid="{00000000-0005-0000-0000-0000970E0000}"/>
    <cellStyle name="Normal 2 2 112 2" xfId="3747" xr:uid="{00000000-0005-0000-0000-0000980E0000}"/>
    <cellStyle name="Normal 2 2 113" xfId="3748" xr:uid="{00000000-0005-0000-0000-0000990E0000}"/>
    <cellStyle name="Normal 2 2 113 2" xfId="3749" xr:uid="{00000000-0005-0000-0000-00009A0E0000}"/>
    <cellStyle name="Normal 2 2 114" xfId="3750" xr:uid="{00000000-0005-0000-0000-00009B0E0000}"/>
    <cellStyle name="Normal 2 2 114 2" xfId="3751" xr:uid="{00000000-0005-0000-0000-00009C0E0000}"/>
    <cellStyle name="Normal 2 2 115" xfId="3752" xr:uid="{00000000-0005-0000-0000-00009D0E0000}"/>
    <cellStyle name="Normal 2 2 115 2" xfId="3753" xr:uid="{00000000-0005-0000-0000-00009E0E0000}"/>
    <cellStyle name="Normal 2 2 116" xfId="3754" xr:uid="{00000000-0005-0000-0000-00009F0E0000}"/>
    <cellStyle name="Normal 2 2 116 2" xfId="3755" xr:uid="{00000000-0005-0000-0000-0000A00E0000}"/>
    <cellStyle name="Normal 2 2 117" xfId="3756" xr:uid="{00000000-0005-0000-0000-0000A10E0000}"/>
    <cellStyle name="Normal 2 2 117 2" xfId="3757" xr:uid="{00000000-0005-0000-0000-0000A20E0000}"/>
    <cellStyle name="Normal 2 2 118" xfId="3758" xr:uid="{00000000-0005-0000-0000-0000A30E0000}"/>
    <cellStyle name="Normal 2 2 118 2" xfId="3759" xr:uid="{00000000-0005-0000-0000-0000A40E0000}"/>
    <cellStyle name="Normal 2 2 119" xfId="3760" xr:uid="{00000000-0005-0000-0000-0000A50E0000}"/>
    <cellStyle name="Normal 2 2 119 2" xfId="3761" xr:uid="{00000000-0005-0000-0000-0000A60E0000}"/>
    <cellStyle name="Normal 2 2 12" xfId="3762" xr:uid="{00000000-0005-0000-0000-0000A70E0000}"/>
    <cellStyle name="Normal 2 2 12 2" xfId="3763" xr:uid="{00000000-0005-0000-0000-0000A80E0000}"/>
    <cellStyle name="Normal 2 2 12 2 2" xfId="3764" xr:uid="{00000000-0005-0000-0000-0000A90E0000}"/>
    <cellStyle name="Normal 2 2 12 3" xfId="3765" xr:uid="{00000000-0005-0000-0000-0000AA0E0000}"/>
    <cellStyle name="Normal 2 2 120" xfId="3766" xr:uid="{00000000-0005-0000-0000-0000AB0E0000}"/>
    <cellStyle name="Normal 2 2 120 2" xfId="3767" xr:uid="{00000000-0005-0000-0000-0000AC0E0000}"/>
    <cellStyle name="Normal 2 2 121" xfId="3768" xr:uid="{00000000-0005-0000-0000-0000AD0E0000}"/>
    <cellStyle name="Normal 2 2 121 2" xfId="3769" xr:uid="{00000000-0005-0000-0000-0000AE0E0000}"/>
    <cellStyle name="Normal 2 2 122" xfId="3770" xr:uid="{00000000-0005-0000-0000-0000AF0E0000}"/>
    <cellStyle name="Normal 2 2 122 2" xfId="3771" xr:uid="{00000000-0005-0000-0000-0000B00E0000}"/>
    <cellStyle name="Normal 2 2 123" xfId="3772" xr:uid="{00000000-0005-0000-0000-0000B10E0000}"/>
    <cellStyle name="Normal 2 2 123 2" xfId="3773" xr:uid="{00000000-0005-0000-0000-0000B20E0000}"/>
    <cellStyle name="Normal 2 2 124" xfId="3774" xr:uid="{00000000-0005-0000-0000-0000B30E0000}"/>
    <cellStyle name="Normal 2 2 124 2" xfId="3775" xr:uid="{00000000-0005-0000-0000-0000B40E0000}"/>
    <cellStyle name="Normal 2 2 125" xfId="3776" xr:uid="{00000000-0005-0000-0000-0000B50E0000}"/>
    <cellStyle name="Normal 2 2 125 2" xfId="3777" xr:uid="{00000000-0005-0000-0000-0000B60E0000}"/>
    <cellStyle name="Normal 2 2 126" xfId="3778" xr:uid="{00000000-0005-0000-0000-0000B70E0000}"/>
    <cellStyle name="Normal 2 2 126 2" xfId="3779" xr:uid="{00000000-0005-0000-0000-0000B80E0000}"/>
    <cellStyle name="Normal 2 2 127" xfId="3780" xr:uid="{00000000-0005-0000-0000-0000B90E0000}"/>
    <cellStyle name="Normal 2 2 127 2" xfId="3781" xr:uid="{00000000-0005-0000-0000-0000BA0E0000}"/>
    <cellStyle name="Normal 2 2 128" xfId="3782" xr:uid="{00000000-0005-0000-0000-0000BB0E0000}"/>
    <cellStyle name="Normal 2 2 128 2" xfId="3783" xr:uid="{00000000-0005-0000-0000-0000BC0E0000}"/>
    <cellStyle name="Normal 2 2 129" xfId="3784" xr:uid="{00000000-0005-0000-0000-0000BD0E0000}"/>
    <cellStyle name="Normal 2 2 129 2" xfId="3785" xr:uid="{00000000-0005-0000-0000-0000BE0E0000}"/>
    <cellStyle name="Normal 2 2 13" xfId="3786" xr:uid="{00000000-0005-0000-0000-0000BF0E0000}"/>
    <cellStyle name="Normal 2 2 13 2" xfId="3787" xr:uid="{00000000-0005-0000-0000-0000C00E0000}"/>
    <cellStyle name="Normal 2 2 13 2 2" xfId="3788" xr:uid="{00000000-0005-0000-0000-0000C10E0000}"/>
    <cellStyle name="Normal 2 2 13 3" xfId="3789" xr:uid="{00000000-0005-0000-0000-0000C20E0000}"/>
    <cellStyle name="Normal 2 2 130" xfId="3790" xr:uid="{00000000-0005-0000-0000-0000C30E0000}"/>
    <cellStyle name="Normal 2 2 130 2" xfId="3791" xr:uid="{00000000-0005-0000-0000-0000C40E0000}"/>
    <cellStyle name="Normal 2 2 131" xfId="3792" xr:uid="{00000000-0005-0000-0000-0000C50E0000}"/>
    <cellStyle name="Normal 2 2 131 2" xfId="3793" xr:uid="{00000000-0005-0000-0000-0000C60E0000}"/>
    <cellStyle name="Normal 2 2 132" xfId="3794" xr:uid="{00000000-0005-0000-0000-0000C70E0000}"/>
    <cellStyle name="Normal 2 2 132 2" xfId="3795" xr:uid="{00000000-0005-0000-0000-0000C80E0000}"/>
    <cellStyle name="Normal 2 2 133" xfId="3796" xr:uid="{00000000-0005-0000-0000-0000C90E0000}"/>
    <cellStyle name="Normal 2 2 133 2" xfId="3797" xr:uid="{00000000-0005-0000-0000-0000CA0E0000}"/>
    <cellStyle name="Normal 2 2 134" xfId="3798" xr:uid="{00000000-0005-0000-0000-0000CB0E0000}"/>
    <cellStyle name="Normal 2 2 134 2" xfId="3799" xr:uid="{00000000-0005-0000-0000-0000CC0E0000}"/>
    <cellStyle name="Normal 2 2 135" xfId="3800" xr:uid="{00000000-0005-0000-0000-0000CD0E0000}"/>
    <cellStyle name="Normal 2 2 135 2" xfId="3801" xr:uid="{00000000-0005-0000-0000-0000CE0E0000}"/>
    <cellStyle name="Normal 2 2 136" xfId="3802" xr:uid="{00000000-0005-0000-0000-0000CF0E0000}"/>
    <cellStyle name="Normal 2 2 136 2" xfId="3803" xr:uid="{00000000-0005-0000-0000-0000D00E0000}"/>
    <cellStyle name="Normal 2 2 137" xfId="3804" xr:uid="{00000000-0005-0000-0000-0000D10E0000}"/>
    <cellStyle name="Normal 2 2 137 2" xfId="3805" xr:uid="{00000000-0005-0000-0000-0000D20E0000}"/>
    <cellStyle name="Normal 2 2 138" xfId="3806" xr:uid="{00000000-0005-0000-0000-0000D30E0000}"/>
    <cellStyle name="Normal 2 2 138 2" xfId="3807" xr:uid="{00000000-0005-0000-0000-0000D40E0000}"/>
    <cellStyle name="Normal 2 2 139" xfId="3808" xr:uid="{00000000-0005-0000-0000-0000D50E0000}"/>
    <cellStyle name="Normal 2 2 139 2" xfId="3809" xr:uid="{00000000-0005-0000-0000-0000D60E0000}"/>
    <cellStyle name="Normal 2 2 14" xfId="3810" xr:uid="{00000000-0005-0000-0000-0000D70E0000}"/>
    <cellStyle name="Normal 2 2 14 2" xfId="3811" xr:uid="{00000000-0005-0000-0000-0000D80E0000}"/>
    <cellStyle name="Normal 2 2 14 2 2" xfId="3812" xr:uid="{00000000-0005-0000-0000-0000D90E0000}"/>
    <cellStyle name="Normal 2 2 14 3" xfId="3813" xr:uid="{00000000-0005-0000-0000-0000DA0E0000}"/>
    <cellStyle name="Normal 2 2 140" xfId="3814" xr:uid="{00000000-0005-0000-0000-0000DB0E0000}"/>
    <cellStyle name="Normal 2 2 140 2" xfId="3815" xr:uid="{00000000-0005-0000-0000-0000DC0E0000}"/>
    <cellStyle name="Normal 2 2 141" xfId="3816" xr:uid="{00000000-0005-0000-0000-0000DD0E0000}"/>
    <cellStyle name="Normal 2 2 141 2" xfId="3817" xr:uid="{00000000-0005-0000-0000-0000DE0E0000}"/>
    <cellStyle name="Normal 2 2 142" xfId="3818" xr:uid="{00000000-0005-0000-0000-0000DF0E0000}"/>
    <cellStyle name="Normal 2 2 142 2" xfId="3819" xr:uid="{00000000-0005-0000-0000-0000E00E0000}"/>
    <cellStyle name="Normal 2 2 143" xfId="3820" xr:uid="{00000000-0005-0000-0000-0000E10E0000}"/>
    <cellStyle name="Normal 2 2 143 2" xfId="3821" xr:uid="{00000000-0005-0000-0000-0000E20E0000}"/>
    <cellStyle name="Normal 2 2 144" xfId="3822" xr:uid="{00000000-0005-0000-0000-0000E30E0000}"/>
    <cellStyle name="Normal 2 2 144 2" xfId="3823" xr:uid="{00000000-0005-0000-0000-0000E40E0000}"/>
    <cellStyle name="Normal 2 2 145" xfId="3824" xr:uid="{00000000-0005-0000-0000-0000E50E0000}"/>
    <cellStyle name="Normal 2 2 145 2" xfId="3825" xr:uid="{00000000-0005-0000-0000-0000E60E0000}"/>
    <cellStyle name="Normal 2 2 146" xfId="3826" xr:uid="{00000000-0005-0000-0000-0000E70E0000}"/>
    <cellStyle name="Normal 2 2 146 2" xfId="3827" xr:uid="{00000000-0005-0000-0000-0000E80E0000}"/>
    <cellStyle name="Normal 2 2 147" xfId="3828" xr:uid="{00000000-0005-0000-0000-0000E90E0000}"/>
    <cellStyle name="Normal 2 2 147 2" xfId="3829" xr:uid="{00000000-0005-0000-0000-0000EA0E0000}"/>
    <cellStyle name="Normal 2 2 148" xfId="3830" xr:uid="{00000000-0005-0000-0000-0000EB0E0000}"/>
    <cellStyle name="Normal 2 2 148 2" xfId="3831" xr:uid="{00000000-0005-0000-0000-0000EC0E0000}"/>
    <cellStyle name="Normal 2 2 149" xfId="3832" xr:uid="{00000000-0005-0000-0000-0000ED0E0000}"/>
    <cellStyle name="Normal 2 2 149 2" xfId="3833" xr:uid="{00000000-0005-0000-0000-0000EE0E0000}"/>
    <cellStyle name="Normal 2 2 15" xfId="3834" xr:uid="{00000000-0005-0000-0000-0000EF0E0000}"/>
    <cellStyle name="Normal 2 2 15 2" xfId="3835" xr:uid="{00000000-0005-0000-0000-0000F00E0000}"/>
    <cellStyle name="Normal 2 2 15 2 2" xfId="3836" xr:uid="{00000000-0005-0000-0000-0000F10E0000}"/>
    <cellStyle name="Normal 2 2 15 3" xfId="3837" xr:uid="{00000000-0005-0000-0000-0000F20E0000}"/>
    <cellStyle name="Normal 2 2 150" xfId="3838" xr:uid="{00000000-0005-0000-0000-0000F30E0000}"/>
    <cellStyle name="Normal 2 2 150 2" xfId="3839" xr:uid="{00000000-0005-0000-0000-0000F40E0000}"/>
    <cellStyle name="Normal 2 2 151" xfId="3840" xr:uid="{00000000-0005-0000-0000-0000F50E0000}"/>
    <cellStyle name="Normal 2 2 151 2" xfId="3841" xr:uid="{00000000-0005-0000-0000-0000F60E0000}"/>
    <cellStyle name="Normal 2 2 152" xfId="3842" xr:uid="{00000000-0005-0000-0000-0000F70E0000}"/>
    <cellStyle name="Normal 2 2 152 2" xfId="3843" xr:uid="{00000000-0005-0000-0000-0000F80E0000}"/>
    <cellStyle name="Normal 2 2 153" xfId="3844" xr:uid="{00000000-0005-0000-0000-0000F90E0000}"/>
    <cellStyle name="Normal 2 2 153 2" xfId="3845" xr:uid="{00000000-0005-0000-0000-0000FA0E0000}"/>
    <cellStyle name="Normal 2 2 154" xfId="3846" xr:uid="{00000000-0005-0000-0000-0000FB0E0000}"/>
    <cellStyle name="Normal 2 2 154 2" xfId="3847" xr:uid="{00000000-0005-0000-0000-0000FC0E0000}"/>
    <cellStyle name="Normal 2 2 155" xfId="3848" xr:uid="{00000000-0005-0000-0000-0000FD0E0000}"/>
    <cellStyle name="Normal 2 2 155 2" xfId="3849" xr:uid="{00000000-0005-0000-0000-0000FE0E0000}"/>
    <cellStyle name="Normal 2 2 155 3" xfId="3850" xr:uid="{00000000-0005-0000-0000-0000FF0E0000}"/>
    <cellStyle name="Normal 2 2 156" xfId="3851" xr:uid="{00000000-0005-0000-0000-0000000F0000}"/>
    <cellStyle name="Normal 2 2 157" xfId="3852" xr:uid="{00000000-0005-0000-0000-0000010F0000}"/>
    <cellStyle name="Normal 2 2 16" xfId="3853" xr:uid="{00000000-0005-0000-0000-0000020F0000}"/>
    <cellStyle name="Normal 2 2 16 2" xfId="3854" xr:uid="{00000000-0005-0000-0000-0000030F0000}"/>
    <cellStyle name="Normal 2 2 16 2 2" xfId="3855" xr:uid="{00000000-0005-0000-0000-0000040F0000}"/>
    <cellStyle name="Normal 2 2 16 3" xfId="3856" xr:uid="{00000000-0005-0000-0000-0000050F0000}"/>
    <cellStyle name="Normal 2 2 17" xfId="3857" xr:uid="{00000000-0005-0000-0000-0000060F0000}"/>
    <cellStyle name="Normal 2 2 17 2" xfId="3858" xr:uid="{00000000-0005-0000-0000-0000070F0000}"/>
    <cellStyle name="Normal 2 2 17 2 2" xfId="3859" xr:uid="{00000000-0005-0000-0000-0000080F0000}"/>
    <cellStyle name="Normal 2 2 17 3" xfId="3860" xr:uid="{00000000-0005-0000-0000-0000090F0000}"/>
    <cellStyle name="Normal 2 2 18" xfId="3861" xr:uid="{00000000-0005-0000-0000-00000A0F0000}"/>
    <cellStyle name="Normal 2 2 18 2" xfId="3862" xr:uid="{00000000-0005-0000-0000-00000B0F0000}"/>
    <cellStyle name="Normal 2 2 18 2 2" xfId="3863" xr:uid="{00000000-0005-0000-0000-00000C0F0000}"/>
    <cellStyle name="Normal 2 2 18 3" xfId="3864" xr:uid="{00000000-0005-0000-0000-00000D0F0000}"/>
    <cellStyle name="Normal 2 2 19" xfId="3865" xr:uid="{00000000-0005-0000-0000-00000E0F0000}"/>
    <cellStyle name="Normal 2 2 19 2" xfId="3866" xr:uid="{00000000-0005-0000-0000-00000F0F0000}"/>
    <cellStyle name="Normal 2 2 19 2 2" xfId="3867" xr:uid="{00000000-0005-0000-0000-0000100F0000}"/>
    <cellStyle name="Normal 2 2 19 3" xfId="3868" xr:uid="{00000000-0005-0000-0000-0000110F0000}"/>
    <cellStyle name="Normal 2 2 2" xfId="3869" xr:uid="{00000000-0005-0000-0000-0000120F0000}"/>
    <cellStyle name="Normal 2 2 2 10" xfId="3870" xr:uid="{00000000-0005-0000-0000-0000130F0000}"/>
    <cellStyle name="Normal 2 2 2 10 2" xfId="3871" xr:uid="{00000000-0005-0000-0000-0000140F0000}"/>
    <cellStyle name="Normal 2 2 2 10 3" xfId="3872" xr:uid="{00000000-0005-0000-0000-0000150F0000}"/>
    <cellStyle name="Normal 2 2 2 100" xfId="3873" xr:uid="{00000000-0005-0000-0000-0000160F0000}"/>
    <cellStyle name="Normal 2 2 2 101" xfId="3874" xr:uid="{00000000-0005-0000-0000-0000170F0000}"/>
    <cellStyle name="Normal 2 2 2 102" xfId="3875" xr:uid="{00000000-0005-0000-0000-0000180F0000}"/>
    <cellStyle name="Normal 2 2 2 103" xfId="3876" xr:uid="{00000000-0005-0000-0000-0000190F0000}"/>
    <cellStyle name="Normal 2 2 2 104" xfId="3877" xr:uid="{00000000-0005-0000-0000-00001A0F0000}"/>
    <cellStyle name="Normal 2 2 2 105" xfId="3878" xr:uid="{00000000-0005-0000-0000-00001B0F0000}"/>
    <cellStyle name="Normal 2 2 2 106" xfId="3879" xr:uid="{00000000-0005-0000-0000-00001C0F0000}"/>
    <cellStyle name="Normal 2 2 2 107" xfId="3880" xr:uid="{00000000-0005-0000-0000-00001D0F0000}"/>
    <cellStyle name="Normal 2 2 2 108" xfId="3881" xr:uid="{00000000-0005-0000-0000-00001E0F0000}"/>
    <cellStyle name="Normal 2 2 2 109" xfId="3882" xr:uid="{00000000-0005-0000-0000-00001F0F0000}"/>
    <cellStyle name="Normal 2 2 2 11" xfId="3883" xr:uid="{00000000-0005-0000-0000-0000200F0000}"/>
    <cellStyle name="Normal 2 2 2 11 2" xfId="3884" xr:uid="{00000000-0005-0000-0000-0000210F0000}"/>
    <cellStyle name="Normal 2 2 2 110" xfId="3885" xr:uid="{00000000-0005-0000-0000-0000220F0000}"/>
    <cellStyle name="Normal 2 2 2 111" xfId="3886" xr:uid="{00000000-0005-0000-0000-0000230F0000}"/>
    <cellStyle name="Normal 2 2 2 112" xfId="3887" xr:uid="{00000000-0005-0000-0000-0000240F0000}"/>
    <cellStyle name="Normal 2 2 2 113" xfId="3888" xr:uid="{00000000-0005-0000-0000-0000250F0000}"/>
    <cellStyle name="Normal 2 2 2 114" xfId="3889" xr:uid="{00000000-0005-0000-0000-0000260F0000}"/>
    <cellStyle name="Normal 2 2 2 115" xfId="3890" xr:uid="{00000000-0005-0000-0000-0000270F0000}"/>
    <cellStyle name="Normal 2 2 2 116" xfId="3891" xr:uid="{00000000-0005-0000-0000-0000280F0000}"/>
    <cellStyle name="Normal 2 2 2 117" xfId="3892" xr:uid="{00000000-0005-0000-0000-0000290F0000}"/>
    <cellStyle name="Normal 2 2 2 118" xfId="3893" xr:uid="{00000000-0005-0000-0000-00002A0F0000}"/>
    <cellStyle name="Normal 2 2 2 119" xfId="3894" xr:uid="{00000000-0005-0000-0000-00002B0F0000}"/>
    <cellStyle name="Normal 2 2 2 12" xfId="3895" xr:uid="{00000000-0005-0000-0000-00002C0F0000}"/>
    <cellStyle name="Normal 2 2 2 12 2" xfId="3896" xr:uid="{00000000-0005-0000-0000-00002D0F0000}"/>
    <cellStyle name="Normal 2 2 2 120" xfId="3897" xr:uid="{00000000-0005-0000-0000-00002E0F0000}"/>
    <cellStyle name="Normal 2 2 2 121" xfId="3898" xr:uid="{00000000-0005-0000-0000-00002F0F0000}"/>
    <cellStyle name="Normal 2 2 2 122" xfId="3899" xr:uid="{00000000-0005-0000-0000-0000300F0000}"/>
    <cellStyle name="Normal 2 2 2 123" xfId="3900" xr:uid="{00000000-0005-0000-0000-0000310F0000}"/>
    <cellStyle name="Normal 2 2 2 124" xfId="3901" xr:uid="{00000000-0005-0000-0000-0000320F0000}"/>
    <cellStyle name="Normal 2 2 2 125" xfId="3902" xr:uid="{00000000-0005-0000-0000-0000330F0000}"/>
    <cellStyle name="Normal 2 2 2 126" xfId="3903" xr:uid="{00000000-0005-0000-0000-0000340F0000}"/>
    <cellStyle name="Normal 2 2 2 127" xfId="3904" xr:uid="{00000000-0005-0000-0000-0000350F0000}"/>
    <cellStyle name="Normal 2 2 2 128" xfId="3905" xr:uid="{00000000-0005-0000-0000-0000360F0000}"/>
    <cellStyle name="Normal 2 2 2 129" xfId="3906" xr:uid="{00000000-0005-0000-0000-0000370F0000}"/>
    <cellStyle name="Normal 2 2 2 13" xfId="3907" xr:uid="{00000000-0005-0000-0000-0000380F0000}"/>
    <cellStyle name="Normal 2 2 2 13 2" xfId="3908" xr:uid="{00000000-0005-0000-0000-0000390F0000}"/>
    <cellStyle name="Normal 2 2 2 130" xfId="3909" xr:uid="{00000000-0005-0000-0000-00003A0F0000}"/>
    <cellStyle name="Normal 2 2 2 131" xfId="3910" xr:uid="{00000000-0005-0000-0000-00003B0F0000}"/>
    <cellStyle name="Normal 2 2 2 132" xfId="3911" xr:uid="{00000000-0005-0000-0000-00003C0F0000}"/>
    <cellStyle name="Normal 2 2 2 133" xfId="3912" xr:uid="{00000000-0005-0000-0000-00003D0F0000}"/>
    <cellStyle name="Normal 2 2 2 134" xfId="3913" xr:uid="{00000000-0005-0000-0000-00003E0F0000}"/>
    <cellStyle name="Normal 2 2 2 135" xfId="3914" xr:uid="{00000000-0005-0000-0000-00003F0F0000}"/>
    <cellStyle name="Normal 2 2 2 136" xfId="3915" xr:uid="{00000000-0005-0000-0000-0000400F0000}"/>
    <cellStyle name="Normal 2 2 2 137" xfId="3916" xr:uid="{00000000-0005-0000-0000-0000410F0000}"/>
    <cellStyle name="Normal 2 2 2 138" xfId="3917" xr:uid="{00000000-0005-0000-0000-0000420F0000}"/>
    <cellStyle name="Normal 2 2 2 139" xfId="3918" xr:uid="{00000000-0005-0000-0000-0000430F0000}"/>
    <cellStyle name="Normal 2 2 2 14" xfId="3919" xr:uid="{00000000-0005-0000-0000-0000440F0000}"/>
    <cellStyle name="Normal 2 2 2 14 2" xfId="3920" xr:uid="{00000000-0005-0000-0000-0000450F0000}"/>
    <cellStyle name="Normal 2 2 2 140" xfId="3921" xr:uid="{00000000-0005-0000-0000-0000460F0000}"/>
    <cellStyle name="Normal 2 2 2 141" xfId="3922" xr:uid="{00000000-0005-0000-0000-0000470F0000}"/>
    <cellStyle name="Normal 2 2 2 142" xfId="3923" xr:uid="{00000000-0005-0000-0000-0000480F0000}"/>
    <cellStyle name="Normal 2 2 2 143" xfId="3924" xr:uid="{00000000-0005-0000-0000-0000490F0000}"/>
    <cellStyle name="Normal 2 2 2 144" xfId="3925" xr:uid="{00000000-0005-0000-0000-00004A0F0000}"/>
    <cellStyle name="Normal 2 2 2 145" xfId="3926" xr:uid="{00000000-0005-0000-0000-00004B0F0000}"/>
    <cellStyle name="Normal 2 2 2 146" xfId="3927" xr:uid="{00000000-0005-0000-0000-00004C0F0000}"/>
    <cellStyle name="Normal 2 2 2 147" xfId="3928" xr:uid="{00000000-0005-0000-0000-00004D0F0000}"/>
    <cellStyle name="Normal 2 2 2 147 2" xfId="3929" xr:uid="{00000000-0005-0000-0000-00004E0F0000}"/>
    <cellStyle name="Normal 2 2 2 148" xfId="3930" xr:uid="{00000000-0005-0000-0000-00004F0F0000}"/>
    <cellStyle name="Normal 2 2 2 148 2" xfId="3931" xr:uid="{00000000-0005-0000-0000-0000500F0000}"/>
    <cellStyle name="Normal 2 2 2 149" xfId="3932" xr:uid="{00000000-0005-0000-0000-0000510F0000}"/>
    <cellStyle name="Normal 2 2 2 149 2" xfId="3933" xr:uid="{00000000-0005-0000-0000-0000520F0000}"/>
    <cellStyle name="Normal 2 2 2 15" xfId="3934" xr:uid="{00000000-0005-0000-0000-0000530F0000}"/>
    <cellStyle name="Normal 2 2 2 15 2" xfId="3935" xr:uid="{00000000-0005-0000-0000-0000540F0000}"/>
    <cellStyle name="Normal 2 2 2 150" xfId="3936" xr:uid="{00000000-0005-0000-0000-0000550F0000}"/>
    <cellStyle name="Normal 2 2 2 151" xfId="3937" xr:uid="{00000000-0005-0000-0000-0000560F0000}"/>
    <cellStyle name="Normal 2 2 2 152" xfId="3938" xr:uid="{00000000-0005-0000-0000-0000570F0000}"/>
    <cellStyle name="Normal 2 2 2 16" xfId="3939" xr:uid="{00000000-0005-0000-0000-0000580F0000}"/>
    <cellStyle name="Normal 2 2 2 16 2" xfId="3940" xr:uid="{00000000-0005-0000-0000-0000590F0000}"/>
    <cellStyle name="Normal 2 2 2 17" xfId="3941" xr:uid="{00000000-0005-0000-0000-00005A0F0000}"/>
    <cellStyle name="Normal 2 2 2 17 2" xfId="3942" xr:uid="{00000000-0005-0000-0000-00005B0F0000}"/>
    <cellStyle name="Normal 2 2 2 18" xfId="3943" xr:uid="{00000000-0005-0000-0000-00005C0F0000}"/>
    <cellStyle name="Normal 2 2 2 18 2" xfId="3944" xr:uid="{00000000-0005-0000-0000-00005D0F0000}"/>
    <cellStyle name="Normal 2 2 2 19" xfId="3945" xr:uid="{00000000-0005-0000-0000-00005E0F0000}"/>
    <cellStyle name="Normal 2 2 2 19 2" xfId="3946" xr:uid="{00000000-0005-0000-0000-00005F0F0000}"/>
    <cellStyle name="Normal 2 2 2 2" xfId="3947" xr:uid="{00000000-0005-0000-0000-0000600F0000}"/>
    <cellStyle name="Normal 2 2 2 2 10" xfId="3948" xr:uid="{00000000-0005-0000-0000-0000610F0000}"/>
    <cellStyle name="Normal 2 2 2 2 10 2" xfId="3949" xr:uid="{00000000-0005-0000-0000-0000620F0000}"/>
    <cellStyle name="Normal 2 2 2 2 10 2 2" xfId="3950" xr:uid="{00000000-0005-0000-0000-0000630F0000}"/>
    <cellStyle name="Normal 2 2 2 2 10 3" xfId="3951" xr:uid="{00000000-0005-0000-0000-0000640F0000}"/>
    <cellStyle name="Normal 2 2 2 2 100" xfId="3952" xr:uid="{00000000-0005-0000-0000-0000650F0000}"/>
    <cellStyle name="Normal 2 2 2 2 100 2" xfId="3953" xr:uid="{00000000-0005-0000-0000-0000660F0000}"/>
    <cellStyle name="Normal 2 2 2 2 101" xfId="3954" xr:uid="{00000000-0005-0000-0000-0000670F0000}"/>
    <cellStyle name="Normal 2 2 2 2 101 2" xfId="3955" xr:uid="{00000000-0005-0000-0000-0000680F0000}"/>
    <cellStyle name="Normal 2 2 2 2 102" xfId="3956" xr:uid="{00000000-0005-0000-0000-0000690F0000}"/>
    <cellStyle name="Normal 2 2 2 2 102 2" xfId="3957" xr:uid="{00000000-0005-0000-0000-00006A0F0000}"/>
    <cellStyle name="Normal 2 2 2 2 103" xfId="3958" xr:uid="{00000000-0005-0000-0000-00006B0F0000}"/>
    <cellStyle name="Normal 2 2 2 2 103 2" xfId="3959" xr:uid="{00000000-0005-0000-0000-00006C0F0000}"/>
    <cellStyle name="Normal 2 2 2 2 104" xfId="3960" xr:uid="{00000000-0005-0000-0000-00006D0F0000}"/>
    <cellStyle name="Normal 2 2 2 2 104 2" xfId="3961" xr:uid="{00000000-0005-0000-0000-00006E0F0000}"/>
    <cellStyle name="Normal 2 2 2 2 105" xfId="3962" xr:uid="{00000000-0005-0000-0000-00006F0F0000}"/>
    <cellStyle name="Normal 2 2 2 2 105 2" xfId="3963" xr:uid="{00000000-0005-0000-0000-0000700F0000}"/>
    <cellStyle name="Normal 2 2 2 2 106" xfId="3964" xr:uid="{00000000-0005-0000-0000-0000710F0000}"/>
    <cellStyle name="Normal 2 2 2 2 106 2" xfId="3965" xr:uid="{00000000-0005-0000-0000-0000720F0000}"/>
    <cellStyle name="Normal 2 2 2 2 107" xfId="3966" xr:uid="{00000000-0005-0000-0000-0000730F0000}"/>
    <cellStyle name="Normal 2 2 2 2 107 2" xfId="3967" xr:uid="{00000000-0005-0000-0000-0000740F0000}"/>
    <cellStyle name="Normal 2 2 2 2 108" xfId="3968" xr:uid="{00000000-0005-0000-0000-0000750F0000}"/>
    <cellStyle name="Normal 2 2 2 2 108 2" xfId="3969" xr:uid="{00000000-0005-0000-0000-0000760F0000}"/>
    <cellStyle name="Normal 2 2 2 2 109" xfId="3970" xr:uid="{00000000-0005-0000-0000-0000770F0000}"/>
    <cellStyle name="Normal 2 2 2 2 109 2" xfId="3971" xr:uid="{00000000-0005-0000-0000-0000780F0000}"/>
    <cellStyle name="Normal 2 2 2 2 11" xfId="3972" xr:uid="{00000000-0005-0000-0000-0000790F0000}"/>
    <cellStyle name="Normal 2 2 2 2 11 2" xfId="3973" xr:uid="{00000000-0005-0000-0000-00007A0F0000}"/>
    <cellStyle name="Normal 2 2 2 2 11 2 2" xfId="3974" xr:uid="{00000000-0005-0000-0000-00007B0F0000}"/>
    <cellStyle name="Normal 2 2 2 2 11 3" xfId="3975" xr:uid="{00000000-0005-0000-0000-00007C0F0000}"/>
    <cellStyle name="Normal 2 2 2 2 110" xfId="3976" xr:uid="{00000000-0005-0000-0000-00007D0F0000}"/>
    <cellStyle name="Normal 2 2 2 2 110 2" xfId="3977" xr:uid="{00000000-0005-0000-0000-00007E0F0000}"/>
    <cellStyle name="Normal 2 2 2 2 111" xfId="3978" xr:uid="{00000000-0005-0000-0000-00007F0F0000}"/>
    <cellStyle name="Normal 2 2 2 2 111 2" xfId="3979" xr:uid="{00000000-0005-0000-0000-0000800F0000}"/>
    <cellStyle name="Normal 2 2 2 2 112" xfId="3980" xr:uid="{00000000-0005-0000-0000-0000810F0000}"/>
    <cellStyle name="Normal 2 2 2 2 112 2" xfId="3981" xr:uid="{00000000-0005-0000-0000-0000820F0000}"/>
    <cellStyle name="Normal 2 2 2 2 113" xfId="3982" xr:uid="{00000000-0005-0000-0000-0000830F0000}"/>
    <cellStyle name="Normal 2 2 2 2 113 2" xfId="3983" xr:uid="{00000000-0005-0000-0000-0000840F0000}"/>
    <cellStyle name="Normal 2 2 2 2 114" xfId="3984" xr:uid="{00000000-0005-0000-0000-0000850F0000}"/>
    <cellStyle name="Normal 2 2 2 2 114 2" xfId="3985" xr:uid="{00000000-0005-0000-0000-0000860F0000}"/>
    <cellStyle name="Normal 2 2 2 2 115" xfId="3986" xr:uid="{00000000-0005-0000-0000-0000870F0000}"/>
    <cellStyle name="Normal 2 2 2 2 115 2" xfId="3987" xr:uid="{00000000-0005-0000-0000-0000880F0000}"/>
    <cellStyle name="Normal 2 2 2 2 116" xfId="3988" xr:uid="{00000000-0005-0000-0000-0000890F0000}"/>
    <cellStyle name="Normal 2 2 2 2 116 2" xfId="3989" xr:uid="{00000000-0005-0000-0000-00008A0F0000}"/>
    <cellStyle name="Normal 2 2 2 2 117" xfId="3990" xr:uid="{00000000-0005-0000-0000-00008B0F0000}"/>
    <cellStyle name="Normal 2 2 2 2 117 2" xfId="3991" xr:uid="{00000000-0005-0000-0000-00008C0F0000}"/>
    <cellStyle name="Normal 2 2 2 2 118" xfId="3992" xr:uid="{00000000-0005-0000-0000-00008D0F0000}"/>
    <cellStyle name="Normal 2 2 2 2 118 2" xfId="3993" xr:uid="{00000000-0005-0000-0000-00008E0F0000}"/>
    <cellStyle name="Normal 2 2 2 2 119" xfId="3994" xr:uid="{00000000-0005-0000-0000-00008F0F0000}"/>
    <cellStyle name="Normal 2 2 2 2 119 2" xfId="3995" xr:uid="{00000000-0005-0000-0000-0000900F0000}"/>
    <cellStyle name="Normal 2 2 2 2 12" xfId="3996" xr:uid="{00000000-0005-0000-0000-0000910F0000}"/>
    <cellStyle name="Normal 2 2 2 2 12 2" xfId="3997" xr:uid="{00000000-0005-0000-0000-0000920F0000}"/>
    <cellStyle name="Normal 2 2 2 2 12 2 2" xfId="3998" xr:uid="{00000000-0005-0000-0000-0000930F0000}"/>
    <cellStyle name="Normal 2 2 2 2 12 3" xfId="3999" xr:uid="{00000000-0005-0000-0000-0000940F0000}"/>
    <cellStyle name="Normal 2 2 2 2 120" xfId="4000" xr:uid="{00000000-0005-0000-0000-0000950F0000}"/>
    <cellStyle name="Normal 2 2 2 2 120 2" xfId="4001" xr:uid="{00000000-0005-0000-0000-0000960F0000}"/>
    <cellStyle name="Normal 2 2 2 2 121" xfId="4002" xr:uid="{00000000-0005-0000-0000-0000970F0000}"/>
    <cellStyle name="Normal 2 2 2 2 121 2" xfId="4003" xr:uid="{00000000-0005-0000-0000-0000980F0000}"/>
    <cellStyle name="Normal 2 2 2 2 122" xfId="4004" xr:uid="{00000000-0005-0000-0000-0000990F0000}"/>
    <cellStyle name="Normal 2 2 2 2 122 2" xfId="4005" xr:uid="{00000000-0005-0000-0000-00009A0F0000}"/>
    <cellStyle name="Normal 2 2 2 2 123" xfId="4006" xr:uid="{00000000-0005-0000-0000-00009B0F0000}"/>
    <cellStyle name="Normal 2 2 2 2 123 2" xfId="4007" xr:uid="{00000000-0005-0000-0000-00009C0F0000}"/>
    <cellStyle name="Normal 2 2 2 2 124" xfId="4008" xr:uid="{00000000-0005-0000-0000-00009D0F0000}"/>
    <cellStyle name="Normal 2 2 2 2 124 2" xfId="4009" xr:uid="{00000000-0005-0000-0000-00009E0F0000}"/>
    <cellStyle name="Normal 2 2 2 2 125" xfId="4010" xr:uid="{00000000-0005-0000-0000-00009F0F0000}"/>
    <cellStyle name="Normal 2 2 2 2 125 2" xfId="4011" xr:uid="{00000000-0005-0000-0000-0000A00F0000}"/>
    <cellStyle name="Normal 2 2 2 2 126" xfId="4012" xr:uid="{00000000-0005-0000-0000-0000A10F0000}"/>
    <cellStyle name="Normal 2 2 2 2 126 2" xfId="4013" xr:uid="{00000000-0005-0000-0000-0000A20F0000}"/>
    <cellStyle name="Normal 2 2 2 2 127" xfId="4014" xr:uid="{00000000-0005-0000-0000-0000A30F0000}"/>
    <cellStyle name="Normal 2 2 2 2 127 2" xfId="4015" xr:uid="{00000000-0005-0000-0000-0000A40F0000}"/>
    <cellStyle name="Normal 2 2 2 2 128" xfId="4016" xr:uid="{00000000-0005-0000-0000-0000A50F0000}"/>
    <cellStyle name="Normal 2 2 2 2 128 2" xfId="4017" xr:uid="{00000000-0005-0000-0000-0000A60F0000}"/>
    <cellStyle name="Normal 2 2 2 2 129" xfId="4018" xr:uid="{00000000-0005-0000-0000-0000A70F0000}"/>
    <cellStyle name="Normal 2 2 2 2 129 2" xfId="4019" xr:uid="{00000000-0005-0000-0000-0000A80F0000}"/>
    <cellStyle name="Normal 2 2 2 2 13" xfId="4020" xr:uid="{00000000-0005-0000-0000-0000A90F0000}"/>
    <cellStyle name="Normal 2 2 2 2 13 2" xfId="4021" xr:uid="{00000000-0005-0000-0000-0000AA0F0000}"/>
    <cellStyle name="Normal 2 2 2 2 13 2 2" xfId="4022" xr:uid="{00000000-0005-0000-0000-0000AB0F0000}"/>
    <cellStyle name="Normal 2 2 2 2 13 3" xfId="4023" xr:uid="{00000000-0005-0000-0000-0000AC0F0000}"/>
    <cellStyle name="Normal 2 2 2 2 130" xfId="4024" xr:uid="{00000000-0005-0000-0000-0000AD0F0000}"/>
    <cellStyle name="Normal 2 2 2 2 130 2" xfId="4025" xr:uid="{00000000-0005-0000-0000-0000AE0F0000}"/>
    <cellStyle name="Normal 2 2 2 2 131" xfId="4026" xr:uid="{00000000-0005-0000-0000-0000AF0F0000}"/>
    <cellStyle name="Normal 2 2 2 2 131 2" xfId="4027" xr:uid="{00000000-0005-0000-0000-0000B00F0000}"/>
    <cellStyle name="Normal 2 2 2 2 132" xfId="4028" xr:uid="{00000000-0005-0000-0000-0000B10F0000}"/>
    <cellStyle name="Normal 2 2 2 2 132 2" xfId="4029" xr:uid="{00000000-0005-0000-0000-0000B20F0000}"/>
    <cellStyle name="Normal 2 2 2 2 133" xfId="4030" xr:uid="{00000000-0005-0000-0000-0000B30F0000}"/>
    <cellStyle name="Normal 2 2 2 2 133 2" xfId="4031" xr:uid="{00000000-0005-0000-0000-0000B40F0000}"/>
    <cellStyle name="Normal 2 2 2 2 134" xfId="4032" xr:uid="{00000000-0005-0000-0000-0000B50F0000}"/>
    <cellStyle name="Normal 2 2 2 2 134 2" xfId="4033" xr:uid="{00000000-0005-0000-0000-0000B60F0000}"/>
    <cellStyle name="Normal 2 2 2 2 135" xfId="4034" xr:uid="{00000000-0005-0000-0000-0000B70F0000}"/>
    <cellStyle name="Normal 2 2 2 2 135 2" xfId="4035" xr:uid="{00000000-0005-0000-0000-0000B80F0000}"/>
    <cellStyle name="Normal 2 2 2 2 136" xfId="4036" xr:uid="{00000000-0005-0000-0000-0000B90F0000}"/>
    <cellStyle name="Normal 2 2 2 2 136 2" xfId="4037" xr:uid="{00000000-0005-0000-0000-0000BA0F0000}"/>
    <cellStyle name="Normal 2 2 2 2 137" xfId="4038" xr:uid="{00000000-0005-0000-0000-0000BB0F0000}"/>
    <cellStyle name="Normal 2 2 2 2 137 2" xfId="4039" xr:uid="{00000000-0005-0000-0000-0000BC0F0000}"/>
    <cellStyle name="Normal 2 2 2 2 138" xfId="4040" xr:uid="{00000000-0005-0000-0000-0000BD0F0000}"/>
    <cellStyle name="Normal 2 2 2 2 138 2" xfId="4041" xr:uid="{00000000-0005-0000-0000-0000BE0F0000}"/>
    <cellStyle name="Normal 2 2 2 2 139" xfId="4042" xr:uid="{00000000-0005-0000-0000-0000BF0F0000}"/>
    <cellStyle name="Normal 2 2 2 2 139 2" xfId="4043" xr:uid="{00000000-0005-0000-0000-0000C00F0000}"/>
    <cellStyle name="Normal 2 2 2 2 14" xfId="4044" xr:uid="{00000000-0005-0000-0000-0000C10F0000}"/>
    <cellStyle name="Normal 2 2 2 2 14 2" xfId="4045" xr:uid="{00000000-0005-0000-0000-0000C20F0000}"/>
    <cellStyle name="Normal 2 2 2 2 14 2 2" xfId="4046" xr:uid="{00000000-0005-0000-0000-0000C30F0000}"/>
    <cellStyle name="Normal 2 2 2 2 14 3" xfId="4047" xr:uid="{00000000-0005-0000-0000-0000C40F0000}"/>
    <cellStyle name="Normal 2 2 2 2 140" xfId="4048" xr:uid="{00000000-0005-0000-0000-0000C50F0000}"/>
    <cellStyle name="Normal 2 2 2 2 140 2" xfId="4049" xr:uid="{00000000-0005-0000-0000-0000C60F0000}"/>
    <cellStyle name="Normal 2 2 2 2 141" xfId="4050" xr:uid="{00000000-0005-0000-0000-0000C70F0000}"/>
    <cellStyle name="Normal 2 2 2 2 141 2" xfId="4051" xr:uid="{00000000-0005-0000-0000-0000C80F0000}"/>
    <cellStyle name="Normal 2 2 2 2 142" xfId="4052" xr:uid="{00000000-0005-0000-0000-0000C90F0000}"/>
    <cellStyle name="Normal 2 2 2 2 142 2" xfId="4053" xr:uid="{00000000-0005-0000-0000-0000CA0F0000}"/>
    <cellStyle name="Normal 2 2 2 2 143" xfId="4054" xr:uid="{00000000-0005-0000-0000-0000CB0F0000}"/>
    <cellStyle name="Normal 2 2 2 2 143 2" xfId="4055" xr:uid="{00000000-0005-0000-0000-0000CC0F0000}"/>
    <cellStyle name="Normal 2 2 2 2 144" xfId="4056" xr:uid="{00000000-0005-0000-0000-0000CD0F0000}"/>
    <cellStyle name="Normal 2 2 2 2 145" xfId="4057" xr:uid="{00000000-0005-0000-0000-0000CE0F0000}"/>
    <cellStyle name="Normal 2 2 2 2 146" xfId="4058" xr:uid="{00000000-0005-0000-0000-0000CF0F0000}"/>
    <cellStyle name="Normal 2 2 2 2 147" xfId="4059" xr:uid="{00000000-0005-0000-0000-0000D00F0000}"/>
    <cellStyle name="Normal 2 2 2 2 15" xfId="4060" xr:uid="{00000000-0005-0000-0000-0000D10F0000}"/>
    <cellStyle name="Normal 2 2 2 2 15 2" xfId="4061" xr:uid="{00000000-0005-0000-0000-0000D20F0000}"/>
    <cellStyle name="Normal 2 2 2 2 15 2 2" xfId="4062" xr:uid="{00000000-0005-0000-0000-0000D30F0000}"/>
    <cellStyle name="Normal 2 2 2 2 15 3" xfId="4063" xr:uid="{00000000-0005-0000-0000-0000D40F0000}"/>
    <cellStyle name="Normal 2 2 2 2 16" xfId="4064" xr:uid="{00000000-0005-0000-0000-0000D50F0000}"/>
    <cellStyle name="Normal 2 2 2 2 16 2" xfId="4065" xr:uid="{00000000-0005-0000-0000-0000D60F0000}"/>
    <cellStyle name="Normal 2 2 2 2 16 2 2" xfId="4066" xr:uid="{00000000-0005-0000-0000-0000D70F0000}"/>
    <cellStyle name="Normal 2 2 2 2 16 3" xfId="4067" xr:uid="{00000000-0005-0000-0000-0000D80F0000}"/>
    <cellStyle name="Normal 2 2 2 2 17" xfId="4068" xr:uid="{00000000-0005-0000-0000-0000D90F0000}"/>
    <cellStyle name="Normal 2 2 2 2 17 2" xfId="4069" xr:uid="{00000000-0005-0000-0000-0000DA0F0000}"/>
    <cellStyle name="Normal 2 2 2 2 17 2 2" xfId="4070" xr:uid="{00000000-0005-0000-0000-0000DB0F0000}"/>
    <cellStyle name="Normal 2 2 2 2 17 3" xfId="4071" xr:uid="{00000000-0005-0000-0000-0000DC0F0000}"/>
    <cellStyle name="Normal 2 2 2 2 18" xfId="4072" xr:uid="{00000000-0005-0000-0000-0000DD0F0000}"/>
    <cellStyle name="Normal 2 2 2 2 18 2" xfId="4073" xr:uid="{00000000-0005-0000-0000-0000DE0F0000}"/>
    <cellStyle name="Normal 2 2 2 2 18 2 2" xfId="4074" xr:uid="{00000000-0005-0000-0000-0000DF0F0000}"/>
    <cellStyle name="Normal 2 2 2 2 18 3" xfId="4075" xr:uid="{00000000-0005-0000-0000-0000E00F0000}"/>
    <cellStyle name="Normal 2 2 2 2 19" xfId="4076" xr:uid="{00000000-0005-0000-0000-0000E10F0000}"/>
    <cellStyle name="Normal 2 2 2 2 19 2" xfId="4077" xr:uid="{00000000-0005-0000-0000-0000E20F0000}"/>
    <cellStyle name="Normal 2 2 2 2 19 2 2" xfId="4078" xr:uid="{00000000-0005-0000-0000-0000E30F0000}"/>
    <cellStyle name="Normal 2 2 2 2 19 3" xfId="4079" xr:uid="{00000000-0005-0000-0000-0000E40F0000}"/>
    <cellStyle name="Normal 2 2 2 2 2" xfId="4080" xr:uid="{00000000-0005-0000-0000-0000E50F0000}"/>
    <cellStyle name="Normal 2 2 2 2 2 2" xfId="4081" xr:uid="{00000000-0005-0000-0000-0000E60F0000}"/>
    <cellStyle name="Normal 2 2 2 2 2 2 2" xfId="4082" xr:uid="{00000000-0005-0000-0000-0000E70F0000}"/>
    <cellStyle name="Normal 2 2 2 2 2 2 3" xfId="4083" xr:uid="{00000000-0005-0000-0000-0000E80F0000}"/>
    <cellStyle name="Normal 2 2 2 2 2 3" xfId="4084" xr:uid="{00000000-0005-0000-0000-0000E90F0000}"/>
    <cellStyle name="Normal 2 2 2 2 2 3 2" xfId="4085" xr:uid="{00000000-0005-0000-0000-0000EA0F0000}"/>
    <cellStyle name="Normal 2 2 2 2 2 4" xfId="4086" xr:uid="{00000000-0005-0000-0000-0000EB0F0000}"/>
    <cellStyle name="Normal 2 2 2 2 2 5" xfId="4087" xr:uid="{00000000-0005-0000-0000-0000EC0F0000}"/>
    <cellStyle name="Normal 2 2 2 2 2 6" xfId="4088" xr:uid="{00000000-0005-0000-0000-0000ED0F0000}"/>
    <cellStyle name="Normal 2 2 2 2 2 7" xfId="4089" xr:uid="{00000000-0005-0000-0000-0000EE0F0000}"/>
    <cellStyle name="Normal 2 2 2 2 20" xfId="4090" xr:uid="{00000000-0005-0000-0000-0000EF0F0000}"/>
    <cellStyle name="Normal 2 2 2 2 20 2" xfId="4091" xr:uid="{00000000-0005-0000-0000-0000F00F0000}"/>
    <cellStyle name="Normal 2 2 2 2 20 2 2" xfId="4092" xr:uid="{00000000-0005-0000-0000-0000F10F0000}"/>
    <cellStyle name="Normal 2 2 2 2 20 3" xfId="4093" xr:uid="{00000000-0005-0000-0000-0000F20F0000}"/>
    <cellStyle name="Normal 2 2 2 2 21" xfId="4094" xr:uid="{00000000-0005-0000-0000-0000F30F0000}"/>
    <cellStyle name="Normal 2 2 2 2 21 2" xfId="4095" xr:uid="{00000000-0005-0000-0000-0000F40F0000}"/>
    <cellStyle name="Normal 2 2 2 2 21 2 2" xfId="4096" xr:uid="{00000000-0005-0000-0000-0000F50F0000}"/>
    <cellStyle name="Normal 2 2 2 2 21 3" xfId="4097" xr:uid="{00000000-0005-0000-0000-0000F60F0000}"/>
    <cellStyle name="Normal 2 2 2 2 22" xfId="4098" xr:uid="{00000000-0005-0000-0000-0000F70F0000}"/>
    <cellStyle name="Normal 2 2 2 2 22 2" xfId="4099" xr:uid="{00000000-0005-0000-0000-0000F80F0000}"/>
    <cellStyle name="Normal 2 2 2 2 22 2 2" xfId="4100" xr:uid="{00000000-0005-0000-0000-0000F90F0000}"/>
    <cellStyle name="Normal 2 2 2 2 22 3" xfId="4101" xr:uid="{00000000-0005-0000-0000-0000FA0F0000}"/>
    <cellStyle name="Normal 2 2 2 2 23" xfId="4102" xr:uid="{00000000-0005-0000-0000-0000FB0F0000}"/>
    <cellStyle name="Normal 2 2 2 2 23 2" xfId="4103" xr:uid="{00000000-0005-0000-0000-0000FC0F0000}"/>
    <cellStyle name="Normal 2 2 2 2 23 2 2" xfId="4104" xr:uid="{00000000-0005-0000-0000-0000FD0F0000}"/>
    <cellStyle name="Normal 2 2 2 2 23 3" xfId="4105" xr:uid="{00000000-0005-0000-0000-0000FE0F0000}"/>
    <cellStyle name="Normal 2 2 2 2 24" xfId="4106" xr:uid="{00000000-0005-0000-0000-0000FF0F0000}"/>
    <cellStyle name="Normal 2 2 2 2 24 2" xfId="4107" xr:uid="{00000000-0005-0000-0000-000000100000}"/>
    <cellStyle name="Normal 2 2 2 2 24 2 2" xfId="4108" xr:uid="{00000000-0005-0000-0000-000001100000}"/>
    <cellStyle name="Normal 2 2 2 2 24 3" xfId="4109" xr:uid="{00000000-0005-0000-0000-000002100000}"/>
    <cellStyle name="Normal 2 2 2 2 25" xfId="4110" xr:uid="{00000000-0005-0000-0000-000003100000}"/>
    <cellStyle name="Normal 2 2 2 2 25 2" xfId="4111" xr:uid="{00000000-0005-0000-0000-000004100000}"/>
    <cellStyle name="Normal 2 2 2 2 25 2 2" xfId="4112" xr:uid="{00000000-0005-0000-0000-000005100000}"/>
    <cellStyle name="Normal 2 2 2 2 25 3" xfId="4113" xr:uid="{00000000-0005-0000-0000-000006100000}"/>
    <cellStyle name="Normal 2 2 2 2 26" xfId="4114" xr:uid="{00000000-0005-0000-0000-000007100000}"/>
    <cellStyle name="Normal 2 2 2 2 26 2" xfId="4115" xr:uid="{00000000-0005-0000-0000-000008100000}"/>
    <cellStyle name="Normal 2 2 2 2 26 2 2" xfId="4116" xr:uid="{00000000-0005-0000-0000-000009100000}"/>
    <cellStyle name="Normal 2 2 2 2 26 3" xfId="4117" xr:uid="{00000000-0005-0000-0000-00000A100000}"/>
    <cellStyle name="Normal 2 2 2 2 27" xfId="4118" xr:uid="{00000000-0005-0000-0000-00000B100000}"/>
    <cellStyle name="Normal 2 2 2 2 27 2" xfId="4119" xr:uid="{00000000-0005-0000-0000-00000C100000}"/>
    <cellStyle name="Normal 2 2 2 2 27 2 2" xfId="4120" xr:uid="{00000000-0005-0000-0000-00000D100000}"/>
    <cellStyle name="Normal 2 2 2 2 27 3" xfId="4121" xr:uid="{00000000-0005-0000-0000-00000E100000}"/>
    <cellStyle name="Normal 2 2 2 2 28" xfId="4122" xr:uid="{00000000-0005-0000-0000-00000F100000}"/>
    <cellStyle name="Normal 2 2 2 2 28 2" xfId="4123" xr:uid="{00000000-0005-0000-0000-000010100000}"/>
    <cellStyle name="Normal 2 2 2 2 28 2 2" xfId="4124" xr:uid="{00000000-0005-0000-0000-000011100000}"/>
    <cellStyle name="Normal 2 2 2 2 28 3" xfId="4125" xr:uid="{00000000-0005-0000-0000-000012100000}"/>
    <cellStyle name="Normal 2 2 2 2 29" xfId="4126" xr:uid="{00000000-0005-0000-0000-000013100000}"/>
    <cellStyle name="Normal 2 2 2 2 29 2" xfId="4127" xr:uid="{00000000-0005-0000-0000-000014100000}"/>
    <cellStyle name="Normal 2 2 2 2 29 2 2" xfId="4128" xr:uid="{00000000-0005-0000-0000-000015100000}"/>
    <cellStyle name="Normal 2 2 2 2 29 3" xfId="4129" xr:uid="{00000000-0005-0000-0000-000016100000}"/>
    <cellStyle name="Normal 2 2 2 2 3" xfId="4130" xr:uid="{00000000-0005-0000-0000-000017100000}"/>
    <cellStyle name="Normal 2 2 2 2 3 10" xfId="4131" xr:uid="{00000000-0005-0000-0000-000018100000}"/>
    <cellStyle name="Normal 2 2 2 2 3 11" xfId="4132" xr:uid="{00000000-0005-0000-0000-000019100000}"/>
    <cellStyle name="Normal 2 2 2 2 3 2" xfId="4133" xr:uid="{00000000-0005-0000-0000-00001A100000}"/>
    <cellStyle name="Normal 2 2 2 2 3 2 2" xfId="4134" xr:uid="{00000000-0005-0000-0000-00001B100000}"/>
    <cellStyle name="Normal 2 2 2 2 3 2 3" xfId="4135" xr:uid="{00000000-0005-0000-0000-00001C100000}"/>
    <cellStyle name="Normal 2 2 2 2 3 3" xfId="4136" xr:uid="{00000000-0005-0000-0000-00001D100000}"/>
    <cellStyle name="Normal 2 2 2 2 3 4" xfId="4137" xr:uid="{00000000-0005-0000-0000-00001E100000}"/>
    <cellStyle name="Normal 2 2 2 2 3 5" xfId="4138" xr:uid="{00000000-0005-0000-0000-00001F100000}"/>
    <cellStyle name="Normal 2 2 2 2 3 6" xfId="4139" xr:uid="{00000000-0005-0000-0000-000020100000}"/>
    <cellStyle name="Normal 2 2 2 2 3 7" xfId="4140" xr:uid="{00000000-0005-0000-0000-000021100000}"/>
    <cellStyle name="Normal 2 2 2 2 3 8" xfId="4141" xr:uid="{00000000-0005-0000-0000-000022100000}"/>
    <cellStyle name="Normal 2 2 2 2 3 9" xfId="4142" xr:uid="{00000000-0005-0000-0000-000023100000}"/>
    <cellStyle name="Normal 2 2 2 2 30" xfId="4143" xr:uid="{00000000-0005-0000-0000-000024100000}"/>
    <cellStyle name="Normal 2 2 2 2 30 2" xfId="4144" xr:uid="{00000000-0005-0000-0000-000025100000}"/>
    <cellStyle name="Normal 2 2 2 2 30 2 2" xfId="4145" xr:uid="{00000000-0005-0000-0000-000026100000}"/>
    <cellStyle name="Normal 2 2 2 2 30 3" xfId="4146" xr:uid="{00000000-0005-0000-0000-000027100000}"/>
    <cellStyle name="Normal 2 2 2 2 31" xfId="4147" xr:uid="{00000000-0005-0000-0000-000028100000}"/>
    <cellStyle name="Normal 2 2 2 2 31 2" xfId="4148" xr:uid="{00000000-0005-0000-0000-000029100000}"/>
    <cellStyle name="Normal 2 2 2 2 31 2 2" xfId="4149" xr:uid="{00000000-0005-0000-0000-00002A100000}"/>
    <cellStyle name="Normal 2 2 2 2 31 3" xfId="4150" xr:uid="{00000000-0005-0000-0000-00002B100000}"/>
    <cellStyle name="Normal 2 2 2 2 32" xfId="4151" xr:uid="{00000000-0005-0000-0000-00002C100000}"/>
    <cellStyle name="Normal 2 2 2 2 32 2" xfId="4152" xr:uid="{00000000-0005-0000-0000-00002D100000}"/>
    <cellStyle name="Normal 2 2 2 2 32 2 2" xfId="4153" xr:uid="{00000000-0005-0000-0000-00002E100000}"/>
    <cellStyle name="Normal 2 2 2 2 32 3" xfId="4154" xr:uid="{00000000-0005-0000-0000-00002F100000}"/>
    <cellStyle name="Normal 2 2 2 2 33" xfId="4155" xr:uid="{00000000-0005-0000-0000-000030100000}"/>
    <cellStyle name="Normal 2 2 2 2 33 2" xfId="4156" xr:uid="{00000000-0005-0000-0000-000031100000}"/>
    <cellStyle name="Normal 2 2 2 2 33 2 2" xfId="4157" xr:uid="{00000000-0005-0000-0000-000032100000}"/>
    <cellStyle name="Normal 2 2 2 2 33 3" xfId="4158" xr:uid="{00000000-0005-0000-0000-000033100000}"/>
    <cellStyle name="Normal 2 2 2 2 34" xfId="4159" xr:uid="{00000000-0005-0000-0000-000034100000}"/>
    <cellStyle name="Normal 2 2 2 2 34 2" xfId="4160" xr:uid="{00000000-0005-0000-0000-000035100000}"/>
    <cellStyle name="Normal 2 2 2 2 34 2 2" xfId="4161" xr:uid="{00000000-0005-0000-0000-000036100000}"/>
    <cellStyle name="Normal 2 2 2 2 34 3" xfId="4162" xr:uid="{00000000-0005-0000-0000-000037100000}"/>
    <cellStyle name="Normal 2 2 2 2 35" xfId="4163" xr:uid="{00000000-0005-0000-0000-000038100000}"/>
    <cellStyle name="Normal 2 2 2 2 35 2" xfId="4164" xr:uid="{00000000-0005-0000-0000-000039100000}"/>
    <cellStyle name="Normal 2 2 2 2 35 2 2" xfId="4165" xr:uid="{00000000-0005-0000-0000-00003A100000}"/>
    <cellStyle name="Normal 2 2 2 2 35 3" xfId="4166" xr:uid="{00000000-0005-0000-0000-00003B100000}"/>
    <cellStyle name="Normal 2 2 2 2 36" xfId="4167" xr:uid="{00000000-0005-0000-0000-00003C100000}"/>
    <cellStyle name="Normal 2 2 2 2 36 2" xfId="4168" xr:uid="{00000000-0005-0000-0000-00003D100000}"/>
    <cellStyle name="Normal 2 2 2 2 36 2 2" xfId="4169" xr:uid="{00000000-0005-0000-0000-00003E100000}"/>
    <cellStyle name="Normal 2 2 2 2 36 3" xfId="4170" xr:uid="{00000000-0005-0000-0000-00003F100000}"/>
    <cellStyle name="Normal 2 2 2 2 37" xfId="4171" xr:uid="{00000000-0005-0000-0000-000040100000}"/>
    <cellStyle name="Normal 2 2 2 2 37 2" xfId="4172" xr:uid="{00000000-0005-0000-0000-000041100000}"/>
    <cellStyle name="Normal 2 2 2 2 37 2 2" xfId="4173" xr:uid="{00000000-0005-0000-0000-000042100000}"/>
    <cellStyle name="Normal 2 2 2 2 37 3" xfId="4174" xr:uid="{00000000-0005-0000-0000-000043100000}"/>
    <cellStyle name="Normal 2 2 2 2 38" xfId="4175" xr:uid="{00000000-0005-0000-0000-000044100000}"/>
    <cellStyle name="Normal 2 2 2 2 38 2" xfId="4176" xr:uid="{00000000-0005-0000-0000-000045100000}"/>
    <cellStyle name="Normal 2 2 2 2 38 2 2" xfId="4177" xr:uid="{00000000-0005-0000-0000-000046100000}"/>
    <cellStyle name="Normal 2 2 2 2 38 3" xfId="4178" xr:uid="{00000000-0005-0000-0000-000047100000}"/>
    <cellStyle name="Normal 2 2 2 2 39" xfId="4179" xr:uid="{00000000-0005-0000-0000-000048100000}"/>
    <cellStyle name="Normal 2 2 2 2 39 2" xfId="4180" xr:uid="{00000000-0005-0000-0000-000049100000}"/>
    <cellStyle name="Normal 2 2 2 2 39 2 2" xfId="4181" xr:uid="{00000000-0005-0000-0000-00004A100000}"/>
    <cellStyle name="Normal 2 2 2 2 39 3" xfId="4182" xr:uid="{00000000-0005-0000-0000-00004B100000}"/>
    <cellStyle name="Normal 2 2 2 2 4" xfId="4183" xr:uid="{00000000-0005-0000-0000-00004C100000}"/>
    <cellStyle name="Normal 2 2 2 2 4 2" xfId="4184" xr:uid="{00000000-0005-0000-0000-00004D100000}"/>
    <cellStyle name="Normal 2 2 2 2 4 2 2" xfId="4185" xr:uid="{00000000-0005-0000-0000-00004E100000}"/>
    <cellStyle name="Normal 2 2 2 2 4 3" xfId="4186" xr:uid="{00000000-0005-0000-0000-00004F100000}"/>
    <cellStyle name="Normal 2 2 2 2 40" xfId="4187" xr:uid="{00000000-0005-0000-0000-000050100000}"/>
    <cellStyle name="Normal 2 2 2 2 40 2" xfId="4188" xr:uid="{00000000-0005-0000-0000-000051100000}"/>
    <cellStyle name="Normal 2 2 2 2 40 2 2" xfId="4189" xr:uid="{00000000-0005-0000-0000-000052100000}"/>
    <cellStyle name="Normal 2 2 2 2 40 3" xfId="4190" xr:uid="{00000000-0005-0000-0000-000053100000}"/>
    <cellStyle name="Normal 2 2 2 2 41" xfId="4191" xr:uid="{00000000-0005-0000-0000-000054100000}"/>
    <cellStyle name="Normal 2 2 2 2 41 2" xfId="4192" xr:uid="{00000000-0005-0000-0000-000055100000}"/>
    <cellStyle name="Normal 2 2 2 2 41 2 2" xfId="4193" xr:uid="{00000000-0005-0000-0000-000056100000}"/>
    <cellStyle name="Normal 2 2 2 2 41 3" xfId="4194" xr:uid="{00000000-0005-0000-0000-000057100000}"/>
    <cellStyle name="Normal 2 2 2 2 42" xfId="4195" xr:uid="{00000000-0005-0000-0000-000058100000}"/>
    <cellStyle name="Normal 2 2 2 2 42 2" xfId="4196" xr:uid="{00000000-0005-0000-0000-000059100000}"/>
    <cellStyle name="Normal 2 2 2 2 42 2 2" xfId="4197" xr:uid="{00000000-0005-0000-0000-00005A100000}"/>
    <cellStyle name="Normal 2 2 2 2 42 3" xfId="4198" xr:uid="{00000000-0005-0000-0000-00005B100000}"/>
    <cellStyle name="Normal 2 2 2 2 43" xfId="4199" xr:uid="{00000000-0005-0000-0000-00005C100000}"/>
    <cellStyle name="Normal 2 2 2 2 43 2" xfId="4200" xr:uid="{00000000-0005-0000-0000-00005D100000}"/>
    <cellStyle name="Normal 2 2 2 2 43 2 2" xfId="4201" xr:uid="{00000000-0005-0000-0000-00005E100000}"/>
    <cellStyle name="Normal 2 2 2 2 43 3" xfId="4202" xr:uid="{00000000-0005-0000-0000-00005F100000}"/>
    <cellStyle name="Normal 2 2 2 2 44" xfId="4203" xr:uid="{00000000-0005-0000-0000-000060100000}"/>
    <cellStyle name="Normal 2 2 2 2 44 2" xfId="4204" xr:uid="{00000000-0005-0000-0000-000061100000}"/>
    <cellStyle name="Normal 2 2 2 2 44 2 2" xfId="4205" xr:uid="{00000000-0005-0000-0000-000062100000}"/>
    <cellStyle name="Normal 2 2 2 2 44 3" xfId="4206" xr:uid="{00000000-0005-0000-0000-000063100000}"/>
    <cellStyle name="Normal 2 2 2 2 45" xfId="4207" xr:uid="{00000000-0005-0000-0000-000064100000}"/>
    <cellStyle name="Normal 2 2 2 2 45 2" xfId="4208" xr:uid="{00000000-0005-0000-0000-000065100000}"/>
    <cellStyle name="Normal 2 2 2 2 45 2 2" xfId="4209" xr:uid="{00000000-0005-0000-0000-000066100000}"/>
    <cellStyle name="Normal 2 2 2 2 45 3" xfId="4210" xr:uid="{00000000-0005-0000-0000-000067100000}"/>
    <cellStyle name="Normal 2 2 2 2 46" xfId="4211" xr:uid="{00000000-0005-0000-0000-000068100000}"/>
    <cellStyle name="Normal 2 2 2 2 46 2" xfId="4212" xr:uid="{00000000-0005-0000-0000-000069100000}"/>
    <cellStyle name="Normal 2 2 2 2 46 2 2" xfId="4213" xr:uid="{00000000-0005-0000-0000-00006A100000}"/>
    <cellStyle name="Normal 2 2 2 2 46 3" xfId="4214" xr:uid="{00000000-0005-0000-0000-00006B100000}"/>
    <cellStyle name="Normal 2 2 2 2 47" xfId="4215" xr:uid="{00000000-0005-0000-0000-00006C100000}"/>
    <cellStyle name="Normal 2 2 2 2 47 2" xfId="4216" xr:uid="{00000000-0005-0000-0000-00006D100000}"/>
    <cellStyle name="Normal 2 2 2 2 47 2 2" xfId="4217" xr:uid="{00000000-0005-0000-0000-00006E100000}"/>
    <cellStyle name="Normal 2 2 2 2 47 3" xfId="4218" xr:uid="{00000000-0005-0000-0000-00006F100000}"/>
    <cellStyle name="Normal 2 2 2 2 48" xfId="4219" xr:uid="{00000000-0005-0000-0000-000070100000}"/>
    <cellStyle name="Normal 2 2 2 2 48 2" xfId="4220" xr:uid="{00000000-0005-0000-0000-000071100000}"/>
    <cellStyle name="Normal 2 2 2 2 48 2 2" xfId="4221" xr:uid="{00000000-0005-0000-0000-000072100000}"/>
    <cellStyle name="Normal 2 2 2 2 48 3" xfId="4222" xr:uid="{00000000-0005-0000-0000-000073100000}"/>
    <cellStyle name="Normal 2 2 2 2 49" xfId="4223" xr:uid="{00000000-0005-0000-0000-000074100000}"/>
    <cellStyle name="Normal 2 2 2 2 49 2" xfId="4224" xr:uid="{00000000-0005-0000-0000-000075100000}"/>
    <cellStyle name="Normal 2 2 2 2 49 2 2" xfId="4225" xr:uid="{00000000-0005-0000-0000-000076100000}"/>
    <cellStyle name="Normal 2 2 2 2 49 3" xfId="4226" xr:uid="{00000000-0005-0000-0000-000077100000}"/>
    <cellStyle name="Normal 2 2 2 2 5" xfId="4227" xr:uid="{00000000-0005-0000-0000-000078100000}"/>
    <cellStyle name="Normal 2 2 2 2 5 2" xfId="4228" xr:uid="{00000000-0005-0000-0000-000079100000}"/>
    <cellStyle name="Normal 2 2 2 2 5 2 2" xfId="4229" xr:uid="{00000000-0005-0000-0000-00007A100000}"/>
    <cellStyle name="Normal 2 2 2 2 5 3" xfId="4230" xr:uid="{00000000-0005-0000-0000-00007B100000}"/>
    <cellStyle name="Normal 2 2 2 2 50" xfId="4231" xr:uid="{00000000-0005-0000-0000-00007C100000}"/>
    <cellStyle name="Normal 2 2 2 2 50 2" xfId="4232" xr:uid="{00000000-0005-0000-0000-00007D100000}"/>
    <cellStyle name="Normal 2 2 2 2 50 2 2" xfId="4233" xr:uid="{00000000-0005-0000-0000-00007E100000}"/>
    <cellStyle name="Normal 2 2 2 2 50 3" xfId="4234" xr:uid="{00000000-0005-0000-0000-00007F100000}"/>
    <cellStyle name="Normal 2 2 2 2 51" xfId="4235" xr:uid="{00000000-0005-0000-0000-000080100000}"/>
    <cellStyle name="Normal 2 2 2 2 51 2" xfId="4236" xr:uid="{00000000-0005-0000-0000-000081100000}"/>
    <cellStyle name="Normal 2 2 2 2 51 2 2" xfId="4237" xr:uid="{00000000-0005-0000-0000-000082100000}"/>
    <cellStyle name="Normal 2 2 2 2 51 3" xfId="4238" xr:uid="{00000000-0005-0000-0000-000083100000}"/>
    <cellStyle name="Normal 2 2 2 2 52" xfId="4239" xr:uid="{00000000-0005-0000-0000-000084100000}"/>
    <cellStyle name="Normal 2 2 2 2 52 2" xfId="4240" xr:uid="{00000000-0005-0000-0000-000085100000}"/>
    <cellStyle name="Normal 2 2 2 2 52 2 2" xfId="4241" xr:uid="{00000000-0005-0000-0000-000086100000}"/>
    <cellStyle name="Normal 2 2 2 2 52 3" xfId="4242" xr:uid="{00000000-0005-0000-0000-000087100000}"/>
    <cellStyle name="Normal 2 2 2 2 53" xfId="4243" xr:uid="{00000000-0005-0000-0000-000088100000}"/>
    <cellStyle name="Normal 2 2 2 2 53 2" xfId="4244" xr:uid="{00000000-0005-0000-0000-000089100000}"/>
    <cellStyle name="Normal 2 2 2 2 53 2 2" xfId="4245" xr:uid="{00000000-0005-0000-0000-00008A100000}"/>
    <cellStyle name="Normal 2 2 2 2 53 3" xfId="4246" xr:uid="{00000000-0005-0000-0000-00008B100000}"/>
    <cellStyle name="Normal 2 2 2 2 54" xfId="4247" xr:uid="{00000000-0005-0000-0000-00008C100000}"/>
    <cellStyle name="Normal 2 2 2 2 54 2" xfId="4248" xr:uid="{00000000-0005-0000-0000-00008D100000}"/>
    <cellStyle name="Normal 2 2 2 2 54 2 2" xfId="4249" xr:uid="{00000000-0005-0000-0000-00008E100000}"/>
    <cellStyle name="Normal 2 2 2 2 54 3" xfId="4250" xr:uid="{00000000-0005-0000-0000-00008F100000}"/>
    <cellStyle name="Normal 2 2 2 2 55" xfId="4251" xr:uid="{00000000-0005-0000-0000-000090100000}"/>
    <cellStyle name="Normal 2 2 2 2 55 2" xfId="4252" xr:uid="{00000000-0005-0000-0000-000091100000}"/>
    <cellStyle name="Normal 2 2 2 2 55 2 2" xfId="4253" xr:uid="{00000000-0005-0000-0000-000092100000}"/>
    <cellStyle name="Normal 2 2 2 2 55 3" xfId="4254" xr:uid="{00000000-0005-0000-0000-000093100000}"/>
    <cellStyle name="Normal 2 2 2 2 56" xfId="4255" xr:uid="{00000000-0005-0000-0000-000094100000}"/>
    <cellStyle name="Normal 2 2 2 2 56 2" xfId="4256" xr:uid="{00000000-0005-0000-0000-000095100000}"/>
    <cellStyle name="Normal 2 2 2 2 56 2 2" xfId="4257" xr:uid="{00000000-0005-0000-0000-000096100000}"/>
    <cellStyle name="Normal 2 2 2 2 56 3" xfId="4258" xr:uid="{00000000-0005-0000-0000-000097100000}"/>
    <cellStyle name="Normal 2 2 2 2 57" xfId="4259" xr:uid="{00000000-0005-0000-0000-000098100000}"/>
    <cellStyle name="Normal 2 2 2 2 57 2" xfId="4260" xr:uid="{00000000-0005-0000-0000-000099100000}"/>
    <cellStyle name="Normal 2 2 2 2 57 2 2" xfId="4261" xr:uid="{00000000-0005-0000-0000-00009A100000}"/>
    <cellStyle name="Normal 2 2 2 2 57 3" xfId="4262" xr:uid="{00000000-0005-0000-0000-00009B100000}"/>
    <cellStyle name="Normal 2 2 2 2 58" xfId="4263" xr:uid="{00000000-0005-0000-0000-00009C100000}"/>
    <cellStyle name="Normal 2 2 2 2 58 2" xfId="4264" xr:uid="{00000000-0005-0000-0000-00009D100000}"/>
    <cellStyle name="Normal 2 2 2 2 58 2 2" xfId="4265" xr:uid="{00000000-0005-0000-0000-00009E100000}"/>
    <cellStyle name="Normal 2 2 2 2 58 3" xfId="4266" xr:uid="{00000000-0005-0000-0000-00009F100000}"/>
    <cellStyle name="Normal 2 2 2 2 59" xfId="4267" xr:uid="{00000000-0005-0000-0000-0000A0100000}"/>
    <cellStyle name="Normal 2 2 2 2 59 2" xfId="4268" xr:uid="{00000000-0005-0000-0000-0000A1100000}"/>
    <cellStyle name="Normal 2 2 2 2 59 2 2" xfId="4269" xr:uid="{00000000-0005-0000-0000-0000A2100000}"/>
    <cellStyle name="Normal 2 2 2 2 59 3" xfId="4270" xr:uid="{00000000-0005-0000-0000-0000A3100000}"/>
    <cellStyle name="Normal 2 2 2 2 6" xfId="4271" xr:uid="{00000000-0005-0000-0000-0000A4100000}"/>
    <cellStyle name="Normal 2 2 2 2 6 2" xfId="4272" xr:uid="{00000000-0005-0000-0000-0000A5100000}"/>
    <cellStyle name="Normal 2 2 2 2 6 2 2" xfId="4273" xr:uid="{00000000-0005-0000-0000-0000A6100000}"/>
    <cellStyle name="Normal 2 2 2 2 6 3" xfId="4274" xr:uid="{00000000-0005-0000-0000-0000A7100000}"/>
    <cellStyle name="Normal 2 2 2 2 60" xfId="4275" xr:uid="{00000000-0005-0000-0000-0000A8100000}"/>
    <cellStyle name="Normal 2 2 2 2 60 2" xfId="4276" xr:uid="{00000000-0005-0000-0000-0000A9100000}"/>
    <cellStyle name="Normal 2 2 2 2 60 2 2" xfId="4277" xr:uid="{00000000-0005-0000-0000-0000AA100000}"/>
    <cellStyle name="Normal 2 2 2 2 60 3" xfId="4278" xr:uid="{00000000-0005-0000-0000-0000AB100000}"/>
    <cellStyle name="Normal 2 2 2 2 61" xfId="4279" xr:uid="{00000000-0005-0000-0000-0000AC100000}"/>
    <cellStyle name="Normal 2 2 2 2 61 2" xfId="4280" xr:uid="{00000000-0005-0000-0000-0000AD100000}"/>
    <cellStyle name="Normal 2 2 2 2 61 2 2" xfId="4281" xr:uid="{00000000-0005-0000-0000-0000AE100000}"/>
    <cellStyle name="Normal 2 2 2 2 61 3" xfId="4282" xr:uid="{00000000-0005-0000-0000-0000AF100000}"/>
    <cellStyle name="Normal 2 2 2 2 62" xfId="4283" xr:uid="{00000000-0005-0000-0000-0000B0100000}"/>
    <cellStyle name="Normal 2 2 2 2 62 2" xfId="4284" xr:uid="{00000000-0005-0000-0000-0000B1100000}"/>
    <cellStyle name="Normal 2 2 2 2 63" xfId="4285" xr:uid="{00000000-0005-0000-0000-0000B2100000}"/>
    <cellStyle name="Normal 2 2 2 2 63 2" xfId="4286" xr:uid="{00000000-0005-0000-0000-0000B3100000}"/>
    <cellStyle name="Normal 2 2 2 2 63 3" xfId="4287" xr:uid="{00000000-0005-0000-0000-0000B4100000}"/>
    <cellStyle name="Normal 2 2 2 2 64" xfId="4288" xr:uid="{00000000-0005-0000-0000-0000B5100000}"/>
    <cellStyle name="Normal 2 2 2 2 64 2" xfId="4289" xr:uid="{00000000-0005-0000-0000-0000B6100000}"/>
    <cellStyle name="Normal 2 2 2 2 65" xfId="4290" xr:uid="{00000000-0005-0000-0000-0000B7100000}"/>
    <cellStyle name="Normal 2 2 2 2 65 2" xfId="4291" xr:uid="{00000000-0005-0000-0000-0000B8100000}"/>
    <cellStyle name="Normal 2 2 2 2 66" xfId="4292" xr:uid="{00000000-0005-0000-0000-0000B9100000}"/>
    <cellStyle name="Normal 2 2 2 2 66 2" xfId="4293" xr:uid="{00000000-0005-0000-0000-0000BA100000}"/>
    <cellStyle name="Normal 2 2 2 2 67" xfId="4294" xr:uid="{00000000-0005-0000-0000-0000BB100000}"/>
    <cellStyle name="Normal 2 2 2 2 67 2" xfId="4295" xr:uid="{00000000-0005-0000-0000-0000BC100000}"/>
    <cellStyle name="Normal 2 2 2 2 68" xfId="4296" xr:uid="{00000000-0005-0000-0000-0000BD100000}"/>
    <cellStyle name="Normal 2 2 2 2 68 2" xfId="4297" xr:uid="{00000000-0005-0000-0000-0000BE100000}"/>
    <cellStyle name="Normal 2 2 2 2 69" xfId="4298" xr:uid="{00000000-0005-0000-0000-0000BF100000}"/>
    <cellStyle name="Normal 2 2 2 2 69 2" xfId="4299" xr:uid="{00000000-0005-0000-0000-0000C0100000}"/>
    <cellStyle name="Normal 2 2 2 2 7" xfId="4300" xr:uid="{00000000-0005-0000-0000-0000C1100000}"/>
    <cellStyle name="Normal 2 2 2 2 7 2" xfId="4301" xr:uid="{00000000-0005-0000-0000-0000C2100000}"/>
    <cellStyle name="Normal 2 2 2 2 7 2 2" xfId="4302" xr:uid="{00000000-0005-0000-0000-0000C3100000}"/>
    <cellStyle name="Normal 2 2 2 2 7 3" xfId="4303" xr:uid="{00000000-0005-0000-0000-0000C4100000}"/>
    <cellStyle name="Normal 2 2 2 2 70" xfId="4304" xr:uid="{00000000-0005-0000-0000-0000C5100000}"/>
    <cellStyle name="Normal 2 2 2 2 70 2" xfId="4305" xr:uid="{00000000-0005-0000-0000-0000C6100000}"/>
    <cellStyle name="Normal 2 2 2 2 71" xfId="4306" xr:uid="{00000000-0005-0000-0000-0000C7100000}"/>
    <cellStyle name="Normal 2 2 2 2 71 2" xfId="4307" xr:uid="{00000000-0005-0000-0000-0000C8100000}"/>
    <cellStyle name="Normal 2 2 2 2 72" xfId="4308" xr:uid="{00000000-0005-0000-0000-0000C9100000}"/>
    <cellStyle name="Normal 2 2 2 2 72 2" xfId="4309" xr:uid="{00000000-0005-0000-0000-0000CA100000}"/>
    <cellStyle name="Normal 2 2 2 2 73" xfId="4310" xr:uid="{00000000-0005-0000-0000-0000CB100000}"/>
    <cellStyle name="Normal 2 2 2 2 73 2" xfId="4311" xr:uid="{00000000-0005-0000-0000-0000CC100000}"/>
    <cellStyle name="Normal 2 2 2 2 74" xfId="4312" xr:uid="{00000000-0005-0000-0000-0000CD100000}"/>
    <cellStyle name="Normal 2 2 2 2 74 2" xfId="4313" xr:uid="{00000000-0005-0000-0000-0000CE100000}"/>
    <cellStyle name="Normal 2 2 2 2 75" xfId="4314" xr:uid="{00000000-0005-0000-0000-0000CF100000}"/>
    <cellStyle name="Normal 2 2 2 2 75 2" xfId="4315" xr:uid="{00000000-0005-0000-0000-0000D0100000}"/>
    <cellStyle name="Normal 2 2 2 2 76" xfId="4316" xr:uid="{00000000-0005-0000-0000-0000D1100000}"/>
    <cellStyle name="Normal 2 2 2 2 76 2" xfId="4317" xr:uid="{00000000-0005-0000-0000-0000D2100000}"/>
    <cellStyle name="Normal 2 2 2 2 77" xfId="4318" xr:uid="{00000000-0005-0000-0000-0000D3100000}"/>
    <cellStyle name="Normal 2 2 2 2 77 2" xfId="4319" xr:uid="{00000000-0005-0000-0000-0000D4100000}"/>
    <cellStyle name="Normal 2 2 2 2 78" xfId="4320" xr:uid="{00000000-0005-0000-0000-0000D5100000}"/>
    <cellStyle name="Normal 2 2 2 2 78 2" xfId="4321" xr:uid="{00000000-0005-0000-0000-0000D6100000}"/>
    <cellStyle name="Normal 2 2 2 2 79" xfId="4322" xr:uid="{00000000-0005-0000-0000-0000D7100000}"/>
    <cellStyle name="Normal 2 2 2 2 79 2" xfId="4323" xr:uid="{00000000-0005-0000-0000-0000D8100000}"/>
    <cellStyle name="Normal 2 2 2 2 8" xfId="4324" xr:uid="{00000000-0005-0000-0000-0000D9100000}"/>
    <cellStyle name="Normal 2 2 2 2 8 2" xfId="4325" xr:uid="{00000000-0005-0000-0000-0000DA100000}"/>
    <cellStyle name="Normal 2 2 2 2 8 2 2" xfId="4326" xr:uid="{00000000-0005-0000-0000-0000DB100000}"/>
    <cellStyle name="Normal 2 2 2 2 8 3" xfId="4327" xr:uid="{00000000-0005-0000-0000-0000DC100000}"/>
    <cellStyle name="Normal 2 2 2 2 80" xfId="4328" xr:uid="{00000000-0005-0000-0000-0000DD100000}"/>
    <cellStyle name="Normal 2 2 2 2 80 2" xfId="4329" xr:uid="{00000000-0005-0000-0000-0000DE100000}"/>
    <cellStyle name="Normal 2 2 2 2 81" xfId="4330" xr:uid="{00000000-0005-0000-0000-0000DF100000}"/>
    <cellStyle name="Normal 2 2 2 2 81 2" xfId="4331" xr:uid="{00000000-0005-0000-0000-0000E0100000}"/>
    <cellStyle name="Normal 2 2 2 2 82" xfId="4332" xr:uid="{00000000-0005-0000-0000-0000E1100000}"/>
    <cellStyle name="Normal 2 2 2 2 82 2" xfId="4333" xr:uid="{00000000-0005-0000-0000-0000E2100000}"/>
    <cellStyle name="Normal 2 2 2 2 83" xfId="4334" xr:uid="{00000000-0005-0000-0000-0000E3100000}"/>
    <cellStyle name="Normal 2 2 2 2 83 2" xfId="4335" xr:uid="{00000000-0005-0000-0000-0000E4100000}"/>
    <cellStyle name="Normal 2 2 2 2 84" xfId="4336" xr:uid="{00000000-0005-0000-0000-0000E5100000}"/>
    <cellStyle name="Normal 2 2 2 2 84 2" xfId="4337" xr:uid="{00000000-0005-0000-0000-0000E6100000}"/>
    <cellStyle name="Normal 2 2 2 2 85" xfId="4338" xr:uid="{00000000-0005-0000-0000-0000E7100000}"/>
    <cellStyle name="Normal 2 2 2 2 85 2" xfId="4339" xr:uid="{00000000-0005-0000-0000-0000E8100000}"/>
    <cellStyle name="Normal 2 2 2 2 86" xfId="4340" xr:uid="{00000000-0005-0000-0000-0000E9100000}"/>
    <cellStyle name="Normal 2 2 2 2 86 2" xfId="4341" xr:uid="{00000000-0005-0000-0000-0000EA100000}"/>
    <cellStyle name="Normal 2 2 2 2 87" xfId="4342" xr:uid="{00000000-0005-0000-0000-0000EB100000}"/>
    <cellStyle name="Normal 2 2 2 2 87 2" xfId="4343" xr:uid="{00000000-0005-0000-0000-0000EC100000}"/>
    <cellStyle name="Normal 2 2 2 2 88" xfId="4344" xr:uid="{00000000-0005-0000-0000-0000ED100000}"/>
    <cellStyle name="Normal 2 2 2 2 88 2" xfId="4345" xr:uid="{00000000-0005-0000-0000-0000EE100000}"/>
    <cellStyle name="Normal 2 2 2 2 89" xfId="4346" xr:uid="{00000000-0005-0000-0000-0000EF100000}"/>
    <cellStyle name="Normal 2 2 2 2 89 2" xfId="4347" xr:uid="{00000000-0005-0000-0000-0000F0100000}"/>
    <cellStyle name="Normal 2 2 2 2 9" xfId="4348" xr:uid="{00000000-0005-0000-0000-0000F1100000}"/>
    <cellStyle name="Normal 2 2 2 2 9 2" xfId="4349" xr:uid="{00000000-0005-0000-0000-0000F2100000}"/>
    <cellStyle name="Normal 2 2 2 2 9 2 2" xfId="4350" xr:uid="{00000000-0005-0000-0000-0000F3100000}"/>
    <cellStyle name="Normal 2 2 2 2 9 3" xfId="4351" xr:uid="{00000000-0005-0000-0000-0000F4100000}"/>
    <cellStyle name="Normal 2 2 2 2 90" xfId="4352" xr:uid="{00000000-0005-0000-0000-0000F5100000}"/>
    <cellStyle name="Normal 2 2 2 2 90 2" xfId="4353" xr:uid="{00000000-0005-0000-0000-0000F6100000}"/>
    <cellStyle name="Normal 2 2 2 2 91" xfId="4354" xr:uid="{00000000-0005-0000-0000-0000F7100000}"/>
    <cellStyle name="Normal 2 2 2 2 91 2" xfId="4355" xr:uid="{00000000-0005-0000-0000-0000F8100000}"/>
    <cellStyle name="Normal 2 2 2 2 92" xfId="4356" xr:uid="{00000000-0005-0000-0000-0000F9100000}"/>
    <cellStyle name="Normal 2 2 2 2 92 2" xfId="4357" xr:uid="{00000000-0005-0000-0000-0000FA100000}"/>
    <cellStyle name="Normal 2 2 2 2 92 3" xfId="4358" xr:uid="{00000000-0005-0000-0000-0000FB100000}"/>
    <cellStyle name="Normal 2 2 2 2 93" xfId="4359" xr:uid="{00000000-0005-0000-0000-0000FC100000}"/>
    <cellStyle name="Normal 2 2 2 2 93 2" xfId="4360" xr:uid="{00000000-0005-0000-0000-0000FD100000}"/>
    <cellStyle name="Normal 2 2 2 2 94" xfId="4361" xr:uid="{00000000-0005-0000-0000-0000FE100000}"/>
    <cellStyle name="Normal 2 2 2 2 94 2" xfId="4362" xr:uid="{00000000-0005-0000-0000-0000FF100000}"/>
    <cellStyle name="Normal 2 2 2 2 95" xfId="4363" xr:uid="{00000000-0005-0000-0000-000000110000}"/>
    <cellStyle name="Normal 2 2 2 2 95 2" xfId="4364" xr:uid="{00000000-0005-0000-0000-000001110000}"/>
    <cellStyle name="Normal 2 2 2 2 96" xfId="4365" xr:uid="{00000000-0005-0000-0000-000002110000}"/>
    <cellStyle name="Normal 2 2 2 2 96 2" xfId="4366" xr:uid="{00000000-0005-0000-0000-000003110000}"/>
    <cellStyle name="Normal 2 2 2 2 97" xfId="4367" xr:uid="{00000000-0005-0000-0000-000004110000}"/>
    <cellStyle name="Normal 2 2 2 2 97 2" xfId="4368" xr:uid="{00000000-0005-0000-0000-000005110000}"/>
    <cellStyle name="Normal 2 2 2 2 98" xfId="4369" xr:uid="{00000000-0005-0000-0000-000006110000}"/>
    <cellStyle name="Normal 2 2 2 2 98 2" xfId="4370" xr:uid="{00000000-0005-0000-0000-000007110000}"/>
    <cellStyle name="Normal 2 2 2 2 99" xfId="4371" xr:uid="{00000000-0005-0000-0000-000008110000}"/>
    <cellStyle name="Normal 2 2 2 2 99 2" xfId="4372" xr:uid="{00000000-0005-0000-0000-000009110000}"/>
    <cellStyle name="Normal 2 2 2 20" xfId="4373" xr:uid="{00000000-0005-0000-0000-00000A110000}"/>
    <cellStyle name="Normal 2 2 2 20 2" xfId="4374" xr:uid="{00000000-0005-0000-0000-00000B110000}"/>
    <cellStyle name="Normal 2 2 2 21" xfId="4375" xr:uid="{00000000-0005-0000-0000-00000C110000}"/>
    <cellStyle name="Normal 2 2 2 21 2" xfId="4376" xr:uid="{00000000-0005-0000-0000-00000D110000}"/>
    <cellStyle name="Normal 2 2 2 22" xfId="4377" xr:uid="{00000000-0005-0000-0000-00000E110000}"/>
    <cellStyle name="Normal 2 2 2 22 2" xfId="4378" xr:uid="{00000000-0005-0000-0000-00000F110000}"/>
    <cellStyle name="Normal 2 2 2 23" xfId="4379" xr:uid="{00000000-0005-0000-0000-000010110000}"/>
    <cellStyle name="Normal 2 2 2 23 2" xfId="4380" xr:uid="{00000000-0005-0000-0000-000011110000}"/>
    <cellStyle name="Normal 2 2 2 24" xfId="4381" xr:uid="{00000000-0005-0000-0000-000012110000}"/>
    <cellStyle name="Normal 2 2 2 24 2" xfId="4382" xr:uid="{00000000-0005-0000-0000-000013110000}"/>
    <cellStyle name="Normal 2 2 2 25" xfId="4383" xr:uid="{00000000-0005-0000-0000-000014110000}"/>
    <cellStyle name="Normal 2 2 2 25 2" xfId="4384" xr:uid="{00000000-0005-0000-0000-000015110000}"/>
    <cellStyle name="Normal 2 2 2 26" xfId="4385" xr:uid="{00000000-0005-0000-0000-000016110000}"/>
    <cellStyle name="Normal 2 2 2 26 2" xfId="4386" xr:uid="{00000000-0005-0000-0000-000017110000}"/>
    <cellStyle name="Normal 2 2 2 27" xfId="4387" xr:uid="{00000000-0005-0000-0000-000018110000}"/>
    <cellStyle name="Normal 2 2 2 27 2" xfId="4388" xr:uid="{00000000-0005-0000-0000-000019110000}"/>
    <cellStyle name="Normal 2 2 2 28" xfId="4389" xr:uid="{00000000-0005-0000-0000-00001A110000}"/>
    <cellStyle name="Normal 2 2 2 28 2" xfId="4390" xr:uid="{00000000-0005-0000-0000-00001B110000}"/>
    <cellStyle name="Normal 2 2 2 29" xfId="4391" xr:uid="{00000000-0005-0000-0000-00001C110000}"/>
    <cellStyle name="Normal 2 2 2 29 2" xfId="4392" xr:uid="{00000000-0005-0000-0000-00001D110000}"/>
    <cellStyle name="Normal 2 2 2 3" xfId="4393" xr:uid="{00000000-0005-0000-0000-00001E110000}"/>
    <cellStyle name="Normal 2 2 2 3 2" xfId="4394" xr:uid="{00000000-0005-0000-0000-00001F110000}"/>
    <cellStyle name="Normal 2 2 2 3 2 2" xfId="4395" xr:uid="{00000000-0005-0000-0000-000020110000}"/>
    <cellStyle name="Normal 2 2 2 3 2 3" xfId="4396" xr:uid="{00000000-0005-0000-0000-000021110000}"/>
    <cellStyle name="Normal 2 2 2 3 3" xfId="4397" xr:uid="{00000000-0005-0000-0000-000022110000}"/>
    <cellStyle name="Normal 2 2 2 3 3 2" xfId="4398" xr:uid="{00000000-0005-0000-0000-000023110000}"/>
    <cellStyle name="Normal 2 2 2 3 4" xfId="4399" xr:uid="{00000000-0005-0000-0000-000024110000}"/>
    <cellStyle name="Normal 2 2 2 3 5" xfId="4400" xr:uid="{00000000-0005-0000-0000-000025110000}"/>
    <cellStyle name="Normal 2 2 2 3 6" xfId="4401" xr:uid="{00000000-0005-0000-0000-000026110000}"/>
    <cellStyle name="Normal 2 2 2 3 7" xfId="4402" xr:uid="{00000000-0005-0000-0000-000027110000}"/>
    <cellStyle name="Normal 2 2 2 30" xfId="4403" xr:uid="{00000000-0005-0000-0000-000028110000}"/>
    <cellStyle name="Normal 2 2 2 30 2" xfId="4404" xr:uid="{00000000-0005-0000-0000-000029110000}"/>
    <cellStyle name="Normal 2 2 2 31" xfId="4405" xr:uid="{00000000-0005-0000-0000-00002A110000}"/>
    <cellStyle name="Normal 2 2 2 31 2" xfId="4406" xr:uid="{00000000-0005-0000-0000-00002B110000}"/>
    <cellStyle name="Normal 2 2 2 32" xfId="4407" xr:uid="{00000000-0005-0000-0000-00002C110000}"/>
    <cellStyle name="Normal 2 2 2 32 2" xfId="4408" xr:uid="{00000000-0005-0000-0000-00002D110000}"/>
    <cellStyle name="Normal 2 2 2 33" xfId="4409" xr:uid="{00000000-0005-0000-0000-00002E110000}"/>
    <cellStyle name="Normal 2 2 2 33 2" xfId="4410" xr:uid="{00000000-0005-0000-0000-00002F110000}"/>
    <cellStyle name="Normal 2 2 2 34" xfId="4411" xr:uid="{00000000-0005-0000-0000-000030110000}"/>
    <cellStyle name="Normal 2 2 2 34 2" xfId="4412" xr:uid="{00000000-0005-0000-0000-000031110000}"/>
    <cellStyle name="Normal 2 2 2 35" xfId="4413" xr:uid="{00000000-0005-0000-0000-000032110000}"/>
    <cellStyle name="Normal 2 2 2 35 2" xfId="4414" xr:uid="{00000000-0005-0000-0000-000033110000}"/>
    <cellStyle name="Normal 2 2 2 36" xfId="4415" xr:uid="{00000000-0005-0000-0000-000034110000}"/>
    <cellStyle name="Normal 2 2 2 36 2" xfId="4416" xr:uid="{00000000-0005-0000-0000-000035110000}"/>
    <cellStyle name="Normal 2 2 2 37" xfId="4417" xr:uid="{00000000-0005-0000-0000-000036110000}"/>
    <cellStyle name="Normal 2 2 2 37 2" xfId="4418" xr:uid="{00000000-0005-0000-0000-000037110000}"/>
    <cellStyle name="Normal 2 2 2 38" xfId="4419" xr:uid="{00000000-0005-0000-0000-000038110000}"/>
    <cellStyle name="Normal 2 2 2 38 2" xfId="4420" xr:uid="{00000000-0005-0000-0000-000039110000}"/>
    <cellStyle name="Normal 2 2 2 39" xfId="4421" xr:uid="{00000000-0005-0000-0000-00003A110000}"/>
    <cellStyle name="Normal 2 2 2 39 2" xfId="4422" xr:uid="{00000000-0005-0000-0000-00003B110000}"/>
    <cellStyle name="Normal 2 2 2 4" xfId="4423" xr:uid="{00000000-0005-0000-0000-00003C110000}"/>
    <cellStyle name="Normal 2 2 2 4 2" xfId="4424" xr:uid="{00000000-0005-0000-0000-00003D110000}"/>
    <cellStyle name="Normal 2 2 2 4 2 2" xfId="4425" xr:uid="{00000000-0005-0000-0000-00003E110000}"/>
    <cellStyle name="Normal 2 2 2 4 2 3" xfId="4426" xr:uid="{00000000-0005-0000-0000-00003F110000}"/>
    <cellStyle name="Normal 2 2 2 4 3" xfId="4427" xr:uid="{00000000-0005-0000-0000-000040110000}"/>
    <cellStyle name="Normal 2 2 2 4 3 2" xfId="4428" xr:uid="{00000000-0005-0000-0000-000041110000}"/>
    <cellStyle name="Normal 2 2 2 4 4" xfId="4429" xr:uid="{00000000-0005-0000-0000-000042110000}"/>
    <cellStyle name="Normal 2 2 2 4 5" xfId="4430" xr:uid="{00000000-0005-0000-0000-000043110000}"/>
    <cellStyle name="Normal 2 2 2 4 6" xfId="4431" xr:uid="{00000000-0005-0000-0000-000044110000}"/>
    <cellStyle name="Normal 2 2 2 4 7" xfId="4432" xr:uid="{00000000-0005-0000-0000-000045110000}"/>
    <cellStyle name="Normal 2 2 2 40" xfId="4433" xr:uid="{00000000-0005-0000-0000-000046110000}"/>
    <cellStyle name="Normal 2 2 2 40 2" xfId="4434" xr:uid="{00000000-0005-0000-0000-000047110000}"/>
    <cellStyle name="Normal 2 2 2 41" xfId="4435" xr:uid="{00000000-0005-0000-0000-000048110000}"/>
    <cellStyle name="Normal 2 2 2 41 2" xfId="4436" xr:uid="{00000000-0005-0000-0000-000049110000}"/>
    <cellStyle name="Normal 2 2 2 42" xfId="4437" xr:uid="{00000000-0005-0000-0000-00004A110000}"/>
    <cellStyle name="Normal 2 2 2 42 2" xfId="4438" xr:uid="{00000000-0005-0000-0000-00004B110000}"/>
    <cellStyle name="Normal 2 2 2 43" xfId="4439" xr:uid="{00000000-0005-0000-0000-00004C110000}"/>
    <cellStyle name="Normal 2 2 2 43 2" xfId="4440" xr:uid="{00000000-0005-0000-0000-00004D110000}"/>
    <cellStyle name="Normal 2 2 2 44" xfId="4441" xr:uid="{00000000-0005-0000-0000-00004E110000}"/>
    <cellStyle name="Normal 2 2 2 44 2" xfId="4442" xr:uid="{00000000-0005-0000-0000-00004F110000}"/>
    <cellStyle name="Normal 2 2 2 45" xfId="4443" xr:uid="{00000000-0005-0000-0000-000050110000}"/>
    <cellStyle name="Normal 2 2 2 45 2" xfId="4444" xr:uid="{00000000-0005-0000-0000-000051110000}"/>
    <cellStyle name="Normal 2 2 2 46" xfId="4445" xr:uid="{00000000-0005-0000-0000-000052110000}"/>
    <cellStyle name="Normal 2 2 2 46 2" xfId="4446" xr:uid="{00000000-0005-0000-0000-000053110000}"/>
    <cellStyle name="Normal 2 2 2 47" xfId="4447" xr:uid="{00000000-0005-0000-0000-000054110000}"/>
    <cellStyle name="Normal 2 2 2 47 2" xfId="4448" xr:uid="{00000000-0005-0000-0000-000055110000}"/>
    <cellStyle name="Normal 2 2 2 48" xfId="4449" xr:uid="{00000000-0005-0000-0000-000056110000}"/>
    <cellStyle name="Normal 2 2 2 48 2" xfId="4450" xr:uid="{00000000-0005-0000-0000-000057110000}"/>
    <cellStyle name="Normal 2 2 2 49" xfId="4451" xr:uid="{00000000-0005-0000-0000-000058110000}"/>
    <cellStyle name="Normal 2 2 2 49 2" xfId="4452" xr:uid="{00000000-0005-0000-0000-000059110000}"/>
    <cellStyle name="Normal 2 2 2 5" xfId="4453" xr:uid="{00000000-0005-0000-0000-00005A110000}"/>
    <cellStyle name="Normal 2 2 2 5 10" xfId="4454" xr:uid="{00000000-0005-0000-0000-00005B110000}"/>
    <cellStyle name="Normal 2 2 2 5 10 2" xfId="4455" xr:uid="{00000000-0005-0000-0000-00005C110000}"/>
    <cellStyle name="Normal 2 2 2 5 11" xfId="4456" xr:uid="{00000000-0005-0000-0000-00005D110000}"/>
    <cellStyle name="Normal 2 2 2 5 11 2" xfId="4457" xr:uid="{00000000-0005-0000-0000-00005E110000}"/>
    <cellStyle name="Normal 2 2 2 5 12" xfId="4458" xr:uid="{00000000-0005-0000-0000-00005F110000}"/>
    <cellStyle name="Normal 2 2 2 5 12 2" xfId="4459" xr:uid="{00000000-0005-0000-0000-000060110000}"/>
    <cellStyle name="Normal 2 2 2 5 13" xfId="4460" xr:uid="{00000000-0005-0000-0000-000061110000}"/>
    <cellStyle name="Normal 2 2 2 5 13 2" xfId="4461" xr:uid="{00000000-0005-0000-0000-000062110000}"/>
    <cellStyle name="Normal 2 2 2 5 14" xfId="4462" xr:uid="{00000000-0005-0000-0000-000063110000}"/>
    <cellStyle name="Normal 2 2 2 5 14 2" xfId="4463" xr:uid="{00000000-0005-0000-0000-000064110000}"/>
    <cellStyle name="Normal 2 2 2 5 15" xfId="4464" xr:uid="{00000000-0005-0000-0000-000065110000}"/>
    <cellStyle name="Normal 2 2 2 5 15 2" xfId="4465" xr:uid="{00000000-0005-0000-0000-000066110000}"/>
    <cellStyle name="Normal 2 2 2 5 16" xfId="4466" xr:uid="{00000000-0005-0000-0000-000067110000}"/>
    <cellStyle name="Normal 2 2 2 5 16 2" xfId="4467" xr:uid="{00000000-0005-0000-0000-000068110000}"/>
    <cellStyle name="Normal 2 2 2 5 17" xfId="4468" xr:uid="{00000000-0005-0000-0000-000069110000}"/>
    <cellStyle name="Normal 2 2 2 5 17 2" xfId="4469" xr:uid="{00000000-0005-0000-0000-00006A110000}"/>
    <cellStyle name="Normal 2 2 2 5 18" xfId="4470" xr:uid="{00000000-0005-0000-0000-00006B110000}"/>
    <cellStyle name="Normal 2 2 2 5 18 2" xfId="4471" xr:uid="{00000000-0005-0000-0000-00006C110000}"/>
    <cellStyle name="Normal 2 2 2 5 19" xfId="4472" xr:uid="{00000000-0005-0000-0000-00006D110000}"/>
    <cellStyle name="Normal 2 2 2 5 19 2" xfId="4473" xr:uid="{00000000-0005-0000-0000-00006E110000}"/>
    <cellStyle name="Normal 2 2 2 5 2" xfId="4474" xr:uid="{00000000-0005-0000-0000-00006F110000}"/>
    <cellStyle name="Normal 2 2 2 5 2 2" xfId="4475" xr:uid="{00000000-0005-0000-0000-000070110000}"/>
    <cellStyle name="Normal 2 2 2 5 2 2 2" xfId="4476" xr:uid="{00000000-0005-0000-0000-000071110000}"/>
    <cellStyle name="Normal 2 2 2 5 2 2 2 2" xfId="4477" xr:uid="{00000000-0005-0000-0000-000072110000}"/>
    <cellStyle name="Normal 2 2 2 5 2 2 3" xfId="4478" xr:uid="{00000000-0005-0000-0000-000073110000}"/>
    <cellStyle name="Normal 2 2 2 5 2 3" xfId="4479" xr:uid="{00000000-0005-0000-0000-000074110000}"/>
    <cellStyle name="Normal 2 2 2 5 2 3 2" xfId="4480" xr:uid="{00000000-0005-0000-0000-000075110000}"/>
    <cellStyle name="Normal 2 2 2 5 2 3 2 2" xfId="4481" xr:uid="{00000000-0005-0000-0000-000076110000}"/>
    <cellStyle name="Normal 2 2 2 5 2 3 3" xfId="4482" xr:uid="{00000000-0005-0000-0000-000077110000}"/>
    <cellStyle name="Normal 2 2 2 5 2 4" xfId="4483" xr:uid="{00000000-0005-0000-0000-000078110000}"/>
    <cellStyle name="Normal 2 2 2 5 2 4 2" xfId="4484" xr:uid="{00000000-0005-0000-0000-000079110000}"/>
    <cellStyle name="Normal 2 2 2 5 2 4 2 2" xfId="4485" xr:uid="{00000000-0005-0000-0000-00007A110000}"/>
    <cellStyle name="Normal 2 2 2 5 2 4 3" xfId="4486" xr:uid="{00000000-0005-0000-0000-00007B110000}"/>
    <cellStyle name="Normal 2 2 2 5 2 5" xfId="4487" xr:uid="{00000000-0005-0000-0000-00007C110000}"/>
    <cellStyle name="Normal 2 2 2 5 2 5 2" xfId="4488" xr:uid="{00000000-0005-0000-0000-00007D110000}"/>
    <cellStyle name="Normal 2 2 2 5 2 5 2 2" xfId="4489" xr:uid="{00000000-0005-0000-0000-00007E110000}"/>
    <cellStyle name="Normal 2 2 2 5 2 5 3" xfId="4490" xr:uid="{00000000-0005-0000-0000-00007F110000}"/>
    <cellStyle name="Normal 2 2 2 5 2 6" xfId="4491" xr:uid="{00000000-0005-0000-0000-000080110000}"/>
    <cellStyle name="Normal 2 2 2 5 2 6 2" xfId="4492" xr:uid="{00000000-0005-0000-0000-000081110000}"/>
    <cellStyle name="Normal 2 2 2 5 2 6 3" xfId="4493" xr:uid="{00000000-0005-0000-0000-000082110000}"/>
    <cellStyle name="Normal 2 2 2 5 2 7" xfId="4494" xr:uid="{00000000-0005-0000-0000-000083110000}"/>
    <cellStyle name="Normal 2 2 2 5 2 7 2" xfId="4495" xr:uid="{00000000-0005-0000-0000-000084110000}"/>
    <cellStyle name="Normal 2 2 2 5 2 8" xfId="4496" xr:uid="{00000000-0005-0000-0000-000085110000}"/>
    <cellStyle name="Normal 2 2 2 5 2 9" xfId="4497" xr:uid="{00000000-0005-0000-0000-000086110000}"/>
    <cellStyle name="Normal 2 2 2 5 20" xfId="4498" xr:uid="{00000000-0005-0000-0000-000087110000}"/>
    <cellStyle name="Normal 2 2 2 5 20 2" xfId="4499" xr:uid="{00000000-0005-0000-0000-000088110000}"/>
    <cellStyle name="Normal 2 2 2 5 21" xfId="4500" xr:uid="{00000000-0005-0000-0000-000089110000}"/>
    <cellStyle name="Normal 2 2 2 5 21 2" xfId="4501" xr:uid="{00000000-0005-0000-0000-00008A110000}"/>
    <cellStyle name="Normal 2 2 2 5 22" xfId="4502" xr:uid="{00000000-0005-0000-0000-00008B110000}"/>
    <cellStyle name="Normal 2 2 2 5 22 2" xfId="4503" xr:uid="{00000000-0005-0000-0000-00008C110000}"/>
    <cellStyle name="Normal 2 2 2 5 23" xfId="4504" xr:uid="{00000000-0005-0000-0000-00008D110000}"/>
    <cellStyle name="Normal 2 2 2 5 23 2" xfId="4505" xr:uid="{00000000-0005-0000-0000-00008E110000}"/>
    <cellStyle name="Normal 2 2 2 5 24" xfId="4506" xr:uid="{00000000-0005-0000-0000-00008F110000}"/>
    <cellStyle name="Normal 2 2 2 5 24 2" xfId="4507" xr:uid="{00000000-0005-0000-0000-000090110000}"/>
    <cellStyle name="Normal 2 2 2 5 25" xfId="4508" xr:uid="{00000000-0005-0000-0000-000091110000}"/>
    <cellStyle name="Normal 2 2 2 5 25 2" xfId="4509" xr:uid="{00000000-0005-0000-0000-000092110000}"/>
    <cellStyle name="Normal 2 2 2 5 26" xfId="4510" xr:uid="{00000000-0005-0000-0000-000093110000}"/>
    <cellStyle name="Normal 2 2 2 5 26 2" xfId="4511" xr:uid="{00000000-0005-0000-0000-000094110000}"/>
    <cellStyle name="Normal 2 2 2 5 27" xfId="4512" xr:uid="{00000000-0005-0000-0000-000095110000}"/>
    <cellStyle name="Normal 2 2 2 5 27 2" xfId="4513" xr:uid="{00000000-0005-0000-0000-000096110000}"/>
    <cellStyle name="Normal 2 2 2 5 28" xfId="4514" xr:uid="{00000000-0005-0000-0000-000097110000}"/>
    <cellStyle name="Normal 2 2 2 5 28 2" xfId="4515" xr:uid="{00000000-0005-0000-0000-000098110000}"/>
    <cellStyle name="Normal 2 2 2 5 29" xfId="4516" xr:uid="{00000000-0005-0000-0000-000099110000}"/>
    <cellStyle name="Normal 2 2 2 5 29 2" xfId="4517" xr:uid="{00000000-0005-0000-0000-00009A110000}"/>
    <cellStyle name="Normal 2 2 2 5 3" xfId="4518" xr:uid="{00000000-0005-0000-0000-00009B110000}"/>
    <cellStyle name="Normal 2 2 2 5 3 2" xfId="4519" xr:uid="{00000000-0005-0000-0000-00009C110000}"/>
    <cellStyle name="Normal 2 2 2 5 30" xfId="4520" xr:uid="{00000000-0005-0000-0000-00009D110000}"/>
    <cellStyle name="Normal 2 2 2 5 30 2" xfId="4521" xr:uid="{00000000-0005-0000-0000-00009E110000}"/>
    <cellStyle name="Normal 2 2 2 5 31" xfId="4522" xr:uid="{00000000-0005-0000-0000-00009F110000}"/>
    <cellStyle name="Normal 2 2 2 5 31 2" xfId="4523" xr:uid="{00000000-0005-0000-0000-0000A0110000}"/>
    <cellStyle name="Normal 2 2 2 5 32" xfId="4524" xr:uid="{00000000-0005-0000-0000-0000A1110000}"/>
    <cellStyle name="Normal 2 2 2 5 32 2" xfId="4525" xr:uid="{00000000-0005-0000-0000-0000A2110000}"/>
    <cellStyle name="Normal 2 2 2 5 33" xfId="4526" xr:uid="{00000000-0005-0000-0000-0000A3110000}"/>
    <cellStyle name="Normal 2 2 2 5 33 2" xfId="4527" xr:uid="{00000000-0005-0000-0000-0000A4110000}"/>
    <cellStyle name="Normal 2 2 2 5 34" xfId="4528" xr:uid="{00000000-0005-0000-0000-0000A5110000}"/>
    <cellStyle name="Normal 2 2 2 5 34 2" xfId="4529" xr:uid="{00000000-0005-0000-0000-0000A6110000}"/>
    <cellStyle name="Normal 2 2 2 5 35" xfId="4530" xr:uid="{00000000-0005-0000-0000-0000A7110000}"/>
    <cellStyle name="Normal 2 2 2 5 35 2" xfId="4531" xr:uid="{00000000-0005-0000-0000-0000A8110000}"/>
    <cellStyle name="Normal 2 2 2 5 36" xfId="4532" xr:uid="{00000000-0005-0000-0000-0000A9110000}"/>
    <cellStyle name="Normal 2 2 2 5 36 2" xfId="4533" xr:uid="{00000000-0005-0000-0000-0000AA110000}"/>
    <cellStyle name="Normal 2 2 2 5 37" xfId="4534" xr:uid="{00000000-0005-0000-0000-0000AB110000}"/>
    <cellStyle name="Normal 2 2 2 5 37 2" xfId="4535" xr:uid="{00000000-0005-0000-0000-0000AC110000}"/>
    <cellStyle name="Normal 2 2 2 5 38" xfId="4536" xr:uid="{00000000-0005-0000-0000-0000AD110000}"/>
    <cellStyle name="Normal 2 2 2 5 38 2" xfId="4537" xr:uid="{00000000-0005-0000-0000-0000AE110000}"/>
    <cellStyle name="Normal 2 2 2 5 39" xfId="4538" xr:uid="{00000000-0005-0000-0000-0000AF110000}"/>
    <cellStyle name="Normal 2 2 2 5 39 2" xfId="4539" xr:uid="{00000000-0005-0000-0000-0000B0110000}"/>
    <cellStyle name="Normal 2 2 2 5 4" xfId="4540" xr:uid="{00000000-0005-0000-0000-0000B1110000}"/>
    <cellStyle name="Normal 2 2 2 5 4 2" xfId="4541" xr:uid="{00000000-0005-0000-0000-0000B2110000}"/>
    <cellStyle name="Normal 2 2 2 5 40" xfId="4542" xr:uid="{00000000-0005-0000-0000-0000B3110000}"/>
    <cellStyle name="Normal 2 2 2 5 40 2" xfId="4543" xr:uid="{00000000-0005-0000-0000-0000B4110000}"/>
    <cellStyle name="Normal 2 2 2 5 41" xfId="4544" xr:uid="{00000000-0005-0000-0000-0000B5110000}"/>
    <cellStyle name="Normal 2 2 2 5 41 2" xfId="4545" xr:uid="{00000000-0005-0000-0000-0000B6110000}"/>
    <cellStyle name="Normal 2 2 2 5 42" xfId="4546" xr:uid="{00000000-0005-0000-0000-0000B7110000}"/>
    <cellStyle name="Normal 2 2 2 5 43" xfId="4547" xr:uid="{00000000-0005-0000-0000-0000B8110000}"/>
    <cellStyle name="Normal 2 2 2 5 44" xfId="4548" xr:uid="{00000000-0005-0000-0000-0000B9110000}"/>
    <cellStyle name="Normal 2 2 2 5 45" xfId="4549" xr:uid="{00000000-0005-0000-0000-0000BA110000}"/>
    <cellStyle name="Normal 2 2 2 5 5" xfId="4550" xr:uid="{00000000-0005-0000-0000-0000BB110000}"/>
    <cellStyle name="Normal 2 2 2 5 5 2" xfId="4551" xr:uid="{00000000-0005-0000-0000-0000BC110000}"/>
    <cellStyle name="Normal 2 2 2 5 6" xfId="4552" xr:uid="{00000000-0005-0000-0000-0000BD110000}"/>
    <cellStyle name="Normal 2 2 2 5 6 2" xfId="4553" xr:uid="{00000000-0005-0000-0000-0000BE110000}"/>
    <cellStyle name="Normal 2 2 2 5 6 3" xfId="4554" xr:uid="{00000000-0005-0000-0000-0000BF110000}"/>
    <cellStyle name="Normal 2 2 2 5 7" xfId="4555" xr:uid="{00000000-0005-0000-0000-0000C0110000}"/>
    <cellStyle name="Normal 2 2 2 5 7 2" xfId="4556" xr:uid="{00000000-0005-0000-0000-0000C1110000}"/>
    <cellStyle name="Normal 2 2 2 5 8" xfId="4557" xr:uid="{00000000-0005-0000-0000-0000C2110000}"/>
    <cellStyle name="Normal 2 2 2 5 8 2" xfId="4558" xr:uid="{00000000-0005-0000-0000-0000C3110000}"/>
    <cellStyle name="Normal 2 2 2 5 8 3" xfId="4559" xr:uid="{00000000-0005-0000-0000-0000C4110000}"/>
    <cellStyle name="Normal 2 2 2 5 9" xfId="4560" xr:uid="{00000000-0005-0000-0000-0000C5110000}"/>
    <cellStyle name="Normal 2 2 2 5 9 2" xfId="4561" xr:uid="{00000000-0005-0000-0000-0000C6110000}"/>
    <cellStyle name="Normal 2 2 2 50" xfId="4562" xr:uid="{00000000-0005-0000-0000-0000C7110000}"/>
    <cellStyle name="Normal 2 2 2 50 2" xfId="4563" xr:uid="{00000000-0005-0000-0000-0000C8110000}"/>
    <cellStyle name="Normal 2 2 2 51" xfId="4564" xr:uid="{00000000-0005-0000-0000-0000C9110000}"/>
    <cellStyle name="Normal 2 2 2 51 2" xfId="4565" xr:uid="{00000000-0005-0000-0000-0000CA110000}"/>
    <cellStyle name="Normal 2 2 2 52" xfId="4566" xr:uid="{00000000-0005-0000-0000-0000CB110000}"/>
    <cellStyle name="Normal 2 2 2 52 2" xfId="4567" xr:uid="{00000000-0005-0000-0000-0000CC110000}"/>
    <cellStyle name="Normal 2 2 2 53" xfId="4568" xr:uid="{00000000-0005-0000-0000-0000CD110000}"/>
    <cellStyle name="Normal 2 2 2 53 2" xfId="4569" xr:uid="{00000000-0005-0000-0000-0000CE110000}"/>
    <cellStyle name="Normal 2 2 2 54" xfId="4570" xr:uid="{00000000-0005-0000-0000-0000CF110000}"/>
    <cellStyle name="Normal 2 2 2 54 2" xfId="4571" xr:uid="{00000000-0005-0000-0000-0000D0110000}"/>
    <cellStyle name="Normal 2 2 2 55" xfId="4572" xr:uid="{00000000-0005-0000-0000-0000D1110000}"/>
    <cellStyle name="Normal 2 2 2 55 2" xfId="4573" xr:uid="{00000000-0005-0000-0000-0000D2110000}"/>
    <cellStyle name="Normal 2 2 2 56" xfId="4574" xr:uid="{00000000-0005-0000-0000-0000D3110000}"/>
    <cellStyle name="Normal 2 2 2 56 2" xfId="4575" xr:uid="{00000000-0005-0000-0000-0000D4110000}"/>
    <cellStyle name="Normal 2 2 2 57" xfId="4576" xr:uid="{00000000-0005-0000-0000-0000D5110000}"/>
    <cellStyle name="Normal 2 2 2 57 2" xfId="4577" xr:uid="{00000000-0005-0000-0000-0000D6110000}"/>
    <cellStyle name="Normal 2 2 2 58" xfId="4578" xr:uid="{00000000-0005-0000-0000-0000D7110000}"/>
    <cellStyle name="Normal 2 2 2 58 2" xfId="4579" xr:uid="{00000000-0005-0000-0000-0000D8110000}"/>
    <cellStyle name="Normal 2 2 2 59" xfId="4580" xr:uid="{00000000-0005-0000-0000-0000D9110000}"/>
    <cellStyle name="Normal 2 2 2 59 2" xfId="4581" xr:uid="{00000000-0005-0000-0000-0000DA110000}"/>
    <cellStyle name="Normal 2 2 2 6" xfId="4582" xr:uid="{00000000-0005-0000-0000-0000DB110000}"/>
    <cellStyle name="Normal 2 2 2 6 10" xfId="4583" xr:uid="{00000000-0005-0000-0000-0000DC110000}"/>
    <cellStyle name="Normal 2 2 2 6 10 2" xfId="4584" xr:uid="{00000000-0005-0000-0000-0000DD110000}"/>
    <cellStyle name="Normal 2 2 2 6 11" xfId="4585" xr:uid="{00000000-0005-0000-0000-0000DE110000}"/>
    <cellStyle name="Normal 2 2 2 6 11 2" xfId="4586" xr:uid="{00000000-0005-0000-0000-0000DF110000}"/>
    <cellStyle name="Normal 2 2 2 6 12" xfId="4587" xr:uid="{00000000-0005-0000-0000-0000E0110000}"/>
    <cellStyle name="Normal 2 2 2 6 12 2" xfId="4588" xr:uid="{00000000-0005-0000-0000-0000E1110000}"/>
    <cellStyle name="Normal 2 2 2 6 13" xfId="4589" xr:uid="{00000000-0005-0000-0000-0000E2110000}"/>
    <cellStyle name="Normal 2 2 2 6 13 2" xfId="4590" xr:uid="{00000000-0005-0000-0000-0000E3110000}"/>
    <cellStyle name="Normal 2 2 2 6 14" xfId="4591" xr:uid="{00000000-0005-0000-0000-0000E4110000}"/>
    <cellStyle name="Normal 2 2 2 6 14 2" xfId="4592" xr:uid="{00000000-0005-0000-0000-0000E5110000}"/>
    <cellStyle name="Normal 2 2 2 6 15" xfId="4593" xr:uid="{00000000-0005-0000-0000-0000E6110000}"/>
    <cellStyle name="Normal 2 2 2 6 15 2" xfId="4594" xr:uid="{00000000-0005-0000-0000-0000E7110000}"/>
    <cellStyle name="Normal 2 2 2 6 16" xfId="4595" xr:uid="{00000000-0005-0000-0000-0000E8110000}"/>
    <cellStyle name="Normal 2 2 2 6 16 2" xfId="4596" xr:uid="{00000000-0005-0000-0000-0000E9110000}"/>
    <cellStyle name="Normal 2 2 2 6 17" xfId="4597" xr:uid="{00000000-0005-0000-0000-0000EA110000}"/>
    <cellStyle name="Normal 2 2 2 6 17 2" xfId="4598" xr:uid="{00000000-0005-0000-0000-0000EB110000}"/>
    <cellStyle name="Normal 2 2 2 6 18" xfId="4599" xr:uid="{00000000-0005-0000-0000-0000EC110000}"/>
    <cellStyle name="Normal 2 2 2 6 18 2" xfId="4600" xr:uid="{00000000-0005-0000-0000-0000ED110000}"/>
    <cellStyle name="Normal 2 2 2 6 19" xfId="4601" xr:uid="{00000000-0005-0000-0000-0000EE110000}"/>
    <cellStyle name="Normal 2 2 2 6 19 2" xfId="4602" xr:uid="{00000000-0005-0000-0000-0000EF110000}"/>
    <cellStyle name="Normal 2 2 2 6 2" xfId="4603" xr:uid="{00000000-0005-0000-0000-0000F0110000}"/>
    <cellStyle name="Normal 2 2 2 6 2 2" xfId="4604" xr:uid="{00000000-0005-0000-0000-0000F1110000}"/>
    <cellStyle name="Normal 2 2 2 6 2 3" xfId="4605" xr:uid="{00000000-0005-0000-0000-0000F2110000}"/>
    <cellStyle name="Normal 2 2 2 6 20" xfId="4606" xr:uid="{00000000-0005-0000-0000-0000F3110000}"/>
    <cellStyle name="Normal 2 2 2 6 20 2" xfId="4607" xr:uid="{00000000-0005-0000-0000-0000F4110000}"/>
    <cellStyle name="Normal 2 2 2 6 21" xfId="4608" xr:uid="{00000000-0005-0000-0000-0000F5110000}"/>
    <cellStyle name="Normal 2 2 2 6 21 2" xfId="4609" xr:uid="{00000000-0005-0000-0000-0000F6110000}"/>
    <cellStyle name="Normal 2 2 2 6 22" xfId="4610" xr:uid="{00000000-0005-0000-0000-0000F7110000}"/>
    <cellStyle name="Normal 2 2 2 6 23" xfId="4611" xr:uid="{00000000-0005-0000-0000-0000F8110000}"/>
    <cellStyle name="Normal 2 2 2 6 24" xfId="4612" xr:uid="{00000000-0005-0000-0000-0000F9110000}"/>
    <cellStyle name="Normal 2 2 2 6 25" xfId="4613" xr:uid="{00000000-0005-0000-0000-0000FA110000}"/>
    <cellStyle name="Normal 2 2 2 6 3" xfId="4614" xr:uid="{00000000-0005-0000-0000-0000FB110000}"/>
    <cellStyle name="Normal 2 2 2 6 3 2" xfId="4615" xr:uid="{00000000-0005-0000-0000-0000FC110000}"/>
    <cellStyle name="Normal 2 2 2 6 4" xfId="4616" xr:uid="{00000000-0005-0000-0000-0000FD110000}"/>
    <cellStyle name="Normal 2 2 2 6 4 2" xfId="4617" xr:uid="{00000000-0005-0000-0000-0000FE110000}"/>
    <cellStyle name="Normal 2 2 2 6 4 3" xfId="4618" xr:uid="{00000000-0005-0000-0000-0000FF110000}"/>
    <cellStyle name="Normal 2 2 2 6 5" xfId="4619" xr:uid="{00000000-0005-0000-0000-000000120000}"/>
    <cellStyle name="Normal 2 2 2 6 5 2" xfId="4620" xr:uid="{00000000-0005-0000-0000-000001120000}"/>
    <cellStyle name="Normal 2 2 2 6 6" xfId="4621" xr:uid="{00000000-0005-0000-0000-000002120000}"/>
    <cellStyle name="Normal 2 2 2 6 6 2" xfId="4622" xr:uid="{00000000-0005-0000-0000-000003120000}"/>
    <cellStyle name="Normal 2 2 2 6 7" xfId="4623" xr:uid="{00000000-0005-0000-0000-000004120000}"/>
    <cellStyle name="Normal 2 2 2 6 7 2" xfId="4624" xr:uid="{00000000-0005-0000-0000-000005120000}"/>
    <cellStyle name="Normal 2 2 2 6 8" xfId="4625" xr:uid="{00000000-0005-0000-0000-000006120000}"/>
    <cellStyle name="Normal 2 2 2 6 8 2" xfId="4626" xr:uid="{00000000-0005-0000-0000-000007120000}"/>
    <cellStyle name="Normal 2 2 2 6 9" xfId="4627" xr:uid="{00000000-0005-0000-0000-000008120000}"/>
    <cellStyle name="Normal 2 2 2 6 9 2" xfId="4628" xr:uid="{00000000-0005-0000-0000-000009120000}"/>
    <cellStyle name="Normal 2 2 2 60" xfId="4629" xr:uid="{00000000-0005-0000-0000-00000A120000}"/>
    <cellStyle name="Normal 2 2 2 60 2" xfId="4630" xr:uid="{00000000-0005-0000-0000-00000B120000}"/>
    <cellStyle name="Normal 2 2 2 61" xfId="4631" xr:uid="{00000000-0005-0000-0000-00000C120000}"/>
    <cellStyle name="Normal 2 2 2 61 2" xfId="4632" xr:uid="{00000000-0005-0000-0000-00000D120000}"/>
    <cellStyle name="Normal 2 2 2 62" xfId="4633" xr:uid="{00000000-0005-0000-0000-00000E120000}"/>
    <cellStyle name="Normal 2 2 2 62 2" xfId="4634" xr:uid="{00000000-0005-0000-0000-00000F120000}"/>
    <cellStyle name="Normal 2 2 2 63" xfId="4635" xr:uid="{00000000-0005-0000-0000-000010120000}"/>
    <cellStyle name="Normal 2 2 2 63 2" xfId="4636" xr:uid="{00000000-0005-0000-0000-000011120000}"/>
    <cellStyle name="Normal 2 2 2 64" xfId="4637" xr:uid="{00000000-0005-0000-0000-000012120000}"/>
    <cellStyle name="Normal 2 2 2 65" xfId="4638" xr:uid="{00000000-0005-0000-0000-000013120000}"/>
    <cellStyle name="Normal 2 2 2 66" xfId="4639" xr:uid="{00000000-0005-0000-0000-000014120000}"/>
    <cellStyle name="Normal 2 2 2 67" xfId="4640" xr:uid="{00000000-0005-0000-0000-000015120000}"/>
    <cellStyle name="Normal 2 2 2 68" xfId="4641" xr:uid="{00000000-0005-0000-0000-000016120000}"/>
    <cellStyle name="Normal 2 2 2 69" xfId="4642" xr:uid="{00000000-0005-0000-0000-000017120000}"/>
    <cellStyle name="Normal 2 2 2 7" xfId="4643" xr:uid="{00000000-0005-0000-0000-000018120000}"/>
    <cellStyle name="Normal 2 2 2 7 2" xfId="4644" xr:uid="{00000000-0005-0000-0000-000019120000}"/>
    <cellStyle name="Normal 2 2 2 7 2 2" xfId="4645" xr:uid="{00000000-0005-0000-0000-00001A120000}"/>
    <cellStyle name="Normal 2 2 2 7 2 3" xfId="4646" xr:uid="{00000000-0005-0000-0000-00001B120000}"/>
    <cellStyle name="Normal 2 2 2 7 3" xfId="4647" xr:uid="{00000000-0005-0000-0000-00001C120000}"/>
    <cellStyle name="Normal 2 2 2 7 4" xfId="4648" xr:uid="{00000000-0005-0000-0000-00001D120000}"/>
    <cellStyle name="Normal 2 2 2 70" xfId="4649" xr:uid="{00000000-0005-0000-0000-00001E120000}"/>
    <cellStyle name="Normal 2 2 2 71" xfId="4650" xr:uid="{00000000-0005-0000-0000-00001F120000}"/>
    <cellStyle name="Normal 2 2 2 72" xfId="4651" xr:uid="{00000000-0005-0000-0000-000020120000}"/>
    <cellStyle name="Normal 2 2 2 73" xfId="4652" xr:uid="{00000000-0005-0000-0000-000021120000}"/>
    <cellStyle name="Normal 2 2 2 74" xfId="4653" xr:uid="{00000000-0005-0000-0000-000022120000}"/>
    <cellStyle name="Normal 2 2 2 75" xfId="4654" xr:uid="{00000000-0005-0000-0000-000023120000}"/>
    <cellStyle name="Normal 2 2 2 76" xfId="4655" xr:uid="{00000000-0005-0000-0000-000024120000}"/>
    <cellStyle name="Normal 2 2 2 77" xfId="4656" xr:uid="{00000000-0005-0000-0000-000025120000}"/>
    <cellStyle name="Normal 2 2 2 78" xfId="4657" xr:uid="{00000000-0005-0000-0000-000026120000}"/>
    <cellStyle name="Normal 2 2 2 79" xfId="4658" xr:uid="{00000000-0005-0000-0000-000027120000}"/>
    <cellStyle name="Normal 2 2 2 8" xfId="4659" xr:uid="{00000000-0005-0000-0000-000028120000}"/>
    <cellStyle name="Normal 2 2 2 8 2" xfId="4660" xr:uid="{00000000-0005-0000-0000-000029120000}"/>
    <cellStyle name="Normal 2 2 2 8 2 2" xfId="4661" xr:uid="{00000000-0005-0000-0000-00002A120000}"/>
    <cellStyle name="Normal 2 2 2 8 3" xfId="4662" xr:uid="{00000000-0005-0000-0000-00002B120000}"/>
    <cellStyle name="Normal 2 2 2 80" xfId="4663" xr:uid="{00000000-0005-0000-0000-00002C120000}"/>
    <cellStyle name="Normal 2 2 2 81" xfId="4664" xr:uid="{00000000-0005-0000-0000-00002D120000}"/>
    <cellStyle name="Normal 2 2 2 82" xfId="4665" xr:uid="{00000000-0005-0000-0000-00002E120000}"/>
    <cellStyle name="Normal 2 2 2 83" xfId="4666" xr:uid="{00000000-0005-0000-0000-00002F120000}"/>
    <cellStyle name="Normal 2 2 2 84" xfId="4667" xr:uid="{00000000-0005-0000-0000-000030120000}"/>
    <cellStyle name="Normal 2 2 2 85" xfId="4668" xr:uid="{00000000-0005-0000-0000-000031120000}"/>
    <cellStyle name="Normal 2 2 2 86" xfId="4669" xr:uid="{00000000-0005-0000-0000-000032120000}"/>
    <cellStyle name="Normal 2 2 2 87" xfId="4670" xr:uid="{00000000-0005-0000-0000-000033120000}"/>
    <cellStyle name="Normal 2 2 2 88" xfId="4671" xr:uid="{00000000-0005-0000-0000-000034120000}"/>
    <cellStyle name="Normal 2 2 2 89" xfId="4672" xr:uid="{00000000-0005-0000-0000-000035120000}"/>
    <cellStyle name="Normal 2 2 2 9" xfId="4673" xr:uid="{00000000-0005-0000-0000-000036120000}"/>
    <cellStyle name="Normal 2 2 2 9 2" xfId="4674" xr:uid="{00000000-0005-0000-0000-000037120000}"/>
    <cellStyle name="Normal 2 2 2 9 2 2" xfId="4675" xr:uid="{00000000-0005-0000-0000-000038120000}"/>
    <cellStyle name="Normal 2 2 2 9 3" xfId="4676" xr:uid="{00000000-0005-0000-0000-000039120000}"/>
    <cellStyle name="Normal 2 2 2 90" xfId="4677" xr:uid="{00000000-0005-0000-0000-00003A120000}"/>
    <cellStyle name="Normal 2 2 2 91" xfId="4678" xr:uid="{00000000-0005-0000-0000-00003B120000}"/>
    <cellStyle name="Normal 2 2 2 92" xfId="4679" xr:uid="{00000000-0005-0000-0000-00003C120000}"/>
    <cellStyle name="Normal 2 2 2 93" xfId="4680" xr:uid="{00000000-0005-0000-0000-00003D120000}"/>
    <cellStyle name="Normal 2 2 2 94" xfId="4681" xr:uid="{00000000-0005-0000-0000-00003E120000}"/>
    <cellStyle name="Normal 2 2 2 94 2" xfId="4682" xr:uid="{00000000-0005-0000-0000-00003F120000}"/>
    <cellStyle name="Normal 2 2 2 95" xfId="4683" xr:uid="{00000000-0005-0000-0000-000040120000}"/>
    <cellStyle name="Normal 2 2 2 96" xfId="4684" xr:uid="{00000000-0005-0000-0000-000041120000}"/>
    <cellStyle name="Normal 2 2 2 97" xfId="4685" xr:uid="{00000000-0005-0000-0000-000042120000}"/>
    <cellStyle name="Normal 2 2 2 98" xfId="4686" xr:uid="{00000000-0005-0000-0000-000043120000}"/>
    <cellStyle name="Normal 2 2 2 99" xfId="4687" xr:uid="{00000000-0005-0000-0000-000044120000}"/>
    <cellStyle name="Normal 2 2 20" xfId="4688" xr:uid="{00000000-0005-0000-0000-000045120000}"/>
    <cellStyle name="Normal 2 2 20 2" xfId="4689" xr:uid="{00000000-0005-0000-0000-000046120000}"/>
    <cellStyle name="Normal 2 2 20 2 2" xfId="4690" xr:uid="{00000000-0005-0000-0000-000047120000}"/>
    <cellStyle name="Normal 2 2 20 3" xfId="4691" xr:uid="{00000000-0005-0000-0000-000048120000}"/>
    <cellStyle name="Normal 2 2 21" xfId="4692" xr:uid="{00000000-0005-0000-0000-000049120000}"/>
    <cellStyle name="Normal 2 2 21 2" xfId="4693" xr:uid="{00000000-0005-0000-0000-00004A120000}"/>
    <cellStyle name="Normal 2 2 21 2 2" xfId="4694" xr:uid="{00000000-0005-0000-0000-00004B120000}"/>
    <cellStyle name="Normal 2 2 21 3" xfId="4695" xr:uid="{00000000-0005-0000-0000-00004C120000}"/>
    <cellStyle name="Normal 2 2 22" xfId="4696" xr:uid="{00000000-0005-0000-0000-00004D120000}"/>
    <cellStyle name="Normal 2 2 22 2" xfId="4697" xr:uid="{00000000-0005-0000-0000-00004E120000}"/>
    <cellStyle name="Normal 2 2 22 2 2" xfId="4698" xr:uid="{00000000-0005-0000-0000-00004F120000}"/>
    <cellStyle name="Normal 2 2 22 3" xfId="4699" xr:uid="{00000000-0005-0000-0000-000050120000}"/>
    <cellStyle name="Normal 2 2 23" xfId="4700" xr:uid="{00000000-0005-0000-0000-000051120000}"/>
    <cellStyle name="Normal 2 2 23 2" xfId="4701" xr:uid="{00000000-0005-0000-0000-000052120000}"/>
    <cellStyle name="Normal 2 2 23 2 2" xfId="4702" xr:uid="{00000000-0005-0000-0000-000053120000}"/>
    <cellStyle name="Normal 2 2 23 3" xfId="4703" xr:uid="{00000000-0005-0000-0000-000054120000}"/>
    <cellStyle name="Normal 2 2 24" xfId="4704" xr:uid="{00000000-0005-0000-0000-000055120000}"/>
    <cellStyle name="Normal 2 2 24 2" xfId="4705" xr:uid="{00000000-0005-0000-0000-000056120000}"/>
    <cellStyle name="Normal 2 2 24 2 2" xfId="4706" xr:uid="{00000000-0005-0000-0000-000057120000}"/>
    <cellStyle name="Normal 2 2 24 3" xfId="4707" xr:uid="{00000000-0005-0000-0000-000058120000}"/>
    <cellStyle name="Normal 2 2 25" xfId="4708" xr:uid="{00000000-0005-0000-0000-000059120000}"/>
    <cellStyle name="Normal 2 2 25 2" xfId="4709" xr:uid="{00000000-0005-0000-0000-00005A120000}"/>
    <cellStyle name="Normal 2 2 25 2 2" xfId="4710" xr:uid="{00000000-0005-0000-0000-00005B120000}"/>
    <cellStyle name="Normal 2 2 25 3" xfId="4711" xr:uid="{00000000-0005-0000-0000-00005C120000}"/>
    <cellStyle name="Normal 2 2 26" xfId="4712" xr:uid="{00000000-0005-0000-0000-00005D120000}"/>
    <cellStyle name="Normal 2 2 26 2" xfId="4713" xr:uid="{00000000-0005-0000-0000-00005E120000}"/>
    <cellStyle name="Normal 2 2 26 2 2" xfId="4714" xr:uid="{00000000-0005-0000-0000-00005F120000}"/>
    <cellStyle name="Normal 2 2 26 3" xfId="4715" xr:uid="{00000000-0005-0000-0000-000060120000}"/>
    <cellStyle name="Normal 2 2 27" xfId="4716" xr:uid="{00000000-0005-0000-0000-000061120000}"/>
    <cellStyle name="Normal 2 2 27 2" xfId="4717" xr:uid="{00000000-0005-0000-0000-000062120000}"/>
    <cellStyle name="Normal 2 2 27 2 2" xfId="4718" xr:uid="{00000000-0005-0000-0000-000063120000}"/>
    <cellStyle name="Normal 2 2 27 3" xfId="4719" xr:uid="{00000000-0005-0000-0000-000064120000}"/>
    <cellStyle name="Normal 2 2 28" xfId="4720" xr:uid="{00000000-0005-0000-0000-000065120000}"/>
    <cellStyle name="Normal 2 2 28 2" xfId="4721" xr:uid="{00000000-0005-0000-0000-000066120000}"/>
    <cellStyle name="Normal 2 2 28 2 2" xfId="4722" xr:uid="{00000000-0005-0000-0000-000067120000}"/>
    <cellStyle name="Normal 2 2 28 3" xfId="4723" xr:uid="{00000000-0005-0000-0000-000068120000}"/>
    <cellStyle name="Normal 2 2 29" xfId="4724" xr:uid="{00000000-0005-0000-0000-000069120000}"/>
    <cellStyle name="Normal 2 2 29 2" xfId="4725" xr:uid="{00000000-0005-0000-0000-00006A120000}"/>
    <cellStyle name="Normal 2 2 29 2 2" xfId="4726" xr:uid="{00000000-0005-0000-0000-00006B120000}"/>
    <cellStyle name="Normal 2 2 29 3" xfId="4727" xr:uid="{00000000-0005-0000-0000-00006C120000}"/>
    <cellStyle name="Normal 2 2 3" xfId="4728" xr:uid="{00000000-0005-0000-0000-00006D120000}"/>
    <cellStyle name="Normal 2 2 3 2" xfId="4729" xr:uid="{00000000-0005-0000-0000-00006E120000}"/>
    <cellStyle name="Normal 2 2 3 2 2" xfId="4730" xr:uid="{00000000-0005-0000-0000-00006F120000}"/>
    <cellStyle name="Normal 2 2 3 2 3" xfId="4731" xr:uid="{00000000-0005-0000-0000-000070120000}"/>
    <cellStyle name="Normal 2 2 3 3" xfId="4732" xr:uid="{00000000-0005-0000-0000-000071120000}"/>
    <cellStyle name="Normal 2 2 3 3 2" xfId="4733" xr:uid="{00000000-0005-0000-0000-000072120000}"/>
    <cellStyle name="Normal 2 2 3 4" xfId="4734" xr:uid="{00000000-0005-0000-0000-000073120000}"/>
    <cellStyle name="Normal 2 2 3 5" xfId="4735" xr:uid="{00000000-0005-0000-0000-000074120000}"/>
    <cellStyle name="Normal 2 2 3 6" xfId="4736" xr:uid="{00000000-0005-0000-0000-000075120000}"/>
    <cellStyle name="Normal 2 2 3 7" xfId="4737" xr:uid="{00000000-0005-0000-0000-000076120000}"/>
    <cellStyle name="Normal 2 2 30" xfId="4738" xr:uid="{00000000-0005-0000-0000-000077120000}"/>
    <cellStyle name="Normal 2 2 30 2" xfId="4739" xr:uid="{00000000-0005-0000-0000-000078120000}"/>
    <cellStyle name="Normal 2 2 30 2 2" xfId="4740" xr:uid="{00000000-0005-0000-0000-000079120000}"/>
    <cellStyle name="Normal 2 2 30 3" xfId="4741" xr:uid="{00000000-0005-0000-0000-00007A120000}"/>
    <cellStyle name="Normal 2 2 31" xfId="4742" xr:uid="{00000000-0005-0000-0000-00007B120000}"/>
    <cellStyle name="Normal 2 2 31 2" xfId="4743" xr:uid="{00000000-0005-0000-0000-00007C120000}"/>
    <cellStyle name="Normal 2 2 31 2 2" xfId="4744" xr:uid="{00000000-0005-0000-0000-00007D120000}"/>
    <cellStyle name="Normal 2 2 31 3" xfId="4745" xr:uid="{00000000-0005-0000-0000-00007E120000}"/>
    <cellStyle name="Normal 2 2 32" xfId="4746" xr:uid="{00000000-0005-0000-0000-00007F120000}"/>
    <cellStyle name="Normal 2 2 32 2" xfId="4747" xr:uid="{00000000-0005-0000-0000-000080120000}"/>
    <cellStyle name="Normal 2 2 32 2 2" xfId="4748" xr:uid="{00000000-0005-0000-0000-000081120000}"/>
    <cellStyle name="Normal 2 2 32 3" xfId="4749" xr:uid="{00000000-0005-0000-0000-000082120000}"/>
    <cellStyle name="Normal 2 2 33" xfId="4750" xr:uid="{00000000-0005-0000-0000-000083120000}"/>
    <cellStyle name="Normal 2 2 33 2" xfId="4751" xr:uid="{00000000-0005-0000-0000-000084120000}"/>
    <cellStyle name="Normal 2 2 33 2 2" xfId="4752" xr:uid="{00000000-0005-0000-0000-000085120000}"/>
    <cellStyle name="Normal 2 2 33 3" xfId="4753" xr:uid="{00000000-0005-0000-0000-000086120000}"/>
    <cellStyle name="Normal 2 2 34" xfId="4754" xr:uid="{00000000-0005-0000-0000-000087120000}"/>
    <cellStyle name="Normal 2 2 34 2" xfId="4755" xr:uid="{00000000-0005-0000-0000-000088120000}"/>
    <cellStyle name="Normal 2 2 34 2 2" xfId="4756" xr:uid="{00000000-0005-0000-0000-000089120000}"/>
    <cellStyle name="Normal 2 2 34 3" xfId="4757" xr:uid="{00000000-0005-0000-0000-00008A120000}"/>
    <cellStyle name="Normal 2 2 35" xfId="4758" xr:uid="{00000000-0005-0000-0000-00008B120000}"/>
    <cellStyle name="Normal 2 2 35 2" xfId="4759" xr:uid="{00000000-0005-0000-0000-00008C120000}"/>
    <cellStyle name="Normal 2 2 35 2 2" xfId="4760" xr:uid="{00000000-0005-0000-0000-00008D120000}"/>
    <cellStyle name="Normal 2 2 35 3" xfId="4761" xr:uid="{00000000-0005-0000-0000-00008E120000}"/>
    <cellStyle name="Normal 2 2 36" xfId="4762" xr:uid="{00000000-0005-0000-0000-00008F120000}"/>
    <cellStyle name="Normal 2 2 36 2" xfId="4763" xr:uid="{00000000-0005-0000-0000-000090120000}"/>
    <cellStyle name="Normal 2 2 36 2 2" xfId="4764" xr:uid="{00000000-0005-0000-0000-000091120000}"/>
    <cellStyle name="Normal 2 2 36 3" xfId="4765" xr:uid="{00000000-0005-0000-0000-000092120000}"/>
    <cellStyle name="Normal 2 2 37" xfId="4766" xr:uid="{00000000-0005-0000-0000-000093120000}"/>
    <cellStyle name="Normal 2 2 37 2" xfId="4767" xr:uid="{00000000-0005-0000-0000-000094120000}"/>
    <cellStyle name="Normal 2 2 37 2 2" xfId="4768" xr:uid="{00000000-0005-0000-0000-000095120000}"/>
    <cellStyle name="Normal 2 2 37 3" xfId="4769" xr:uid="{00000000-0005-0000-0000-000096120000}"/>
    <cellStyle name="Normal 2 2 38" xfId="4770" xr:uid="{00000000-0005-0000-0000-000097120000}"/>
    <cellStyle name="Normal 2 2 38 2" xfId="4771" xr:uid="{00000000-0005-0000-0000-000098120000}"/>
    <cellStyle name="Normal 2 2 38 2 2" xfId="4772" xr:uid="{00000000-0005-0000-0000-000099120000}"/>
    <cellStyle name="Normal 2 2 38 3" xfId="4773" xr:uid="{00000000-0005-0000-0000-00009A120000}"/>
    <cellStyle name="Normal 2 2 39" xfId="4774" xr:uid="{00000000-0005-0000-0000-00009B120000}"/>
    <cellStyle name="Normal 2 2 39 2" xfId="4775" xr:uid="{00000000-0005-0000-0000-00009C120000}"/>
    <cellStyle name="Normal 2 2 39 2 2" xfId="4776" xr:uid="{00000000-0005-0000-0000-00009D120000}"/>
    <cellStyle name="Normal 2 2 39 3" xfId="4777" xr:uid="{00000000-0005-0000-0000-00009E120000}"/>
    <cellStyle name="Normal 2 2 4" xfId="4778" xr:uid="{00000000-0005-0000-0000-00009F120000}"/>
    <cellStyle name="Normal 2 2 4 10" xfId="4779" xr:uid="{00000000-0005-0000-0000-0000A0120000}"/>
    <cellStyle name="Normal 2 2 4 11" xfId="4780" xr:uid="{00000000-0005-0000-0000-0000A1120000}"/>
    <cellStyle name="Normal 2 2 4 12" xfId="4781" xr:uid="{00000000-0005-0000-0000-0000A2120000}"/>
    <cellStyle name="Normal 2 2 4 13" xfId="4782" xr:uid="{00000000-0005-0000-0000-0000A3120000}"/>
    <cellStyle name="Normal 2 2 4 14" xfId="4783" xr:uid="{00000000-0005-0000-0000-0000A4120000}"/>
    <cellStyle name="Normal 2 2 4 15" xfId="4784" xr:uid="{00000000-0005-0000-0000-0000A5120000}"/>
    <cellStyle name="Normal 2 2 4 16" xfId="4785" xr:uid="{00000000-0005-0000-0000-0000A6120000}"/>
    <cellStyle name="Normal 2 2 4 17" xfId="4786" xr:uid="{00000000-0005-0000-0000-0000A7120000}"/>
    <cellStyle name="Normal 2 2 4 18" xfId="4787" xr:uid="{00000000-0005-0000-0000-0000A8120000}"/>
    <cellStyle name="Normal 2 2 4 19" xfId="4788" xr:uid="{00000000-0005-0000-0000-0000A9120000}"/>
    <cellStyle name="Normal 2 2 4 2" xfId="4789" xr:uid="{00000000-0005-0000-0000-0000AA120000}"/>
    <cellStyle name="Normal 2 2 4 2 2" xfId="4790" xr:uid="{00000000-0005-0000-0000-0000AB120000}"/>
    <cellStyle name="Normal 2 2 4 20" xfId="4791" xr:uid="{00000000-0005-0000-0000-0000AC120000}"/>
    <cellStyle name="Normal 2 2 4 21" xfId="4792" xr:uid="{00000000-0005-0000-0000-0000AD120000}"/>
    <cellStyle name="Normal 2 2 4 22" xfId="4793" xr:uid="{00000000-0005-0000-0000-0000AE120000}"/>
    <cellStyle name="Normal 2 2 4 23" xfId="4794" xr:uid="{00000000-0005-0000-0000-0000AF120000}"/>
    <cellStyle name="Normal 2 2 4 24" xfId="4795" xr:uid="{00000000-0005-0000-0000-0000B0120000}"/>
    <cellStyle name="Normal 2 2 4 25" xfId="4796" xr:uid="{00000000-0005-0000-0000-0000B1120000}"/>
    <cellStyle name="Normal 2 2 4 26" xfId="4797" xr:uid="{00000000-0005-0000-0000-0000B2120000}"/>
    <cellStyle name="Normal 2 2 4 27" xfId="4798" xr:uid="{00000000-0005-0000-0000-0000B3120000}"/>
    <cellStyle name="Normal 2 2 4 28" xfId="4799" xr:uid="{00000000-0005-0000-0000-0000B4120000}"/>
    <cellStyle name="Normal 2 2 4 29" xfId="4800" xr:uid="{00000000-0005-0000-0000-0000B5120000}"/>
    <cellStyle name="Normal 2 2 4 3" xfId="4801" xr:uid="{00000000-0005-0000-0000-0000B6120000}"/>
    <cellStyle name="Normal 2 2 4 30" xfId="4802" xr:uid="{00000000-0005-0000-0000-0000B7120000}"/>
    <cellStyle name="Normal 2 2 4 31" xfId="4803" xr:uid="{00000000-0005-0000-0000-0000B8120000}"/>
    <cellStyle name="Normal 2 2 4 32" xfId="4804" xr:uid="{00000000-0005-0000-0000-0000B9120000}"/>
    <cellStyle name="Normal 2 2 4 33" xfId="4805" xr:uid="{00000000-0005-0000-0000-0000BA120000}"/>
    <cellStyle name="Normal 2 2 4 34" xfId="4806" xr:uid="{00000000-0005-0000-0000-0000BB120000}"/>
    <cellStyle name="Normal 2 2 4 35" xfId="4807" xr:uid="{00000000-0005-0000-0000-0000BC120000}"/>
    <cellStyle name="Normal 2 2 4 36" xfId="4808" xr:uid="{00000000-0005-0000-0000-0000BD120000}"/>
    <cellStyle name="Normal 2 2 4 37" xfId="4809" xr:uid="{00000000-0005-0000-0000-0000BE120000}"/>
    <cellStyle name="Normal 2 2 4 38" xfId="4810" xr:uid="{00000000-0005-0000-0000-0000BF120000}"/>
    <cellStyle name="Normal 2 2 4 39" xfId="4811" xr:uid="{00000000-0005-0000-0000-0000C0120000}"/>
    <cellStyle name="Normal 2 2 4 4" xfId="4812" xr:uid="{00000000-0005-0000-0000-0000C1120000}"/>
    <cellStyle name="Normal 2 2 4 40" xfId="4813" xr:uid="{00000000-0005-0000-0000-0000C2120000}"/>
    <cellStyle name="Normal 2 2 4 41" xfId="4814" xr:uid="{00000000-0005-0000-0000-0000C3120000}"/>
    <cellStyle name="Normal 2 2 4 42" xfId="4815" xr:uid="{00000000-0005-0000-0000-0000C4120000}"/>
    <cellStyle name="Normal 2 2 4 43" xfId="4816" xr:uid="{00000000-0005-0000-0000-0000C5120000}"/>
    <cellStyle name="Normal 2 2 4 44" xfId="4817" xr:uid="{00000000-0005-0000-0000-0000C6120000}"/>
    <cellStyle name="Normal 2 2 4 45" xfId="4818" xr:uid="{00000000-0005-0000-0000-0000C7120000}"/>
    <cellStyle name="Normal 2 2 4 46" xfId="4819" xr:uid="{00000000-0005-0000-0000-0000C8120000}"/>
    <cellStyle name="Normal 2 2 4 47" xfId="4820" xr:uid="{00000000-0005-0000-0000-0000C9120000}"/>
    <cellStyle name="Normal 2 2 4 48" xfId="4821" xr:uid="{00000000-0005-0000-0000-0000CA120000}"/>
    <cellStyle name="Normal 2 2 4 49" xfId="4822" xr:uid="{00000000-0005-0000-0000-0000CB120000}"/>
    <cellStyle name="Normal 2 2 4 5" xfId="4823" xr:uid="{00000000-0005-0000-0000-0000CC120000}"/>
    <cellStyle name="Normal 2 2 4 50" xfId="4824" xr:uid="{00000000-0005-0000-0000-0000CD120000}"/>
    <cellStyle name="Normal 2 2 4 51" xfId="4825" xr:uid="{00000000-0005-0000-0000-0000CE120000}"/>
    <cellStyle name="Normal 2 2 4 52" xfId="4826" xr:uid="{00000000-0005-0000-0000-0000CF120000}"/>
    <cellStyle name="Normal 2 2 4 53" xfId="4827" xr:uid="{00000000-0005-0000-0000-0000D0120000}"/>
    <cellStyle name="Normal 2 2 4 54" xfId="4828" xr:uid="{00000000-0005-0000-0000-0000D1120000}"/>
    <cellStyle name="Normal 2 2 4 55" xfId="4829" xr:uid="{00000000-0005-0000-0000-0000D2120000}"/>
    <cellStyle name="Normal 2 2 4 56" xfId="4830" xr:uid="{00000000-0005-0000-0000-0000D3120000}"/>
    <cellStyle name="Normal 2 2 4 57" xfId="4831" xr:uid="{00000000-0005-0000-0000-0000D4120000}"/>
    <cellStyle name="Normal 2 2 4 58" xfId="4832" xr:uid="{00000000-0005-0000-0000-0000D5120000}"/>
    <cellStyle name="Normal 2 2 4 59" xfId="4833" xr:uid="{00000000-0005-0000-0000-0000D6120000}"/>
    <cellStyle name="Normal 2 2 4 6" xfId="4834" xr:uid="{00000000-0005-0000-0000-0000D7120000}"/>
    <cellStyle name="Normal 2 2 4 60" xfId="4835" xr:uid="{00000000-0005-0000-0000-0000D8120000}"/>
    <cellStyle name="Normal 2 2 4 61" xfId="4836" xr:uid="{00000000-0005-0000-0000-0000D9120000}"/>
    <cellStyle name="Normal 2 2 4 62" xfId="4837" xr:uid="{00000000-0005-0000-0000-0000DA120000}"/>
    <cellStyle name="Normal 2 2 4 63" xfId="4838" xr:uid="{00000000-0005-0000-0000-0000DB120000}"/>
    <cellStyle name="Normal 2 2 4 64" xfId="4839" xr:uid="{00000000-0005-0000-0000-0000DC120000}"/>
    <cellStyle name="Normal 2 2 4 65" xfId="4840" xr:uid="{00000000-0005-0000-0000-0000DD120000}"/>
    <cellStyle name="Normal 2 2 4 66" xfId="4841" xr:uid="{00000000-0005-0000-0000-0000DE120000}"/>
    <cellStyle name="Normal 2 2 4 67" xfId="4842" xr:uid="{00000000-0005-0000-0000-0000DF120000}"/>
    <cellStyle name="Normal 2 2 4 68" xfId="4843" xr:uid="{00000000-0005-0000-0000-0000E0120000}"/>
    <cellStyle name="Normal 2 2 4 69" xfId="4844" xr:uid="{00000000-0005-0000-0000-0000E1120000}"/>
    <cellStyle name="Normal 2 2 4 7" xfId="4845" xr:uid="{00000000-0005-0000-0000-0000E2120000}"/>
    <cellStyle name="Normal 2 2 4 70" xfId="4846" xr:uid="{00000000-0005-0000-0000-0000E3120000}"/>
    <cellStyle name="Normal 2 2 4 71" xfId="4847" xr:uid="{00000000-0005-0000-0000-0000E4120000}"/>
    <cellStyle name="Normal 2 2 4 72" xfId="4848" xr:uid="{00000000-0005-0000-0000-0000E5120000}"/>
    <cellStyle name="Normal 2 2 4 73" xfId="4849" xr:uid="{00000000-0005-0000-0000-0000E6120000}"/>
    <cellStyle name="Normal 2 2 4 74" xfId="4850" xr:uid="{00000000-0005-0000-0000-0000E7120000}"/>
    <cellStyle name="Normal 2 2 4 75" xfId="4851" xr:uid="{00000000-0005-0000-0000-0000E8120000}"/>
    <cellStyle name="Normal 2 2 4 76" xfId="4852" xr:uid="{00000000-0005-0000-0000-0000E9120000}"/>
    <cellStyle name="Normal 2 2 4 77" xfId="4853" xr:uid="{00000000-0005-0000-0000-0000EA120000}"/>
    <cellStyle name="Normal 2 2 4 78" xfId="4854" xr:uid="{00000000-0005-0000-0000-0000EB120000}"/>
    <cellStyle name="Normal 2 2 4 79" xfId="4855" xr:uid="{00000000-0005-0000-0000-0000EC120000}"/>
    <cellStyle name="Normal 2 2 4 8" xfId="4856" xr:uid="{00000000-0005-0000-0000-0000ED120000}"/>
    <cellStyle name="Normal 2 2 4 80" xfId="4857" xr:uid="{00000000-0005-0000-0000-0000EE120000}"/>
    <cellStyle name="Normal 2 2 4 81" xfId="4858" xr:uid="{00000000-0005-0000-0000-0000EF120000}"/>
    <cellStyle name="Normal 2 2 4 82" xfId="4859" xr:uid="{00000000-0005-0000-0000-0000F0120000}"/>
    <cellStyle name="Normal 2 2 4 83" xfId="4860" xr:uid="{00000000-0005-0000-0000-0000F1120000}"/>
    <cellStyle name="Normal 2 2 4 84" xfId="4861" xr:uid="{00000000-0005-0000-0000-0000F2120000}"/>
    <cellStyle name="Normal 2 2 4 85" xfId="4862" xr:uid="{00000000-0005-0000-0000-0000F3120000}"/>
    <cellStyle name="Normal 2 2 4 86" xfId="4863" xr:uid="{00000000-0005-0000-0000-0000F4120000}"/>
    <cellStyle name="Normal 2 2 4 87" xfId="4864" xr:uid="{00000000-0005-0000-0000-0000F5120000}"/>
    <cellStyle name="Normal 2 2 4 88" xfId="4865" xr:uid="{00000000-0005-0000-0000-0000F6120000}"/>
    <cellStyle name="Normal 2 2 4 89" xfId="4866" xr:uid="{00000000-0005-0000-0000-0000F7120000}"/>
    <cellStyle name="Normal 2 2 4 9" xfId="4867" xr:uid="{00000000-0005-0000-0000-0000F8120000}"/>
    <cellStyle name="Normal 2 2 4 90" xfId="4868" xr:uid="{00000000-0005-0000-0000-0000F9120000}"/>
    <cellStyle name="Normal 2 2 4 91" xfId="4869" xr:uid="{00000000-0005-0000-0000-0000FA120000}"/>
    <cellStyle name="Normal 2 2 40" xfId="4870" xr:uid="{00000000-0005-0000-0000-0000FB120000}"/>
    <cellStyle name="Normal 2 2 40 2" xfId="4871" xr:uid="{00000000-0005-0000-0000-0000FC120000}"/>
    <cellStyle name="Normal 2 2 40 2 2" xfId="4872" xr:uid="{00000000-0005-0000-0000-0000FD120000}"/>
    <cellStyle name="Normal 2 2 40 3" xfId="4873" xr:uid="{00000000-0005-0000-0000-0000FE120000}"/>
    <cellStyle name="Normal 2 2 41" xfId="4874" xr:uid="{00000000-0005-0000-0000-0000FF120000}"/>
    <cellStyle name="Normal 2 2 41 2" xfId="4875" xr:uid="{00000000-0005-0000-0000-000000130000}"/>
    <cellStyle name="Normal 2 2 41 2 2" xfId="4876" xr:uid="{00000000-0005-0000-0000-000001130000}"/>
    <cellStyle name="Normal 2 2 41 3" xfId="4877" xr:uid="{00000000-0005-0000-0000-000002130000}"/>
    <cellStyle name="Normal 2 2 42" xfId="4878" xr:uid="{00000000-0005-0000-0000-000003130000}"/>
    <cellStyle name="Normal 2 2 42 2" xfId="4879" xr:uid="{00000000-0005-0000-0000-000004130000}"/>
    <cellStyle name="Normal 2 2 42 2 2" xfId="4880" xr:uid="{00000000-0005-0000-0000-000005130000}"/>
    <cellStyle name="Normal 2 2 42 3" xfId="4881" xr:uid="{00000000-0005-0000-0000-000006130000}"/>
    <cellStyle name="Normal 2 2 43" xfId="4882" xr:uid="{00000000-0005-0000-0000-000007130000}"/>
    <cellStyle name="Normal 2 2 43 2" xfId="4883" xr:uid="{00000000-0005-0000-0000-000008130000}"/>
    <cellStyle name="Normal 2 2 43 2 2" xfId="4884" xr:uid="{00000000-0005-0000-0000-000009130000}"/>
    <cellStyle name="Normal 2 2 43 3" xfId="4885" xr:uid="{00000000-0005-0000-0000-00000A130000}"/>
    <cellStyle name="Normal 2 2 44" xfId="4886" xr:uid="{00000000-0005-0000-0000-00000B130000}"/>
    <cellStyle name="Normal 2 2 44 2" xfId="4887" xr:uid="{00000000-0005-0000-0000-00000C130000}"/>
    <cellStyle name="Normal 2 2 44 2 2" xfId="4888" xr:uid="{00000000-0005-0000-0000-00000D130000}"/>
    <cellStyle name="Normal 2 2 44 3" xfId="4889" xr:uid="{00000000-0005-0000-0000-00000E130000}"/>
    <cellStyle name="Normal 2 2 45" xfId="4890" xr:uid="{00000000-0005-0000-0000-00000F130000}"/>
    <cellStyle name="Normal 2 2 45 2" xfId="4891" xr:uid="{00000000-0005-0000-0000-000010130000}"/>
    <cellStyle name="Normal 2 2 45 2 2" xfId="4892" xr:uid="{00000000-0005-0000-0000-000011130000}"/>
    <cellStyle name="Normal 2 2 45 3" xfId="4893" xr:uid="{00000000-0005-0000-0000-000012130000}"/>
    <cellStyle name="Normal 2 2 46" xfId="4894" xr:uid="{00000000-0005-0000-0000-000013130000}"/>
    <cellStyle name="Normal 2 2 46 2" xfId="4895" xr:uid="{00000000-0005-0000-0000-000014130000}"/>
    <cellStyle name="Normal 2 2 46 2 2" xfId="4896" xr:uid="{00000000-0005-0000-0000-000015130000}"/>
    <cellStyle name="Normal 2 2 46 3" xfId="4897" xr:uid="{00000000-0005-0000-0000-000016130000}"/>
    <cellStyle name="Normal 2 2 47" xfId="4898" xr:uid="{00000000-0005-0000-0000-000017130000}"/>
    <cellStyle name="Normal 2 2 47 2" xfId="4899" xr:uid="{00000000-0005-0000-0000-000018130000}"/>
    <cellStyle name="Normal 2 2 47 2 2" xfId="4900" xr:uid="{00000000-0005-0000-0000-000019130000}"/>
    <cellStyle name="Normal 2 2 47 3" xfId="4901" xr:uid="{00000000-0005-0000-0000-00001A130000}"/>
    <cellStyle name="Normal 2 2 48" xfId="4902" xr:uid="{00000000-0005-0000-0000-00001B130000}"/>
    <cellStyle name="Normal 2 2 48 2" xfId="4903" xr:uid="{00000000-0005-0000-0000-00001C130000}"/>
    <cellStyle name="Normal 2 2 48 2 2" xfId="4904" xr:uid="{00000000-0005-0000-0000-00001D130000}"/>
    <cellStyle name="Normal 2 2 48 3" xfId="4905" xr:uid="{00000000-0005-0000-0000-00001E130000}"/>
    <cellStyle name="Normal 2 2 49" xfId="4906" xr:uid="{00000000-0005-0000-0000-00001F130000}"/>
    <cellStyle name="Normal 2 2 49 2" xfId="4907" xr:uid="{00000000-0005-0000-0000-000020130000}"/>
    <cellStyle name="Normal 2 2 49 2 2" xfId="4908" xr:uid="{00000000-0005-0000-0000-000021130000}"/>
    <cellStyle name="Normal 2 2 49 3" xfId="4909" xr:uid="{00000000-0005-0000-0000-000022130000}"/>
    <cellStyle name="Normal 2 2 5" xfId="4910" xr:uid="{00000000-0005-0000-0000-000023130000}"/>
    <cellStyle name="Normal 2 2 5 10" xfId="4911" xr:uid="{00000000-0005-0000-0000-000024130000}"/>
    <cellStyle name="Normal 2 2 5 11" xfId="4912" xr:uid="{00000000-0005-0000-0000-000025130000}"/>
    <cellStyle name="Normal 2 2 5 12" xfId="4913" xr:uid="{00000000-0005-0000-0000-000026130000}"/>
    <cellStyle name="Normal 2 2 5 13" xfId="4914" xr:uid="{00000000-0005-0000-0000-000027130000}"/>
    <cellStyle name="Normal 2 2 5 14" xfId="4915" xr:uid="{00000000-0005-0000-0000-000028130000}"/>
    <cellStyle name="Normal 2 2 5 15" xfId="4916" xr:uid="{00000000-0005-0000-0000-000029130000}"/>
    <cellStyle name="Normal 2 2 5 16" xfId="4917" xr:uid="{00000000-0005-0000-0000-00002A130000}"/>
    <cellStyle name="Normal 2 2 5 17" xfId="4918" xr:uid="{00000000-0005-0000-0000-00002B130000}"/>
    <cellStyle name="Normal 2 2 5 18" xfId="4919" xr:uid="{00000000-0005-0000-0000-00002C130000}"/>
    <cellStyle name="Normal 2 2 5 19" xfId="4920" xr:uid="{00000000-0005-0000-0000-00002D130000}"/>
    <cellStyle name="Normal 2 2 5 2" xfId="4921" xr:uid="{00000000-0005-0000-0000-00002E130000}"/>
    <cellStyle name="Normal 2 2 5 2 2" xfId="4922" xr:uid="{00000000-0005-0000-0000-00002F130000}"/>
    <cellStyle name="Normal 2 2 5 20" xfId="4923" xr:uid="{00000000-0005-0000-0000-000030130000}"/>
    <cellStyle name="Normal 2 2 5 21" xfId="4924" xr:uid="{00000000-0005-0000-0000-000031130000}"/>
    <cellStyle name="Normal 2 2 5 22" xfId="4925" xr:uid="{00000000-0005-0000-0000-000032130000}"/>
    <cellStyle name="Normal 2 2 5 23" xfId="4926" xr:uid="{00000000-0005-0000-0000-000033130000}"/>
    <cellStyle name="Normal 2 2 5 24" xfId="4927" xr:uid="{00000000-0005-0000-0000-000034130000}"/>
    <cellStyle name="Normal 2 2 5 25" xfId="4928" xr:uid="{00000000-0005-0000-0000-000035130000}"/>
    <cellStyle name="Normal 2 2 5 26" xfId="4929" xr:uid="{00000000-0005-0000-0000-000036130000}"/>
    <cellStyle name="Normal 2 2 5 27" xfId="4930" xr:uid="{00000000-0005-0000-0000-000037130000}"/>
    <cellStyle name="Normal 2 2 5 28" xfId="4931" xr:uid="{00000000-0005-0000-0000-000038130000}"/>
    <cellStyle name="Normal 2 2 5 29" xfId="4932" xr:uid="{00000000-0005-0000-0000-000039130000}"/>
    <cellStyle name="Normal 2 2 5 3" xfId="4933" xr:uid="{00000000-0005-0000-0000-00003A130000}"/>
    <cellStyle name="Normal 2 2 5 30" xfId="4934" xr:uid="{00000000-0005-0000-0000-00003B130000}"/>
    <cellStyle name="Normal 2 2 5 31" xfId="4935" xr:uid="{00000000-0005-0000-0000-00003C130000}"/>
    <cellStyle name="Normal 2 2 5 32" xfId="4936" xr:uid="{00000000-0005-0000-0000-00003D130000}"/>
    <cellStyle name="Normal 2 2 5 33" xfId="4937" xr:uid="{00000000-0005-0000-0000-00003E130000}"/>
    <cellStyle name="Normal 2 2 5 34" xfId="4938" xr:uid="{00000000-0005-0000-0000-00003F130000}"/>
    <cellStyle name="Normal 2 2 5 35" xfId="4939" xr:uid="{00000000-0005-0000-0000-000040130000}"/>
    <cellStyle name="Normal 2 2 5 36" xfId="4940" xr:uid="{00000000-0005-0000-0000-000041130000}"/>
    <cellStyle name="Normal 2 2 5 37" xfId="4941" xr:uid="{00000000-0005-0000-0000-000042130000}"/>
    <cellStyle name="Normal 2 2 5 38" xfId="4942" xr:uid="{00000000-0005-0000-0000-000043130000}"/>
    <cellStyle name="Normal 2 2 5 39" xfId="4943" xr:uid="{00000000-0005-0000-0000-000044130000}"/>
    <cellStyle name="Normal 2 2 5 4" xfId="4944" xr:uid="{00000000-0005-0000-0000-000045130000}"/>
    <cellStyle name="Normal 2 2 5 40" xfId="4945" xr:uid="{00000000-0005-0000-0000-000046130000}"/>
    <cellStyle name="Normal 2 2 5 41" xfId="4946" xr:uid="{00000000-0005-0000-0000-000047130000}"/>
    <cellStyle name="Normal 2 2 5 42" xfId="4947" xr:uid="{00000000-0005-0000-0000-000048130000}"/>
    <cellStyle name="Normal 2 2 5 43" xfId="4948" xr:uid="{00000000-0005-0000-0000-000049130000}"/>
    <cellStyle name="Normal 2 2 5 44" xfId="4949" xr:uid="{00000000-0005-0000-0000-00004A130000}"/>
    <cellStyle name="Normal 2 2 5 45" xfId="4950" xr:uid="{00000000-0005-0000-0000-00004B130000}"/>
    <cellStyle name="Normal 2 2 5 46" xfId="4951" xr:uid="{00000000-0005-0000-0000-00004C130000}"/>
    <cellStyle name="Normal 2 2 5 47" xfId="4952" xr:uid="{00000000-0005-0000-0000-00004D130000}"/>
    <cellStyle name="Normal 2 2 5 48" xfId="4953" xr:uid="{00000000-0005-0000-0000-00004E130000}"/>
    <cellStyle name="Normal 2 2 5 49" xfId="4954" xr:uid="{00000000-0005-0000-0000-00004F130000}"/>
    <cellStyle name="Normal 2 2 5 5" xfId="4955" xr:uid="{00000000-0005-0000-0000-000050130000}"/>
    <cellStyle name="Normal 2 2 5 50" xfId="4956" xr:uid="{00000000-0005-0000-0000-000051130000}"/>
    <cellStyle name="Normal 2 2 5 51" xfId="4957" xr:uid="{00000000-0005-0000-0000-000052130000}"/>
    <cellStyle name="Normal 2 2 5 52" xfId="4958" xr:uid="{00000000-0005-0000-0000-000053130000}"/>
    <cellStyle name="Normal 2 2 5 53" xfId="4959" xr:uid="{00000000-0005-0000-0000-000054130000}"/>
    <cellStyle name="Normal 2 2 5 54" xfId="4960" xr:uid="{00000000-0005-0000-0000-000055130000}"/>
    <cellStyle name="Normal 2 2 5 55" xfId="4961" xr:uid="{00000000-0005-0000-0000-000056130000}"/>
    <cellStyle name="Normal 2 2 5 56" xfId="4962" xr:uid="{00000000-0005-0000-0000-000057130000}"/>
    <cellStyle name="Normal 2 2 5 57" xfId="4963" xr:uid="{00000000-0005-0000-0000-000058130000}"/>
    <cellStyle name="Normal 2 2 5 58" xfId="4964" xr:uid="{00000000-0005-0000-0000-000059130000}"/>
    <cellStyle name="Normal 2 2 5 59" xfId="4965" xr:uid="{00000000-0005-0000-0000-00005A130000}"/>
    <cellStyle name="Normal 2 2 5 6" xfId="4966" xr:uid="{00000000-0005-0000-0000-00005B130000}"/>
    <cellStyle name="Normal 2 2 5 60" xfId="4967" xr:uid="{00000000-0005-0000-0000-00005C130000}"/>
    <cellStyle name="Normal 2 2 5 61" xfId="4968" xr:uid="{00000000-0005-0000-0000-00005D130000}"/>
    <cellStyle name="Normal 2 2 5 62" xfId="4969" xr:uid="{00000000-0005-0000-0000-00005E130000}"/>
    <cellStyle name="Normal 2 2 5 63" xfId="4970" xr:uid="{00000000-0005-0000-0000-00005F130000}"/>
    <cellStyle name="Normal 2 2 5 64" xfId="4971" xr:uid="{00000000-0005-0000-0000-000060130000}"/>
    <cellStyle name="Normal 2 2 5 65" xfId="4972" xr:uid="{00000000-0005-0000-0000-000061130000}"/>
    <cellStyle name="Normal 2 2 5 66" xfId="4973" xr:uid="{00000000-0005-0000-0000-000062130000}"/>
    <cellStyle name="Normal 2 2 5 67" xfId="4974" xr:uid="{00000000-0005-0000-0000-000063130000}"/>
    <cellStyle name="Normal 2 2 5 68" xfId="4975" xr:uid="{00000000-0005-0000-0000-000064130000}"/>
    <cellStyle name="Normal 2 2 5 69" xfId="4976" xr:uid="{00000000-0005-0000-0000-000065130000}"/>
    <cellStyle name="Normal 2 2 5 7" xfId="4977" xr:uid="{00000000-0005-0000-0000-000066130000}"/>
    <cellStyle name="Normal 2 2 5 70" xfId="4978" xr:uid="{00000000-0005-0000-0000-000067130000}"/>
    <cellStyle name="Normal 2 2 5 71" xfId="4979" xr:uid="{00000000-0005-0000-0000-000068130000}"/>
    <cellStyle name="Normal 2 2 5 72" xfId="4980" xr:uid="{00000000-0005-0000-0000-000069130000}"/>
    <cellStyle name="Normal 2 2 5 73" xfId="4981" xr:uid="{00000000-0005-0000-0000-00006A130000}"/>
    <cellStyle name="Normal 2 2 5 74" xfId="4982" xr:uid="{00000000-0005-0000-0000-00006B130000}"/>
    <cellStyle name="Normal 2 2 5 75" xfId="4983" xr:uid="{00000000-0005-0000-0000-00006C130000}"/>
    <cellStyle name="Normal 2 2 5 76" xfId="4984" xr:uid="{00000000-0005-0000-0000-00006D130000}"/>
    <cellStyle name="Normal 2 2 5 77" xfId="4985" xr:uid="{00000000-0005-0000-0000-00006E130000}"/>
    <cellStyle name="Normal 2 2 5 78" xfId="4986" xr:uid="{00000000-0005-0000-0000-00006F130000}"/>
    <cellStyle name="Normal 2 2 5 79" xfId="4987" xr:uid="{00000000-0005-0000-0000-000070130000}"/>
    <cellStyle name="Normal 2 2 5 8" xfId="4988" xr:uid="{00000000-0005-0000-0000-000071130000}"/>
    <cellStyle name="Normal 2 2 5 80" xfId="4989" xr:uid="{00000000-0005-0000-0000-000072130000}"/>
    <cellStyle name="Normal 2 2 5 81" xfId="4990" xr:uid="{00000000-0005-0000-0000-000073130000}"/>
    <cellStyle name="Normal 2 2 5 82" xfId="4991" xr:uid="{00000000-0005-0000-0000-000074130000}"/>
    <cellStyle name="Normal 2 2 5 83" xfId="4992" xr:uid="{00000000-0005-0000-0000-000075130000}"/>
    <cellStyle name="Normal 2 2 5 84" xfId="4993" xr:uid="{00000000-0005-0000-0000-000076130000}"/>
    <cellStyle name="Normal 2 2 5 85" xfId="4994" xr:uid="{00000000-0005-0000-0000-000077130000}"/>
    <cellStyle name="Normal 2 2 5 86" xfId="4995" xr:uid="{00000000-0005-0000-0000-000078130000}"/>
    <cellStyle name="Normal 2 2 5 87" xfId="4996" xr:uid="{00000000-0005-0000-0000-000079130000}"/>
    <cellStyle name="Normal 2 2 5 88" xfId="4997" xr:uid="{00000000-0005-0000-0000-00007A130000}"/>
    <cellStyle name="Normal 2 2 5 89" xfId="4998" xr:uid="{00000000-0005-0000-0000-00007B130000}"/>
    <cellStyle name="Normal 2 2 5 9" xfId="4999" xr:uid="{00000000-0005-0000-0000-00007C130000}"/>
    <cellStyle name="Normal 2 2 5 90" xfId="5000" xr:uid="{00000000-0005-0000-0000-00007D130000}"/>
    <cellStyle name="Normal 2 2 5 91" xfId="5001" xr:uid="{00000000-0005-0000-0000-00007E130000}"/>
    <cellStyle name="Normal 2 2 50" xfId="5002" xr:uid="{00000000-0005-0000-0000-00007F130000}"/>
    <cellStyle name="Normal 2 2 50 2" xfId="5003" xr:uid="{00000000-0005-0000-0000-000080130000}"/>
    <cellStyle name="Normal 2 2 50 2 2" xfId="5004" xr:uid="{00000000-0005-0000-0000-000081130000}"/>
    <cellStyle name="Normal 2 2 50 3" xfId="5005" xr:uid="{00000000-0005-0000-0000-000082130000}"/>
    <cellStyle name="Normal 2 2 51" xfId="5006" xr:uid="{00000000-0005-0000-0000-000083130000}"/>
    <cellStyle name="Normal 2 2 51 2" xfId="5007" xr:uid="{00000000-0005-0000-0000-000084130000}"/>
    <cellStyle name="Normal 2 2 51 2 2" xfId="5008" xr:uid="{00000000-0005-0000-0000-000085130000}"/>
    <cellStyle name="Normal 2 2 51 3" xfId="5009" xr:uid="{00000000-0005-0000-0000-000086130000}"/>
    <cellStyle name="Normal 2 2 52" xfId="5010" xr:uid="{00000000-0005-0000-0000-000087130000}"/>
    <cellStyle name="Normal 2 2 52 2" xfId="5011" xr:uid="{00000000-0005-0000-0000-000088130000}"/>
    <cellStyle name="Normal 2 2 52 2 2" xfId="5012" xr:uid="{00000000-0005-0000-0000-000089130000}"/>
    <cellStyle name="Normal 2 2 52 3" xfId="5013" xr:uid="{00000000-0005-0000-0000-00008A130000}"/>
    <cellStyle name="Normal 2 2 53" xfId="5014" xr:uid="{00000000-0005-0000-0000-00008B130000}"/>
    <cellStyle name="Normal 2 2 53 2" xfId="5015" xr:uid="{00000000-0005-0000-0000-00008C130000}"/>
    <cellStyle name="Normal 2 2 53 2 2" xfId="5016" xr:uid="{00000000-0005-0000-0000-00008D130000}"/>
    <cellStyle name="Normal 2 2 53 3" xfId="5017" xr:uid="{00000000-0005-0000-0000-00008E130000}"/>
    <cellStyle name="Normal 2 2 54" xfId="5018" xr:uid="{00000000-0005-0000-0000-00008F130000}"/>
    <cellStyle name="Normal 2 2 54 2" xfId="5019" xr:uid="{00000000-0005-0000-0000-000090130000}"/>
    <cellStyle name="Normal 2 2 54 2 2" xfId="5020" xr:uid="{00000000-0005-0000-0000-000091130000}"/>
    <cellStyle name="Normal 2 2 54 3" xfId="5021" xr:uid="{00000000-0005-0000-0000-000092130000}"/>
    <cellStyle name="Normal 2 2 55" xfId="5022" xr:uid="{00000000-0005-0000-0000-000093130000}"/>
    <cellStyle name="Normal 2 2 55 2" xfId="5023" xr:uid="{00000000-0005-0000-0000-000094130000}"/>
    <cellStyle name="Normal 2 2 55 2 2" xfId="5024" xr:uid="{00000000-0005-0000-0000-000095130000}"/>
    <cellStyle name="Normal 2 2 55 3" xfId="5025" xr:uid="{00000000-0005-0000-0000-000096130000}"/>
    <cellStyle name="Normal 2 2 56" xfId="5026" xr:uid="{00000000-0005-0000-0000-000097130000}"/>
    <cellStyle name="Normal 2 2 56 2" xfId="5027" xr:uid="{00000000-0005-0000-0000-000098130000}"/>
    <cellStyle name="Normal 2 2 56 2 2" xfId="5028" xr:uid="{00000000-0005-0000-0000-000099130000}"/>
    <cellStyle name="Normal 2 2 56 3" xfId="5029" xr:uid="{00000000-0005-0000-0000-00009A130000}"/>
    <cellStyle name="Normal 2 2 57" xfId="5030" xr:uid="{00000000-0005-0000-0000-00009B130000}"/>
    <cellStyle name="Normal 2 2 57 2" xfId="5031" xr:uid="{00000000-0005-0000-0000-00009C130000}"/>
    <cellStyle name="Normal 2 2 57 2 2" xfId="5032" xr:uid="{00000000-0005-0000-0000-00009D130000}"/>
    <cellStyle name="Normal 2 2 57 3" xfId="5033" xr:uid="{00000000-0005-0000-0000-00009E130000}"/>
    <cellStyle name="Normal 2 2 58" xfId="5034" xr:uid="{00000000-0005-0000-0000-00009F130000}"/>
    <cellStyle name="Normal 2 2 58 2" xfId="5035" xr:uid="{00000000-0005-0000-0000-0000A0130000}"/>
    <cellStyle name="Normal 2 2 58 2 2" xfId="5036" xr:uid="{00000000-0005-0000-0000-0000A1130000}"/>
    <cellStyle name="Normal 2 2 58 3" xfId="5037" xr:uid="{00000000-0005-0000-0000-0000A2130000}"/>
    <cellStyle name="Normal 2 2 59" xfId="5038" xr:uid="{00000000-0005-0000-0000-0000A3130000}"/>
    <cellStyle name="Normal 2 2 59 2" xfId="5039" xr:uid="{00000000-0005-0000-0000-0000A4130000}"/>
    <cellStyle name="Normal 2 2 59 2 2" xfId="5040" xr:uid="{00000000-0005-0000-0000-0000A5130000}"/>
    <cellStyle name="Normal 2 2 59 3" xfId="5041" xr:uid="{00000000-0005-0000-0000-0000A6130000}"/>
    <cellStyle name="Normal 2 2 6" xfId="5042" xr:uid="{00000000-0005-0000-0000-0000A7130000}"/>
    <cellStyle name="Normal 2 2 6 10" xfId="5043" xr:uid="{00000000-0005-0000-0000-0000A8130000}"/>
    <cellStyle name="Normal 2 2 6 11" xfId="5044" xr:uid="{00000000-0005-0000-0000-0000A9130000}"/>
    <cellStyle name="Normal 2 2 6 12" xfId="5045" xr:uid="{00000000-0005-0000-0000-0000AA130000}"/>
    <cellStyle name="Normal 2 2 6 13" xfId="5046" xr:uid="{00000000-0005-0000-0000-0000AB130000}"/>
    <cellStyle name="Normal 2 2 6 14" xfId="5047" xr:uid="{00000000-0005-0000-0000-0000AC130000}"/>
    <cellStyle name="Normal 2 2 6 15" xfId="5048" xr:uid="{00000000-0005-0000-0000-0000AD130000}"/>
    <cellStyle name="Normal 2 2 6 16" xfId="5049" xr:uid="{00000000-0005-0000-0000-0000AE130000}"/>
    <cellStyle name="Normal 2 2 6 17" xfId="5050" xr:uid="{00000000-0005-0000-0000-0000AF130000}"/>
    <cellStyle name="Normal 2 2 6 18" xfId="5051" xr:uid="{00000000-0005-0000-0000-0000B0130000}"/>
    <cellStyle name="Normal 2 2 6 19" xfId="5052" xr:uid="{00000000-0005-0000-0000-0000B1130000}"/>
    <cellStyle name="Normal 2 2 6 2" xfId="5053" xr:uid="{00000000-0005-0000-0000-0000B2130000}"/>
    <cellStyle name="Normal 2 2 6 2 2" xfId="5054" xr:uid="{00000000-0005-0000-0000-0000B3130000}"/>
    <cellStyle name="Normal 2 2 6 20" xfId="5055" xr:uid="{00000000-0005-0000-0000-0000B4130000}"/>
    <cellStyle name="Normal 2 2 6 21" xfId="5056" xr:uid="{00000000-0005-0000-0000-0000B5130000}"/>
    <cellStyle name="Normal 2 2 6 22" xfId="5057" xr:uid="{00000000-0005-0000-0000-0000B6130000}"/>
    <cellStyle name="Normal 2 2 6 23" xfId="5058" xr:uid="{00000000-0005-0000-0000-0000B7130000}"/>
    <cellStyle name="Normal 2 2 6 24" xfId="5059" xr:uid="{00000000-0005-0000-0000-0000B8130000}"/>
    <cellStyle name="Normal 2 2 6 25" xfId="5060" xr:uid="{00000000-0005-0000-0000-0000B9130000}"/>
    <cellStyle name="Normal 2 2 6 26" xfId="5061" xr:uid="{00000000-0005-0000-0000-0000BA130000}"/>
    <cellStyle name="Normal 2 2 6 27" xfId="5062" xr:uid="{00000000-0005-0000-0000-0000BB130000}"/>
    <cellStyle name="Normal 2 2 6 28" xfId="5063" xr:uid="{00000000-0005-0000-0000-0000BC130000}"/>
    <cellStyle name="Normal 2 2 6 29" xfId="5064" xr:uid="{00000000-0005-0000-0000-0000BD130000}"/>
    <cellStyle name="Normal 2 2 6 3" xfId="5065" xr:uid="{00000000-0005-0000-0000-0000BE130000}"/>
    <cellStyle name="Normal 2 2 6 3 2" xfId="5066" xr:uid="{00000000-0005-0000-0000-0000BF130000}"/>
    <cellStyle name="Normal 2 2 6 3 3" xfId="5067" xr:uid="{00000000-0005-0000-0000-0000C0130000}"/>
    <cellStyle name="Normal 2 2 6 30" xfId="5068" xr:uid="{00000000-0005-0000-0000-0000C1130000}"/>
    <cellStyle name="Normal 2 2 6 31" xfId="5069" xr:uid="{00000000-0005-0000-0000-0000C2130000}"/>
    <cellStyle name="Normal 2 2 6 32" xfId="5070" xr:uid="{00000000-0005-0000-0000-0000C3130000}"/>
    <cellStyle name="Normal 2 2 6 33" xfId="5071" xr:uid="{00000000-0005-0000-0000-0000C4130000}"/>
    <cellStyle name="Normal 2 2 6 34" xfId="5072" xr:uid="{00000000-0005-0000-0000-0000C5130000}"/>
    <cellStyle name="Normal 2 2 6 35" xfId="5073" xr:uid="{00000000-0005-0000-0000-0000C6130000}"/>
    <cellStyle name="Normal 2 2 6 36" xfId="5074" xr:uid="{00000000-0005-0000-0000-0000C7130000}"/>
    <cellStyle name="Normal 2 2 6 37" xfId="5075" xr:uid="{00000000-0005-0000-0000-0000C8130000}"/>
    <cellStyle name="Normal 2 2 6 38" xfId="5076" xr:uid="{00000000-0005-0000-0000-0000C9130000}"/>
    <cellStyle name="Normal 2 2 6 39" xfId="5077" xr:uid="{00000000-0005-0000-0000-0000CA130000}"/>
    <cellStyle name="Normal 2 2 6 4" xfId="5078" xr:uid="{00000000-0005-0000-0000-0000CB130000}"/>
    <cellStyle name="Normal 2 2 6 40" xfId="5079" xr:uid="{00000000-0005-0000-0000-0000CC130000}"/>
    <cellStyle name="Normal 2 2 6 41" xfId="5080" xr:uid="{00000000-0005-0000-0000-0000CD130000}"/>
    <cellStyle name="Normal 2 2 6 42" xfId="5081" xr:uid="{00000000-0005-0000-0000-0000CE130000}"/>
    <cellStyle name="Normal 2 2 6 5" xfId="5082" xr:uid="{00000000-0005-0000-0000-0000CF130000}"/>
    <cellStyle name="Normal 2 2 6 6" xfId="5083" xr:uid="{00000000-0005-0000-0000-0000D0130000}"/>
    <cellStyle name="Normal 2 2 6 7" xfId="5084" xr:uid="{00000000-0005-0000-0000-0000D1130000}"/>
    <cellStyle name="Normal 2 2 6 8" xfId="5085" xr:uid="{00000000-0005-0000-0000-0000D2130000}"/>
    <cellStyle name="Normal 2 2 6 9" xfId="5086" xr:uid="{00000000-0005-0000-0000-0000D3130000}"/>
    <cellStyle name="Normal 2 2 60" xfId="5087" xr:uid="{00000000-0005-0000-0000-0000D4130000}"/>
    <cellStyle name="Normal 2 2 60 2" xfId="5088" xr:uid="{00000000-0005-0000-0000-0000D5130000}"/>
    <cellStyle name="Normal 2 2 60 2 2" xfId="5089" xr:uid="{00000000-0005-0000-0000-0000D6130000}"/>
    <cellStyle name="Normal 2 2 60 3" xfId="5090" xr:uid="{00000000-0005-0000-0000-0000D7130000}"/>
    <cellStyle name="Normal 2 2 61" xfId="5091" xr:uid="{00000000-0005-0000-0000-0000D8130000}"/>
    <cellStyle name="Normal 2 2 61 2" xfId="5092" xr:uid="{00000000-0005-0000-0000-0000D9130000}"/>
    <cellStyle name="Normal 2 2 61 2 2" xfId="5093" xr:uid="{00000000-0005-0000-0000-0000DA130000}"/>
    <cellStyle name="Normal 2 2 61 3" xfId="5094" xr:uid="{00000000-0005-0000-0000-0000DB130000}"/>
    <cellStyle name="Normal 2 2 62" xfId="5095" xr:uid="{00000000-0005-0000-0000-0000DC130000}"/>
    <cellStyle name="Normal 2 2 62 2" xfId="5096" xr:uid="{00000000-0005-0000-0000-0000DD130000}"/>
    <cellStyle name="Normal 2 2 62 2 2" xfId="5097" xr:uid="{00000000-0005-0000-0000-0000DE130000}"/>
    <cellStyle name="Normal 2 2 62 3" xfId="5098" xr:uid="{00000000-0005-0000-0000-0000DF130000}"/>
    <cellStyle name="Normal 2 2 63" xfId="5099" xr:uid="{00000000-0005-0000-0000-0000E0130000}"/>
    <cellStyle name="Normal 2 2 63 2" xfId="5100" xr:uid="{00000000-0005-0000-0000-0000E1130000}"/>
    <cellStyle name="Normal 2 2 63 2 2" xfId="5101" xr:uid="{00000000-0005-0000-0000-0000E2130000}"/>
    <cellStyle name="Normal 2 2 63 3" xfId="5102" xr:uid="{00000000-0005-0000-0000-0000E3130000}"/>
    <cellStyle name="Normal 2 2 64" xfId="5103" xr:uid="{00000000-0005-0000-0000-0000E4130000}"/>
    <cellStyle name="Normal 2 2 64 2" xfId="5104" xr:uid="{00000000-0005-0000-0000-0000E5130000}"/>
    <cellStyle name="Normal 2 2 64 2 2" xfId="5105" xr:uid="{00000000-0005-0000-0000-0000E6130000}"/>
    <cellStyle name="Normal 2 2 64 3" xfId="5106" xr:uid="{00000000-0005-0000-0000-0000E7130000}"/>
    <cellStyle name="Normal 2 2 65" xfId="5107" xr:uid="{00000000-0005-0000-0000-0000E8130000}"/>
    <cellStyle name="Normal 2 2 65 2" xfId="5108" xr:uid="{00000000-0005-0000-0000-0000E9130000}"/>
    <cellStyle name="Normal 2 2 66" xfId="5109" xr:uid="{00000000-0005-0000-0000-0000EA130000}"/>
    <cellStyle name="Normal 2 2 66 2" xfId="5110" xr:uid="{00000000-0005-0000-0000-0000EB130000}"/>
    <cellStyle name="Normal 2 2 67" xfId="5111" xr:uid="{00000000-0005-0000-0000-0000EC130000}"/>
    <cellStyle name="Normal 2 2 67 2" xfId="5112" xr:uid="{00000000-0005-0000-0000-0000ED130000}"/>
    <cellStyle name="Normal 2 2 68" xfId="5113" xr:uid="{00000000-0005-0000-0000-0000EE130000}"/>
    <cellStyle name="Normal 2 2 68 2" xfId="5114" xr:uid="{00000000-0005-0000-0000-0000EF130000}"/>
    <cellStyle name="Normal 2 2 69" xfId="5115" xr:uid="{00000000-0005-0000-0000-0000F0130000}"/>
    <cellStyle name="Normal 2 2 69 2" xfId="5116" xr:uid="{00000000-0005-0000-0000-0000F1130000}"/>
    <cellStyle name="Normal 2 2 7" xfId="5117" xr:uid="{00000000-0005-0000-0000-0000F2130000}"/>
    <cellStyle name="Normal 2 2 7 10" xfId="5118" xr:uid="{00000000-0005-0000-0000-0000F3130000}"/>
    <cellStyle name="Normal 2 2 7 11" xfId="5119" xr:uid="{00000000-0005-0000-0000-0000F4130000}"/>
    <cellStyle name="Normal 2 2 7 12" xfId="5120" xr:uid="{00000000-0005-0000-0000-0000F5130000}"/>
    <cellStyle name="Normal 2 2 7 13" xfId="5121" xr:uid="{00000000-0005-0000-0000-0000F6130000}"/>
    <cellStyle name="Normal 2 2 7 14" xfId="5122" xr:uid="{00000000-0005-0000-0000-0000F7130000}"/>
    <cellStyle name="Normal 2 2 7 15" xfId="5123" xr:uid="{00000000-0005-0000-0000-0000F8130000}"/>
    <cellStyle name="Normal 2 2 7 16" xfId="5124" xr:uid="{00000000-0005-0000-0000-0000F9130000}"/>
    <cellStyle name="Normal 2 2 7 17" xfId="5125" xr:uid="{00000000-0005-0000-0000-0000FA130000}"/>
    <cellStyle name="Normal 2 2 7 18" xfId="5126" xr:uid="{00000000-0005-0000-0000-0000FB130000}"/>
    <cellStyle name="Normal 2 2 7 19" xfId="5127" xr:uid="{00000000-0005-0000-0000-0000FC130000}"/>
    <cellStyle name="Normal 2 2 7 2" xfId="5128" xr:uid="{00000000-0005-0000-0000-0000FD130000}"/>
    <cellStyle name="Normal 2 2 7 2 2" xfId="5129" xr:uid="{00000000-0005-0000-0000-0000FE130000}"/>
    <cellStyle name="Normal 2 2 7 20" xfId="5130" xr:uid="{00000000-0005-0000-0000-0000FF130000}"/>
    <cellStyle name="Normal 2 2 7 21" xfId="5131" xr:uid="{00000000-0005-0000-0000-000000140000}"/>
    <cellStyle name="Normal 2 2 7 22" xfId="5132" xr:uid="{00000000-0005-0000-0000-000001140000}"/>
    <cellStyle name="Normal 2 2 7 3" xfId="5133" xr:uid="{00000000-0005-0000-0000-000002140000}"/>
    <cellStyle name="Normal 2 2 7 3 2" xfId="5134" xr:uid="{00000000-0005-0000-0000-000003140000}"/>
    <cellStyle name="Normal 2 2 7 3 3" xfId="5135" xr:uid="{00000000-0005-0000-0000-000004140000}"/>
    <cellStyle name="Normal 2 2 7 4" xfId="5136" xr:uid="{00000000-0005-0000-0000-000005140000}"/>
    <cellStyle name="Normal 2 2 7 5" xfId="5137" xr:uid="{00000000-0005-0000-0000-000006140000}"/>
    <cellStyle name="Normal 2 2 7 6" xfId="5138" xr:uid="{00000000-0005-0000-0000-000007140000}"/>
    <cellStyle name="Normal 2 2 7 7" xfId="5139" xr:uid="{00000000-0005-0000-0000-000008140000}"/>
    <cellStyle name="Normal 2 2 7 8" xfId="5140" xr:uid="{00000000-0005-0000-0000-000009140000}"/>
    <cellStyle name="Normal 2 2 7 9" xfId="5141" xr:uid="{00000000-0005-0000-0000-00000A140000}"/>
    <cellStyle name="Normal 2 2 70" xfId="5142" xr:uid="{00000000-0005-0000-0000-00000B140000}"/>
    <cellStyle name="Normal 2 2 70 2" xfId="5143" xr:uid="{00000000-0005-0000-0000-00000C140000}"/>
    <cellStyle name="Normal 2 2 71" xfId="5144" xr:uid="{00000000-0005-0000-0000-00000D140000}"/>
    <cellStyle name="Normal 2 2 71 2" xfId="5145" xr:uid="{00000000-0005-0000-0000-00000E140000}"/>
    <cellStyle name="Normal 2 2 72" xfId="5146" xr:uid="{00000000-0005-0000-0000-00000F140000}"/>
    <cellStyle name="Normal 2 2 72 2" xfId="5147" xr:uid="{00000000-0005-0000-0000-000010140000}"/>
    <cellStyle name="Normal 2 2 73" xfId="5148" xr:uid="{00000000-0005-0000-0000-000011140000}"/>
    <cellStyle name="Normal 2 2 73 2" xfId="5149" xr:uid="{00000000-0005-0000-0000-000012140000}"/>
    <cellStyle name="Normal 2 2 74" xfId="5150" xr:uid="{00000000-0005-0000-0000-000013140000}"/>
    <cellStyle name="Normal 2 2 74 2" xfId="5151" xr:uid="{00000000-0005-0000-0000-000014140000}"/>
    <cellStyle name="Normal 2 2 75" xfId="5152" xr:uid="{00000000-0005-0000-0000-000015140000}"/>
    <cellStyle name="Normal 2 2 75 2" xfId="5153" xr:uid="{00000000-0005-0000-0000-000016140000}"/>
    <cellStyle name="Normal 2 2 76" xfId="5154" xr:uid="{00000000-0005-0000-0000-000017140000}"/>
    <cellStyle name="Normal 2 2 76 2" xfId="5155" xr:uid="{00000000-0005-0000-0000-000018140000}"/>
    <cellStyle name="Normal 2 2 77" xfId="5156" xr:uid="{00000000-0005-0000-0000-000019140000}"/>
    <cellStyle name="Normal 2 2 77 2" xfId="5157" xr:uid="{00000000-0005-0000-0000-00001A140000}"/>
    <cellStyle name="Normal 2 2 78" xfId="5158" xr:uid="{00000000-0005-0000-0000-00001B140000}"/>
    <cellStyle name="Normal 2 2 78 2" xfId="5159" xr:uid="{00000000-0005-0000-0000-00001C140000}"/>
    <cellStyle name="Normal 2 2 79" xfId="5160" xr:uid="{00000000-0005-0000-0000-00001D140000}"/>
    <cellStyle name="Normal 2 2 79 2" xfId="5161" xr:uid="{00000000-0005-0000-0000-00001E140000}"/>
    <cellStyle name="Normal 2 2 8" xfId="5162" xr:uid="{00000000-0005-0000-0000-00001F140000}"/>
    <cellStyle name="Normal 2 2 8 2" xfId="5163" xr:uid="{00000000-0005-0000-0000-000020140000}"/>
    <cellStyle name="Normal 2 2 8 2 2" xfId="5164" xr:uid="{00000000-0005-0000-0000-000021140000}"/>
    <cellStyle name="Normal 2 2 8 2 3" xfId="5165" xr:uid="{00000000-0005-0000-0000-000022140000}"/>
    <cellStyle name="Normal 2 2 8 3" xfId="5166" xr:uid="{00000000-0005-0000-0000-000023140000}"/>
    <cellStyle name="Normal 2 2 8 4" xfId="5167" xr:uid="{00000000-0005-0000-0000-000024140000}"/>
    <cellStyle name="Normal 2 2 8 5" xfId="5168" xr:uid="{00000000-0005-0000-0000-000025140000}"/>
    <cellStyle name="Normal 2 2 80" xfId="5169" xr:uid="{00000000-0005-0000-0000-000026140000}"/>
    <cellStyle name="Normal 2 2 80 2" xfId="5170" xr:uid="{00000000-0005-0000-0000-000027140000}"/>
    <cellStyle name="Normal 2 2 81" xfId="5171" xr:uid="{00000000-0005-0000-0000-000028140000}"/>
    <cellStyle name="Normal 2 2 81 2" xfId="5172" xr:uid="{00000000-0005-0000-0000-000029140000}"/>
    <cellStyle name="Normal 2 2 82" xfId="5173" xr:uid="{00000000-0005-0000-0000-00002A140000}"/>
    <cellStyle name="Normal 2 2 82 2" xfId="5174" xr:uid="{00000000-0005-0000-0000-00002B140000}"/>
    <cellStyle name="Normal 2 2 83" xfId="5175" xr:uid="{00000000-0005-0000-0000-00002C140000}"/>
    <cellStyle name="Normal 2 2 83 2" xfId="5176" xr:uid="{00000000-0005-0000-0000-00002D140000}"/>
    <cellStyle name="Normal 2 2 84" xfId="5177" xr:uid="{00000000-0005-0000-0000-00002E140000}"/>
    <cellStyle name="Normal 2 2 84 2" xfId="5178" xr:uid="{00000000-0005-0000-0000-00002F140000}"/>
    <cellStyle name="Normal 2 2 85" xfId="5179" xr:uid="{00000000-0005-0000-0000-000030140000}"/>
    <cellStyle name="Normal 2 2 85 2" xfId="5180" xr:uid="{00000000-0005-0000-0000-000031140000}"/>
    <cellStyle name="Normal 2 2 86" xfId="5181" xr:uid="{00000000-0005-0000-0000-000032140000}"/>
    <cellStyle name="Normal 2 2 86 2" xfId="5182" xr:uid="{00000000-0005-0000-0000-000033140000}"/>
    <cellStyle name="Normal 2 2 87" xfId="5183" xr:uid="{00000000-0005-0000-0000-000034140000}"/>
    <cellStyle name="Normal 2 2 87 2" xfId="5184" xr:uid="{00000000-0005-0000-0000-000035140000}"/>
    <cellStyle name="Normal 2 2 88" xfId="5185" xr:uid="{00000000-0005-0000-0000-000036140000}"/>
    <cellStyle name="Normal 2 2 88 2" xfId="5186" xr:uid="{00000000-0005-0000-0000-000037140000}"/>
    <cellStyle name="Normal 2 2 89" xfId="5187" xr:uid="{00000000-0005-0000-0000-000038140000}"/>
    <cellStyle name="Normal 2 2 89 2" xfId="5188" xr:uid="{00000000-0005-0000-0000-000039140000}"/>
    <cellStyle name="Normal 2 2 9" xfId="5189" xr:uid="{00000000-0005-0000-0000-00003A140000}"/>
    <cellStyle name="Normal 2 2 9 2" xfId="5190" xr:uid="{00000000-0005-0000-0000-00003B140000}"/>
    <cellStyle name="Normal 2 2 9 2 2" xfId="5191" xr:uid="{00000000-0005-0000-0000-00003C140000}"/>
    <cellStyle name="Normal 2 2 9 3" xfId="5192" xr:uid="{00000000-0005-0000-0000-00003D140000}"/>
    <cellStyle name="Normal 2 2 90" xfId="5193" xr:uid="{00000000-0005-0000-0000-00003E140000}"/>
    <cellStyle name="Normal 2 2 90 2" xfId="5194" xr:uid="{00000000-0005-0000-0000-00003F140000}"/>
    <cellStyle name="Normal 2 2 91" xfId="5195" xr:uid="{00000000-0005-0000-0000-000040140000}"/>
    <cellStyle name="Normal 2 2 91 2" xfId="5196" xr:uid="{00000000-0005-0000-0000-000041140000}"/>
    <cellStyle name="Normal 2 2 92" xfId="5197" xr:uid="{00000000-0005-0000-0000-000042140000}"/>
    <cellStyle name="Normal 2 2 92 2" xfId="5198" xr:uid="{00000000-0005-0000-0000-000043140000}"/>
    <cellStyle name="Normal 2 2 93" xfId="5199" xr:uid="{00000000-0005-0000-0000-000044140000}"/>
    <cellStyle name="Normal 2 2 93 2" xfId="5200" xr:uid="{00000000-0005-0000-0000-000045140000}"/>
    <cellStyle name="Normal 2 2 94" xfId="5201" xr:uid="{00000000-0005-0000-0000-000046140000}"/>
    <cellStyle name="Normal 2 2 94 2" xfId="5202" xr:uid="{00000000-0005-0000-0000-000047140000}"/>
    <cellStyle name="Normal 2 2 95" xfId="5203" xr:uid="{00000000-0005-0000-0000-000048140000}"/>
    <cellStyle name="Normal 2 2 95 2" xfId="5204" xr:uid="{00000000-0005-0000-0000-000049140000}"/>
    <cellStyle name="Normal 2 2 96" xfId="5205" xr:uid="{00000000-0005-0000-0000-00004A140000}"/>
    <cellStyle name="Normal 2 2 96 2" xfId="5206" xr:uid="{00000000-0005-0000-0000-00004B140000}"/>
    <cellStyle name="Normal 2 2 97" xfId="5207" xr:uid="{00000000-0005-0000-0000-00004C140000}"/>
    <cellStyle name="Normal 2 2 97 2" xfId="5208" xr:uid="{00000000-0005-0000-0000-00004D140000}"/>
    <cellStyle name="Normal 2 2 98" xfId="5209" xr:uid="{00000000-0005-0000-0000-00004E140000}"/>
    <cellStyle name="Normal 2 2 98 2" xfId="5210" xr:uid="{00000000-0005-0000-0000-00004F140000}"/>
    <cellStyle name="Normal 2 2 99" xfId="5211" xr:uid="{00000000-0005-0000-0000-000050140000}"/>
    <cellStyle name="Normal 2 2 99 2" xfId="5212" xr:uid="{00000000-0005-0000-0000-000051140000}"/>
    <cellStyle name="Normal 2 20" xfId="5213" xr:uid="{00000000-0005-0000-0000-000052140000}"/>
    <cellStyle name="Normal 2 20 2" xfId="5214" xr:uid="{00000000-0005-0000-0000-000053140000}"/>
    <cellStyle name="Normal 2 20 2 2" xfId="5215" xr:uid="{00000000-0005-0000-0000-000054140000}"/>
    <cellStyle name="Normal 2 20 3" xfId="5216" xr:uid="{00000000-0005-0000-0000-000055140000}"/>
    <cellStyle name="Normal 2 21" xfId="5217" xr:uid="{00000000-0005-0000-0000-000056140000}"/>
    <cellStyle name="Normal 2 21 2" xfId="5218" xr:uid="{00000000-0005-0000-0000-000057140000}"/>
    <cellStyle name="Normal 2 21 2 2" xfId="5219" xr:uid="{00000000-0005-0000-0000-000058140000}"/>
    <cellStyle name="Normal 2 21 3" xfId="5220" xr:uid="{00000000-0005-0000-0000-000059140000}"/>
    <cellStyle name="Normal 2 22" xfId="5221" xr:uid="{00000000-0005-0000-0000-00005A140000}"/>
    <cellStyle name="Normal 2 22 2" xfId="5222" xr:uid="{00000000-0005-0000-0000-00005B140000}"/>
    <cellStyle name="Normal 2 22 2 2" xfId="5223" xr:uid="{00000000-0005-0000-0000-00005C140000}"/>
    <cellStyle name="Normal 2 22 3" xfId="5224" xr:uid="{00000000-0005-0000-0000-00005D140000}"/>
    <cellStyle name="Normal 2 23" xfId="5225" xr:uid="{00000000-0005-0000-0000-00005E140000}"/>
    <cellStyle name="Normal 2 23 2" xfId="5226" xr:uid="{00000000-0005-0000-0000-00005F140000}"/>
    <cellStyle name="Normal 2 23 2 2" xfId="5227" xr:uid="{00000000-0005-0000-0000-000060140000}"/>
    <cellStyle name="Normal 2 23 3" xfId="5228" xr:uid="{00000000-0005-0000-0000-000061140000}"/>
    <cellStyle name="Normal 2 24" xfId="5229" xr:uid="{00000000-0005-0000-0000-000062140000}"/>
    <cellStyle name="Normal 2 24 2" xfId="5230" xr:uid="{00000000-0005-0000-0000-000063140000}"/>
    <cellStyle name="Normal 2 24 2 2" xfId="5231" xr:uid="{00000000-0005-0000-0000-000064140000}"/>
    <cellStyle name="Normal 2 24 3" xfId="5232" xr:uid="{00000000-0005-0000-0000-000065140000}"/>
    <cellStyle name="Normal 2 25" xfId="5233" xr:uid="{00000000-0005-0000-0000-000066140000}"/>
    <cellStyle name="Normal 2 25 2" xfId="5234" xr:uid="{00000000-0005-0000-0000-000067140000}"/>
    <cellStyle name="Normal 2 25 2 2" xfId="5235" xr:uid="{00000000-0005-0000-0000-000068140000}"/>
    <cellStyle name="Normal 2 25 3" xfId="5236" xr:uid="{00000000-0005-0000-0000-000069140000}"/>
    <cellStyle name="Normal 2 26" xfId="5237" xr:uid="{00000000-0005-0000-0000-00006A140000}"/>
    <cellStyle name="Normal 2 26 2" xfId="5238" xr:uid="{00000000-0005-0000-0000-00006B140000}"/>
    <cellStyle name="Normal 2 26 2 2" xfId="5239" xr:uid="{00000000-0005-0000-0000-00006C140000}"/>
    <cellStyle name="Normal 2 26 3" xfId="5240" xr:uid="{00000000-0005-0000-0000-00006D140000}"/>
    <cellStyle name="Normal 2 27" xfId="5241" xr:uid="{00000000-0005-0000-0000-00006E140000}"/>
    <cellStyle name="Normal 2 27 2" xfId="5242" xr:uid="{00000000-0005-0000-0000-00006F140000}"/>
    <cellStyle name="Normal 2 27 2 2" xfId="5243" xr:uid="{00000000-0005-0000-0000-000070140000}"/>
    <cellStyle name="Normal 2 27 3" xfId="5244" xr:uid="{00000000-0005-0000-0000-000071140000}"/>
    <cellStyle name="Normal 2 28" xfId="5245" xr:uid="{00000000-0005-0000-0000-000072140000}"/>
    <cellStyle name="Normal 2 28 2" xfId="5246" xr:uid="{00000000-0005-0000-0000-000073140000}"/>
    <cellStyle name="Normal 2 28 2 2" xfId="5247" xr:uid="{00000000-0005-0000-0000-000074140000}"/>
    <cellStyle name="Normal 2 28 3" xfId="5248" xr:uid="{00000000-0005-0000-0000-000075140000}"/>
    <cellStyle name="Normal 2 29" xfId="5249" xr:uid="{00000000-0005-0000-0000-000076140000}"/>
    <cellStyle name="Normal 2 29 2" xfId="5250" xr:uid="{00000000-0005-0000-0000-000077140000}"/>
    <cellStyle name="Normal 2 29 2 2" xfId="5251" xr:uid="{00000000-0005-0000-0000-000078140000}"/>
    <cellStyle name="Normal 2 29 3" xfId="5252" xr:uid="{00000000-0005-0000-0000-000079140000}"/>
    <cellStyle name="Normal 2 3" xfId="16" xr:uid="{00000000-0005-0000-0000-00007A140000}"/>
    <cellStyle name="Normal 2 3 10" xfId="5253" xr:uid="{00000000-0005-0000-0000-00007B140000}"/>
    <cellStyle name="Normal 2 3 100" xfId="5254" xr:uid="{00000000-0005-0000-0000-00007C140000}"/>
    <cellStyle name="Normal 2 3 101" xfId="5255" xr:uid="{00000000-0005-0000-0000-00007D140000}"/>
    <cellStyle name="Normal 2 3 102" xfId="5256" xr:uid="{00000000-0005-0000-0000-00007E140000}"/>
    <cellStyle name="Normal 2 3 103" xfId="5257" xr:uid="{00000000-0005-0000-0000-00007F140000}"/>
    <cellStyle name="Normal 2 3 104" xfId="5258" xr:uid="{00000000-0005-0000-0000-000080140000}"/>
    <cellStyle name="Normal 2 3 105" xfId="5259" xr:uid="{00000000-0005-0000-0000-000081140000}"/>
    <cellStyle name="Normal 2 3 106" xfId="5260" xr:uid="{00000000-0005-0000-0000-000082140000}"/>
    <cellStyle name="Normal 2 3 107" xfId="5261" xr:uid="{00000000-0005-0000-0000-000083140000}"/>
    <cellStyle name="Normal 2 3 108" xfId="5262" xr:uid="{00000000-0005-0000-0000-000084140000}"/>
    <cellStyle name="Normal 2 3 109" xfId="5263" xr:uid="{00000000-0005-0000-0000-000085140000}"/>
    <cellStyle name="Normal 2 3 11" xfId="5264" xr:uid="{00000000-0005-0000-0000-000086140000}"/>
    <cellStyle name="Normal 2 3 110" xfId="5265" xr:uid="{00000000-0005-0000-0000-000087140000}"/>
    <cellStyle name="Normal 2 3 111" xfId="5266" xr:uid="{00000000-0005-0000-0000-000088140000}"/>
    <cellStyle name="Normal 2 3 112" xfId="5267" xr:uid="{00000000-0005-0000-0000-000089140000}"/>
    <cellStyle name="Normal 2 3 113" xfId="5268" xr:uid="{00000000-0005-0000-0000-00008A140000}"/>
    <cellStyle name="Normal 2 3 114" xfId="5269" xr:uid="{00000000-0005-0000-0000-00008B140000}"/>
    <cellStyle name="Normal 2 3 115" xfId="5270" xr:uid="{00000000-0005-0000-0000-00008C140000}"/>
    <cellStyle name="Normal 2 3 116" xfId="5271" xr:uid="{00000000-0005-0000-0000-00008D140000}"/>
    <cellStyle name="Normal 2 3 117" xfId="5272" xr:uid="{00000000-0005-0000-0000-00008E140000}"/>
    <cellStyle name="Normal 2 3 118" xfId="5273" xr:uid="{00000000-0005-0000-0000-00008F140000}"/>
    <cellStyle name="Normal 2 3 119" xfId="5274" xr:uid="{00000000-0005-0000-0000-000090140000}"/>
    <cellStyle name="Normal 2 3 12" xfId="5275" xr:uid="{00000000-0005-0000-0000-000091140000}"/>
    <cellStyle name="Normal 2 3 120" xfId="5276" xr:uid="{00000000-0005-0000-0000-000092140000}"/>
    <cellStyle name="Normal 2 3 121" xfId="5277" xr:uid="{00000000-0005-0000-0000-000093140000}"/>
    <cellStyle name="Normal 2 3 122" xfId="5278" xr:uid="{00000000-0005-0000-0000-000094140000}"/>
    <cellStyle name="Normal 2 3 123" xfId="5279" xr:uid="{00000000-0005-0000-0000-000095140000}"/>
    <cellStyle name="Normal 2 3 124" xfId="5280" xr:uid="{00000000-0005-0000-0000-000096140000}"/>
    <cellStyle name="Normal 2 3 125" xfId="5281" xr:uid="{00000000-0005-0000-0000-000097140000}"/>
    <cellStyle name="Normal 2 3 126" xfId="5282" xr:uid="{00000000-0005-0000-0000-000098140000}"/>
    <cellStyle name="Normal 2 3 127" xfId="5283" xr:uid="{00000000-0005-0000-0000-000099140000}"/>
    <cellStyle name="Normal 2 3 128" xfId="5284" xr:uid="{00000000-0005-0000-0000-00009A140000}"/>
    <cellStyle name="Normal 2 3 129" xfId="5285" xr:uid="{00000000-0005-0000-0000-00009B140000}"/>
    <cellStyle name="Normal 2 3 13" xfId="5286" xr:uid="{00000000-0005-0000-0000-00009C140000}"/>
    <cellStyle name="Normal 2 3 130" xfId="5287" xr:uid="{00000000-0005-0000-0000-00009D140000}"/>
    <cellStyle name="Normal 2 3 131" xfId="5288" xr:uid="{00000000-0005-0000-0000-00009E140000}"/>
    <cellStyle name="Normal 2 3 132" xfId="5289" xr:uid="{00000000-0005-0000-0000-00009F140000}"/>
    <cellStyle name="Normal 2 3 133" xfId="5290" xr:uid="{00000000-0005-0000-0000-0000A0140000}"/>
    <cellStyle name="Normal 2 3 134" xfId="5291" xr:uid="{00000000-0005-0000-0000-0000A1140000}"/>
    <cellStyle name="Normal 2 3 135" xfId="5292" xr:uid="{00000000-0005-0000-0000-0000A2140000}"/>
    <cellStyle name="Normal 2 3 136" xfId="5293" xr:uid="{00000000-0005-0000-0000-0000A3140000}"/>
    <cellStyle name="Normal 2 3 137" xfId="5294" xr:uid="{00000000-0005-0000-0000-0000A4140000}"/>
    <cellStyle name="Normal 2 3 138" xfId="5295" xr:uid="{00000000-0005-0000-0000-0000A5140000}"/>
    <cellStyle name="Normal 2 3 139" xfId="5296" xr:uid="{00000000-0005-0000-0000-0000A6140000}"/>
    <cellStyle name="Normal 2 3 14" xfId="5297" xr:uid="{00000000-0005-0000-0000-0000A7140000}"/>
    <cellStyle name="Normal 2 3 140" xfId="5298" xr:uid="{00000000-0005-0000-0000-0000A8140000}"/>
    <cellStyle name="Normal 2 3 141" xfId="5299" xr:uid="{00000000-0005-0000-0000-0000A9140000}"/>
    <cellStyle name="Normal 2 3 142" xfId="5300" xr:uid="{00000000-0005-0000-0000-0000AA140000}"/>
    <cellStyle name="Normal 2 3 143" xfId="5301" xr:uid="{00000000-0005-0000-0000-0000AB140000}"/>
    <cellStyle name="Normal 2 3 144" xfId="5302" xr:uid="{00000000-0005-0000-0000-0000AC140000}"/>
    <cellStyle name="Normal 2 3 15" xfId="5303" xr:uid="{00000000-0005-0000-0000-0000AD140000}"/>
    <cellStyle name="Normal 2 3 16" xfId="5304" xr:uid="{00000000-0005-0000-0000-0000AE140000}"/>
    <cellStyle name="Normal 2 3 17" xfId="5305" xr:uid="{00000000-0005-0000-0000-0000AF140000}"/>
    <cellStyle name="Normal 2 3 18" xfId="5306" xr:uid="{00000000-0005-0000-0000-0000B0140000}"/>
    <cellStyle name="Normal 2 3 19" xfId="5307" xr:uid="{00000000-0005-0000-0000-0000B1140000}"/>
    <cellStyle name="Normal 2 3 2" xfId="5308" xr:uid="{00000000-0005-0000-0000-0000B2140000}"/>
    <cellStyle name="Normal 2 3 2 2" xfId="5309" xr:uid="{00000000-0005-0000-0000-0000B3140000}"/>
    <cellStyle name="Normal 2 3 2 2 10" xfId="5310" xr:uid="{00000000-0005-0000-0000-0000B4140000}"/>
    <cellStyle name="Normal 2 3 2 2 2" xfId="5311" xr:uid="{00000000-0005-0000-0000-0000B5140000}"/>
    <cellStyle name="Normal 2 3 2 2 3" xfId="5312" xr:uid="{00000000-0005-0000-0000-0000B6140000}"/>
    <cellStyle name="Normal 2 3 2 2 4" xfId="5313" xr:uid="{00000000-0005-0000-0000-0000B7140000}"/>
    <cellStyle name="Normal 2 3 2 2 5" xfId="5314" xr:uid="{00000000-0005-0000-0000-0000B8140000}"/>
    <cellStyle name="Normal 2 3 2 2 6" xfId="5315" xr:uid="{00000000-0005-0000-0000-0000B9140000}"/>
    <cellStyle name="Normal 2 3 2 2 7" xfId="5316" xr:uid="{00000000-0005-0000-0000-0000BA140000}"/>
    <cellStyle name="Normal 2 3 2 2 8" xfId="5317" xr:uid="{00000000-0005-0000-0000-0000BB140000}"/>
    <cellStyle name="Normal 2 3 2 2 9" xfId="5318" xr:uid="{00000000-0005-0000-0000-0000BC140000}"/>
    <cellStyle name="Normal 2 3 2 3" xfId="5319" xr:uid="{00000000-0005-0000-0000-0000BD140000}"/>
    <cellStyle name="Normal 2 3 2 3 2" xfId="5320" xr:uid="{00000000-0005-0000-0000-0000BE140000}"/>
    <cellStyle name="Normal 2 3 2 4" xfId="5321" xr:uid="{00000000-0005-0000-0000-0000BF140000}"/>
    <cellStyle name="Normal 2 3 2 4 2" xfId="5322" xr:uid="{00000000-0005-0000-0000-0000C0140000}"/>
    <cellStyle name="Normal 2 3 2 5" xfId="5323" xr:uid="{00000000-0005-0000-0000-0000C1140000}"/>
    <cellStyle name="Normal 2 3 2 5 2" xfId="5324" xr:uid="{00000000-0005-0000-0000-0000C2140000}"/>
    <cellStyle name="Normal 2 3 2 6" xfId="5325" xr:uid="{00000000-0005-0000-0000-0000C3140000}"/>
    <cellStyle name="Normal 2 3 2 6 2" xfId="5326" xr:uid="{00000000-0005-0000-0000-0000C4140000}"/>
    <cellStyle name="Normal 2 3 2 7" xfId="5327" xr:uid="{00000000-0005-0000-0000-0000C5140000}"/>
    <cellStyle name="Normal 2 3 2 7 2" xfId="5328" xr:uid="{00000000-0005-0000-0000-0000C6140000}"/>
    <cellStyle name="Normal 2 3 2 8" xfId="5329" xr:uid="{00000000-0005-0000-0000-0000C7140000}"/>
    <cellStyle name="Normal 2 3 2 8 2" xfId="5330" xr:uid="{00000000-0005-0000-0000-0000C8140000}"/>
    <cellStyle name="Normal 2 3 2 9" xfId="5331" xr:uid="{00000000-0005-0000-0000-0000C9140000}"/>
    <cellStyle name="Normal 2 3 2 9 2" xfId="5332" xr:uid="{00000000-0005-0000-0000-0000CA140000}"/>
    <cellStyle name="Normal 2 3 20" xfId="5333" xr:uid="{00000000-0005-0000-0000-0000CB140000}"/>
    <cellStyle name="Normal 2 3 21" xfId="5334" xr:uid="{00000000-0005-0000-0000-0000CC140000}"/>
    <cellStyle name="Normal 2 3 22" xfId="5335" xr:uid="{00000000-0005-0000-0000-0000CD140000}"/>
    <cellStyle name="Normal 2 3 23" xfId="5336" xr:uid="{00000000-0005-0000-0000-0000CE140000}"/>
    <cellStyle name="Normal 2 3 24" xfId="5337" xr:uid="{00000000-0005-0000-0000-0000CF140000}"/>
    <cellStyle name="Normal 2 3 25" xfId="5338" xr:uid="{00000000-0005-0000-0000-0000D0140000}"/>
    <cellStyle name="Normal 2 3 26" xfId="5339" xr:uid="{00000000-0005-0000-0000-0000D1140000}"/>
    <cellStyle name="Normal 2 3 27" xfId="5340" xr:uid="{00000000-0005-0000-0000-0000D2140000}"/>
    <cellStyle name="Normal 2 3 28" xfId="5341" xr:uid="{00000000-0005-0000-0000-0000D3140000}"/>
    <cellStyle name="Normal 2 3 29" xfId="5342" xr:uid="{00000000-0005-0000-0000-0000D4140000}"/>
    <cellStyle name="Normal 2 3 3" xfId="5343" xr:uid="{00000000-0005-0000-0000-0000D5140000}"/>
    <cellStyle name="Normal 2 3 3 2" xfId="5344" xr:uid="{00000000-0005-0000-0000-0000D6140000}"/>
    <cellStyle name="Normal 2 3 3 2 2" xfId="5345" xr:uid="{00000000-0005-0000-0000-0000D7140000}"/>
    <cellStyle name="Normal 2 3 3 2 3" xfId="5346" xr:uid="{00000000-0005-0000-0000-0000D8140000}"/>
    <cellStyle name="Normal 2 3 3 3" xfId="5347" xr:uid="{00000000-0005-0000-0000-0000D9140000}"/>
    <cellStyle name="Normal 2 3 3 4" xfId="5348" xr:uid="{00000000-0005-0000-0000-0000DA140000}"/>
    <cellStyle name="Normal 2 3 30" xfId="5349" xr:uid="{00000000-0005-0000-0000-0000DB140000}"/>
    <cellStyle name="Normal 2 3 31" xfId="5350" xr:uid="{00000000-0005-0000-0000-0000DC140000}"/>
    <cellStyle name="Normal 2 3 32" xfId="5351" xr:uid="{00000000-0005-0000-0000-0000DD140000}"/>
    <cellStyle name="Normal 2 3 33" xfId="5352" xr:uid="{00000000-0005-0000-0000-0000DE140000}"/>
    <cellStyle name="Normal 2 3 34" xfId="5353" xr:uid="{00000000-0005-0000-0000-0000DF140000}"/>
    <cellStyle name="Normal 2 3 35" xfId="5354" xr:uid="{00000000-0005-0000-0000-0000E0140000}"/>
    <cellStyle name="Normal 2 3 36" xfId="5355" xr:uid="{00000000-0005-0000-0000-0000E1140000}"/>
    <cellStyle name="Normal 2 3 37" xfId="5356" xr:uid="{00000000-0005-0000-0000-0000E2140000}"/>
    <cellStyle name="Normal 2 3 38" xfId="5357" xr:uid="{00000000-0005-0000-0000-0000E3140000}"/>
    <cellStyle name="Normal 2 3 39" xfId="5358" xr:uid="{00000000-0005-0000-0000-0000E4140000}"/>
    <cellStyle name="Normal 2 3 4" xfId="5359" xr:uid="{00000000-0005-0000-0000-0000E5140000}"/>
    <cellStyle name="Normal 2 3 4 2" xfId="5360" xr:uid="{00000000-0005-0000-0000-0000E6140000}"/>
    <cellStyle name="Normal 2 3 40" xfId="5361" xr:uid="{00000000-0005-0000-0000-0000E7140000}"/>
    <cellStyle name="Normal 2 3 41" xfId="5362" xr:uid="{00000000-0005-0000-0000-0000E8140000}"/>
    <cellStyle name="Normal 2 3 42" xfId="5363" xr:uid="{00000000-0005-0000-0000-0000E9140000}"/>
    <cellStyle name="Normal 2 3 43" xfId="5364" xr:uid="{00000000-0005-0000-0000-0000EA140000}"/>
    <cellStyle name="Normal 2 3 44" xfId="5365" xr:uid="{00000000-0005-0000-0000-0000EB140000}"/>
    <cellStyle name="Normal 2 3 45" xfId="5366" xr:uid="{00000000-0005-0000-0000-0000EC140000}"/>
    <cellStyle name="Normal 2 3 46" xfId="5367" xr:uid="{00000000-0005-0000-0000-0000ED140000}"/>
    <cellStyle name="Normal 2 3 47" xfId="5368" xr:uid="{00000000-0005-0000-0000-0000EE140000}"/>
    <cellStyle name="Normal 2 3 48" xfId="5369" xr:uid="{00000000-0005-0000-0000-0000EF140000}"/>
    <cellStyle name="Normal 2 3 49" xfId="5370" xr:uid="{00000000-0005-0000-0000-0000F0140000}"/>
    <cellStyle name="Normal 2 3 5" xfId="5371" xr:uid="{00000000-0005-0000-0000-0000F1140000}"/>
    <cellStyle name="Normal 2 3 50" xfId="5372" xr:uid="{00000000-0005-0000-0000-0000F2140000}"/>
    <cellStyle name="Normal 2 3 51" xfId="5373" xr:uid="{00000000-0005-0000-0000-0000F3140000}"/>
    <cellStyle name="Normal 2 3 52" xfId="5374" xr:uid="{00000000-0005-0000-0000-0000F4140000}"/>
    <cellStyle name="Normal 2 3 53" xfId="5375" xr:uid="{00000000-0005-0000-0000-0000F5140000}"/>
    <cellStyle name="Normal 2 3 54" xfId="5376" xr:uid="{00000000-0005-0000-0000-0000F6140000}"/>
    <cellStyle name="Normal 2 3 55" xfId="5377" xr:uid="{00000000-0005-0000-0000-0000F7140000}"/>
    <cellStyle name="Normal 2 3 56" xfId="5378" xr:uid="{00000000-0005-0000-0000-0000F8140000}"/>
    <cellStyle name="Normal 2 3 57" xfId="5379" xr:uid="{00000000-0005-0000-0000-0000F9140000}"/>
    <cellStyle name="Normal 2 3 58" xfId="5380" xr:uid="{00000000-0005-0000-0000-0000FA140000}"/>
    <cellStyle name="Normal 2 3 59" xfId="5381" xr:uid="{00000000-0005-0000-0000-0000FB140000}"/>
    <cellStyle name="Normal 2 3 6" xfId="5382" xr:uid="{00000000-0005-0000-0000-0000FC140000}"/>
    <cellStyle name="Normal 2 3 60" xfId="5383" xr:uid="{00000000-0005-0000-0000-0000FD140000}"/>
    <cellStyle name="Normal 2 3 61" xfId="5384" xr:uid="{00000000-0005-0000-0000-0000FE140000}"/>
    <cellStyle name="Normal 2 3 62" xfId="5385" xr:uid="{00000000-0005-0000-0000-0000FF140000}"/>
    <cellStyle name="Normal 2 3 63" xfId="5386" xr:uid="{00000000-0005-0000-0000-000000150000}"/>
    <cellStyle name="Normal 2 3 64" xfId="5387" xr:uid="{00000000-0005-0000-0000-000001150000}"/>
    <cellStyle name="Normal 2 3 65" xfId="5388" xr:uid="{00000000-0005-0000-0000-000002150000}"/>
    <cellStyle name="Normal 2 3 66" xfId="5389" xr:uid="{00000000-0005-0000-0000-000003150000}"/>
    <cellStyle name="Normal 2 3 67" xfId="5390" xr:uid="{00000000-0005-0000-0000-000004150000}"/>
    <cellStyle name="Normal 2 3 68" xfId="5391" xr:uid="{00000000-0005-0000-0000-000005150000}"/>
    <cellStyle name="Normal 2 3 69" xfId="5392" xr:uid="{00000000-0005-0000-0000-000006150000}"/>
    <cellStyle name="Normal 2 3 7" xfId="5393" xr:uid="{00000000-0005-0000-0000-000007150000}"/>
    <cellStyle name="Normal 2 3 70" xfId="5394" xr:uid="{00000000-0005-0000-0000-000008150000}"/>
    <cellStyle name="Normal 2 3 71" xfId="5395" xr:uid="{00000000-0005-0000-0000-000009150000}"/>
    <cellStyle name="Normal 2 3 72" xfId="5396" xr:uid="{00000000-0005-0000-0000-00000A150000}"/>
    <cellStyle name="Normal 2 3 73" xfId="5397" xr:uid="{00000000-0005-0000-0000-00000B150000}"/>
    <cellStyle name="Normal 2 3 74" xfId="5398" xr:uid="{00000000-0005-0000-0000-00000C150000}"/>
    <cellStyle name="Normal 2 3 75" xfId="5399" xr:uid="{00000000-0005-0000-0000-00000D150000}"/>
    <cellStyle name="Normal 2 3 76" xfId="5400" xr:uid="{00000000-0005-0000-0000-00000E150000}"/>
    <cellStyle name="Normal 2 3 77" xfId="5401" xr:uid="{00000000-0005-0000-0000-00000F150000}"/>
    <cellStyle name="Normal 2 3 78" xfId="5402" xr:uid="{00000000-0005-0000-0000-000010150000}"/>
    <cellStyle name="Normal 2 3 79" xfId="5403" xr:uid="{00000000-0005-0000-0000-000011150000}"/>
    <cellStyle name="Normal 2 3 8" xfId="5404" xr:uid="{00000000-0005-0000-0000-000012150000}"/>
    <cellStyle name="Normal 2 3 80" xfId="5405" xr:uid="{00000000-0005-0000-0000-000013150000}"/>
    <cellStyle name="Normal 2 3 81" xfId="5406" xr:uid="{00000000-0005-0000-0000-000014150000}"/>
    <cellStyle name="Normal 2 3 82" xfId="5407" xr:uid="{00000000-0005-0000-0000-000015150000}"/>
    <cellStyle name="Normal 2 3 83" xfId="5408" xr:uid="{00000000-0005-0000-0000-000016150000}"/>
    <cellStyle name="Normal 2 3 84" xfId="5409" xr:uid="{00000000-0005-0000-0000-000017150000}"/>
    <cellStyle name="Normal 2 3 85" xfId="5410" xr:uid="{00000000-0005-0000-0000-000018150000}"/>
    <cellStyle name="Normal 2 3 86" xfId="5411" xr:uid="{00000000-0005-0000-0000-000019150000}"/>
    <cellStyle name="Normal 2 3 87" xfId="5412" xr:uid="{00000000-0005-0000-0000-00001A150000}"/>
    <cellStyle name="Normal 2 3 88" xfId="5413" xr:uid="{00000000-0005-0000-0000-00001B150000}"/>
    <cellStyle name="Normal 2 3 89" xfId="5414" xr:uid="{00000000-0005-0000-0000-00001C150000}"/>
    <cellStyle name="Normal 2 3 9" xfId="5415" xr:uid="{00000000-0005-0000-0000-00001D150000}"/>
    <cellStyle name="Normal 2 3 90" xfId="5416" xr:uid="{00000000-0005-0000-0000-00001E150000}"/>
    <cellStyle name="Normal 2 3 91" xfId="5417" xr:uid="{00000000-0005-0000-0000-00001F150000}"/>
    <cellStyle name="Normal 2 3 92" xfId="5418" xr:uid="{00000000-0005-0000-0000-000020150000}"/>
    <cellStyle name="Normal 2 3 93" xfId="5419" xr:uid="{00000000-0005-0000-0000-000021150000}"/>
    <cellStyle name="Normal 2 3 94" xfId="5420" xr:uid="{00000000-0005-0000-0000-000022150000}"/>
    <cellStyle name="Normal 2 3 95" xfId="5421" xr:uid="{00000000-0005-0000-0000-000023150000}"/>
    <cellStyle name="Normal 2 3 96" xfId="5422" xr:uid="{00000000-0005-0000-0000-000024150000}"/>
    <cellStyle name="Normal 2 3 96 2" xfId="5423" xr:uid="{00000000-0005-0000-0000-000025150000}"/>
    <cellStyle name="Normal 2 3 97" xfId="5424" xr:uid="{00000000-0005-0000-0000-000026150000}"/>
    <cellStyle name="Normal 2 3 98" xfId="5425" xr:uid="{00000000-0005-0000-0000-000027150000}"/>
    <cellStyle name="Normal 2 3 99" xfId="5426" xr:uid="{00000000-0005-0000-0000-000028150000}"/>
    <cellStyle name="Normal 2 30" xfId="5427" xr:uid="{00000000-0005-0000-0000-000029150000}"/>
    <cellStyle name="Normal 2 30 2" xfId="5428" xr:uid="{00000000-0005-0000-0000-00002A150000}"/>
    <cellStyle name="Normal 2 30 2 2" xfId="5429" xr:uid="{00000000-0005-0000-0000-00002B150000}"/>
    <cellStyle name="Normal 2 30 3" xfId="5430" xr:uid="{00000000-0005-0000-0000-00002C150000}"/>
    <cellStyle name="Normal 2 31" xfId="5431" xr:uid="{00000000-0005-0000-0000-00002D150000}"/>
    <cellStyle name="Normal 2 31 2" xfId="5432" xr:uid="{00000000-0005-0000-0000-00002E150000}"/>
    <cellStyle name="Normal 2 31 2 2" xfId="5433" xr:uid="{00000000-0005-0000-0000-00002F150000}"/>
    <cellStyle name="Normal 2 31 3" xfId="5434" xr:uid="{00000000-0005-0000-0000-000030150000}"/>
    <cellStyle name="Normal 2 32" xfId="5435" xr:uid="{00000000-0005-0000-0000-000031150000}"/>
    <cellStyle name="Normal 2 32 2" xfId="5436" xr:uid="{00000000-0005-0000-0000-000032150000}"/>
    <cellStyle name="Normal 2 32 2 2" xfId="5437" xr:uid="{00000000-0005-0000-0000-000033150000}"/>
    <cellStyle name="Normal 2 32 3" xfId="5438" xr:uid="{00000000-0005-0000-0000-000034150000}"/>
    <cellStyle name="Normal 2 33" xfId="5439" xr:uid="{00000000-0005-0000-0000-000035150000}"/>
    <cellStyle name="Normal 2 33 2" xfId="5440" xr:uid="{00000000-0005-0000-0000-000036150000}"/>
    <cellStyle name="Normal 2 33 2 2" xfId="5441" xr:uid="{00000000-0005-0000-0000-000037150000}"/>
    <cellStyle name="Normal 2 33 3" xfId="5442" xr:uid="{00000000-0005-0000-0000-000038150000}"/>
    <cellStyle name="Normal 2 34" xfId="5443" xr:uid="{00000000-0005-0000-0000-000039150000}"/>
    <cellStyle name="Normal 2 34 2" xfId="5444" xr:uid="{00000000-0005-0000-0000-00003A150000}"/>
    <cellStyle name="Normal 2 34 2 2" xfId="5445" xr:uid="{00000000-0005-0000-0000-00003B150000}"/>
    <cellStyle name="Normal 2 34 3" xfId="5446" xr:uid="{00000000-0005-0000-0000-00003C150000}"/>
    <cellStyle name="Normal 2 35" xfId="5447" xr:uid="{00000000-0005-0000-0000-00003D150000}"/>
    <cellStyle name="Normal 2 35 2" xfId="5448" xr:uid="{00000000-0005-0000-0000-00003E150000}"/>
    <cellStyle name="Normal 2 35 2 2" xfId="5449" xr:uid="{00000000-0005-0000-0000-00003F150000}"/>
    <cellStyle name="Normal 2 35 3" xfId="5450" xr:uid="{00000000-0005-0000-0000-000040150000}"/>
    <cellStyle name="Normal 2 36" xfId="5451" xr:uid="{00000000-0005-0000-0000-000041150000}"/>
    <cellStyle name="Normal 2 36 2" xfId="5452" xr:uid="{00000000-0005-0000-0000-000042150000}"/>
    <cellStyle name="Normal 2 36 2 2" xfId="5453" xr:uid="{00000000-0005-0000-0000-000043150000}"/>
    <cellStyle name="Normal 2 36 3" xfId="5454" xr:uid="{00000000-0005-0000-0000-000044150000}"/>
    <cellStyle name="Normal 2 37" xfId="5455" xr:uid="{00000000-0005-0000-0000-000045150000}"/>
    <cellStyle name="Normal 2 37 2" xfId="5456" xr:uid="{00000000-0005-0000-0000-000046150000}"/>
    <cellStyle name="Normal 2 37 2 2" xfId="5457" xr:uid="{00000000-0005-0000-0000-000047150000}"/>
    <cellStyle name="Normal 2 37 3" xfId="5458" xr:uid="{00000000-0005-0000-0000-000048150000}"/>
    <cellStyle name="Normal 2 38" xfId="5459" xr:uid="{00000000-0005-0000-0000-000049150000}"/>
    <cellStyle name="Normal 2 38 2" xfId="5460" xr:uid="{00000000-0005-0000-0000-00004A150000}"/>
    <cellStyle name="Normal 2 38 2 2" xfId="5461" xr:uid="{00000000-0005-0000-0000-00004B150000}"/>
    <cellStyle name="Normal 2 38 3" xfId="5462" xr:uid="{00000000-0005-0000-0000-00004C150000}"/>
    <cellStyle name="Normal 2 39" xfId="5463" xr:uid="{00000000-0005-0000-0000-00004D150000}"/>
    <cellStyle name="Normal 2 39 2" xfId="5464" xr:uid="{00000000-0005-0000-0000-00004E150000}"/>
    <cellStyle name="Normal 2 39 2 2" xfId="5465" xr:uid="{00000000-0005-0000-0000-00004F150000}"/>
    <cellStyle name="Normal 2 39 3" xfId="5466" xr:uid="{00000000-0005-0000-0000-000050150000}"/>
    <cellStyle name="Normal 2 4" xfId="5467" xr:uid="{00000000-0005-0000-0000-000051150000}"/>
    <cellStyle name="Normal 2 4 10" xfId="5468" xr:uid="{00000000-0005-0000-0000-000052150000}"/>
    <cellStyle name="Normal 2 4 11" xfId="5469" xr:uid="{00000000-0005-0000-0000-000053150000}"/>
    <cellStyle name="Normal 2 4 12" xfId="5470" xr:uid="{00000000-0005-0000-0000-000054150000}"/>
    <cellStyle name="Normal 2 4 13" xfId="5471" xr:uid="{00000000-0005-0000-0000-000055150000}"/>
    <cellStyle name="Normal 2 4 2" xfId="5472" xr:uid="{00000000-0005-0000-0000-000056150000}"/>
    <cellStyle name="Normal 2 4 2 2" xfId="5473" xr:uid="{00000000-0005-0000-0000-000057150000}"/>
    <cellStyle name="Normal 2 4 2 2 2" xfId="5474" xr:uid="{00000000-0005-0000-0000-000058150000}"/>
    <cellStyle name="Normal 2 4 2 2 2 2" xfId="5475" xr:uid="{00000000-0005-0000-0000-000059150000}"/>
    <cellStyle name="Normal 2 4 2 2 2 2 2" xfId="5476" xr:uid="{00000000-0005-0000-0000-00005A150000}"/>
    <cellStyle name="Normal 2 4 2 2 2 3" xfId="5477" xr:uid="{00000000-0005-0000-0000-00005B150000}"/>
    <cellStyle name="Normal 2 4 2 2 3" xfId="5478" xr:uid="{00000000-0005-0000-0000-00005C150000}"/>
    <cellStyle name="Normal 2 4 2 2 3 2" xfId="5479" xr:uid="{00000000-0005-0000-0000-00005D150000}"/>
    <cellStyle name="Normal 2 4 2 2 3 2 2" xfId="5480" xr:uid="{00000000-0005-0000-0000-00005E150000}"/>
    <cellStyle name="Normal 2 4 2 2 3 3" xfId="5481" xr:uid="{00000000-0005-0000-0000-00005F150000}"/>
    <cellStyle name="Normal 2 4 2 2 4" xfId="5482" xr:uid="{00000000-0005-0000-0000-000060150000}"/>
    <cellStyle name="Normal 2 4 2 2 4 2" xfId="5483" xr:uid="{00000000-0005-0000-0000-000061150000}"/>
    <cellStyle name="Normal 2 4 2 2 4 2 2" xfId="5484" xr:uid="{00000000-0005-0000-0000-000062150000}"/>
    <cellStyle name="Normal 2 4 2 2 4 3" xfId="5485" xr:uid="{00000000-0005-0000-0000-000063150000}"/>
    <cellStyle name="Normal 2 4 2 2 5" xfId="5486" xr:uid="{00000000-0005-0000-0000-000064150000}"/>
    <cellStyle name="Normal 2 4 2 2 5 2" xfId="5487" xr:uid="{00000000-0005-0000-0000-000065150000}"/>
    <cellStyle name="Normal 2 4 2 2 5 2 2" xfId="5488" xr:uid="{00000000-0005-0000-0000-000066150000}"/>
    <cellStyle name="Normal 2 4 2 2 5 3" xfId="5489" xr:uid="{00000000-0005-0000-0000-000067150000}"/>
    <cellStyle name="Normal 2 4 2 3" xfId="5490" xr:uid="{00000000-0005-0000-0000-000068150000}"/>
    <cellStyle name="Normal 2 4 2 4" xfId="5491" xr:uid="{00000000-0005-0000-0000-000069150000}"/>
    <cellStyle name="Normal 2 4 2 5" xfId="5492" xr:uid="{00000000-0005-0000-0000-00006A150000}"/>
    <cellStyle name="Normal 2 4 2 6" xfId="5493" xr:uid="{00000000-0005-0000-0000-00006B150000}"/>
    <cellStyle name="Normal 2 4 2 6 2" xfId="5494" xr:uid="{00000000-0005-0000-0000-00006C150000}"/>
    <cellStyle name="Normal 2 4 2 7" xfId="5495" xr:uid="{00000000-0005-0000-0000-00006D150000}"/>
    <cellStyle name="Normal 2 4 2 8" xfId="5496" xr:uid="{00000000-0005-0000-0000-00006E150000}"/>
    <cellStyle name="Normal 2 4 3" xfId="5497" xr:uid="{00000000-0005-0000-0000-00006F150000}"/>
    <cellStyle name="Normal 2 4 3 2" xfId="5498" xr:uid="{00000000-0005-0000-0000-000070150000}"/>
    <cellStyle name="Normal 2 4 3 2 2" xfId="5499" xr:uid="{00000000-0005-0000-0000-000071150000}"/>
    <cellStyle name="Normal 2 4 3 3" xfId="5500" xr:uid="{00000000-0005-0000-0000-000072150000}"/>
    <cellStyle name="Normal 2 4 3 4" xfId="5501" xr:uid="{00000000-0005-0000-0000-000073150000}"/>
    <cellStyle name="Normal 2 4 3 5" xfId="5502" xr:uid="{00000000-0005-0000-0000-000074150000}"/>
    <cellStyle name="Normal 2 4 4" xfId="5503" xr:uid="{00000000-0005-0000-0000-000075150000}"/>
    <cellStyle name="Normal 2 4 4 2" xfId="5504" xr:uid="{00000000-0005-0000-0000-000076150000}"/>
    <cellStyle name="Normal 2 4 4 2 2" xfId="5505" xr:uid="{00000000-0005-0000-0000-000077150000}"/>
    <cellStyle name="Normal 2 4 4 3" xfId="5506" xr:uid="{00000000-0005-0000-0000-000078150000}"/>
    <cellStyle name="Normal 2 4 5" xfId="5507" xr:uid="{00000000-0005-0000-0000-000079150000}"/>
    <cellStyle name="Normal 2 4 5 2" xfId="5508" xr:uid="{00000000-0005-0000-0000-00007A150000}"/>
    <cellStyle name="Normal 2 4 5 2 2" xfId="5509" xr:uid="{00000000-0005-0000-0000-00007B150000}"/>
    <cellStyle name="Normal 2 4 5 3" xfId="5510" xr:uid="{00000000-0005-0000-0000-00007C150000}"/>
    <cellStyle name="Normal 2 4 6" xfId="5511" xr:uid="{00000000-0005-0000-0000-00007D150000}"/>
    <cellStyle name="Normal 2 4 6 2" xfId="5512" xr:uid="{00000000-0005-0000-0000-00007E150000}"/>
    <cellStyle name="Normal 2 4 6 2 2" xfId="5513" xr:uid="{00000000-0005-0000-0000-00007F150000}"/>
    <cellStyle name="Normal 2 4 6 3" xfId="5514" xr:uid="{00000000-0005-0000-0000-000080150000}"/>
    <cellStyle name="Normal 2 4 7" xfId="5515" xr:uid="{00000000-0005-0000-0000-000081150000}"/>
    <cellStyle name="Normal 2 4 7 2" xfId="5516" xr:uid="{00000000-0005-0000-0000-000082150000}"/>
    <cellStyle name="Normal 2 4 7 2 2" xfId="5517" xr:uid="{00000000-0005-0000-0000-000083150000}"/>
    <cellStyle name="Normal 2 4 7 3" xfId="5518" xr:uid="{00000000-0005-0000-0000-000084150000}"/>
    <cellStyle name="Normal 2 4 7 4" xfId="5519" xr:uid="{00000000-0005-0000-0000-000085150000}"/>
    <cellStyle name="Normal 2 4 8" xfId="5520" xr:uid="{00000000-0005-0000-0000-000086150000}"/>
    <cellStyle name="Normal 2 4 8 2" xfId="5521" xr:uid="{00000000-0005-0000-0000-000087150000}"/>
    <cellStyle name="Normal 2 4 9" xfId="5522" xr:uid="{00000000-0005-0000-0000-000088150000}"/>
    <cellStyle name="Normal 2 40" xfId="5523" xr:uid="{00000000-0005-0000-0000-000089150000}"/>
    <cellStyle name="Normal 2 40 2" xfId="5524" xr:uid="{00000000-0005-0000-0000-00008A150000}"/>
    <cellStyle name="Normal 2 40 2 2" xfId="5525" xr:uid="{00000000-0005-0000-0000-00008B150000}"/>
    <cellStyle name="Normal 2 40 3" xfId="5526" xr:uid="{00000000-0005-0000-0000-00008C150000}"/>
    <cellStyle name="Normal 2 41" xfId="5527" xr:uid="{00000000-0005-0000-0000-00008D150000}"/>
    <cellStyle name="Normal 2 41 2" xfId="5528" xr:uid="{00000000-0005-0000-0000-00008E150000}"/>
    <cellStyle name="Normal 2 41 2 2" xfId="5529" xr:uid="{00000000-0005-0000-0000-00008F150000}"/>
    <cellStyle name="Normal 2 41 3" xfId="5530" xr:uid="{00000000-0005-0000-0000-000090150000}"/>
    <cellStyle name="Normal 2 42" xfId="5531" xr:uid="{00000000-0005-0000-0000-000091150000}"/>
    <cellStyle name="Normal 2 42 2" xfId="5532" xr:uid="{00000000-0005-0000-0000-000092150000}"/>
    <cellStyle name="Normal 2 42 2 2" xfId="5533" xr:uid="{00000000-0005-0000-0000-000093150000}"/>
    <cellStyle name="Normal 2 42 3" xfId="5534" xr:uid="{00000000-0005-0000-0000-000094150000}"/>
    <cellStyle name="Normal 2 43" xfId="5535" xr:uid="{00000000-0005-0000-0000-000095150000}"/>
    <cellStyle name="Normal 2 43 2" xfId="5536" xr:uid="{00000000-0005-0000-0000-000096150000}"/>
    <cellStyle name="Normal 2 43 2 2" xfId="5537" xr:uid="{00000000-0005-0000-0000-000097150000}"/>
    <cellStyle name="Normal 2 43 3" xfId="5538" xr:uid="{00000000-0005-0000-0000-000098150000}"/>
    <cellStyle name="Normal 2 44" xfId="5539" xr:uid="{00000000-0005-0000-0000-000099150000}"/>
    <cellStyle name="Normal 2 44 2" xfId="5540" xr:uid="{00000000-0005-0000-0000-00009A150000}"/>
    <cellStyle name="Normal 2 44 2 2" xfId="5541" xr:uid="{00000000-0005-0000-0000-00009B150000}"/>
    <cellStyle name="Normal 2 44 3" xfId="5542" xr:uid="{00000000-0005-0000-0000-00009C150000}"/>
    <cellStyle name="Normal 2 45" xfId="5543" xr:uid="{00000000-0005-0000-0000-00009D150000}"/>
    <cellStyle name="Normal 2 45 2" xfId="5544" xr:uid="{00000000-0005-0000-0000-00009E150000}"/>
    <cellStyle name="Normal 2 45 2 2" xfId="5545" xr:uid="{00000000-0005-0000-0000-00009F150000}"/>
    <cellStyle name="Normal 2 45 3" xfId="5546" xr:uid="{00000000-0005-0000-0000-0000A0150000}"/>
    <cellStyle name="Normal 2 46" xfId="5547" xr:uid="{00000000-0005-0000-0000-0000A1150000}"/>
    <cellStyle name="Normal 2 46 2" xfId="5548" xr:uid="{00000000-0005-0000-0000-0000A2150000}"/>
    <cellStyle name="Normal 2 46 2 2" xfId="5549" xr:uid="{00000000-0005-0000-0000-0000A3150000}"/>
    <cellStyle name="Normal 2 46 3" xfId="5550" xr:uid="{00000000-0005-0000-0000-0000A4150000}"/>
    <cellStyle name="Normal 2 47" xfId="5551" xr:uid="{00000000-0005-0000-0000-0000A5150000}"/>
    <cellStyle name="Normal 2 47 2" xfId="5552" xr:uid="{00000000-0005-0000-0000-0000A6150000}"/>
    <cellStyle name="Normal 2 47 2 2" xfId="5553" xr:uid="{00000000-0005-0000-0000-0000A7150000}"/>
    <cellStyle name="Normal 2 47 3" xfId="5554" xr:uid="{00000000-0005-0000-0000-0000A8150000}"/>
    <cellStyle name="Normal 2 48" xfId="5555" xr:uid="{00000000-0005-0000-0000-0000A9150000}"/>
    <cellStyle name="Normal 2 48 2" xfId="5556" xr:uid="{00000000-0005-0000-0000-0000AA150000}"/>
    <cellStyle name="Normal 2 48 2 2" xfId="5557" xr:uid="{00000000-0005-0000-0000-0000AB150000}"/>
    <cellStyle name="Normal 2 48 3" xfId="5558" xr:uid="{00000000-0005-0000-0000-0000AC150000}"/>
    <cellStyle name="Normal 2 49" xfId="5559" xr:uid="{00000000-0005-0000-0000-0000AD150000}"/>
    <cellStyle name="Normal 2 49 2" xfId="5560" xr:uid="{00000000-0005-0000-0000-0000AE150000}"/>
    <cellStyle name="Normal 2 49 2 2" xfId="5561" xr:uid="{00000000-0005-0000-0000-0000AF150000}"/>
    <cellStyle name="Normal 2 49 3" xfId="5562" xr:uid="{00000000-0005-0000-0000-0000B0150000}"/>
    <cellStyle name="Normal 2 5" xfId="5563" xr:uid="{00000000-0005-0000-0000-0000B1150000}"/>
    <cellStyle name="Normal 2 5 10" xfId="5564" xr:uid="{00000000-0005-0000-0000-0000B2150000}"/>
    <cellStyle name="Normal 2 5 11" xfId="5565" xr:uid="{00000000-0005-0000-0000-0000B3150000}"/>
    <cellStyle name="Normal 2 5 12" xfId="5566" xr:uid="{00000000-0005-0000-0000-0000B4150000}"/>
    <cellStyle name="Normal 2 5 13" xfId="5567" xr:uid="{00000000-0005-0000-0000-0000B5150000}"/>
    <cellStyle name="Normal 2 5 2" xfId="5568" xr:uid="{00000000-0005-0000-0000-0000B6150000}"/>
    <cellStyle name="Normal 2 5 2 2" xfId="5569" xr:uid="{00000000-0005-0000-0000-0000B7150000}"/>
    <cellStyle name="Normal 2 5 2 2 2" xfId="5570" xr:uid="{00000000-0005-0000-0000-0000B8150000}"/>
    <cellStyle name="Normal 2 5 2 2 2 2" xfId="5571" xr:uid="{00000000-0005-0000-0000-0000B9150000}"/>
    <cellStyle name="Normal 2 5 2 2 2 2 2" xfId="5572" xr:uid="{00000000-0005-0000-0000-0000BA150000}"/>
    <cellStyle name="Normal 2 5 2 2 2 3" xfId="5573" xr:uid="{00000000-0005-0000-0000-0000BB150000}"/>
    <cellStyle name="Normal 2 5 2 2 3" xfId="5574" xr:uid="{00000000-0005-0000-0000-0000BC150000}"/>
    <cellStyle name="Normal 2 5 2 2 3 2" xfId="5575" xr:uid="{00000000-0005-0000-0000-0000BD150000}"/>
    <cellStyle name="Normal 2 5 2 2 3 2 2" xfId="5576" xr:uid="{00000000-0005-0000-0000-0000BE150000}"/>
    <cellStyle name="Normal 2 5 2 2 3 3" xfId="5577" xr:uid="{00000000-0005-0000-0000-0000BF150000}"/>
    <cellStyle name="Normal 2 5 2 2 4" xfId="5578" xr:uid="{00000000-0005-0000-0000-0000C0150000}"/>
    <cellStyle name="Normal 2 5 2 2 4 2" xfId="5579" xr:uid="{00000000-0005-0000-0000-0000C1150000}"/>
    <cellStyle name="Normal 2 5 2 2 4 2 2" xfId="5580" xr:uid="{00000000-0005-0000-0000-0000C2150000}"/>
    <cellStyle name="Normal 2 5 2 2 4 3" xfId="5581" xr:uid="{00000000-0005-0000-0000-0000C3150000}"/>
    <cellStyle name="Normal 2 5 2 2 5" xfId="5582" xr:uid="{00000000-0005-0000-0000-0000C4150000}"/>
    <cellStyle name="Normal 2 5 2 2 5 2" xfId="5583" xr:uid="{00000000-0005-0000-0000-0000C5150000}"/>
    <cellStyle name="Normal 2 5 2 2 5 2 2" xfId="5584" xr:uid="{00000000-0005-0000-0000-0000C6150000}"/>
    <cellStyle name="Normal 2 5 2 2 5 3" xfId="5585" xr:uid="{00000000-0005-0000-0000-0000C7150000}"/>
    <cellStyle name="Normal 2 5 2 3" xfId="5586" xr:uid="{00000000-0005-0000-0000-0000C8150000}"/>
    <cellStyle name="Normal 2 5 2 4" xfId="5587" xr:uid="{00000000-0005-0000-0000-0000C9150000}"/>
    <cellStyle name="Normal 2 5 2 5" xfId="5588" xr:uid="{00000000-0005-0000-0000-0000CA150000}"/>
    <cellStyle name="Normal 2 5 2 6" xfId="5589" xr:uid="{00000000-0005-0000-0000-0000CB150000}"/>
    <cellStyle name="Normal 2 5 2 6 2" xfId="5590" xr:uid="{00000000-0005-0000-0000-0000CC150000}"/>
    <cellStyle name="Normal 2 5 2 7" xfId="5591" xr:uid="{00000000-0005-0000-0000-0000CD150000}"/>
    <cellStyle name="Normal 2 5 2 8" xfId="5592" xr:uid="{00000000-0005-0000-0000-0000CE150000}"/>
    <cellStyle name="Normal 2 5 3" xfId="5593" xr:uid="{00000000-0005-0000-0000-0000CF150000}"/>
    <cellStyle name="Normal 2 5 3 2" xfId="5594" xr:uid="{00000000-0005-0000-0000-0000D0150000}"/>
    <cellStyle name="Normal 2 5 3 2 2" xfId="5595" xr:uid="{00000000-0005-0000-0000-0000D1150000}"/>
    <cellStyle name="Normal 2 5 3 3" xfId="5596" xr:uid="{00000000-0005-0000-0000-0000D2150000}"/>
    <cellStyle name="Normal 2 5 3 4" xfId="5597" xr:uid="{00000000-0005-0000-0000-0000D3150000}"/>
    <cellStyle name="Normal 2 5 3 5" xfId="5598" xr:uid="{00000000-0005-0000-0000-0000D4150000}"/>
    <cellStyle name="Normal 2 5 4" xfId="5599" xr:uid="{00000000-0005-0000-0000-0000D5150000}"/>
    <cellStyle name="Normal 2 5 4 2" xfId="5600" xr:uid="{00000000-0005-0000-0000-0000D6150000}"/>
    <cellStyle name="Normal 2 5 4 2 2" xfId="5601" xr:uid="{00000000-0005-0000-0000-0000D7150000}"/>
    <cellStyle name="Normal 2 5 4 3" xfId="5602" xr:uid="{00000000-0005-0000-0000-0000D8150000}"/>
    <cellStyle name="Normal 2 5 5" xfId="5603" xr:uid="{00000000-0005-0000-0000-0000D9150000}"/>
    <cellStyle name="Normal 2 5 5 2" xfId="5604" xr:uid="{00000000-0005-0000-0000-0000DA150000}"/>
    <cellStyle name="Normal 2 5 5 2 2" xfId="5605" xr:uid="{00000000-0005-0000-0000-0000DB150000}"/>
    <cellStyle name="Normal 2 5 5 3" xfId="5606" xr:uid="{00000000-0005-0000-0000-0000DC150000}"/>
    <cellStyle name="Normal 2 5 6" xfId="5607" xr:uid="{00000000-0005-0000-0000-0000DD150000}"/>
    <cellStyle name="Normal 2 5 6 2" xfId="5608" xr:uid="{00000000-0005-0000-0000-0000DE150000}"/>
    <cellStyle name="Normal 2 5 6 2 2" xfId="5609" xr:uid="{00000000-0005-0000-0000-0000DF150000}"/>
    <cellStyle name="Normal 2 5 6 3" xfId="5610" xr:uid="{00000000-0005-0000-0000-0000E0150000}"/>
    <cellStyle name="Normal 2 5 7" xfId="5611" xr:uid="{00000000-0005-0000-0000-0000E1150000}"/>
    <cellStyle name="Normal 2 5 7 2" xfId="5612" xr:uid="{00000000-0005-0000-0000-0000E2150000}"/>
    <cellStyle name="Normal 2 5 7 2 2" xfId="5613" xr:uid="{00000000-0005-0000-0000-0000E3150000}"/>
    <cellStyle name="Normal 2 5 7 3" xfId="5614" xr:uid="{00000000-0005-0000-0000-0000E4150000}"/>
    <cellStyle name="Normal 2 5 7 4" xfId="5615" xr:uid="{00000000-0005-0000-0000-0000E5150000}"/>
    <cellStyle name="Normal 2 5 8" xfId="5616" xr:uid="{00000000-0005-0000-0000-0000E6150000}"/>
    <cellStyle name="Normal 2 5 8 2" xfId="5617" xr:uid="{00000000-0005-0000-0000-0000E7150000}"/>
    <cellStyle name="Normal 2 5 9" xfId="5618" xr:uid="{00000000-0005-0000-0000-0000E8150000}"/>
    <cellStyle name="Normal 2 50" xfId="5619" xr:uid="{00000000-0005-0000-0000-0000E9150000}"/>
    <cellStyle name="Normal 2 50 2" xfId="5620" xr:uid="{00000000-0005-0000-0000-0000EA150000}"/>
    <cellStyle name="Normal 2 50 2 2" xfId="5621" xr:uid="{00000000-0005-0000-0000-0000EB150000}"/>
    <cellStyle name="Normal 2 50 3" xfId="5622" xr:uid="{00000000-0005-0000-0000-0000EC150000}"/>
    <cellStyle name="Normal 2 51" xfId="5623" xr:uid="{00000000-0005-0000-0000-0000ED150000}"/>
    <cellStyle name="Normal 2 51 2" xfId="5624" xr:uid="{00000000-0005-0000-0000-0000EE150000}"/>
    <cellStyle name="Normal 2 51 2 2" xfId="5625" xr:uid="{00000000-0005-0000-0000-0000EF150000}"/>
    <cellStyle name="Normal 2 51 3" xfId="5626" xr:uid="{00000000-0005-0000-0000-0000F0150000}"/>
    <cellStyle name="Normal 2 52" xfId="5627" xr:uid="{00000000-0005-0000-0000-0000F1150000}"/>
    <cellStyle name="Normal 2 52 2" xfId="5628" xr:uid="{00000000-0005-0000-0000-0000F2150000}"/>
    <cellStyle name="Normal 2 52 2 2" xfId="5629" xr:uid="{00000000-0005-0000-0000-0000F3150000}"/>
    <cellStyle name="Normal 2 52 3" xfId="5630" xr:uid="{00000000-0005-0000-0000-0000F4150000}"/>
    <cellStyle name="Normal 2 53" xfId="5631" xr:uid="{00000000-0005-0000-0000-0000F5150000}"/>
    <cellStyle name="Normal 2 53 2" xfId="5632" xr:uid="{00000000-0005-0000-0000-0000F6150000}"/>
    <cellStyle name="Normal 2 53 2 2" xfId="5633" xr:uid="{00000000-0005-0000-0000-0000F7150000}"/>
    <cellStyle name="Normal 2 53 3" xfId="5634" xr:uid="{00000000-0005-0000-0000-0000F8150000}"/>
    <cellStyle name="Normal 2 54" xfId="5635" xr:uid="{00000000-0005-0000-0000-0000F9150000}"/>
    <cellStyle name="Normal 2 54 2" xfId="5636" xr:uid="{00000000-0005-0000-0000-0000FA150000}"/>
    <cellStyle name="Normal 2 54 2 2" xfId="5637" xr:uid="{00000000-0005-0000-0000-0000FB150000}"/>
    <cellStyle name="Normal 2 54 3" xfId="5638" xr:uid="{00000000-0005-0000-0000-0000FC150000}"/>
    <cellStyle name="Normal 2 55" xfId="5639" xr:uid="{00000000-0005-0000-0000-0000FD150000}"/>
    <cellStyle name="Normal 2 55 2" xfId="5640" xr:uid="{00000000-0005-0000-0000-0000FE150000}"/>
    <cellStyle name="Normal 2 55 2 2" xfId="5641" xr:uid="{00000000-0005-0000-0000-0000FF150000}"/>
    <cellStyle name="Normal 2 55 3" xfId="5642" xr:uid="{00000000-0005-0000-0000-000000160000}"/>
    <cellStyle name="Normal 2 56" xfId="5643" xr:uid="{00000000-0005-0000-0000-000001160000}"/>
    <cellStyle name="Normal 2 56 2" xfId="5644" xr:uid="{00000000-0005-0000-0000-000002160000}"/>
    <cellStyle name="Normal 2 56 2 2" xfId="5645" xr:uid="{00000000-0005-0000-0000-000003160000}"/>
    <cellStyle name="Normal 2 56 3" xfId="5646" xr:uid="{00000000-0005-0000-0000-000004160000}"/>
    <cellStyle name="Normal 2 57" xfId="5647" xr:uid="{00000000-0005-0000-0000-000005160000}"/>
    <cellStyle name="Normal 2 57 2" xfId="5648" xr:uid="{00000000-0005-0000-0000-000006160000}"/>
    <cellStyle name="Normal 2 57 2 2" xfId="5649" xr:uid="{00000000-0005-0000-0000-000007160000}"/>
    <cellStyle name="Normal 2 57 3" xfId="5650" xr:uid="{00000000-0005-0000-0000-000008160000}"/>
    <cellStyle name="Normal 2 58" xfId="5651" xr:uid="{00000000-0005-0000-0000-000009160000}"/>
    <cellStyle name="Normal 2 58 2" xfId="5652" xr:uid="{00000000-0005-0000-0000-00000A160000}"/>
    <cellStyle name="Normal 2 58 2 2" xfId="5653" xr:uid="{00000000-0005-0000-0000-00000B160000}"/>
    <cellStyle name="Normal 2 58 3" xfId="5654" xr:uid="{00000000-0005-0000-0000-00000C160000}"/>
    <cellStyle name="Normal 2 59" xfId="5655" xr:uid="{00000000-0005-0000-0000-00000D160000}"/>
    <cellStyle name="Normal 2 59 2" xfId="5656" xr:uid="{00000000-0005-0000-0000-00000E160000}"/>
    <cellStyle name="Normal 2 59 2 2" xfId="5657" xr:uid="{00000000-0005-0000-0000-00000F160000}"/>
    <cellStyle name="Normal 2 59 3" xfId="5658" xr:uid="{00000000-0005-0000-0000-000010160000}"/>
    <cellStyle name="Normal 2 6" xfId="5659" xr:uid="{00000000-0005-0000-0000-000011160000}"/>
    <cellStyle name="Normal 2 6 10" xfId="5660" xr:uid="{00000000-0005-0000-0000-000012160000}"/>
    <cellStyle name="Normal 2 6 2" xfId="5661" xr:uid="{00000000-0005-0000-0000-000013160000}"/>
    <cellStyle name="Normal 2 6 2 2" xfId="5662" xr:uid="{00000000-0005-0000-0000-000014160000}"/>
    <cellStyle name="Normal 2 6 2 3" xfId="5663" xr:uid="{00000000-0005-0000-0000-000015160000}"/>
    <cellStyle name="Normal 2 6 2 4" xfId="5664" xr:uid="{00000000-0005-0000-0000-000016160000}"/>
    <cellStyle name="Normal 2 6 3" xfId="5665" xr:uid="{00000000-0005-0000-0000-000017160000}"/>
    <cellStyle name="Normal 2 6 3 2" xfId="5666" xr:uid="{00000000-0005-0000-0000-000018160000}"/>
    <cellStyle name="Normal 2 6 3 3" xfId="5667" xr:uid="{00000000-0005-0000-0000-000019160000}"/>
    <cellStyle name="Normal 2 6 4" xfId="5668" xr:uid="{00000000-0005-0000-0000-00001A160000}"/>
    <cellStyle name="Normal 2 6 4 2" xfId="5669" xr:uid="{00000000-0005-0000-0000-00001B160000}"/>
    <cellStyle name="Normal 2 6 5" xfId="5670" xr:uid="{00000000-0005-0000-0000-00001C160000}"/>
    <cellStyle name="Normal 2 6 5 2" xfId="5671" xr:uid="{00000000-0005-0000-0000-00001D160000}"/>
    <cellStyle name="Normal 2 6 6" xfId="5672" xr:uid="{00000000-0005-0000-0000-00001E160000}"/>
    <cellStyle name="Normal 2 6 6 2" xfId="5673" xr:uid="{00000000-0005-0000-0000-00001F160000}"/>
    <cellStyle name="Normal 2 6 6 3" xfId="5674" xr:uid="{00000000-0005-0000-0000-000020160000}"/>
    <cellStyle name="Normal 2 6 7" xfId="5675" xr:uid="{00000000-0005-0000-0000-000021160000}"/>
    <cellStyle name="Normal 2 6 8" xfId="5676" xr:uid="{00000000-0005-0000-0000-000022160000}"/>
    <cellStyle name="Normal 2 6 9" xfId="5677" xr:uid="{00000000-0005-0000-0000-000023160000}"/>
    <cellStyle name="Normal 2 60" xfId="5678" xr:uid="{00000000-0005-0000-0000-000024160000}"/>
    <cellStyle name="Normal 2 60 2" xfId="5679" xr:uid="{00000000-0005-0000-0000-000025160000}"/>
    <cellStyle name="Normal 2 60 2 2" xfId="5680" xr:uid="{00000000-0005-0000-0000-000026160000}"/>
    <cellStyle name="Normal 2 60 3" xfId="5681" xr:uid="{00000000-0005-0000-0000-000027160000}"/>
    <cellStyle name="Normal 2 61" xfId="5682" xr:uid="{00000000-0005-0000-0000-000028160000}"/>
    <cellStyle name="Normal 2 61 2" xfId="5683" xr:uid="{00000000-0005-0000-0000-000029160000}"/>
    <cellStyle name="Normal 2 61 2 2" xfId="5684" xr:uid="{00000000-0005-0000-0000-00002A160000}"/>
    <cellStyle name="Normal 2 61 3" xfId="5685" xr:uid="{00000000-0005-0000-0000-00002B160000}"/>
    <cellStyle name="Normal 2 62" xfId="5686" xr:uid="{00000000-0005-0000-0000-00002C160000}"/>
    <cellStyle name="Normal 2 62 2" xfId="5687" xr:uid="{00000000-0005-0000-0000-00002D160000}"/>
    <cellStyle name="Normal 2 62 2 2" xfId="5688" xr:uid="{00000000-0005-0000-0000-00002E160000}"/>
    <cellStyle name="Normal 2 62 3" xfId="5689" xr:uid="{00000000-0005-0000-0000-00002F160000}"/>
    <cellStyle name="Normal 2 63" xfId="5690" xr:uid="{00000000-0005-0000-0000-000030160000}"/>
    <cellStyle name="Normal 2 63 2" xfId="5691" xr:uid="{00000000-0005-0000-0000-000031160000}"/>
    <cellStyle name="Normal 2 63 2 2" xfId="5692" xr:uid="{00000000-0005-0000-0000-000032160000}"/>
    <cellStyle name="Normal 2 63 3" xfId="5693" xr:uid="{00000000-0005-0000-0000-000033160000}"/>
    <cellStyle name="Normal 2 64" xfId="5694" xr:uid="{00000000-0005-0000-0000-000034160000}"/>
    <cellStyle name="Normal 2 64 2" xfId="5695" xr:uid="{00000000-0005-0000-0000-000035160000}"/>
    <cellStyle name="Normal 2 64 2 2" xfId="5696" xr:uid="{00000000-0005-0000-0000-000036160000}"/>
    <cellStyle name="Normal 2 64 3" xfId="5697" xr:uid="{00000000-0005-0000-0000-000037160000}"/>
    <cellStyle name="Normal 2 65" xfId="5698" xr:uid="{00000000-0005-0000-0000-000038160000}"/>
    <cellStyle name="Normal 2 66" xfId="5699" xr:uid="{00000000-0005-0000-0000-000039160000}"/>
    <cellStyle name="Normal 2 67" xfId="5700" xr:uid="{00000000-0005-0000-0000-00003A160000}"/>
    <cellStyle name="Normal 2 68" xfId="5701" xr:uid="{00000000-0005-0000-0000-00003B160000}"/>
    <cellStyle name="Normal 2 69" xfId="5702" xr:uid="{00000000-0005-0000-0000-00003C160000}"/>
    <cellStyle name="Normal 2 7" xfId="5703" xr:uid="{00000000-0005-0000-0000-00003D160000}"/>
    <cellStyle name="Normal 2 7 10" xfId="5704" xr:uid="{00000000-0005-0000-0000-00003E160000}"/>
    <cellStyle name="Normal 2 7 11" xfId="5705" xr:uid="{00000000-0005-0000-0000-00003F160000}"/>
    <cellStyle name="Normal 2 7 12" xfId="5706" xr:uid="{00000000-0005-0000-0000-000040160000}"/>
    <cellStyle name="Normal 2 7 13" xfId="5707" xr:uid="{00000000-0005-0000-0000-000041160000}"/>
    <cellStyle name="Normal 2 7 2" xfId="5708" xr:uid="{00000000-0005-0000-0000-000042160000}"/>
    <cellStyle name="Normal 2 7 2 2" xfId="5709" xr:uid="{00000000-0005-0000-0000-000043160000}"/>
    <cellStyle name="Normal 2 7 2 3" xfId="5710" xr:uid="{00000000-0005-0000-0000-000044160000}"/>
    <cellStyle name="Normal 2 7 2 4" xfId="5711" xr:uid="{00000000-0005-0000-0000-000045160000}"/>
    <cellStyle name="Normal 2 7 2 5" xfId="5712" xr:uid="{00000000-0005-0000-0000-000046160000}"/>
    <cellStyle name="Normal 2 7 3" xfId="5713" xr:uid="{00000000-0005-0000-0000-000047160000}"/>
    <cellStyle name="Normal 2 7 3 2" xfId="5714" xr:uid="{00000000-0005-0000-0000-000048160000}"/>
    <cellStyle name="Normal 2 7 3 3" xfId="5715" xr:uid="{00000000-0005-0000-0000-000049160000}"/>
    <cellStyle name="Normal 2 7 4" xfId="5716" xr:uid="{00000000-0005-0000-0000-00004A160000}"/>
    <cellStyle name="Normal 2 7 4 2" xfId="5717" xr:uid="{00000000-0005-0000-0000-00004B160000}"/>
    <cellStyle name="Normal 2 7 5" xfId="5718" xr:uid="{00000000-0005-0000-0000-00004C160000}"/>
    <cellStyle name="Normal 2 7 6" xfId="5719" xr:uid="{00000000-0005-0000-0000-00004D160000}"/>
    <cellStyle name="Normal 2 7 7" xfId="5720" xr:uid="{00000000-0005-0000-0000-00004E160000}"/>
    <cellStyle name="Normal 2 7 8" xfId="5721" xr:uid="{00000000-0005-0000-0000-00004F160000}"/>
    <cellStyle name="Normal 2 7 9" xfId="5722" xr:uid="{00000000-0005-0000-0000-000050160000}"/>
    <cellStyle name="Normal 2 70" xfId="5723" xr:uid="{00000000-0005-0000-0000-000051160000}"/>
    <cellStyle name="Normal 2 71" xfId="5724" xr:uid="{00000000-0005-0000-0000-000052160000}"/>
    <cellStyle name="Normal 2 71 2" xfId="5725" xr:uid="{00000000-0005-0000-0000-000053160000}"/>
    <cellStyle name="Normal 2 72" xfId="5726" xr:uid="{00000000-0005-0000-0000-000054160000}"/>
    <cellStyle name="Normal 2 72 2" xfId="5727" xr:uid="{00000000-0005-0000-0000-000055160000}"/>
    <cellStyle name="Normal 2 73" xfId="5728" xr:uid="{00000000-0005-0000-0000-000056160000}"/>
    <cellStyle name="Normal 2 74" xfId="5729" xr:uid="{00000000-0005-0000-0000-000057160000}"/>
    <cellStyle name="Normal 2 74 2" xfId="5730" xr:uid="{00000000-0005-0000-0000-000058160000}"/>
    <cellStyle name="Normal 2 75" xfId="5731" xr:uid="{00000000-0005-0000-0000-000059160000}"/>
    <cellStyle name="Normal 2 75 2" xfId="5732" xr:uid="{00000000-0005-0000-0000-00005A160000}"/>
    <cellStyle name="Normal 2 76" xfId="5733" xr:uid="{00000000-0005-0000-0000-00005B160000}"/>
    <cellStyle name="Normal 2 76 2" xfId="5734" xr:uid="{00000000-0005-0000-0000-00005C160000}"/>
    <cellStyle name="Normal 2 77" xfId="5735" xr:uid="{00000000-0005-0000-0000-00005D160000}"/>
    <cellStyle name="Normal 2 77 2" xfId="5736" xr:uid="{00000000-0005-0000-0000-00005E160000}"/>
    <cellStyle name="Normal 2 78" xfId="5737" xr:uid="{00000000-0005-0000-0000-00005F160000}"/>
    <cellStyle name="Normal 2 78 2" xfId="5738" xr:uid="{00000000-0005-0000-0000-000060160000}"/>
    <cellStyle name="Normal 2 79" xfId="5739" xr:uid="{00000000-0005-0000-0000-000061160000}"/>
    <cellStyle name="Normal 2 79 2" xfId="5740" xr:uid="{00000000-0005-0000-0000-000062160000}"/>
    <cellStyle name="Normal 2 8" xfId="5741" xr:uid="{00000000-0005-0000-0000-000063160000}"/>
    <cellStyle name="Normal 2 8 2" xfId="5742" xr:uid="{00000000-0005-0000-0000-000064160000}"/>
    <cellStyle name="Normal 2 8 2 2" xfId="5743" xr:uid="{00000000-0005-0000-0000-000065160000}"/>
    <cellStyle name="Normal 2 8 2 3" xfId="5744" xr:uid="{00000000-0005-0000-0000-000066160000}"/>
    <cellStyle name="Normal 2 8 3" xfId="5745" xr:uid="{00000000-0005-0000-0000-000067160000}"/>
    <cellStyle name="Normal 2 8 4" xfId="5746" xr:uid="{00000000-0005-0000-0000-000068160000}"/>
    <cellStyle name="Normal 2 8 4 2" xfId="5747" xr:uid="{00000000-0005-0000-0000-000069160000}"/>
    <cellStyle name="Normal 2 8 5" xfId="5748" xr:uid="{00000000-0005-0000-0000-00006A160000}"/>
    <cellStyle name="Normal 2 8 6" xfId="5749" xr:uid="{00000000-0005-0000-0000-00006B160000}"/>
    <cellStyle name="Normal 2 8 7" xfId="5750" xr:uid="{00000000-0005-0000-0000-00006C160000}"/>
    <cellStyle name="Normal 2 8 8" xfId="5751" xr:uid="{00000000-0005-0000-0000-00006D160000}"/>
    <cellStyle name="Normal 2 80" xfId="5752" xr:uid="{00000000-0005-0000-0000-00006E160000}"/>
    <cellStyle name="Normal 2 80 2" xfId="5753" xr:uid="{00000000-0005-0000-0000-00006F160000}"/>
    <cellStyle name="Normal 2 81" xfId="5754" xr:uid="{00000000-0005-0000-0000-000070160000}"/>
    <cellStyle name="Normal 2 81 2" xfId="5755" xr:uid="{00000000-0005-0000-0000-000071160000}"/>
    <cellStyle name="Normal 2 82" xfId="5756" xr:uid="{00000000-0005-0000-0000-000072160000}"/>
    <cellStyle name="Normal 2 82 2" xfId="5757" xr:uid="{00000000-0005-0000-0000-000073160000}"/>
    <cellStyle name="Normal 2 83" xfId="5758" xr:uid="{00000000-0005-0000-0000-000074160000}"/>
    <cellStyle name="Normal 2 83 2" xfId="5759" xr:uid="{00000000-0005-0000-0000-000075160000}"/>
    <cellStyle name="Normal 2 84" xfId="5760" xr:uid="{00000000-0005-0000-0000-000076160000}"/>
    <cellStyle name="Normal 2 84 2" xfId="5761" xr:uid="{00000000-0005-0000-0000-000077160000}"/>
    <cellStyle name="Normal 2 85" xfId="5762" xr:uid="{00000000-0005-0000-0000-000078160000}"/>
    <cellStyle name="Normal 2 85 2" xfId="5763" xr:uid="{00000000-0005-0000-0000-000079160000}"/>
    <cellStyle name="Normal 2 86" xfId="5764" xr:uid="{00000000-0005-0000-0000-00007A160000}"/>
    <cellStyle name="Normal 2 86 2" xfId="5765" xr:uid="{00000000-0005-0000-0000-00007B160000}"/>
    <cellStyle name="Normal 2 87" xfId="5766" xr:uid="{00000000-0005-0000-0000-00007C160000}"/>
    <cellStyle name="Normal 2 87 2" xfId="5767" xr:uid="{00000000-0005-0000-0000-00007D160000}"/>
    <cellStyle name="Normal 2 88" xfId="5768" xr:uid="{00000000-0005-0000-0000-00007E160000}"/>
    <cellStyle name="Normal 2 89" xfId="5769" xr:uid="{00000000-0005-0000-0000-00007F160000}"/>
    <cellStyle name="Normal 2 9" xfId="5770" xr:uid="{00000000-0005-0000-0000-000080160000}"/>
    <cellStyle name="Normal 2 9 2" xfId="5771" xr:uid="{00000000-0005-0000-0000-000081160000}"/>
    <cellStyle name="Normal 2 9 3" xfId="5772" xr:uid="{00000000-0005-0000-0000-000082160000}"/>
    <cellStyle name="Normal 2 9 4" xfId="5773" xr:uid="{00000000-0005-0000-0000-000083160000}"/>
    <cellStyle name="Normal 2 9 4 2" xfId="5774" xr:uid="{00000000-0005-0000-0000-000084160000}"/>
    <cellStyle name="Normal 2 9 5" xfId="5775" xr:uid="{00000000-0005-0000-0000-000085160000}"/>
    <cellStyle name="Normal 2 9 6" xfId="5776" xr:uid="{00000000-0005-0000-0000-000086160000}"/>
    <cellStyle name="Normal 2 90" xfId="5777" xr:uid="{00000000-0005-0000-0000-000087160000}"/>
    <cellStyle name="Normal 2 90 2" xfId="5778" xr:uid="{00000000-0005-0000-0000-000088160000}"/>
    <cellStyle name="Normal 2 91" xfId="5779" xr:uid="{00000000-0005-0000-0000-000089160000}"/>
    <cellStyle name="Normal 2 91 2" xfId="5780" xr:uid="{00000000-0005-0000-0000-00008A160000}"/>
    <cellStyle name="Normal 2 92" xfId="5781" xr:uid="{00000000-0005-0000-0000-00008B160000}"/>
    <cellStyle name="Normal 2 92 2" xfId="5782" xr:uid="{00000000-0005-0000-0000-00008C160000}"/>
    <cellStyle name="Normal 2 93" xfId="5783" xr:uid="{00000000-0005-0000-0000-00008D160000}"/>
    <cellStyle name="Normal 2 93 2" xfId="5784" xr:uid="{00000000-0005-0000-0000-00008E160000}"/>
    <cellStyle name="Normal 2 94" xfId="5785" xr:uid="{00000000-0005-0000-0000-00008F160000}"/>
    <cellStyle name="Normal 2 94 2" xfId="5786" xr:uid="{00000000-0005-0000-0000-000090160000}"/>
    <cellStyle name="Normal 2 95" xfId="5787" xr:uid="{00000000-0005-0000-0000-000091160000}"/>
    <cellStyle name="Normal 2 95 2" xfId="5788" xr:uid="{00000000-0005-0000-0000-000092160000}"/>
    <cellStyle name="Normal 2 95 3" xfId="5789" xr:uid="{00000000-0005-0000-0000-000093160000}"/>
    <cellStyle name="Normal 2 96" xfId="5790" xr:uid="{00000000-0005-0000-0000-000094160000}"/>
    <cellStyle name="Normal 2 96 2" xfId="5791" xr:uid="{00000000-0005-0000-0000-000095160000}"/>
    <cellStyle name="Normal 2 97" xfId="5792" xr:uid="{00000000-0005-0000-0000-000096160000}"/>
    <cellStyle name="Normal 2 97 2" xfId="5793" xr:uid="{00000000-0005-0000-0000-000097160000}"/>
    <cellStyle name="Normal 2 98" xfId="5794" xr:uid="{00000000-0005-0000-0000-000098160000}"/>
    <cellStyle name="Normal 2 98 2" xfId="5795" xr:uid="{00000000-0005-0000-0000-000099160000}"/>
    <cellStyle name="Normal 2 99" xfId="5796" xr:uid="{00000000-0005-0000-0000-00009A160000}"/>
    <cellStyle name="Normal 2 99 2" xfId="5797" xr:uid="{00000000-0005-0000-0000-00009B160000}"/>
    <cellStyle name="Normal 20" xfId="5798" xr:uid="{00000000-0005-0000-0000-00009C160000}"/>
    <cellStyle name="Normal 20 2" xfId="5799" xr:uid="{00000000-0005-0000-0000-00009D160000}"/>
    <cellStyle name="Normal 20 2 2" xfId="5800" xr:uid="{00000000-0005-0000-0000-00009E160000}"/>
    <cellStyle name="Normal 20 2 3" xfId="5801" xr:uid="{00000000-0005-0000-0000-00009F160000}"/>
    <cellStyle name="Normal 20 3" xfId="5802" xr:uid="{00000000-0005-0000-0000-0000A0160000}"/>
    <cellStyle name="Normal 20 4" xfId="5803" xr:uid="{00000000-0005-0000-0000-0000A1160000}"/>
    <cellStyle name="Normal 200" xfId="5804" xr:uid="{00000000-0005-0000-0000-0000A2160000}"/>
    <cellStyle name="Normal 201" xfId="5805" xr:uid="{00000000-0005-0000-0000-0000A3160000}"/>
    <cellStyle name="Normal 201 2" xfId="5806" xr:uid="{00000000-0005-0000-0000-0000A4160000}"/>
    <cellStyle name="Normal 202" xfId="5807" xr:uid="{00000000-0005-0000-0000-0000A5160000}"/>
    <cellStyle name="Normal 203" xfId="5808" xr:uid="{00000000-0005-0000-0000-0000A6160000}"/>
    <cellStyle name="Normal 204" xfId="5809" xr:uid="{00000000-0005-0000-0000-0000A7160000}"/>
    <cellStyle name="Normal 205" xfId="5810" xr:uid="{00000000-0005-0000-0000-0000A8160000}"/>
    <cellStyle name="Normal 206" xfId="5811" xr:uid="{00000000-0005-0000-0000-0000A9160000}"/>
    <cellStyle name="Normal 207" xfId="5812" xr:uid="{00000000-0005-0000-0000-0000AA160000}"/>
    <cellStyle name="Normal 208" xfId="5813" xr:uid="{00000000-0005-0000-0000-0000AB160000}"/>
    <cellStyle name="Normal 209" xfId="5814" xr:uid="{00000000-0005-0000-0000-0000AC160000}"/>
    <cellStyle name="Normal 21" xfId="5815" xr:uid="{00000000-0005-0000-0000-0000AD160000}"/>
    <cellStyle name="Normal 21 2" xfId="5816" xr:uid="{00000000-0005-0000-0000-0000AE160000}"/>
    <cellStyle name="Normal 21 2 2" xfId="5817" xr:uid="{00000000-0005-0000-0000-0000AF160000}"/>
    <cellStyle name="Normal 21 2 3" xfId="5818" xr:uid="{00000000-0005-0000-0000-0000B0160000}"/>
    <cellStyle name="Normal 21 3" xfId="5819" xr:uid="{00000000-0005-0000-0000-0000B1160000}"/>
    <cellStyle name="Normal 21 4" xfId="5820" xr:uid="{00000000-0005-0000-0000-0000B2160000}"/>
    <cellStyle name="Normal 210" xfId="5821" xr:uid="{00000000-0005-0000-0000-0000B3160000}"/>
    <cellStyle name="Normal 211" xfId="5822" xr:uid="{00000000-0005-0000-0000-0000B4160000}"/>
    <cellStyle name="Normal 212" xfId="5823" xr:uid="{00000000-0005-0000-0000-0000B5160000}"/>
    <cellStyle name="Normal 213" xfId="5824" xr:uid="{00000000-0005-0000-0000-0000B6160000}"/>
    <cellStyle name="Normal 214" xfId="5825" xr:uid="{00000000-0005-0000-0000-0000B7160000}"/>
    <cellStyle name="Normal 215" xfId="5826" xr:uid="{00000000-0005-0000-0000-0000B8160000}"/>
    <cellStyle name="Normal 216" xfId="5827" xr:uid="{00000000-0005-0000-0000-0000B9160000}"/>
    <cellStyle name="Normal 217" xfId="5828" xr:uid="{00000000-0005-0000-0000-0000BA160000}"/>
    <cellStyle name="Normal 218" xfId="5829" xr:uid="{00000000-0005-0000-0000-0000BB160000}"/>
    <cellStyle name="Normal 219" xfId="5830" xr:uid="{00000000-0005-0000-0000-0000BC160000}"/>
    <cellStyle name="Normal 22" xfId="5831" xr:uid="{00000000-0005-0000-0000-0000BD160000}"/>
    <cellStyle name="Normal 22 2" xfId="5832" xr:uid="{00000000-0005-0000-0000-0000BE160000}"/>
    <cellStyle name="Normal 22 2 2" xfId="5833" xr:uid="{00000000-0005-0000-0000-0000BF160000}"/>
    <cellStyle name="Normal 22 2 3" xfId="5834" xr:uid="{00000000-0005-0000-0000-0000C0160000}"/>
    <cellStyle name="Normal 22 3" xfId="5835" xr:uid="{00000000-0005-0000-0000-0000C1160000}"/>
    <cellStyle name="Normal 22 4" xfId="5836" xr:uid="{00000000-0005-0000-0000-0000C2160000}"/>
    <cellStyle name="Normal 220" xfId="5837" xr:uid="{00000000-0005-0000-0000-0000C3160000}"/>
    <cellStyle name="Normal 221" xfId="5838" xr:uid="{00000000-0005-0000-0000-0000C4160000}"/>
    <cellStyle name="Normal 222" xfId="5839" xr:uid="{00000000-0005-0000-0000-0000C5160000}"/>
    <cellStyle name="Normal 223" xfId="5840" xr:uid="{00000000-0005-0000-0000-0000C6160000}"/>
    <cellStyle name="Normal 224" xfId="5841" xr:uid="{00000000-0005-0000-0000-0000C7160000}"/>
    <cellStyle name="Normal 225" xfId="5842" xr:uid="{00000000-0005-0000-0000-0000C8160000}"/>
    <cellStyle name="Normal 226" xfId="5843" xr:uid="{00000000-0005-0000-0000-0000C9160000}"/>
    <cellStyle name="Normal 227" xfId="5844" xr:uid="{00000000-0005-0000-0000-0000CA160000}"/>
    <cellStyle name="Normal 228" xfId="5845" xr:uid="{00000000-0005-0000-0000-0000CB160000}"/>
    <cellStyle name="Normal 229" xfId="5846" xr:uid="{00000000-0005-0000-0000-0000CC160000}"/>
    <cellStyle name="Normal 23" xfId="5847" xr:uid="{00000000-0005-0000-0000-0000CD160000}"/>
    <cellStyle name="Normal 23 2" xfId="5848" xr:uid="{00000000-0005-0000-0000-0000CE160000}"/>
    <cellStyle name="Normal 23 2 2" xfId="5849" xr:uid="{00000000-0005-0000-0000-0000CF160000}"/>
    <cellStyle name="Normal 23 2 3" xfId="5850" xr:uid="{00000000-0005-0000-0000-0000D0160000}"/>
    <cellStyle name="Normal 23 3" xfId="5851" xr:uid="{00000000-0005-0000-0000-0000D1160000}"/>
    <cellStyle name="Normal 230" xfId="5852" xr:uid="{00000000-0005-0000-0000-0000D2160000}"/>
    <cellStyle name="Normal 231" xfId="5853" xr:uid="{00000000-0005-0000-0000-0000D3160000}"/>
    <cellStyle name="Normal 232" xfId="5854" xr:uid="{00000000-0005-0000-0000-0000D4160000}"/>
    <cellStyle name="Normal 233" xfId="5855" xr:uid="{00000000-0005-0000-0000-0000D5160000}"/>
    <cellStyle name="Normal 234" xfId="5856" xr:uid="{00000000-0005-0000-0000-0000D6160000}"/>
    <cellStyle name="Normal 234 2" xfId="5857" xr:uid="{00000000-0005-0000-0000-0000D7160000}"/>
    <cellStyle name="Normal 235" xfId="5858" xr:uid="{00000000-0005-0000-0000-0000D8160000}"/>
    <cellStyle name="Normal 236" xfId="5859" xr:uid="{00000000-0005-0000-0000-0000D9160000}"/>
    <cellStyle name="Normal 237" xfId="5860" xr:uid="{00000000-0005-0000-0000-0000DA160000}"/>
    <cellStyle name="Normal 238" xfId="5861" xr:uid="{00000000-0005-0000-0000-0000DB160000}"/>
    <cellStyle name="Normal 239" xfId="5862" xr:uid="{00000000-0005-0000-0000-0000DC160000}"/>
    <cellStyle name="Normal 24" xfId="5863" xr:uid="{00000000-0005-0000-0000-0000DD160000}"/>
    <cellStyle name="Normal 24 2" xfId="5864" xr:uid="{00000000-0005-0000-0000-0000DE160000}"/>
    <cellStyle name="Normal 24 2 2" xfId="5865" xr:uid="{00000000-0005-0000-0000-0000DF160000}"/>
    <cellStyle name="Normal 24 2 3" xfId="5866" xr:uid="{00000000-0005-0000-0000-0000E0160000}"/>
    <cellStyle name="Normal 24 3" xfId="5867" xr:uid="{00000000-0005-0000-0000-0000E1160000}"/>
    <cellStyle name="Normal 240" xfId="5868" xr:uid="{00000000-0005-0000-0000-0000E2160000}"/>
    <cellStyle name="Normal 241" xfId="5869" xr:uid="{00000000-0005-0000-0000-0000E3160000}"/>
    <cellStyle name="Normal 242" xfId="5870" xr:uid="{00000000-0005-0000-0000-0000E4160000}"/>
    <cellStyle name="Normal 243" xfId="5871" xr:uid="{00000000-0005-0000-0000-0000E5160000}"/>
    <cellStyle name="Normal 244" xfId="9376" xr:uid="{00000000-0005-0000-0000-0000E6160000}"/>
    <cellStyle name="Normal 245" xfId="9382" xr:uid="{00000000-0005-0000-0000-0000E7160000}"/>
    <cellStyle name="Normal 245 2" xfId="9389" xr:uid="{00000000-0005-0000-0000-0000E8160000}"/>
    <cellStyle name="Normal 246" xfId="9387" xr:uid="{00000000-0005-0000-0000-0000E9160000}"/>
    <cellStyle name="Normal 246 2" xfId="9394" xr:uid="{954AAE08-9C8D-4966-AC97-F90B7D249ED7}"/>
    <cellStyle name="Normal 247" xfId="9391" xr:uid="{00000000-0005-0000-0000-0000EA160000}"/>
    <cellStyle name="Normal 248" xfId="9393" xr:uid="{68FA20FD-E121-44A4-923E-B160E2AC200F}"/>
    <cellStyle name="Normal 249" xfId="9398" xr:uid="{5DEAE8CD-A04E-41D6-BB05-C067CDDFF62D}"/>
    <cellStyle name="Normal 25" xfId="5872" xr:uid="{00000000-0005-0000-0000-0000EB160000}"/>
    <cellStyle name="Normal 25 2" xfId="5873" xr:uid="{00000000-0005-0000-0000-0000EC160000}"/>
    <cellStyle name="Normal 25 2 2" xfId="5874" xr:uid="{00000000-0005-0000-0000-0000ED160000}"/>
    <cellStyle name="Normal 25 2 3" xfId="5875" xr:uid="{00000000-0005-0000-0000-0000EE160000}"/>
    <cellStyle name="Normal 25 3" xfId="5876" xr:uid="{00000000-0005-0000-0000-0000EF160000}"/>
    <cellStyle name="Normal 250" xfId="9402" xr:uid="{A4BE6B2E-98A7-4FE5-9636-ADE7A5F373A7}"/>
    <cellStyle name="Normal 251" xfId="9410" xr:uid="{F218B40C-4670-49BC-9A6A-B441F46D1FD1}"/>
    <cellStyle name="Normal 26" xfId="5877" xr:uid="{00000000-0005-0000-0000-0000F0160000}"/>
    <cellStyle name="Normal 26 2" xfId="5878" xr:uid="{00000000-0005-0000-0000-0000F1160000}"/>
    <cellStyle name="Normal 26 2 2" xfId="5879" xr:uid="{00000000-0005-0000-0000-0000F2160000}"/>
    <cellStyle name="Normal 26 2 3" xfId="5880" xr:uid="{00000000-0005-0000-0000-0000F3160000}"/>
    <cellStyle name="Normal 26 3" xfId="5881" xr:uid="{00000000-0005-0000-0000-0000F4160000}"/>
    <cellStyle name="Normal 27" xfId="5882" xr:uid="{00000000-0005-0000-0000-0000F5160000}"/>
    <cellStyle name="Normal 27 2" xfId="5883" xr:uid="{00000000-0005-0000-0000-0000F6160000}"/>
    <cellStyle name="Normal 27 2 2" xfId="5884" xr:uid="{00000000-0005-0000-0000-0000F7160000}"/>
    <cellStyle name="Normal 27 2 3" xfId="5885" xr:uid="{00000000-0005-0000-0000-0000F8160000}"/>
    <cellStyle name="Normal 27 3" xfId="5886" xr:uid="{00000000-0005-0000-0000-0000F9160000}"/>
    <cellStyle name="Normal 28" xfId="5887" xr:uid="{00000000-0005-0000-0000-0000FA160000}"/>
    <cellStyle name="Normal 28 2" xfId="5888" xr:uid="{00000000-0005-0000-0000-0000FB160000}"/>
    <cellStyle name="Normal 28 2 2" xfId="5889" xr:uid="{00000000-0005-0000-0000-0000FC160000}"/>
    <cellStyle name="Normal 28 2 3" xfId="5890" xr:uid="{00000000-0005-0000-0000-0000FD160000}"/>
    <cellStyle name="Normal 28 3" xfId="5891" xr:uid="{00000000-0005-0000-0000-0000FE160000}"/>
    <cellStyle name="Normal 29" xfId="5892" xr:uid="{00000000-0005-0000-0000-0000FF160000}"/>
    <cellStyle name="Normal 29 2" xfId="5893" xr:uid="{00000000-0005-0000-0000-000000170000}"/>
    <cellStyle name="Normal 3" xfId="11" xr:uid="{00000000-0005-0000-0000-000001170000}"/>
    <cellStyle name="Normal 3 10" xfId="5894" xr:uid="{00000000-0005-0000-0000-000002170000}"/>
    <cellStyle name="Normal 3 10 2" xfId="5895" xr:uid="{00000000-0005-0000-0000-000003170000}"/>
    <cellStyle name="Normal 3 10 3" xfId="5896" xr:uid="{00000000-0005-0000-0000-000004170000}"/>
    <cellStyle name="Normal 3 10 4" xfId="5897" xr:uid="{00000000-0005-0000-0000-000005170000}"/>
    <cellStyle name="Normal 3 10 4 2" xfId="5898" xr:uid="{00000000-0005-0000-0000-000006170000}"/>
    <cellStyle name="Normal 3 10 5" xfId="5899" xr:uid="{00000000-0005-0000-0000-000007170000}"/>
    <cellStyle name="Normal 3 100" xfId="5900" xr:uid="{00000000-0005-0000-0000-000008170000}"/>
    <cellStyle name="Normal 3 101" xfId="5901" xr:uid="{00000000-0005-0000-0000-000009170000}"/>
    <cellStyle name="Normal 3 102" xfId="5902" xr:uid="{00000000-0005-0000-0000-00000A170000}"/>
    <cellStyle name="Normal 3 103" xfId="5903" xr:uid="{00000000-0005-0000-0000-00000B170000}"/>
    <cellStyle name="Normal 3 104" xfId="5904" xr:uid="{00000000-0005-0000-0000-00000C170000}"/>
    <cellStyle name="Normal 3 105" xfId="5905" xr:uid="{00000000-0005-0000-0000-00000D170000}"/>
    <cellStyle name="Normal 3 106" xfId="5906" xr:uid="{00000000-0005-0000-0000-00000E170000}"/>
    <cellStyle name="Normal 3 107" xfId="5907" xr:uid="{00000000-0005-0000-0000-00000F170000}"/>
    <cellStyle name="Normal 3 107 2" xfId="5908" xr:uid="{00000000-0005-0000-0000-000010170000}"/>
    <cellStyle name="Normal 3 108" xfId="5909" xr:uid="{00000000-0005-0000-0000-000011170000}"/>
    <cellStyle name="Normal 3 109" xfId="5910" xr:uid="{00000000-0005-0000-0000-000012170000}"/>
    <cellStyle name="Normal 3 109 2" xfId="5911" xr:uid="{00000000-0005-0000-0000-000013170000}"/>
    <cellStyle name="Normal 3 11" xfId="5912" xr:uid="{00000000-0005-0000-0000-000014170000}"/>
    <cellStyle name="Normal 3 11 2" xfId="5913" xr:uid="{00000000-0005-0000-0000-000015170000}"/>
    <cellStyle name="Normal 3 11 3" xfId="5914" xr:uid="{00000000-0005-0000-0000-000016170000}"/>
    <cellStyle name="Normal 3 11 4" xfId="5915" xr:uid="{00000000-0005-0000-0000-000017170000}"/>
    <cellStyle name="Normal 3 11 4 2" xfId="5916" xr:uid="{00000000-0005-0000-0000-000018170000}"/>
    <cellStyle name="Normal 3 11 5" xfId="5917" xr:uid="{00000000-0005-0000-0000-000019170000}"/>
    <cellStyle name="Normal 3 110" xfId="5918" xr:uid="{00000000-0005-0000-0000-00001A170000}"/>
    <cellStyle name="Normal 3 110 2" xfId="5919" xr:uid="{00000000-0005-0000-0000-00001B170000}"/>
    <cellStyle name="Normal 3 110 3" xfId="5920" xr:uid="{00000000-0005-0000-0000-00001C170000}"/>
    <cellStyle name="Normal 3 111" xfId="5921" xr:uid="{00000000-0005-0000-0000-00001D170000}"/>
    <cellStyle name="Normal 3 112" xfId="5922" xr:uid="{00000000-0005-0000-0000-00001E170000}"/>
    <cellStyle name="Normal 3 113" xfId="5923" xr:uid="{00000000-0005-0000-0000-00001F170000}"/>
    <cellStyle name="Normal 3 114" xfId="5924" xr:uid="{00000000-0005-0000-0000-000020170000}"/>
    <cellStyle name="Normal 3 12" xfId="5925" xr:uid="{00000000-0005-0000-0000-000021170000}"/>
    <cellStyle name="Normal 3 12 2" xfId="5926" xr:uid="{00000000-0005-0000-0000-000022170000}"/>
    <cellStyle name="Normal 3 12 3" xfId="5927" xr:uid="{00000000-0005-0000-0000-000023170000}"/>
    <cellStyle name="Normal 3 12 4" xfId="5928" xr:uid="{00000000-0005-0000-0000-000024170000}"/>
    <cellStyle name="Normal 3 13" xfId="5929" xr:uid="{00000000-0005-0000-0000-000025170000}"/>
    <cellStyle name="Normal 3 13 2" xfId="5930" xr:uid="{00000000-0005-0000-0000-000026170000}"/>
    <cellStyle name="Normal 3 13 3" xfId="5931" xr:uid="{00000000-0005-0000-0000-000027170000}"/>
    <cellStyle name="Normal 3 13 4" xfId="5932" xr:uid="{00000000-0005-0000-0000-000028170000}"/>
    <cellStyle name="Normal 3 14" xfId="5933" xr:uid="{00000000-0005-0000-0000-000029170000}"/>
    <cellStyle name="Normal 3 14 2" xfId="5934" xr:uid="{00000000-0005-0000-0000-00002A170000}"/>
    <cellStyle name="Normal 3 14 3" xfId="5935" xr:uid="{00000000-0005-0000-0000-00002B170000}"/>
    <cellStyle name="Normal 3 14 4" xfId="5936" xr:uid="{00000000-0005-0000-0000-00002C170000}"/>
    <cellStyle name="Normal 3 15" xfId="5937" xr:uid="{00000000-0005-0000-0000-00002D170000}"/>
    <cellStyle name="Normal 3 15 2" xfId="5938" xr:uid="{00000000-0005-0000-0000-00002E170000}"/>
    <cellStyle name="Normal 3 15 3" xfId="5939" xr:uid="{00000000-0005-0000-0000-00002F170000}"/>
    <cellStyle name="Normal 3 15 4" xfId="5940" xr:uid="{00000000-0005-0000-0000-000030170000}"/>
    <cellStyle name="Normal 3 16" xfId="5941" xr:uid="{00000000-0005-0000-0000-000031170000}"/>
    <cellStyle name="Normal 3 16 2" xfId="5942" xr:uid="{00000000-0005-0000-0000-000032170000}"/>
    <cellStyle name="Normal 3 16 3" xfId="5943" xr:uid="{00000000-0005-0000-0000-000033170000}"/>
    <cellStyle name="Normal 3 16 4" xfId="5944" xr:uid="{00000000-0005-0000-0000-000034170000}"/>
    <cellStyle name="Normal 3 17" xfId="5945" xr:uid="{00000000-0005-0000-0000-000035170000}"/>
    <cellStyle name="Normal 3 17 2" xfId="5946" xr:uid="{00000000-0005-0000-0000-000036170000}"/>
    <cellStyle name="Normal 3 17 3" xfId="5947" xr:uid="{00000000-0005-0000-0000-000037170000}"/>
    <cellStyle name="Normal 3 17 4" xfId="5948" xr:uid="{00000000-0005-0000-0000-000038170000}"/>
    <cellStyle name="Normal 3 18" xfId="5949" xr:uid="{00000000-0005-0000-0000-000039170000}"/>
    <cellStyle name="Normal 3 18 2" xfId="5950" xr:uid="{00000000-0005-0000-0000-00003A170000}"/>
    <cellStyle name="Normal 3 18 3" xfId="5951" xr:uid="{00000000-0005-0000-0000-00003B170000}"/>
    <cellStyle name="Normal 3 18 4" xfId="5952" xr:uid="{00000000-0005-0000-0000-00003C170000}"/>
    <cellStyle name="Normal 3 19" xfId="5953" xr:uid="{00000000-0005-0000-0000-00003D170000}"/>
    <cellStyle name="Normal 3 19 2" xfId="5954" xr:uid="{00000000-0005-0000-0000-00003E170000}"/>
    <cellStyle name="Normal 3 19 3" xfId="5955" xr:uid="{00000000-0005-0000-0000-00003F170000}"/>
    <cellStyle name="Normal 3 19 4" xfId="5956" xr:uid="{00000000-0005-0000-0000-000040170000}"/>
    <cellStyle name="Normal 3 2" xfId="17" xr:uid="{00000000-0005-0000-0000-000041170000}"/>
    <cellStyle name="Normal 3 2 10" xfId="5957" xr:uid="{00000000-0005-0000-0000-000042170000}"/>
    <cellStyle name="Normal 3 2 10 2" xfId="5958" xr:uid="{00000000-0005-0000-0000-000043170000}"/>
    <cellStyle name="Normal 3 2 10 2 2" xfId="5959" xr:uid="{00000000-0005-0000-0000-000044170000}"/>
    <cellStyle name="Normal 3 2 10 3" xfId="5960" xr:uid="{00000000-0005-0000-0000-000045170000}"/>
    <cellStyle name="Normal 3 2 10 4" xfId="5961" xr:uid="{00000000-0005-0000-0000-000046170000}"/>
    <cellStyle name="Normal 3 2 11" xfId="5962" xr:uid="{00000000-0005-0000-0000-000047170000}"/>
    <cellStyle name="Normal 3 2 11 2" xfId="5963" xr:uid="{00000000-0005-0000-0000-000048170000}"/>
    <cellStyle name="Normal 3 2 11 2 2" xfId="5964" xr:uid="{00000000-0005-0000-0000-000049170000}"/>
    <cellStyle name="Normal 3 2 11 3" xfId="5965" xr:uid="{00000000-0005-0000-0000-00004A170000}"/>
    <cellStyle name="Normal 3 2 11 4" xfId="5966" xr:uid="{00000000-0005-0000-0000-00004B170000}"/>
    <cellStyle name="Normal 3 2 11 5" xfId="5967" xr:uid="{00000000-0005-0000-0000-00004C170000}"/>
    <cellStyle name="Normal 3 2 12" xfId="5968" xr:uid="{00000000-0005-0000-0000-00004D170000}"/>
    <cellStyle name="Normal 3 2 12 2" xfId="5969" xr:uid="{00000000-0005-0000-0000-00004E170000}"/>
    <cellStyle name="Normal 3 2 12 2 2" xfId="5970" xr:uid="{00000000-0005-0000-0000-00004F170000}"/>
    <cellStyle name="Normal 3 2 12 3" xfId="5971" xr:uid="{00000000-0005-0000-0000-000050170000}"/>
    <cellStyle name="Normal 3 2 13" xfId="5972" xr:uid="{00000000-0005-0000-0000-000051170000}"/>
    <cellStyle name="Normal 3 2 13 2" xfId="5973" xr:uid="{00000000-0005-0000-0000-000052170000}"/>
    <cellStyle name="Normal 3 2 13 2 2" xfId="5974" xr:uid="{00000000-0005-0000-0000-000053170000}"/>
    <cellStyle name="Normal 3 2 13 3" xfId="5975" xr:uid="{00000000-0005-0000-0000-000054170000}"/>
    <cellStyle name="Normal 3 2 14" xfId="5976" xr:uid="{00000000-0005-0000-0000-000055170000}"/>
    <cellStyle name="Normal 3 2 14 2" xfId="5977" xr:uid="{00000000-0005-0000-0000-000056170000}"/>
    <cellStyle name="Normal 3 2 14 2 2" xfId="5978" xr:uid="{00000000-0005-0000-0000-000057170000}"/>
    <cellStyle name="Normal 3 2 14 3" xfId="5979" xr:uid="{00000000-0005-0000-0000-000058170000}"/>
    <cellStyle name="Normal 3 2 15" xfId="5980" xr:uid="{00000000-0005-0000-0000-000059170000}"/>
    <cellStyle name="Normal 3 2 15 2" xfId="5981" xr:uid="{00000000-0005-0000-0000-00005A170000}"/>
    <cellStyle name="Normal 3 2 15 2 2" xfId="5982" xr:uid="{00000000-0005-0000-0000-00005B170000}"/>
    <cellStyle name="Normal 3 2 15 3" xfId="5983" xr:uid="{00000000-0005-0000-0000-00005C170000}"/>
    <cellStyle name="Normal 3 2 16" xfId="5984" xr:uid="{00000000-0005-0000-0000-00005D170000}"/>
    <cellStyle name="Normal 3 2 16 2" xfId="5985" xr:uid="{00000000-0005-0000-0000-00005E170000}"/>
    <cellStyle name="Normal 3 2 16 2 2" xfId="5986" xr:uid="{00000000-0005-0000-0000-00005F170000}"/>
    <cellStyle name="Normal 3 2 16 3" xfId="5987" xr:uid="{00000000-0005-0000-0000-000060170000}"/>
    <cellStyle name="Normal 3 2 17" xfId="5988" xr:uid="{00000000-0005-0000-0000-000061170000}"/>
    <cellStyle name="Normal 3 2 17 2" xfId="5989" xr:uid="{00000000-0005-0000-0000-000062170000}"/>
    <cellStyle name="Normal 3 2 17 2 2" xfId="5990" xr:uid="{00000000-0005-0000-0000-000063170000}"/>
    <cellStyle name="Normal 3 2 17 3" xfId="5991" xr:uid="{00000000-0005-0000-0000-000064170000}"/>
    <cellStyle name="Normal 3 2 18" xfId="5992" xr:uid="{00000000-0005-0000-0000-000065170000}"/>
    <cellStyle name="Normal 3 2 18 2" xfId="5993" xr:uid="{00000000-0005-0000-0000-000066170000}"/>
    <cellStyle name="Normal 3 2 19" xfId="5994" xr:uid="{00000000-0005-0000-0000-000067170000}"/>
    <cellStyle name="Normal 3 2 19 2" xfId="5995" xr:uid="{00000000-0005-0000-0000-000068170000}"/>
    <cellStyle name="Normal 3 2 2" xfId="5996" xr:uid="{00000000-0005-0000-0000-000069170000}"/>
    <cellStyle name="Normal 3 2 2 10" xfId="5997" xr:uid="{00000000-0005-0000-0000-00006A170000}"/>
    <cellStyle name="Normal 3 2 2 11" xfId="5998" xr:uid="{00000000-0005-0000-0000-00006B170000}"/>
    <cellStyle name="Normal 3 2 2 12" xfId="5999" xr:uid="{00000000-0005-0000-0000-00006C170000}"/>
    <cellStyle name="Normal 3 2 2 13" xfId="6000" xr:uid="{00000000-0005-0000-0000-00006D170000}"/>
    <cellStyle name="Normal 3 2 2 14" xfId="6001" xr:uid="{00000000-0005-0000-0000-00006E170000}"/>
    <cellStyle name="Normal 3 2 2 15" xfId="6002" xr:uid="{00000000-0005-0000-0000-00006F170000}"/>
    <cellStyle name="Normal 3 2 2 16" xfId="6003" xr:uid="{00000000-0005-0000-0000-000070170000}"/>
    <cellStyle name="Normal 3 2 2 17" xfId="6004" xr:uid="{00000000-0005-0000-0000-000071170000}"/>
    <cellStyle name="Normal 3 2 2 18" xfId="6005" xr:uid="{00000000-0005-0000-0000-000072170000}"/>
    <cellStyle name="Normal 3 2 2 2" xfId="6006" xr:uid="{00000000-0005-0000-0000-000073170000}"/>
    <cellStyle name="Normal 3 2 2 2 10" xfId="6007" xr:uid="{00000000-0005-0000-0000-000074170000}"/>
    <cellStyle name="Normal 3 2 2 2 10 2" xfId="6008" xr:uid="{00000000-0005-0000-0000-000075170000}"/>
    <cellStyle name="Normal 3 2 2 2 10 2 2" xfId="6009" xr:uid="{00000000-0005-0000-0000-000076170000}"/>
    <cellStyle name="Normal 3 2 2 2 10 3" xfId="6010" xr:uid="{00000000-0005-0000-0000-000077170000}"/>
    <cellStyle name="Normal 3 2 2 2 11" xfId="6011" xr:uid="{00000000-0005-0000-0000-000078170000}"/>
    <cellStyle name="Normal 3 2 2 2 11 2" xfId="6012" xr:uid="{00000000-0005-0000-0000-000079170000}"/>
    <cellStyle name="Normal 3 2 2 2 11 2 2" xfId="6013" xr:uid="{00000000-0005-0000-0000-00007A170000}"/>
    <cellStyle name="Normal 3 2 2 2 11 3" xfId="6014" xr:uid="{00000000-0005-0000-0000-00007B170000}"/>
    <cellStyle name="Normal 3 2 2 2 12" xfId="6015" xr:uid="{00000000-0005-0000-0000-00007C170000}"/>
    <cellStyle name="Normal 3 2 2 2 12 2" xfId="6016" xr:uid="{00000000-0005-0000-0000-00007D170000}"/>
    <cellStyle name="Normal 3 2 2 2 12 2 2" xfId="6017" xr:uid="{00000000-0005-0000-0000-00007E170000}"/>
    <cellStyle name="Normal 3 2 2 2 12 3" xfId="6018" xr:uid="{00000000-0005-0000-0000-00007F170000}"/>
    <cellStyle name="Normal 3 2 2 2 13" xfId="6019" xr:uid="{00000000-0005-0000-0000-000080170000}"/>
    <cellStyle name="Normal 3 2 2 2 13 2" xfId="6020" xr:uid="{00000000-0005-0000-0000-000081170000}"/>
    <cellStyle name="Normal 3 2 2 2 13 2 2" xfId="6021" xr:uid="{00000000-0005-0000-0000-000082170000}"/>
    <cellStyle name="Normal 3 2 2 2 13 3" xfId="6022" xr:uid="{00000000-0005-0000-0000-000083170000}"/>
    <cellStyle name="Normal 3 2 2 2 14" xfId="6023" xr:uid="{00000000-0005-0000-0000-000084170000}"/>
    <cellStyle name="Normal 3 2 2 2 14 2" xfId="6024" xr:uid="{00000000-0005-0000-0000-000085170000}"/>
    <cellStyle name="Normal 3 2 2 2 14 2 2" xfId="6025" xr:uid="{00000000-0005-0000-0000-000086170000}"/>
    <cellStyle name="Normal 3 2 2 2 14 3" xfId="6026" xr:uid="{00000000-0005-0000-0000-000087170000}"/>
    <cellStyle name="Normal 3 2 2 2 15" xfId="6027" xr:uid="{00000000-0005-0000-0000-000088170000}"/>
    <cellStyle name="Normal 3 2 2 2 15 2" xfId="6028" xr:uid="{00000000-0005-0000-0000-000089170000}"/>
    <cellStyle name="Normal 3 2 2 2 15 2 2" xfId="6029" xr:uid="{00000000-0005-0000-0000-00008A170000}"/>
    <cellStyle name="Normal 3 2 2 2 15 3" xfId="6030" xr:uid="{00000000-0005-0000-0000-00008B170000}"/>
    <cellStyle name="Normal 3 2 2 2 16" xfId="6031" xr:uid="{00000000-0005-0000-0000-00008C170000}"/>
    <cellStyle name="Normal 3 2 2 2 16 2" xfId="6032" xr:uid="{00000000-0005-0000-0000-00008D170000}"/>
    <cellStyle name="Normal 3 2 2 2 17" xfId="6033" xr:uid="{00000000-0005-0000-0000-00008E170000}"/>
    <cellStyle name="Normal 3 2 2 2 17 2" xfId="6034" xr:uid="{00000000-0005-0000-0000-00008F170000}"/>
    <cellStyle name="Normal 3 2 2 2 2" xfId="6035" xr:uid="{00000000-0005-0000-0000-000090170000}"/>
    <cellStyle name="Normal 3 2 2 2 2 2" xfId="6036" xr:uid="{00000000-0005-0000-0000-000091170000}"/>
    <cellStyle name="Normal 3 2 2 2 2 2 2" xfId="6037" xr:uid="{00000000-0005-0000-0000-000092170000}"/>
    <cellStyle name="Normal 3 2 2 2 2 2 2 2" xfId="6038" xr:uid="{00000000-0005-0000-0000-000093170000}"/>
    <cellStyle name="Normal 3 2 2 2 2 2 2 2 2" xfId="6039" xr:uid="{00000000-0005-0000-0000-000094170000}"/>
    <cellStyle name="Normal 3 2 2 2 2 2 2 3" xfId="6040" xr:uid="{00000000-0005-0000-0000-000095170000}"/>
    <cellStyle name="Normal 3 2 2 2 2 2 3" xfId="6041" xr:uid="{00000000-0005-0000-0000-000096170000}"/>
    <cellStyle name="Normal 3 2 2 2 2 2 3 2" xfId="6042" xr:uid="{00000000-0005-0000-0000-000097170000}"/>
    <cellStyle name="Normal 3 2 2 2 2 2 3 2 2" xfId="6043" xr:uid="{00000000-0005-0000-0000-000098170000}"/>
    <cellStyle name="Normal 3 2 2 2 2 2 3 3" xfId="6044" xr:uid="{00000000-0005-0000-0000-000099170000}"/>
    <cellStyle name="Normal 3 2 2 2 2 2 4" xfId="6045" xr:uid="{00000000-0005-0000-0000-00009A170000}"/>
    <cellStyle name="Normal 3 2 2 2 2 2 4 2" xfId="6046" xr:uid="{00000000-0005-0000-0000-00009B170000}"/>
    <cellStyle name="Normal 3 2 2 2 2 2 4 2 2" xfId="6047" xr:uid="{00000000-0005-0000-0000-00009C170000}"/>
    <cellStyle name="Normal 3 2 2 2 2 2 4 3" xfId="6048" xr:uid="{00000000-0005-0000-0000-00009D170000}"/>
    <cellStyle name="Normal 3 2 2 2 2 2 5" xfId="6049" xr:uid="{00000000-0005-0000-0000-00009E170000}"/>
    <cellStyle name="Normal 3 2 2 2 2 2 5 2" xfId="6050" xr:uid="{00000000-0005-0000-0000-00009F170000}"/>
    <cellStyle name="Normal 3 2 2 2 2 2 5 2 2" xfId="6051" xr:uid="{00000000-0005-0000-0000-0000A0170000}"/>
    <cellStyle name="Normal 3 2 2 2 2 2 5 3" xfId="6052" xr:uid="{00000000-0005-0000-0000-0000A1170000}"/>
    <cellStyle name="Normal 3 2 2 2 2 3" xfId="6053" xr:uid="{00000000-0005-0000-0000-0000A2170000}"/>
    <cellStyle name="Normal 3 2 2 2 2 4" xfId="6054" xr:uid="{00000000-0005-0000-0000-0000A3170000}"/>
    <cellStyle name="Normal 3 2 2 2 2 5" xfId="6055" xr:uid="{00000000-0005-0000-0000-0000A4170000}"/>
    <cellStyle name="Normal 3 2 2 2 2 6" xfId="6056" xr:uid="{00000000-0005-0000-0000-0000A5170000}"/>
    <cellStyle name="Normal 3 2 2 2 2 6 2" xfId="6057" xr:uid="{00000000-0005-0000-0000-0000A6170000}"/>
    <cellStyle name="Normal 3 2 2 2 2 7" xfId="6058" xr:uid="{00000000-0005-0000-0000-0000A7170000}"/>
    <cellStyle name="Normal 3 2 2 2 3" xfId="6059" xr:uid="{00000000-0005-0000-0000-0000A8170000}"/>
    <cellStyle name="Normal 3 2 2 2 3 2" xfId="6060" xr:uid="{00000000-0005-0000-0000-0000A9170000}"/>
    <cellStyle name="Normal 3 2 2 2 3 2 2" xfId="6061" xr:uid="{00000000-0005-0000-0000-0000AA170000}"/>
    <cellStyle name="Normal 3 2 2 2 3 3" xfId="6062" xr:uid="{00000000-0005-0000-0000-0000AB170000}"/>
    <cellStyle name="Normal 3 2 2 2 4" xfId="6063" xr:uid="{00000000-0005-0000-0000-0000AC170000}"/>
    <cellStyle name="Normal 3 2 2 2 4 2" xfId="6064" xr:uid="{00000000-0005-0000-0000-0000AD170000}"/>
    <cellStyle name="Normal 3 2 2 2 4 2 2" xfId="6065" xr:uid="{00000000-0005-0000-0000-0000AE170000}"/>
    <cellStyle name="Normal 3 2 2 2 4 3" xfId="6066" xr:uid="{00000000-0005-0000-0000-0000AF170000}"/>
    <cellStyle name="Normal 3 2 2 2 5" xfId="6067" xr:uid="{00000000-0005-0000-0000-0000B0170000}"/>
    <cellStyle name="Normal 3 2 2 2 5 2" xfId="6068" xr:uid="{00000000-0005-0000-0000-0000B1170000}"/>
    <cellStyle name="Normal 3 2 2 2 5 2 2" xfId="6069" xr:uid="{00000000-0005-0000-0000-0000B2170000}"/>
    <cellStyle name="Normal 3 2 2 2 5 3" xfId="6070" xr:uid="{00000000-0005-0000-0000-0000B3170000}"/>
    <cellStyle name="Normal 3 2 2 2 6" xfId="6071" xr:uid="{00000000-0005-0000-0000-0000B4170000}"/>
    <cellStyle name="Normal 3 2 2 2 6 2" xfId="6072" xr:uid="{00000000-0005-0000-0000-0000B5170000}"/>
    <cellStyle name="Normal 3 2 2 2 6 2 2" xfId="6073" xr:uid="{00000000-0005-0000-0000-0000B6170000}"/>
    <cellStyle name="Normal 3 2 2 2 6 3" xfId="6074" xr:uid="{00000000-0005-0000-0000-0000B7170000}"/>
    <cellStyle name="Normal 3 2 2 2 7" xfId="6075" xr:uid="{00000000-0005-0000-0000-0000B8170000}"/>
    <cellStyle name="Normal 3 2 2 2 7 2" xfId="6076" xr:uid="{00000000-0005-0000-0000-0000B9170000}"/>
    <cellStyle name="Normal 3 2 2 2 7 2 2" xfId="6077" xr:uid="{00000000-0005-0000-0000-0000BA170000}"/>
    <cellStyle name="Normal 3 2 2 2 7 3" xfId="6078" xr:uid="{00000000-0005-0000-0000-0000BB170000}"/>
    <cellStyle name="Normal 3 2 2 2 8" xfId="6079" xr:uid="{00000000-0005-0000-0000-0000BC170000}"/>
    <cellStyle name="Normal 3 2 2 2 8 2" xfId="6080" xr:uid="{00000000-0005-0000-0000-0000BD170000}"/>
    <cellStyle name="Normal 3 2 2 2 8 2 2" xfId="6081" xr:uid="{00000000-0005-0000-0000-0000BE170000}"/>
    <cellStyle name="Normal 3 2 2 2 8 3" xfId="6082" xr:uid="{00000000-0005-0000-0000-0000BF170000}"/>
    <cellStyle name="Normal 3 2 2 2 9" xfId="6083" xr:uid="{00000000-0005-0000-0000-0000C0170000}"/>
    <cellStyle name="Normal 3 2 2 2 9 2" xfId="6084" xr:uid="{00000000-0005-0000-0000-0000C1170000}"/>
    <cellStyle name="Normal 3 2 2 2 9 2 2" xfId="6085" xr:uid="{00000000-0005-0000-0000-0000C2170000}"/>
    <cellStyle name="Normal 3 2 2 2 9 3" xfId="6086" xr:uid="{00000000-0005-0000-0000-0000C3170000}"/>
    <cellStyle name="Normal 3 2 2 3" xfId="6087" xr:uid="{00000000-0005-0000-0000-0000C4170000}"/>
    <cellStyle name="Normal 3 2 2 3 2" xfId="6088" xr:uid="{00000000-0005-0000-0000-0000C5170000}"/>
    <cellStyle name="Normal 3 2 2 3 3" xfId="6089" xr:uid="{00000000-0005-0000-0000-0000C6170000}"/>
    <cellStyle name="Normal 3 2 2 3 3 2" xfId="6090" xr:uid="{00000000-0005-0000-0000-0000C7170000}"/>
    <cellStyle name="Normal 3 2 2 3 4" xfId="6091" xr:uid="{00000000-0005-0000-0000-0000C8170000}"/>
    <cellStyle name="Normal 3 2 2 4" xfId="6092" xr:uid="{00000000-0005-0000-0000-0000C9170000}"/>
    <cellStyle name="Normal 3 2 2 4 2" xfId="6093" xr:uid="{00000000-0005-0000-0000-0000CA170000}"/>
    <cellStyle name="Normal 3 2 2 5" xfId="6094" xr:uid="{00000000-0005-0000-0000-0000CB170000}"/>
    <cellStyle name="Normal 3 2 2 6" xfId="6095" xr:uid="{00000000-0005-0000-0000-0000CC170000}"/>
    <cellStyle name="Normal 3 2 2 7" xfId="6096" xr:uid="{00000000-0005-0000-0000-0000CD170000}"/>
    <cellStyle name="Normal 3 2 2 8" xfId="6097" xr:uid="{00000000-0005-0000-0000-0000CE170000}"/>
    <cellStyle name="Normal 3 2 2 9" xfId="6098" xr:uid="{00000000-0005-0000-0000-0000CF170000}"/>
    <cellStyle name="Normal 3 2 20" xfId="6099" xr:uid="{00000000-0005-0000-0000-0000D0170000}"/>
    <cellStyle name="Normal 3 2 21" xfId="6100" xr:uid="{00000000-0005-0000-0000-0000D1170000}"/>
    <cellStyle name="Normal 3 2 22" xfId="6101" xr:uid="{00000000-0005-0000-0000-0000D2170000}"/>
    <cellStyle name="Normal 3 2 3" xfId="6102" xr:uid="{00000000-0005-0000-0000-0000D3170000}"/>
    <cellStyle name="Normal 3 2 3 2" xfId="6103" xr:uid="{00000000-0005-0000-0000-0000D4170000}"/>
    <cellStyle name="Normal 3 2 3 2 2" xfId="6104" xr:uid="{00000000-0005-0000-0000-0000D5170000}"/>
    <cellStyle name="Normal 3 2 3 3" xfId="6105" xr:uid="{00000000-0005-0000-0000-0000D6170000}"/>
    <cellStyle name="Normal 3 2 4" xfId="6106" xr:uid="{00000000-0005-0000-0000-0000D7170000}"/>
    <cellStyle name="Normal 3 2 4 2" xfId="6107" xr:uid="{00000000-0005-0000-0000-0000D8170000}"/>
    <cellStyle name="Normal 3 2 4 2 2" xfId="6108" xr:uid="{00000000-0005-0000-0000-0000D9170000}"/>
    <cellStyle name="Normal 3 2 4 3" xfId="6109" xr:uid="{00000000-0005-0000-0000-0000DA170000}"/>
    <cellStyle name="Normal 3 2 5" xfId="6110" xr:uid="{00000000-0005-0000-0000-0000DB170000}"/>
    <cellStyle name="Normal 3 2 5 2" xfId="6111" xr:uid="{00000000-0005-0000-0000-0000DC170000}"/>
    <cellStyle name="Normal 3 2 5 2 2" xfId="6112" xr:uid="{00000000-0005-0000-0000-0000DD170000}"/>
    <cellStyle name="Normal 3 2 5 3" xfId="6113" xr:uid="{00000000-0005-0000-0000-0000DE170000}"/>
    <cellStyle name="Normal 3 2 6" xfId="6114" xr:uid="{00000000-0005-0000-0000-0000DF170000}"/>
    <cellStyle name="Normal 3 2 6 2" xfId="6115" xr:uid="{00000000-0005-0000-0000-0000E0170000}"/>
    <cellStyle name="Normal 3 2 6 2 2" xfId="6116" xr:uid="{00000000-0005-0000-0000-0000E1170000}"/>
    <cellStyle name="Normal 3 2 6 3" xfId="6117" xr:uid="{00000000-0005-0000-0000-0000E2170000}"/>
    <cellStyle name="Normal 3 2 7" xfId="6118" xr:uid="{00000000-0005-0000-0000-0000E3170000}"/>
    <cellStyle name="Normal 3 2 7 2" xfId="6119" xr:uid="{00000000-0005-0000-0000-0000E4170000}"/>
    <cellStyle name="Normal 3 2 7 2 2" xfId="6120" xr:uid="{00000000-0005-0000-0000-0000E5170000}"/>
    <cellStyle name="Normal 3 2 7 3" xfId="6121" xr:uid="{00000000-0005-0000-0000-0000E6170000}"/>
    <cellStyle name="Normal 3 2 8" xfId="6122" xr:uid="{00000000-0005-0000-0000-0000E7170000}"/>
    <cellStyle name="Normal 3 2 8 2" xfId="6123" xr:uid="{00000000-0005-0000-0000-0000E8170000}"/>
    <cellStyle name="Normal 3 2 8 2 2" xfId="6124" xr:uid="{00000000-0005-0000-0000-0000E9170000}"/>
    <cellStyle name="Normal 3 2 8 3" xfId="6125" xr:uid="{00000000-0005-0000-0000-0000EA170000}"/>
    <cellStyle name="Normal 3 2 9" xfId="6126" xr:uid="{00000000-0005-0000-0000-0000EB170000}"/>
    <cellStyle name="Normal 3 2 9 2" xfId="6127" xr:uid="{00000000-0005-0000-0000-0000EC170000}"/>
    <cellStyle name="Normal 3 2 9 2 2" xfId="6128" xr:uid="{00000000-0005-0000-0000-0000ED170000}"/>
    <cellStyle name="Normal 3 2 9 3" xfId="6129" xr:uid="{00000000-0005-0000-0000-0000EE170000}"/>
    <cellStyle name="Normal 3 20" xfId="6130" xr:uid="{00000000-0005-0000-0000-0000EF170000}"/>
    <cellStyle name="Normal 3 20 2" xfId="6131" xr:uid="{00000000-0005-0000-0000-0000F0170000}"/>
    <cellStyle name="Normal 3 20 3" xfId="6132" xr:uid="{00000000-0005-0000-0000-0000F1170000}"/>
    <cellStyle name="Normal 3 20 4" xfId="6133" xr:uid="{00000000-0005-0000-0000-0000F2170000}"/>
    <cellStyle name="Normal 3 21" xfId="6134" xr:uid="{00000000-0005-0000-0000-0000F3170000}"/>
    <cellStyle name="Normal 3 21 2" xfId="6135" xr:uid="{00000000-0005-0000-0000-0000F4170000}"/>
    <cellStyle name="Normal 3 21 3" xfId="6136" xr:uid="{00000000-0005-0000-0000-0000F5170000}"/>
    <cellStyle name="Normal 3 22" xfId="6137" xr:uid="{00000000-0005-0000-0000-0000F6170000}"/>
    <cellStyle name="Normal 3 22 2" xfId="6138" xr:uid="{00000000-0005-0000-0000-0000F7170000}"/>
    <cellStyle name="Normal 3 23" xfId="6139" xr:uid="{00000000-0005-0000-0000-0000F8170000}"/>
    <cellStyle name="Normal 3 24" xfId="6140" xr:uid="{00000000-0005-0000-0000-0000F9170000}"/>
    <cellStyle name="Normal 3 25" xfId="6141" xr:uid="{00000000-0005-0000-0000-0000FA170000}"/>
    <cellStyle name="Normal 3 26" xfId="6142" xr:uid="{00000000-0005-0000-0000-0000FB170000}"/>
    <cellStyle name="Normal 3 27" xfId="6143" xr:uid="{00000000-0005-0000-0000-0000FC170000}"/>
    <cellStyle name="Normal 3 28" xfId="6144" xr:uid="{00000000-0005-0000-0000-0000FD170000}"/>
    <cellStyle name="Normal 3 29" xfId="6145" xr:uid="{00000000-0005-0000-0000-0000FE170000}"/>
    <cellStyle name="Normal 3 3" xfId="6146" xr:uid="{00000000-0005-0000-0000-0000FF170000}"/>
    <cellStyle name="Normal 3 3 2" xfId="6147" xr:uid="{00000000-0005-0000-0000-000000180000}"/>
    <cellStyle name="Normal 3 3 2 2" xfId="6148" xr:uid="{00000000-0005-0000-0000-000001180000}"/>
    <cellStyle name="Normal 3 3 2 2 2" xfId="6149" xr:uid="{00000000-0005-0000-0000-000002180000}"/>
    <cellStyle name="Normal 3 3 2 2 2 2" xfId="6150" xr:uid="{00000000-0005-0000-0000-000003180000}"/>
    <cellStyle name="Normal 3 3 2 2 3" xfId="6151" xr:uid="{00000000-0005-0000-0000-000004180000}"/>
    <cellStyle name="Normal 3 3 2 2 4" xfId="6152" xr:uid="{00000000-0005-0000-0000-000005180000}"/>
    <cellStyle name="Normal 3 3 2 2 5" xfId="6153" xr:uid="{00000000-0005-0000-0000-000006180000}"/>
    <cellStyle name="Normal 3 3 2 2 6" xfId="6154" xr:uid="{00000000-0005-0000-0000-000007180000}"/>
    <cellStyle name="Normal 3 3 2 2 6 2" xfId="6155" xr:uid="{00000000-0005-0000-0000-000008180000}"/>
    <cellStyle name="Normal 3 3 2 2 7" xfId="6156" xr:uid="{00000000-0005-0000-0000-000009180000}"/>
    <cellStyle name="Normal 3 3 2 3" xfId="6157" xr:uid="{00000000-0005-0000-0000-00000A180000}"/>
    <cellStyle name="Normal 3 3 2 3 2" xfId="6158" xr:uid="{00000000-0005-0000-0000-00000B180000}"/>
    <cellStyle name="Normal 3 3 2 3 2 2" xfId="6159" xr:uid="{00000000-0005-0000-0000-00000C180000}"/>
    <cellStyle name="Normal 3 3 2 3 3" xfId="6160" xr:uid="{00000000-0005-0000-0000-00000D180000}"/>
    <cellStyle name="Normal 3 3 2 4" xfId="6161" xr:uid="{00000000-0005-0000-0000-00000E180000}"/>
    <cellStyle name="Normal 3 3 2 4 2" xfId="6162" xr:uid="{00000000-0005-0000-0000-00000F180000}"/>
    <cellStyle name="Normal 3 3 2 4 2 2" xfId="6163" xr:uid="{00000000-0005-0000-0000-000010180000}"/>
    <cellStyle name="Normal 3 3 2 4 3" xfId="6164" xr:uid="{00000000-0005-0000-0000-000011180000}"/>
    <cellStyle name="Normal 3 3 2 5" xfId="6165" xr:uid="{00000000-0005-0000-0000-000012180000}"/>
    <cellStyle name="Normal 3 3 2 5 2" xfId="6166" xr:uid="{00000000-0005-0000-0000-000013180000}"/>
    <cellStyle name="Normal 3 3 2 5 2 2" xfId="6167" xr:uid="{00000000-0005-0000-0000-000014180000}"/>
    <cellStyle name="Normal 3 3 2 5 3" xfId="6168" xr:uid="{00000000-0005-0000-0000-000015180000}"/>
    <cellStyle name="Normal 3 3 2 6" xfId="6169" xr:uid="{00000000-0005-0000-0000-000016180000}"/>
    <cellStyle name="Normal 3 3 2 6 2" xfId="6170" xr:uid="{00000000-0005-0000-0000-000017180000}"/>
    <cellStyle name="Normal 3 3 2 6 3" xfId="6171" xr:uid="{00000000-0005-0000-0000-000018180000}"/>
    <cellStyle name="Normal 3 3 3" xfId="6172" xr:uid="{00000000-0005-0000-0000-000019180000}"/>
    <cellStyle name="Normal 3 3 3 2" xfId="6173" xr:uid="{00000000-0005-0000-0000-00001A180000}"/>
    <cellStyle name="Normal 3 3 3 3" xfId="6174" xr:uid="{00000000-0005-0000-0000-00001B180000}"/>
    <cellStyle name="Normal 3 3 3 3 2" xfId="6175" xr:uid="{00000000-0005-0000-0000-00001C180000}"/>
    <cellStyle name="Normal 3 3 3 4" xfId="6176" xr:uid="{00000000-0005-0000-0000-00001D180000}"/>
    <cellStyle name="Normal 3 3 4" xfId="6177" xr:uid="{00000000-0005-0000-0000-00001E180000}"/>
    <cellStyle name="Normal 3 3 4 2" xfId="6178" xr:uid="{00000000-0005-0000-0000-00001F180000}"/>
    <cellStyle name="Normal 3 3 5" xfId="6179" xr:uid="{00000000-0005-0000-0000-000020180000}"/>
    <cellStyle name="Normal 3 3 6" xfId="6180" xr:uid="{00000000-0005-0000-0000-000021180000}"/>
    <cellStyle name="Normal 3 3 7" xfId="6181" xr:uid="{00000000-0005-0000-0000-000022180000}"/>
    <cellStyle name="Normal 3 3 8" xfId="6182" xr:uid="{00000000-0005-0000-0000-000023180000}"/>
    <cellStyle name="Normal 3 3 9" xfId="6183" xr:uid="{00000000-0005-0000-0000-000024180000}"/>
    <cellStyle name="Normal 3 30" xfId="6184" xr:uid="{00000000-0005-0000-0000-000025180000}"/>
    <cellStyle name="Normal 3 31" xfId="6185" xr:uid="{00000000-0005-0000-0000-000026180000}"/>
    <cellStyle name="Normal 3 32" xfId="6186" xr:uid="{00000000-0005-0000-0000-000027180000}"/>
    <cellStyle name="Normal 3 33" xfId="6187" xr:uid="{00000000-0005-0000-0000-000028180000}"/>
    <cellStyle name="Normal 3 34" xfId="6188" xr:uid="{00000000-0005-0000-0000-000029180000}"/>
    <cellStyle name="Normal 3 35" xfId="6189" xr:uid="{00000000-0005-0000-0000-00002A180000}"/>
    <cellStyle name="Normal 3 36" xfId="6190" xr:uid="{00000000-0005-0000-0000-00002B180000}"/>
    <cellStyle name="Normal 3 37" xfId="6191" xr:uid="{00000000-0005-0000-0000-00002C180000}"/>
    <cellStyle name="Normal 3 38" xfId="6192" xr:uid="{00000000-0005-0000-0000-00002D180000}"/>
    <cellStyle name="Normal 3 39" xfId="6193" xr:uid="{00000000-0005-0000-0000-00002E180000}"/>
    <cellStyle name="Normal 3 4" xfId="6194" xr:uid="{00000000-0005-0000-0000-00002F180000}"/>
    <cellStyle name="Normal 3 4 10" xfId="6195" xr:uid="{00000000-0005-0000-0000-000030180000}"/>
    <cellStyle name="Normal 3 4 11" xfId="6196" xr:uid="{00000000-0005-0000-0000-000031180000}"/>
    <cellStyle name="Normal 3 4 2" xfId="6197" xr:uid="{00000000-0005-0000-0000-000032180000}"/>
    <cellStyle name="Normal 3 4 2 2" xfId="6198" xr:uid="{00000000-0005-0000-0000-000033180000}"/>
    <cellStyle name="Normal 3 4 3" xfId="6199" xr:uid="{00000000-0005-0000-0000-000034180000}"/>
    <cellStyle name="Normal 3 4 3 2" xfId="6200" xr:uid="{00000000-0005-0000-0000-000035180000}"/>
    <cellStyle name="Normal 3 4 4" xfId="6201" xr:uid="{00000000-0005-0000-0000-000036180000}"/>
    <cellStyle name="Normal 3 4 5" xfId="6202" xr:uid="{00000000-0005-0000-0000-000037180000}"/>
    <cellStyle name="Normal 3 4 6" xfId="6203" xr:uid="{00000000-0005-0000-0000-000038180000}"/>
    <cellStyle name="Normal 3 4 7" xfId="6204" xr:uid="{00000000-0005-0000-0000-000039180000}"/>
    <cellStyle name="Normal 3 4 8" xfId="6205" xr:uid="{00000000-0005-0000-0000-00003A180000}"/>
    <cellStyle name="Normal 3 4 9" xfId="6206" xr:uid="{00000000-0005-0000-0000-00003B180000}"/>
    <cellStyle name="Normal 3 40" xfId="6207" xr:uid="{00000000-0005-0000-0000-00003C180000}"/>
    <cellStyle name="Normal 3 41" xfId="6208" xr:uid="{00000000-0005-0000-0000-00003D180000}"/>
    <cellStyle name="Normal 3 42" xfId="6209" xr:uid="{00000000-0005-0000-0000-00003E180000}"/>
    <cellStyle name="Normal 3 43" xfId="6210" xr:uid="{00000000-0005-0000-0000-00003F180000}"/>
    <cellStyle name="Normal 3 43 2" xfId="6211" xr:uid="{00000000-0005-0000-0000-000040180000}"/>
    <cellStyle name="Normal 3 44" xfId="6212" xr:uid="{00000000-0005-0000-0000-000041180000}"/>
    <cellStyle name="Normal 3 44 2" xfId="6213" xr:uid="{00000000-0005-0000-0000-000042180000}"/>
    <cellStyle name="Normal 3 45" xfId="6214" xr:uid="{00000000-0005-0000-0000-000043180000}"/>
    <cellStyle name="Normal 3 46" xfId="6215" xr:uid="{00000000-0005-0000-0000-000044180000}"/>
    <cellStyle name="Normal 3 47" xfId="6216" xr:uid="{00000000-0005-0000-0000-000045180000}"/>
    <cellStyle name="Normal 3 48" xfId="6217" xr:uid="{00000000-0005-0000-0000-000046180000}"/>
    <cellStyle name="Normal 3 49" xfId="6218" xr:uid="{00000000-0005-0000-0000-000047180000}"/>
    <cellStyle name="Normal 3 5" xfId="6219" xr:uid="{00000000-0005-0000-0000-000048180000}"/>
    <cellStyle name="Normal 3 5 10" xfId="6220" xr:uid="{00000000-0005-0000-0000-000049180000}"/>
    <cellStyle name="Normal 3 5 11" xfId="6221" xr:uid="{00000000-0005-0000-0000-00004A180000}"/>
    <cellStyle name="Normal 3 5 12" xfId="6222" xr:uid="{00000000-0005-0000-0000-00004B180000}"/>
    <cellStyle name="Normal 3 5 13" xfId="6223" xr:uid="{00000000-0005-0000-0000-00004C180000}"/>
    <cellStyle name="Normal 3 5 14" xfId="6224" xr:uid="{00000000-0005-0000-0000-00004D180000}"/>
    <cellStyle name="Normal 3 5 15" xfId="6225" xr:uid="{00000000-0005-0000-0000-00004E180000}"/>
    <cellStyle name="Normal 3 5 16" xfId="6226" xr:uid="{00000000-0005-0000-0000-00004F180000}"/>
    <cellStyle name="Normal 3 5 16 2" xfId="6227" xr:uid="{00000000-0005-0000-0000-000050180000}"/>
    <cellStyle name="Normal 3 5 17" xfId="6228" xr:uid="{00000000-0005-0000-0000-000051180000}"/>
    <cellStyle name="Normal 3 5 18" xfId="6229" xr:uid="{00000000-0005-0000-0000-000052180000}"/>
    <cellStyle name="Normal 3 5 2" xfId="6230" xr:uid="{00000000-0005-0000-0000-000053180000}"/>
    <cellStyle name="Normal 3 5 2 2" xfId="6231" xr:uid="{00000000-0005-0000-0000-000054180000}"/>
    <cellStyle name="Normal 3 5 2 2 2" xfId="6232" xr:uid="{00000000-0005-0000-0000-000055180000}"/>
    <cellStyle name="Normal 3 5 2 2 2 2" xfId="6233" xr:uid="{00000000-0005-0000-0000-000056180000}"/>
    <cellStyle name="Normal 3 5 2 2 3" xfId="6234" xr:uid="{00000000-0005-0000-0000-000057180000}"/>
    <cellStyle name="Normal 3 5 2 2 4" xfId="6235" xr:uid="{00000000-0005-0000-0000-000058180000}"/>
    <cellStyle name="Normal 3 5 2 2 5" xfId="6236" xr:uid="{00000000-0005-0000-0000-000059180000}"/>
    <cellStyle name="Normal 3 5 2 3" xfId="6237" xr:uid="{00000000-0005-0000-0000-00005A180000}"/>
    <cellStyle name="Normal 3 5 2 4" xfId="6238" xr:uid="{00000000-0005-0000-0000-00005B180000}"/>
    <cellStyle name="Normal 3 5 2 5" xfId="6239" xr:uid="{00000000-0005-0000-0000-00005C180000}"/>
    <cellStyle name="Normal 3 5 3" xfId="6240" xr:uid="{00000000-0005-0000-0000-00005D180000}"/>
    <cellStyle name="Normal 3 5 3 2" xfId="6241" xr:uid="{00000000-0005-0000-0000-00005E180000}"/>
    <cellStyle name="Normal 3 5 3 3" xfId="6242" xr:uid="{00000000-0005-0000-0000-00005F180000}"/>
    <cellStyle name="Normal 3 5 3 4" xfId="6243" xr:uid="{00000000-0005-0000-0000-000060180000}"/>
    <cellStyle name="Normal 3 5 4" xfId="6244" xr:uid="{00000000-0005-0000-0000-000061180000}"/>
    <cellStyle name="Normal 3 5 4 2" xfId="6245" xr:uid="{00000000-0005-0000-0000-000062180000}"/>
    <cellStyle name="Normal 3 5 5" xfId="6246" xr:uid="{00000000-0005-0000-0000-000063180000}"/>
    <cellStyle name="Normal 3 5 6" xfId="6247" xr:uid="{00000000-0005-0000-0000-000064180000}"/>
    <cellStyle name="Normal 3 5 7" xfId="6248" xr:uid="{00000000-0005-0000-0000-000065180000}"/>
    <cellStyle name="Normal 3 5 8" xfId="6249" xr:uid="{00000000-0005-0000-0000-000066180000}"/>
    <cellStyle name="Normal 3 5 9" xfId="6250" xr:uid="{00000000-0005-0000-0000-000067180000}"/>
    <cellStyle name="Normal 3 50" xfId="6251" xr:uid="{00000000-0005-0000-0000-000068180000}"/>
    <cellStyle name="Normal 3 51" xfId="6252" xr:uid="{00000000-0005-0000-0000-000069180000}"/>
    <cellStyle name="Normal 3 52" xfId="6253" xr:uid="{00000000-0005-0000-0000-00006A180000}"/>
    <cellStyle name="Normal 3 53" xfId="6254" xr:uid="{00000000-0005-0000-0000-00006B180000}"/>
    <cellStyle name="Normal 3 54" xfId="6255" xr:uid="{00000000-0005-0000-0000-00006C180000}"/>
    <cellStyle name="Normal 3 55" xfId="6256" xr:uid="{00000000-0005-0000-0000-00006D180000}"/>
    <cellStyle name="Normal 3 56" xfId="6257" xr:uid="{00000000-0005-0000-0000-00006E180000}"/>
    <cellStyle name="Normal 3 57" xfId="6258" xr:uid="{00000000-0005-0000-0000-00006F180000}"/>
    <cellStyle name="Normal 3 58" xfId="6259" xr:uid="{00000000-0005-0000-0000-000070180000}"/>
    <cellStyle name="Normal 3 59" xfId="6260" xr:uid="{00000000-0005-0000-0000-000071180000}"/>
    <cellStyle name="Normal 3 6" xfId="6261" xr:uid="{00000000-0005-0000-0000-000072180000}"/>
    <cellStyle name="Normal 3 6 2" xfId="6262" xr:uid="{00000000-0005-0000-0000-000073180000}"/>
    <cellStyle name="Normal 3 6 3" xfId="6263" xr:uid="{00000000-0005-0000-0000-000074180000}"/>
    <cellStyle name="Normal 3 6 4" xfId="6264" xr:uid="{00000000-0005-0000-0000-000075180000}"/>
    <cellStyle name="Normal 3 6 4 2" xfId="6265" xr:uid="{00000000-0005-0000-0000-000076180000}"/>
    <cellStyle name="Normal 3 6 5" xfId="6266" xr:uid="{00000000-0005-0000-0000-000077180000}"/>
    <cellStyle name="Normal 3 60" xfId="6267" xr:uid="{00000000-0005-0000-0000-000078180000}"/>
    <cellStyle name="Normal 3 61" xfId="6268" xr:uid="{00000000-0005-0000-0000-000079180000}"/>
    <cellStyle name="Normal 3 62" xfId="6269" xr:uid="{00000000-0005-0000-0000-00007A180000}"/>
    <cellStyle name="Normal 3 63" xfId="6270" xr:uid="{00000000-0005-0000-0000-00007B180000}"/>
    <cellStyle name="Normal 3 64" xfId="6271" xr:uid="{00000000-0005-0000-0000-00007C180000}"/>
    <cellStyle name="Normal 3 65" xfId="6272" xr:uid="{00000000-0005-0000-0000-00007D180000}"/>
    <cellStyle name="Normal 3 66" xfId="6273" xr:uid="{00000000-0005-0000-0000-00007E180000}"/>
    <cellStyle name="Normal 3 67" xfId="6274" xr:uid="{00000000-0005-0000-0000-00007F180000}"/>
    <cellStyle name="Normal 3 68" xfId="6275" xr:uid="{00000000-0005-0000-0000-000080180000}"/>
    <cellStyle name="Normal 3 69" xfId="6276" xr:uid="{00000000-0005-0000-0000-000081180000}"/>
    <cellStyle name="Normal 3 7" xfId="6277" xr:uid="{00000000-0005-0000-0000-000082180000}"/>
    <cellStyle name="Normal 3 70" xfId="6278" xr:uid="{00000000-0005-0000-0000-000083180000}"/>
    <cellStyle name="Normal 3 71" xfId="6279" xr:uid="{00000000-0005-0000-0000-000084180000}"/>
    <cellStyle name="Normal 3 72" xfId="6280" xr:uid="{00000000-0005-0000-0000-000085180000}"/>
    <cellStyle name="Normal 3 73" xfId="6281" xr:uid="{00000000-0005-0000-0000-000086180000}"/>
    <cellStyle name="Normal 3 74" xfId="6282" xr:uid="{00000000-0005-0000-0000-000087180000}"/>
    <cellStyle name="Normal 3 75" xfId="6283" xr:uid="{00000000-0005-0000-0000-000088180000}"/>
    <cellStyle name="Normal 3 76" xfId="6284" xr:uid="{00000000-0005-0000-0000-000089180000}"/>
    <cellStyle name="Normal 3 77" xfId="6285" xr:uid="{00000000-0005-0000-0000-00008A180000}"/>
    <cellStyle name="Normal 3 78" xfId="6286" xr:uid="{00000000-0005-0000-0000-00008B180000}"/>
    <cellStyle name="Normal 3 79" xfId="6287" xr:uid="{00000000-0005-0000-0000-00008C180000}"/>
    <cellStyle name="Normal 3 8" xfId="6288" xr:uid="{00000000-0005-0000-0000-00008D180000}"/>
    <cellStyle name="Normal 3 8 2" xfId="6289" xr:uid="{00000000-0005-0000-0000-00008E180000}"/>
    <cellStyle name="Normal 3 8 3" xfId="6290" xr:uid="{00000000-0005-0000-0000-00008F180000}"/>
    <cellStyle name="Normal 3 8 4" xfId="6291" xr:uid="{00000000-0005-0000-0000-000090180000}"/>
    <cellStyle name="Normal 3 8 4 2" xfId="6292" xr:uid="{00000000-0005-0000-0000-000091180000}"/>
    <cellStyle name="Normal 3 8 5" xfId="6293" xr:uid="{00000000-0005-0000-0000-000092180000}"/>
    <cellStyle name="Normal 3 80" xfId="6294" xr:uid="{00000000-0005-0000-0000-000093180000}"/>
    <cellStyle name="Normal 3 81" xfId="6295" xr:uid="{00000000-0005-0000-0000-000094180000}"/>
    <cellStyle name="Normal 3 82" xfId="6296" xr:uid="{00000000-0005-0000-0000-000095180000}"/>
    <cellStyle name="Normal 3 83" xfId="6297" xr:uid="{00000000-0005-0000-0000-000096180000}"/>
    <cellStyle name="Normal 3 84" xfId="6298" xr:uid="{00000000-0005-0000-0000-000097180000}"/>
    <cellStyle name="Normal 3 85" xfId="6299" xr:uid="{00000000-0005-0000-0000-000098180000}"/>
    <cellStyle name="Normal 3 86" xfId="6300" xr:uid="{00000000-0005-0000-0000-000099180000}"/>
    <cellStyle name="Normal 3 87" xfId="6301" xr:uid="{00000000-0005-0000-0000-00009A180000}"/>
    <cellStyle name="Normal 3 88" xfId="6302" xr:uid="{00000000-0005-0000-0000-00009B180000}"/>
    <cellStyle name="Normal 3 89" xfId="6303" xr:uid="{00000000-0005-0000-0000-00009C180000}"/>
    <cellStyle name="Normal 3 9" xfId="6304" xr:uid="{00000000-0005-0000-0000-00009D180000}"/>
    <cellStyle name="Normal 3 9 2" xfId="6305" xr:uid="{00000000-0005-0000-0000-00009E180000}"/>
    <cellStyle name="Normal 3 9 3" xfId="6306" xr:uid="{00000000-0005-0000-0000-00009F180000}"/>
    <cellStyle name="Normal 3 9 4" xfId="6307" xr:uid="{00000000-0005-0000-0000-0000A0180000}"/>
    <cellStyle name="Normal 3 9 4 2" xfId="6308" xr:uid="{00000000-0005-0000-0000-0000A1180000}"/>
    <cellStyle name="Normal 3 9 5" xfId="6309" xr:uid="{00000000-0005-0000-0000-0000A2180000}"/>
    <cellStyle name="Normal 3 90" xfId="6310" xr:uid="{00000000-0005-0000-0000-0000A3180000}"/>
    <cellStyle name="Normal 3 91" xfId="6311" xr:uid="{00000000-0005-0000-0000-0000A4180000}"/>
    <cellStyle name="Normal 3 92" xfId="6312" xr:uid="{00000000-0005-0000-0000-0000A5180000}"/>
    <cellStyle name="Normal 3 93" xfId="6313" xr:uid="{00000000-0005-0000-0000-0000A6180000}"/>
    <cellStyle name="Normal 3 94" xfId="6314" xr:uid="{00000000-0005-0000-0000-0000A7180000}"/>
    <cellStyle name="Normal 3 95" xfId="6315" xr:uid="{00000000-0005-0000-0000-0000A8180000}"/>
    <cellStyle name="Normal 3 96" xfId="6316" xr:uid="{00000000-0005-0000-0000-0000A9180000}"/>
    <cellStyle name="Normal 3 97" xfId="6317" xr:uid="{00000000-0005-0000-0000-0000AA180000}"/>
    <cellStyle name="Normal 3 98" xfId="6318" xr:uid="{00000000-0005-0000-0000-0000AB180000}"/>
    <cellStyle name="Normal 3 99" xfId="6319" xr:uid="{00000000-0005-0000-0000-0000AC180000}"/>
    <cellStyle name="Normal 30" xfId="6320" xr:uid="{00000000-0005-0000-0000-0000AD180000}"/>
    <cellStyle name="Normal 31" xfId="6321" xr:uid="{00000000-0005-0000-0000-0000AE180000}"/>
    <cellStyle name="Normal 31 2" xfId="6322" xr:uid="{00000000-0005-0000-0000-0000AF180000}"/>
    <cellStyle name="Normal 31 3" xfId="6323" xr:uid="{00000000-0005-0000-0000-0000B0180000}"/>
    <cellStyle name="Normal 32" xfId="6324" xr:uid="{00000000-0005-0000-0000-0000B1180000}"/>
    <cellStyle name="Normal 32 2" xfId="6325" xr:uid="{00000000-0005-0000-0000-0000B2180000}"/>
    <cellStyle name="Normal 33" xfId="6326" xr:uid="{00000000-0005-0000-0000-0000B3180000}"/>
    <cellStyle name="Normal 34" xfId="6327" xr:uid="{00000000-0005-0000-0000-0000B4180000}"/>
    <cellStyle name="Normal 35" xfId="6328" xr:uid="{00000000-0005-0000-0000-0000B5180000}"/>
    <cellStyle name="Normal 36" xfId="6329" xr:uid="{00000000-0005-0000-0000-0000B6180000}"/>
    <cellStyle name="Normal 37" xfId="6330" xr:uid="{00000000-0005-0000-0000-0000B7180000}"/>
    <cellStyle name="Normal 38" xfId="6331" xr:uid="{00000000-0005-0000-0000-0000B8180000}"/>
    <cellStyle name="Normal 39" xfId="6332" xr:uid="{00000000-0005-0000-0000-0000B9180000}"/>
    <cellStyle name="Normal 4" xfId="14" xr:uid="{00000000-0005-0000-0000-0000BA180000}"/>
    <cellStyle name="Normal 4 10" xfId="6333" xr:uid="{00000000-0005-0000-0000-0000BB180000}"/>
    <cellStyle name="Normal 4 10 2" xfId="6334" xr:uid="{00000000-0005-0000-0000-0000BC180000}"/>
    <cellStyle name="Normal 4 10 3" xfId="6335" xr:uid="{00000000-0005-0000-0000-0000BD180000}"/>
    <cellStyle name="Normal 4 100" xfId="6336" xr:uid="{00000000-0005-0000-0000-0000BE180000}"/>
    <cellStyle name="Normal 4 101" xfId="6337" xr:uid="{00000000-0005-0000-0000-0000BF180000}"/>
    <cellStyle name="Normal 4 102" xfId="6338" xr:uid="{00000000-0005-0000-0000-0000C0180000}"/>
    <cellStyle name="Normal 4 103" xfId="6339" xr:uid="{00000000-0005-0000-0000-0000C1180000}"/>
    <cellStyle name="Normal 4 104" xfId="6340" xr:uid="{00000000-0005-0000-0000-0000C2180000}"/>
    <cellStyle name="Normal 4 105" xfId="6341" xr:uid="{00000000-0005-0000-0000-0000C3180000}"/>
    <cellStyle name="Normal 4 106" xfId="6342" xr:uid="{00000000-0005-0000-0000-0000C4180000}"/>
    <cellStyle name="Normal 4 107" xfId="6343" xr:uid="{00000000-0005-0000-0000-0000C5180000}"/>
    <cellStyle name="Normal 4 108" xfId="6344" xr:uid="{00000000-0005-0000-0000-0000C6180000}"/>
    <cellStyle name="Normal 4 109" xfId="6345" xr:uid="{00000000-0005-0000-0000-0000C7180000}"/>
    <cellStyle name="Normal 4 11" xfId="6346" xr:uid="{00000000-0005-0000-0000-0000C8180000}"/>
    <cellStyle name="Normal 4 11 2" xfId="6347" xr:uid="{00000000-0005-0000-0000-0000C9180000}"/>
    <cellStyle name="Normal 4 11 3" xfId="6348" xr:uid="{00000000-0005-0000-0000-0000CA180000}"/>
    <cellStyle name="Normal 4 110" xfId="6349" xr:uid="{00000000-0005-0000-0000-0000CB180000}"/>
    <cellStyle name="Normal 4 111" xfId="6350" xr:uid="{00000000-0005-0000-0000-0000CC180000}"/>
    <cellStyle name="Normal 4 112" xfId="6351" xr:uid="{00000000-0005-0000-0000-0000CD180000}"/>
    <cellStyle name="Normal 4 113" xfId="6352" xr:uid="{00000000-0005-0000-0000-0000CE180000}"/>
    <cellStyle name="Normal 4 114" xfId="6353" xr:uid="{00000000-0005-0000-0000-0000CF180000}"/>
    <cellStyle name="Normal 4 115" xfId="6354" xr:uid="{00000000-0005-0000-0000-0000D0180000}"/>
    <cellStyle name="Normal 4 116" xfId="6355" xr:uid="{00000000-0005-0000-0000-0000D1180000}"/>
    <cellStyle name="Normal 4 117" xfId="6356" xr:uid="{00000000-0005-0000-0000-0000D2180000}"/>
    <cellStyle name="Normal 4 118" xfId="6357" xr:uid="{00000000-0005-0000-0000-0000D3180000}"/>
    <cellStyle name="Normal 4 119" xfId="6358" xr:uid="{00000000-0005-0000-0000-0000D4180000}"/>
    <cellStyle name="Normal 4 12" xfId="6359" xr:uid="{00000000-0005-0000-0000-0000D5180000}"/>
    <cellStyle name="Normal 4 12 2" xfId="6360" xr:uid="{00000000-0005-0000-0000-0000D6180000}"/>
    <cellStyle name="Normal 4 120" xfId="6361" xr:uid="{00000000-0005-0000-0000-0000D7180000}"/>
    <cellStyle name="Normal 4 121" xfId="6362" xr:uid="{00000000-0005-0000-0000-0000D8180000}"/>
    <cellStyle name="Normal 4 122" xfId="6363" xr:uid="{00000000-0005-0000-0000-0000D9180000}"/>
    <cellStyle name="Normal 4 123" xfId="6364" xr:uid="{00000000-0005-0000-0000-0000DA180000}"/>
    <cellStyle name="Normal 4 124" xfId="6365" xr:uid="{00000000-0005-0000-0000-0000DB180000}"/>
    <cellStyle name="Normal 4 125" xfId="6366" xr:uid="{00000000-0005-0000-0000-0000DC180000}"/>
    <cellStyle name="Normal 4 126" xfId="6367" xr:uid="{00000000-0005-0000-0000-0000DD180000}"/>
    <cellStyle name="Normal 4 127" xfId="6368" xr:uid="{00000000-0005-0000-0000-0000DE180000}"/>
    <cellStyle name="Normal 4 128" xfId="6369" xr:uid="{00000000-0005-0000-0000-0000DF180000}"/>
    <cellStyle name="Normal 4 129" xfId="6370" xr:uid="{00000000-0005-0000-0000-0000E0180000}"/>
    <cellStyle name="Normal 4 13" xfId="6371" xr:uid="{00000000-0005-0000-0000-0000E1180000}"/>
    <cellStyle name="Normal 4 13 2" xfId="6372" xr:uid="{00000000-0005-0000-0000-0000E2180000}"/>
    <cellStyle name="Normal 4 130" xfId="6373" xr:uid="{00000000-0005-0000-0000-0000E3180000}"/>
    <cellStyle name="Normal 4 131" xfId="6374" xr:uid="{00000000-0005-0000-0000-0000E4180000}"/>
    <cellStyle name="Normal 4 132" xfId="6375" xr:uid="{00000000-0005-0000-0000-0000E5180000}"/>
    <cellStyle name="Normal 4 133" xfId="6376" xr:uid="{00000000-0005-0000-0000-0000E6180000}"/>
    <cellStyle name="Normal 4 134" xfId="6377" xr:uid="{00000000-0005-0000-0000-0000E7180000}"/>
    <cellStyle name="Normal 4 135" xfId="6378" xr:uid="{00000000-0005-0000-0000-0000E8180000}"/>
    <cellStyle name="Normal 4 136" xfId="6379" xr:uid="{00000000-0005-0000-0000-0000E9180000}"/>
    <cellStyle name="Normal 4 137" xfId="6380" xr:uid="{00000000-0005-0000-0000-0000EA180000}"/>
    <cellStyle name="Normal 4 138" xfId="6381" xr:uid="{00000000-0005-0000-0000-0000EB180000}"/>
    <cellStyle name="Normal 4 139" xfId="6382" xr:uid="{00000000-0005-0000-0000-0000EC180000}"/>
    <cellStyle name="Normal 4 14" xfId="6383" xr:uid="{00000000-0005-0000-0000-0000ED180000}"/>
    <cellStyle name="Normal 4 14 2" xfId="6384" xr:uid="{00000000-0005-0000-0000-0000EE180000}"/>
    <cellStyle name="Normal 4 140" xfId="6385" xr:uid="{00000000-0005-0000-0000-0000EF180000}"/>
    <cellStyle name="Normal 4 141" xfId="6386" xr:uid="{00000000-0005-0000-0000-0000F0180000}"/>
    <cellStyle name="Normal 4 142" xfId="6387" xr:uid="{00000000-0005-0000-0000-0000F1180000}"/>
    <cellStyle name="Normal 4 143" xfId="6388" xr:uid="{00000000-0005-0000-0000-0000F2180000}"/>
    <cellStyle name="Normal 4 144" xfId="6389" xr:uid="{00000000-0005-0000-0000-0000F3180000}"/>
    <cellStyle name="Normal 4 145" xfId="6390" xr:uid="{00000000-0005-0000-0000-0000F4180000}"/>
    <cellStyle name="Normal 4 146" xfId="6391" xr:uid="{00000000-0005-0000-0000-0000F5180000}"/>
    <cellStyle name="Normal 4 147" xfId="6392" xr:uid="{00000000-0005-0000-0000-0000F6180000}"/>
    <cellStyle name="Normal 4 148" xfId="6393" xr:uid="{00000000-0005-0000-0000-0000F7180000}"/>
    <cellStyle name="Normal 4 149" xfId="6394" xr:uid="{00000000-0005-0000-0000-0000F8180000}"/>
    <cellStyle name="Normal 4 15" xfId="6395" xr:uid="{00000000-0005-0000-0000-0000F9180000}"/>
    <cellStyle name="Normal 4 15 2" xfId="6396" xr:uid="{00000000-0005-0000-0000-0000FA180000}"/>
    <cellStyle name="Normal 4 150" xfId="6397" xr:uid="{00000000-0005-0000-0000-0000FB180000}"/>
    <cellStyle name="Normal 4 151" xfId="6398" xr:uid="{00000000-0005-0000-0000-0000FC180000}"/>
    <cellStyle name="Normal 4 152" xfId="6399" xr:uid="{00000000-0005-0000-0000-0000FD180000}"/>
    <cellStyle name="Normal 4 153" xfId="6400" xr:uid="{00000000-0005-0000-0000-0000FE180000}"/>
    <cellStyle name="Normal 4 154" xfId="6401" xr:uid="{00000000-0005-0000-0000-0000FF180000}"/>
    <cellStyle name="Normal 4 155" xfId="6402" xr:uid="{00000000-0005-0000-0000-000000190000}"/>
    <cellStyle name="Normal 4 156" xfId="6403" xr:uid="{00000000-0005-0000-0000-000001190000}"/>
    <cellStyle name="Normal 4 157" xfId="6404" xr:uid="{00000000-0005-0000-0000-000002190000}"/>
    <cellStyle name="Normal 4 158" xfId="6405" xr:uid="{00000000-0005-0000-0000-000003190000}"/>
    <cellStyle name="Normal 4 159" xfId="6406" xr:uid="{00000000-0005-0000-0000-000004190000}"/>
    <cellStyle name="Normal 4 16" xfId="6407" xr:uid="{00000000-0005-0000-0000-000005190000}"/>
    <cellStyle name="Normal 4 16 2" xfId="6408" xr:uid="{00000000-0005-0000-0000-000006190000}"/>
    <cellStyle name="Normal 4 17" xfId="6409" xr:uid="{00000000-0005-0000-0000-000007190000}"/>
    <cellStyle name="Normal 4 17 2" xfId="6410" xr:uid="{00000000-0005-0000-0000-000008190000}"/>
    <cellStyle name="Normal 4 18" xfId="6411" xr:uid="{00000000-0005-0000-0000-000009190000}"/>
    <cellStyle name="Normal 4 18 2" xfId="6412" xr:uid="{00000000-0005-0000-0000-00000A190000}"/>
    <cellStyle name="Normal 4 19" xfId="6413" xr:uid="{00000000-0005-0000-0000-00000B190000}"/>
    <cellStyle name="Normal 4 19 2" xfId="6414" xr:uid="{00000000-0005-0000-0000-00000C190000}"/>
    <cellStyle name="Normal 4 2" xfId="6415" xr:uid="{00000000-0005-0000-0000-00000D190000}"/>
    <cellStyle name="Normal 4 2 10" xfId="6416" xr:uid="{00000000-0005-0000-0000-00000E190000}"/>
    <cellStyle name="Normal 4 2 11" xfId="6417" xr:uid="{00000000-0005-0000-0000-00000F190000}"/>
    <cellStyle name="Normal 4 2 12" xfId="6418" xr:uid="{00000000-0005-0000-0000-000010190000}"/>
    <cellStyle name="Normal 4 2 13" xfId="6419" xr:uid="{00000000-0005-0000-0000-000011190000}"/>
    <cellStyle name="Normal 4 2 14" xfId="6420" xr:uid="{00000000-0005-0000-0000-000012190000}"/>
    <cellStyle name="Normal 4 2 15" xfId="6421" xr:uid="{00000000-0005-0000-0000-000013190000}"/>
    <cellStyle name="Normal 4 2 16" xfId="6422" xr:uid="{00000000-0005-0000-0000-000014190000}"/>
    <cellStyle name="Normal 4 2 17" xfId="6423" xr:uid="{00000000-0005-0000-0000-000015190000}"/>
    <cellStyle name="Normal 4 2 18" xfId="6424" xr:uid="{00000000-0005-0000-0000-000016190000}"/>
    <cellStyle name="Normal 4 2 2" xfId="6425" xr:uid="{00000000-0005-0000-0000-000017190000}"/>
    <cellStyle name="Normal 4 2 2 10" xfId="6426" xr:uid="{00000000-0005-0000-0000-000018190000}"/>
    <cellStyle name="Normal 4 2 2 11" xfId="6427" xr:uid="{00000000-0005-0000-0000-000019190000}"/>
    <cellStyle name="Normal 4 2 2 2" xfId="6428" xr:uid="{00000000-0005-0000-0000-00001A190000}"/>
    <cellStyle name="Normal 4 2 2 2 2" xfId="6429" xr:uid="{00000000-0005-0000-0000-00001B190000}"/>
    <cellStyle name="Normal 4 2 2 3" xfId="6430" xr:uid="{00000000-0005-0000-0000-00001C190000}"/>
    <cellStyle name="Normal 4 2 2 4" xfId="6431" xr:uid="{00000000-0005-0000-0000-00001D190000}"/>
    <cellStyle name="Normal 4 2 2 5" xfId="6432" xr:uid="{00000000-0005-0000-0000-00001E190000}"/>
    <cellStyle name="Normal 4 2 2 6" xfId="6433" xr:uid="{00000000-0005-0000-0000-00001F190000}"/>
    <cellStyle name="Normal 4 2 2 7" xfId="6434" xr:uid="{00000000-0005-0000-0000-000020190000}"/>
    <cellStyle name="Normal 4 2 2 8" xfId="6435" xr:uid="{00000000-0005-0000-0000-000021190000}"/>
    <cellStyle name="Normal 4 2 2 9" xfId="6436" xr:uid="{00000000-0005-0000-0000-000022190000}"/>
    <cellStyle name="Normal 4 2 3" xfId="6437" xr:uid="{00000000-0005-0000-0000-000023190000}"/>
    <cellStyle name="Normal 4 2 4" xfId="6438" xr:uid="{00000000-0005-0000-0000-000024190000}"/>
    <cellStyle name="Normal 4 2 5" xfId="6439" xr:uid="{00000000-0005-0000-0000-000025190000}"/>
    <cellStyle name="Normal 4 2 5 2" xfId="6440" xr:uid="{00000000-0005-0000-0000-000026190000}"/>
    <cellStyle name="Normal 4 2 6" xfId="6441" xr:uid="{00000000-0005-0000-0000-000027190000}"/>
    <cellStyle name="Normal 4 2 7" xfId="6442" xr:uid="{00000000-0005-0000-0000-000028190000}"/>
    <cellStyle name="Normal 4 2 8" xfId="6443" xr:uid="{00000000-0005-0000-0000-000029190000}"/>
    <cellStyle name="Normal 4 2 9" xfId="6444" xr:uid="{00000000-0005-0000-0000-00002A190000}"/>
    <cellStyle name="Normal 4 20" xfId="6445" xr:uid="{00000000-0005-0000-0000-00002B190000}"/>
    <cellStyle name="Normal 4 20 2" xfId="6446" xr:uid="{00000000-0005-0000-0000-00002C190000}"/>
    <cellStyle name="Normal 4 21" xfId="6447" xr:uid="{00000000-0005-0000-0000-00002D190000}"/>
    <cellStyle name="Normal 4 21 2" xfId="6448" xr:uid="{00000000-0005-0000-0000-00002E190000}"/>
    <cellStyle name="Normal 4 22" xfId="6449" xr:uid="{00000000-0005-0000-0000-00002F190000}"/>
    <cellStyle name="Normal 4 22 2" xfId="6450" xr:uid="{00000000-0005-0000-0000-000030190000}"/>
    <cellStyle name="Normal 4 23" xfId="6451" xr:uid="{00000000-0005-0000-0000-000031190000}"/>
    <cellStyle name="Normal 4 23 2" xfId="6452" xr:uid="{00000000-0005-0000-0000-000032190000}"/>
    <cellStyle name="Normal 4 24" xfId="6453" xr:uid="{00000000-0005-0000-0000-000033190000}"/>
    <cellStyle name="Normal 4 24 2" xfId="6454" xr:uid="{00000000-0005-0000-0000-000034190000}"/>
    <cellStyle name="Normal 4 25" xfId="6455" xr:uid="{00000000-0005-0000-0000-000035190000}"/>
    <cellStyle name="Normal 4 25 2" xfId="6456" xr:uid="{00000000-0005-0000-0000-000036190000}"/>
    <cellStyle name="Normal 4 26" xfId="6457" xr:uid="{00000000-0005-0000-0000-000037190000}"/>
    <cellStyle name="Normal 4 26 2" xfId="6458" xr:uid="{00000000-0005-0000-0000-000038190000}"/>
    <cellStyle name="Normal 4 27" xfId="6459" xr:uid="{00000000-0005-0000-0000-000039190000}"/>
    <cellStyle name="Normal 4 27 2" xfId="6460" xr:uid="{00000000-0005-0000-0000-00003A190000}"/>
    <cellStyle name="Normal 4 28" xfId="6461" xr:uid="{00000000-0005-0000-0000-00003B190000}"/>
    <cellStyle name="Normal 4 28 2" xfId="6462" xr:uid="{00000000-0005-0000-0000-00003C190000}"/>
    <cellStyle name="Normal 4 29" xfId="6463" xr:uid="{00000000-0005-0000-0000-00003D190000}"/>
    <cellStyle name="Normal 4 29 2" xfId="6464" xr:uid="{00000000-0005-0000-0000-00003E190000}"/>
    <cellStyle name="Normal 4 3" xfId="6465" xr:uid="{00000000-0005-0000-0000-00003F190000}"/>
    <cellStyle name="Normal 4 3 10" xfId="6466" xr:uid="{00000000-0005-0000-0000-000040190000}"/>
    <cellStyle name="Normal 4 3 11" xfId="6467" xr:uid="{00000000-0005-0000-0000-000041190000}"/>
    <cellStyle name="Normal 4 3 2" xfId="6468" xr:uid="{00000000-0005-0000-0000-000042190000}"/>
    <cellStyle name="Normal 4 3 2 2" xfId="6469" xr:uid="{00000000-0005-0000-0000-000043190000}"/>
    <cellStyle name="Normal 4 3 3" xfId="6470" xr:uid="{00000000-0005-0000-0000-000044190000}"/>
    <cellStyle name="Normal 4 3 3 2" xfId="6471" xr:uid="{00000000-0005-0000-0000-000045190000}"/>
    <cellStyle name="Normal 4 3 4" xfId="6472" xr:uid="{00000000-0005-0000-0000-000046190000}"/>
    <cellStyle name="Normal 4 3 5" xfId="6473" xr:uid="{00000000-0005-0000-0000-000047190000}"/>
    <cellStyle name="Normal 4 3 6" xfId="6474" xr:uid="{00000000-0005-0000-0000-000048190000}"/>
    <cellStyle name="Normal 4 3 7" xfId="6475" xr:uid="{00000000-0005-0000-0000-000049190000}"/>
    <cellStyle name="Normal 4 3 8" xfId="6476" xr:uid="{00000000-0005-0000-0000-00004A190000}"/>
    <cellStyle name="Normal 4 3 9" xfId="6477" xr:uid="{00000000-0005-0000-0000-00004B190000}"/>
    <cellStyle name="Normal 4 30" xfId="6478" xr:uid="{00000000-0005-0000-0000-00004C190000}"/>
    <cellStyle name="Normal 4 30 2" xfId="6479" xr:uid="{00000000-0005-0000-0000-00004D190000}"/>
    <cellStyle name="Normal 4 31" xfId="6480" xr:uid="{00000000-0005-0000-0000-00004E190000}"/>
    <cellStyle name="Normal 4 31 2" xfId="6481" xr:uid="{00000000-0005-0000-0000-00004F190000}"/>
    <cellStyle name="Normal 4 32" xfId="6482" xr:uid="{00000000-0005-0000-0000-000050190000}"/>
    <cellStyle name="Normal 4 32 2" xfId="6483" xr:uid="{00000000-0005-0000-0000-000051190000}"/>
    <cellStyle name="Normal 4 33" xfId="6484" xr:uid="{00000000-0005-0000-0000-000052190000}"/>
    <cellStyle name="Normal 4 33 2" xfId="6485" xr:uid="{00000000-0005-0000-0000-000053190000}"/>
    <cellStyle name="Normal 4 34" xfId="6486" xr:uid="{00000000-0005-0000-0000-000054190000}"/>
    <cellStyle name="Normal 4 34 2" xfId="6487" xr:uid="{00000000-0005-0000-0000-000055190000}"/>
    <cellStyle name="Normal 4 35" xfId="6488" xr:uid="{00000000-0005-0000-0000-000056190000}"/>
    <cellStyle name="Normal 4 35 2" xfId="6489" xr:uid="{00000000-0005-0000-0000-000057190000}"/>
    <cellStyle name="Normal 4 36" xfId="6490" xr:uid="{00000000-0005-0000-0000-000058190000}"/>
    <cellStyle name="Normal 4 36 2" xfId="6491" xr:uid="{00000000-0005-0000-0000-000059190000}"/>
    <cellStyle name="Normal 4 37" xfId="6492" xr:uid="{00000000-0005-0000-0000-00005A190000}"/>
    <cellStyle name="Normal 4 37 2" xfId="6493" xr:uid="{00000000-0005-0000-0000-00005B190000}"/>
    <cellStyle name="Normal 4 38" xfId="6494" xr:uid="{00000000-0005-0000-0000-00005C190000}"/>
    <cellStyle name="Normal 4 38 2" xfId="6495" xr:uid="{00000000-0005-0000-0000-00005D190000}"/>
    <cellStyle name="Normal 4 39" xfId="6496" xr:uid="{00000000-0005-0000-0000-00005E190000}"/>
    <cellStyle name="Normal 4 39 2" xfId="6497" xr:uid="{00000000-0005-0000-0000-00005F190000}"/>
    <cellStyle name="Normal 4 4" xfId="6498" xr:uid="{00000000-0005-0000-0000-000060190000}"/>
    <cellStyle name="Normal 4 4 2" xfId="6499" xr:uid="{00000000-0005-0000-0000-000061190000}"/>
    <cellStyle name="Normal 4 4 2 2" xfId="6500" xr:uid="{00000000-0005-0000-0000-000062190000}"/>
    <cellStyle name="Normal 4 4 2 3" xfId="6501" xr:uid="{00000000-0005-0000-0000-000063190000}"/>
    <cellStyle name="Normal 4 4 2 4" xfId="6502" xr:uid="{00000000-0005-0000-0000-000064190000}"/>
    <cellStyle name="Normal 4 4 2 5" xfId="6503" xr:uid="{00000000-0005-0000-0000-000065190000}"/>
    <cellStyle name="Normal 4 4 3" xfId="6504" xr:uid="{00000000-0005-0000-0000-000066190000}"/>
    <cellStyle name="Normal 4 4 4" xfId="6505" xr:uid="{00000000-0005-0000-0000-000067190000}"/>
    <cellStyle name="Normal 4 4 4 2" xfId="6506" xr:uid="{00000000-0005-0000-0000-000068190000}"/>
    <cellStyle name="Normal 4 4 5" xfId="6507" xr:uid="{00000000-0005-0000-0000-000069190000}"/>
    <cellStyle name="Normal 4 4 6" xfId="6508" xr:uid="{00000000-0005-0000-0000-00006A190000}"/>
    <cellStyle name="Normal 4 4 6 2" xfId="6509" xr:uid="{00000000-0005-0000-0000-00006B190000}"/>
    <cellStyle name="Normal 4 40" xfId="6510" xr:uid="{00000000-0005-0000-0000-00006C190000}"/>
    <cellStyle name="Normal 4 40 2" xfId="6511" xr:uid="{00000000-0005-0000-0000-00006D190000}"/>
    <cellStyle name="Normal 4 41" xfId="6512" xr:uid="{00000000-0005-0000-0000-00006E190000}"/>
    <cellStyle name="Normal 4 41 2" xfId="6513" xr:uid="{00000000-0005-0000-0000-00006F190000}"/>
    <cellStyle name="Normal 4 42" xfId="6514" xr:uid="{00000000-0005-0000-0000-000070190000}"/>
    <cellStyle name="Normal 4 42 2" xfId="6515" xr:uid="{00000000-0005-0000-0000-000071190000}"/>
    <cellStyle name="Normal 4 43" xfId="6516" xr:uid="{00000000-0005-0000-0000-000072190000}"/>
    <cellStyle name="Normal 4 43 2" xfId="6517" xr:uid="{00000000-0005-0000-0000-000073190000}"/>
    <cellStyle name="Normal 4 44" xfId="6518" xr:uid="{00000000-0005-0000-0000-000074190000}"/>
    <cellStyle name="Normal 4 44 2" xfId="6519" xr:uid="{00000000-0005-0000-0000-000075190000}"/>
    <cellStyle name="Normal 4 45" xfId="6520" xr:uid="{00000000-0005-0000-0000-000076190000}"/>
    <cellStyle name="Normal 4 45 2" xfId="6521" xr:uid="{00000000-0005-0000-0000-000077190000}"/>
    <cellStyle name="Normal 4 46" xfId="6522" xr:uid="{00000000-0005-0000-0000-000078190000}"/>
    <cellStyle name="Normal 4 46 2" xfId="6523" xr:uid="{00000000-0005-0000-0000-000079190000}"/>
    <cellStyle name="Normal 4 47" xfId="6524" xr:uid="{00000000-0005-0000-0000-00007A190000}"/>
    <cellStyle name="Normal 4 47 2" xfId="6525" xr:uid="{00000000-0005-0000-0000-00007B190000}"/>
    <cellStyle name="Normal 4 48" xfId="6526" xr:uid="{00000000-0005-0000-0000-00007C190000}"/>
    <cellStyle name="Normal 4 48 2" xfId="6527" xr:uid="{00000000-0005-0000-0000-00007D190000}"/>
    <cellStyle name="Normal 4 49" xfId="6528" xr:uid="{00000000-0005-0000-0000-00007E190000}"/>
    <cellStyle name="Normal 4 49 2" xfId="6529" xr:uid="{00000000-0005-0000-0000-00007F190000}"/>
    <cellStyle name="Normal 4 5" xfId="6530" xr:uid="{00000000-0005-0000-0000-000080190000}"/>
    <cellStyle name="Normal 4 5 2" xfId="6531" xr:uid="{00000000-0005-0000-0000-000081190000}"/>
    <cellStyle name="Normal 4 5 2 2" xfId="6532" xr:uid="{00000000-0005-0000-0000-000082190000}"/>
    <cellStyle name="Normal 4 5 2 3" xfId="6533" xr:uid="{00000000-0005-0000-0000-000083190000}"/>
    <cellStyle name="Normal 4 5 3" xfId="6534" xr:uid="{00000000-0005-0000-0000-000084190000}"/>
    <cellStyle name="Normal 4 5 4" xfId="6535" xr:uid="{00000000-0005-0000-0000-000085190000}"/>
    <cellStyle name="Normal 4 5 5" xfId="6536" xr:uid="{00000000-0005-0000-0000-000086190000}"/>
    <cellStyle name="Normal 4 50" xfId="6537" xr:uid="{00000000-0005-0000-0000-000087190000}"/>
    <cellStyle name="Normal 4 50 2" xfId="6538" xr:uid="{00000000-0005-0000-0000-000088190000}"/>
    <cellStyle name="Normal 4 51" xfId="6539" xr:uid="{00000000-0005-0000-0000-000089190000}"/>
    <cellStyle name="Normal 4 51 2" xfId="6540" xr:uid="{00000000-0005-0000-0000-00008A190000}"/>
    <cellStyle name="Normal 4 52" xfId="6541" xr:uid="{00000000-0005-0000-0000-00008B190000}"/>
    <cellStyle name="Normal 4 52 2" xfId="6542" xr:uid="{00000000-0005-0000-0000-00008C190000}"/>
    <cellStyle name="Normal 4 53" xfId="6543" xr:uid="{00000000-0005-0000-0000-00008D190000}"/>
    <cellStyle name="Normal 4 53 2" xfId="6544" xr:uid="{00000000-0005-0000-0000-00008E190000}"/>
    <cellStyle name="Normal 4 54" xfId="6545" xr:uid="{00000000-0005-0000-0000-00008F190000}"/>
    <cellStyle name="Normal 4 54 2" xfId="6546" xr:uid="{00000000-0005-0000-0000-000090190000}"/>
    <cellStyle name="Normal 4 55" xfId="6547" xr:uid="{00000000-0005-0000-0000-000091190000}"/>
    <cellStyle name="Normal 4 55 2" xfId="6548" xr:uid="{00000000-0005-0000-0000-000092190000}"/>
    <cellStyle name="Normal 4 56" xfId="6549" xr:uid="{00000000-0005-0000-0000-000093190000}"/>
    <cellStyle name="Normal 4 56 2" xfId="6550" xr:uid="{00000000-0005-0000-0000-000094190000}"/>
    <cellStyle name="Normal 4 57" xfId="6551" xr:uid="{00000000-0005-0000-0000-000095190000}"/>
    <cellStyle name="Normal 4 57 2" xfId="6552" xr:uid="{00000000-0005-0000-0000-000096190000}"/>
    <cellStyle name="Normal 4 58" xfId="6553" xr:uid="{00000000-0005-0000-0000-000097190000}"/>
    <cellStyle name="Normal 4 58 2" xfId="6554" xr:uid="{00000000-0005-0000-0000-000098190000}"/>
    <cellStyle name="Normal 4 59" xfId="6555" xr:uid="{00000000-0005-0000-0000-000099190000}"/>
    <cellStyle name="Normal 4 59 2" xfId="6556" xr:uid="{00000000-0005-0000-0000-00009A190000}"/>
    <cellStyle name="Normal 4 6" xfId="6557" xr:uid="{00000000-0005-0000-0000-00009B190000}"/>
    <cellStyle name="Normal 4 6 2" xfId="6558" xr:uid="{00000000-0005-0000-0000-00009C190000}"/>
    <cellStyle name="Normal 4 6 2 2" xfId="6559" xr:uid="{00000000-0005-0000-0000-00009D190000}"/>
    <cellStyle name="Normal 4 6 2 3" xfId="6560" xr:uid="{00000000-0005-0000-0000-00009E190000}"/>
    <cellStyle name="Normal 4 6 3" xfId="6561" xr:uid="{00000000-0005-0000-0000-00009F190000}"/>
    <cellStyle name="Normal 4 6 4" xfId="6562" xr:uid="{00000000-0005-0000-0000-0000A0190000}"/>
    <cellStyle name="Normal 4 6 5" xfId="6563" xr:uid="{00000000-0005-0000-0000-0000A1190000}"/>
    <cellStyle name="Normal 4 60" xfId="6564" xr:uid="{00000000-0005-0000-0000-0000A2190000}"/>
    <cellStyle name="Normal 4 60 2" xfId="6565" xr:uid="{00000000-0005-0000-0000-0000A3190000}"/>
    <cellStyle name="Normal 4 61" xfId="6566" xr:uid="{00000000-0005-0000-0000-0000A4190000}"/>
    <cellStyle name="Normal 4 61 2" xfId="6567" xr:uid="{00000000-0005-0000-0000-0000A5190000}"/>
    <cellStyle name="Normal 4 62" xfId="6568" xr:uid="{00000000-0005-0000-0000-0000A6190000}"/>
    <cellStyle name="Normal 4 63" xfId="6569" xr:uid="{00000000-0005-0000-0000-0000A7190000}"/>
    <cellStyle name="Normal 4 64" xfId="6570" xr:uid="{00000000-0005-0000-0000-0000A8190000}"/>
    <cellStyle name="Normal 4 65" xfId="6571" xr:uid="{00000000-0005-0000-0000-0000A9190000}"/>
    <cellStyle name="Normal 4 66" xfId="6572" xr:uid="{00000000-0005-0000-0000-0000AA190000}"/>
    <cellStyle name="Normal 4 67" xfId="6573" xr:uid="{00000000-0005-0000-0000-0000AB190000}"/>
    <cellStyle name="Normal 4 68" xfId="6574" xr:uid="{00000000-0005-0000-0000-0000AC190000}"/>
    <cellStyle name="Normal 4 69" xfId="6575" xr:uid="{00000000-0005-0000-0000-0000AD190000}"/>
    <cellStyle name="Normal 4 7" xfId="6576" xr:uid="{00000000-0005-0000-0000-0000AE190000}"/>
    <cellStyle name="Normal 4 7 2" xfId="6577" xr:uid="{00000000-0005-0000-0000-0000AF190000}"/>
    <cellStyle name="Normal 4 7 2 2" xfId="6578" xr:uid="{00000000-0005-0000-0000-0000B0190000}"/>
    <cellStyle name="Normal 4 7 2 3" xfId="6579" xr:uid="{00000000-0005-0000-0000-0000B1190000}"/>
    <cellStyle name="Normal 4 7 3" xfId="6580" xr:uid="{00000000-0005-0000-0000-0000B2190000}"/>
    <cellStyle name="Normal 4 7 4" xfId="6581" xr:uid="{00000000-0005-0000-0000-0000B3190000}"/>
    <cellStyle name="Normal 4 7 5" xfId="6582" xr:uid="{00000000-0005-0000-0000-0000B4190000}"/>
    <cellStyle name="Normal 4 70" xfId="6583" xr:uid="{00000000-0005-0000-0000-0000B5190000}"/>
    <cellStyle name="Normal 4 71" xfId="6584" xr:uid="{00000000-0005-0000-0000-0000B6190000}"/>
    <cellStyle name="Normal 4 72" xfId="6585" xr:uid="{00000000-0005-0000-0000-0000B7190000}"/>
    <cellStyle name="Normal 4 73" xfId="6586" xr:uid="{00000000-0005-0000-0000-0000B8190000}"/>
    <cellStyle name="Normal 4 74" xfId="6587" xr:uid="{00000000-0005-0000-0000-0000B9190000}"/>
    <cellStyle name="Normal 4 75" xfId="6588" xr:uid="{00000000-0005-0000-0000-0000BA190000}"/>
    <cellStyle name="Normal 4 76" xfId="6589" xr:uid="{00000000-0005-0000-0000-0000BB190000}"/>
    <cellStyle name="Normal 4 77" xfId="6590" xr:uid="{00000000-0005-0000-0000-0000BC190000}"/>
    <cellStyle name="Normal 4 78" xfId="6591" xr:uid="{00000000-0005-0000-0000-0000BD190000}"/>
    <cellStyle name="Normal 4 79" xfId="6592" xr:uid="{00000000-0005-0000-0000-0000BE190000}"/>
    <cellStyle name="Normal 4 8" xfId="6593" xr:uid="{00000000-0005-0000-0000-0000BF190000}"/>
    <cellStyle name="Normal 4 8 2" xfId="6594" xr:uid="{00000000-0005-0000-0000-0000C0190000}"/>
    <cellStyle name="Normal 4 8 2 2" xfId="6595" xr:uid="{00000000-0005-0000-0000-0000C1190000}"/>
    <cellStyle name="Normal 4 8 2 3" xfId="6596" xr:uid="{00000000-0005-0000-0000-0000C2190000}"/>
    <cellStyle name="Normal 4 8 3" xfId="6597" xr:uid="{00000000-0005-0000-0000-0000C3190000}"/>
    <cellStyle name="Normal 4 8 4" xfId="6598" xr:uid="{00000000-0005-0000-0000-0000C4190000}"/>
    <cellStyle name="Normal 4 8 5" xfId="6599" xr:uid="{00000000-0005-0000-0000-0000C5190000}"/>
    <cellStyle name="Normal 4 80" xfId="6600" xr:uid="{00000000-0005-0000-0000-0000C6190000}"/>
    <cellStyle name="Normal 4 81" xfId="6601" xr:uid="{00000000-0005-0000-0000-0000C7190000}"/>
    <cellStyle name="Normal 4 82" xfId="6602" xr:uid="{00000000-0005-0000-0000-0000C8190000}"/>
    <cellStyle name="Normal 4 83" xfId="6603" xr:uid="{00000000-0005-0000-0000-0000C9190000}"/>
    <cellStyle name="Normal 4 84" xfId="6604" xr:uid="{00000000-0005-0000-0000-0000CA190000}"/>
    <cellStyle name="Normal 4 85" xfId="6605" xr:uid="{00000000-0005-0000-0000-0000CB190000}"/>
    <cellStyle name="Normal 4 86" xfId="6606" xr:uid="{00000000-0005-0000-0000-0000CC190000}"/>
    <cellStyle name="Normal 4 87" xfId="6607" xr:uid="{00000000-0005-0000-0000-0000CD190000}"/>
    <cellStyle name="Normal 4 88" xfId="6608" xr:uid="{00000000-0005-0000-0000-0000CE190000}"/>
    <cellStyle name="Normal 4 89" xfId="6609" xr:uid="{00000000-0005-0000-0000-0000CF190000}"/>
    <cellStyle name="Normal 4 9" xfId="6610" xr:uid="{00000000-0005-0000-0000-0000D0190000}"/>
    <cellStyle name="Normal 4 9 2" xfId="6611" xr:uid="{00000000-0005-0000-0000-0000D1190000}"/>
    <cellStyle name="Normal 4 9 3" xfId="6612" xr:uid="{00000000-0005-0000-0000-0000D2190000}"/>
    <cellStyle name="Normal 4 90" xfId="6613" xr:uid="{00000000-0005-0000-0000-0000D3190000}"/>
    <cellStyle name="Normal 4 91" xfId="6614" xr:uid="{00000000-0005-0000-0000-0000D4190000}"/>
    <cellStyle name="Normal 4 92" xfId="6615" xr:uid="{00000000-0005-0000-0000-0000D5190000}"/>
    <cellStyle name="Normal 4 93" xfId="6616" xr:uid="{00000000-0005-0000-0000-0000D6190000}"/>
    <cellStyle name="Normal 4 94" xfId="6617" xr:uid="{00000000-0005-0000-0000-0000D7190000}"/>
    <cellStyle name="Normal 4 95" xfId="6618" xr:uid="{00000000-0005-0000-0000-0000D8190000}"/>
    <cellStyle name="Normal 4 96" xfId="6619" xr:uid="{00000000-0005-0000-0000-0000D9190000}"/>
    <cellStyle name="Normal 4 97" xfId="6620" xr:uid="{00000000-0005-0000-0000-0000DA190000}"/>
    <cellStyle name="Normal 4 98" xfId="6621" xr:uid="{00000000-0005-0000-0000-0000DB190000}"/>
    <cellStyle name="Normal 4 99" xfId="6622" xr:uid="{00000000-0005-0000-0000-0000DC190000}"/>
    <cellStyle name="Normal 40" xfId="6623" xr:uid="{00000000-0005-0000-0000-0000DD190000}"/>
    <cellStyle name="Normal 41" xfId="18" xr:uid="{00000000-0005-0000-0000-0000DE190000}"/>
    <cellStyle name="Normal 42" xfId="6624" xr:uid="{00000000-0005-0000-0000-0000DF190000}"/>
    <cellStyle name="Normal 42 2" xfId="6625" xr:uid="{00000000-0005-0000-0000-0000E0190000}"/>
    <cellStyle name="Normal 42 3" xfId="6626" xr:uid="{00000000-0005-0000-0000-0000E1190000}"/>
    <cellStyle name="Normal 43" xfId="6627" xr:uid="{00000000-0005-0000-0000-0000E2190000}"/>
    <cellStyle name="Normal 43 2" xfId="6628" xr:uid="{00000000-0005-0000-0000-0000E3190000}"/>
    <cellStyle name="Normal 43 2 2" xfId="6629" xr:uid="{00000000-0005-0000-0000-0000E4190000}"/>
    <cellStyle name="Normal 44" xfId="6630" xr:uid="{00000000-0005-0000-0000-0000E5190000}"/>
    <cellStyle name="Normal 45" xfId="6631" xr:uid="{00000000-0005-0000-0000-0000E6190000}"/>
    <cellStyle name="Normal 46" xfId="6632" xr:uid="{00000000-0005-0000-0000-0000E7190000}"/>
    <cellStyle name="Normal 47" xfId="6633" xr:uid="{00000000-0005-0000-0000-0000E8190000}"/>
    <cellStyle name="Normal 48" xfId="6634" xr:uid="{00000000-0005-0000-0000-0000E9190000}"/>
    <cellStyle name="Normal 49" xfId="6635" xr:uid="{00000000-0005-0000-0000-0000EA190000}"/>
    <cellStyle name="Normal 5" xfId="6636" xr:uid="{00000000-0005-0000-0000-0000EB190000}"/>
    <cellStyle name="Normal 5 10" xfId="6637" xr:uid="{00000000-0005-0000-0000-0000EC190000}"/>
    <cellStyle name="Normal 5 10 2" xfId="6638" xr:uid="{00000000-0005-0000-0000-0000ED190000}"/>
    <cellStyle name="Normal 5 10 2 2" xfId="6639" xr:uid="{00000000-0005-0000-0000-0000EE190000}"/>
    <cellStyle name="Normal 5 10 3" xfId="6640" xr:uid="{00000000-0005-0000-0000-0000EF190000}"/>
    <cellStyle name="Normal 5 100" xfId="6641" xr:uid="{00000000-0005-0000-0000-0000F0190000}"/>
    <cellStyle name="Normal 5 100 2" xfId="6642" xr:uid="{00000000-0005-0000-0000-0000F1190000}"/>
    <cellStyle name="Normal 5 101" xfId="6643" xr:uid="{00000000-0005-0000-0000-0000F2190000}"/>
    <cellStyle name="Normal 5 102" xfId="6644" xr:uid="{00000000-0005-0000-0000-0000F3190000}"/>
    <cellStyle name="Normal 5 103" xfId="6645" xr:uid="{00000000-0005-0000-0000-0000F4190000}"/>
    <cellStyle name="Normal 5 104" xfId="6646" xr:uid="{00000000-0005-0000-0000-0000F5190000}"/>
    <cellStyle name="Normal 5 105" xfId="6647" xr:uid="{00000000-0005-0000-0000-0000F6190000}"/>
    <cellStyle name="Normal 5 106" xfId="6648" xr:uid="{00000000-0005-0000-0000-0000F7190000}"/>
    <cellStyle name="Normal 5 107" xfId="6649" xr:uid="{00000000-0005-0000-0000-0000F8190000}"/>
    <cellStyle name="Normal 5 107 2" xfId="6650" xr:uid="{00000000-0005-0000-0000-0000F9190000}"/>
    <cellStyle name="Normal 5 108" xfId="6651" xr:uid="{00000000-0005-0000-0000-0000FA190000}"/>
    <cellStyle name="Normal 5 108 2" xfId="6652" xr:uid="{00000000-0005-0000-0000-0000FB190000}"/>
    <cellStyle name="Normal 5 109" xfId="6653" xr:uid="{00000000-0005-0000-0000-0000FC190000}"/>
    <cellStyle name="Normal 5 109 2" xfId="6654" xr:uid="{00000000-0005-0000-0000-0000FD190000}"/>
    <cellStyle name="Normal 5 11" xfId="6655" xr:uid="{00000000-0005-0000-0000-0000FE190000}"/>
    <cellStyle name="Normal 5 11 2" xfId="6656" xr:uid="{00000000-0005-0000-0000-0000FF190000}"/>
    <cellStyle name="Normal 5 11 2 2" xfId="6657" xr:uid="{00000000-0005-0000-0000-0000001A0000}"/>
    <cellStyle name="Normal 5 11 3" xfId="6658" xr:uid="{00000000-0005-0000-0000-0000011A0000}"/>
    <cellStyle name="Normal 5 110" xfId="6659" xr:uid="{00000000-0005-0000-0000-0000021A0000}"/>
    <cellStyle name="Normal 5 110 2" xfId="6660" xr:uid="{00000000-0005-0000-0000-0000031A0000}"/>
    <cellStyle name="Normal 5 111" xfId="6661" xr:uid="{00000000-0005-0000-0000-0000041A0000}"/>
    <cellStyle name="Normal 5 111 2" xfId="6662" xr:uid="{00000000-0005-0000-0000-0000051A0000}"/>
    <cellStyle name="Normal 5 112" xfId="6663" xr:uid="{00000000-0005-0000-0000-0000061A0000}"/>
    <cellStyle name="Normal 5 112 2" xfId="6664" xr:uid="{00000000-0005-0000-0000-0000071A0000}"/>
    <cellStyle name="Normal 5 113" xfId="6665" xr:uid="{00000000-0005-0000-0000-0000081A0000}"/>
    <cellStyle name="Normal 5 113 2" xfId="6666" xr:uid="{00000000-0005-0000-0000-0000091A0000}"/>
    <cellStyle name="Normal 5 114" xfId="6667" xr:uid="{00000000-0005-0000-0000-00000A1A0000}"/>
    <cellStyle name="Normal 5 114 2" xfId="6668" xr:uid="{00000000-0005-0000-0000-00000B1A0000}"/>
    <cellStyle name="Normal 5 115" xfId="6669" xr:uid="{00000000-0005-0000-0000-00000C1A0000}"/>
    <cellStyle name="Normal 5 115 2" xfId="6670" xr:uid="{00000000-0005-0000-0000-00000D1A0000}"/>
    <cellStyle name="Normal 5 116" xfId="6671" xr:uid="{00000000-0005-0000-0000-00000E1A0000}"/>
    <cellStyle name="Normal 5 116 2" xfId="6672" xr:uid="{00000000-0005-0000-0000-00000F1A0000}"/>
    <cellStyle name="Normal 5 117" xfId="6673" xr:uid="{00000000-0005-0000-0000-0000101A0000}"/>
    <cellStyle name="Normal 5 117 2" xfId="6674" xr:uid="{00000000-0005-0000-0000-0000111A0000}"/>
    <cellStyle name="Normal 5 118" xfId="6675" xr:uid="{00000000-0005-0000-0000-0000121A0000}"/>
    <cellStyle name="Normal 5 118 2" xfId="6676" xr:uid="{00000000-0005-0000-0000-0000131A0000}"/>
    <cellStyle name="Normal 5 119" xfId="6677" xr:uid="{00000000-0005-0000-0000-0000141A0000}"/>
    <cellStyle name="Normal 5 12" xfId="6678" xr:uid="{00000000-0005-0000-0000-0000151A0000}"/>
    <cellStyle name="Normal 5 12 2" xfId="6679" xr:uid="{00000000-0005-0000-0000-0000161A0000}"/>
    <cellStyle name="Normal 5 12 2 2" xfId="6680" xr:uid="{00000000-0005-0000-0000-0000171A0000}"/>
    <cellStyle name="Normal 5 12 3" xfId="6681" xr:uid="{00000000-0005-0000-0000-0000181A0000}"/>
    <cellStyle name="Normal 5 120" xfId="6682" xr:uid="{00000000-0005-0000-0000-0000191A0000}"/>
    <cellStyle name="Normal 5 121" xfId="6683" xr:uid="{00000000-0005-0000-0000-00001A1A0000}"/>
    <cellStyle name="Normal 5 122" xfId="6684" xr:uid="{00000000-0005-0000-0000-00001B1A0000}"/>
    <cellStyle name="Normal 5 123" xfId="6685" xr:uid="{00000000-0005-0000-0000-00001C1A0000}"/>
    <cellStyle name="Normal 5 123 2" xfId="6686" xr:uid="{00000000-0005-0000-0000-00001D1A0000}"/>
    <cellStyle name="Normal 5 124" xfId="6687" xr:uid="{00000000-0005-0000-0000-00001E1A0000}"/>
    <cellStyle name="Normal 5 124 2" xfId="6688" xr:uid="{00000000-0005-0000-0000-00001F1A0000}"/>
    <cellStyle name="Normal 5 125" xfId="6689" xr:uid="{00000000-0005-0000-0000-0000201A0000}"/>
    <cellStyle name="Normal 5 125 2" xfId="6690" xr:uid="{00000000-0005-0000-0000-0000211A0000}"/>
    <cellStyle name="Normal 5 126" xfId="6691" xr:uid="{00000000-0005-0000-0000-0000221A0000}"/>
    <cellStyle name="Normal 5 126 2" xfId="6692" xr:uid="{00000000-0005-0000-0000-0000231A0000}"/>
    <cellStyle name="Normal 5 127" xfId="6693" xr:uid="{00000000-0005-0000-0000-0000241A0000}"/>
    <cellStyle name="Normal 5 127 2" xfId="6694" xr:uid="{00000000-0005-0000-0000-0000251A0000}"/>
    <cellStyle name="Normal 5 128" xfId="6695" xr:uid="{00000000-0005-0000-0000-0000261A0000}"/>
    <cellStyle name="Normal 5 128 2" xfId="6696" xr:uid="{00000000-0005-0000-0000-0000271A0000}"/>
    <cellStyle name="Normal 5 129" xfId="6697" xr:uid="{00000000-0005-0000-0000-0000281A0000}"/>
    <cellStyle name="Normal 5 129 2" xfId="6698" xr:uid="{00000000-0005-0000-0000-0000291A0000}"/>
    <cellStyle name="Normal 5 13" xfId="6699" xr:uid="{00000000-0005-0000-0000-00002A1A0000}"/>
    <cellStyle name="Normal 5 13 2" xfId="6700" xr:uid="{00000000-0005-0000-0000-00002B1A0000}"/>
    <cellStyle name="Normal 5 13 2 2" xfId="6701" xr:uid="{00000000-0005-0000-0000-00002C1A0000}"/>
    <cellStyle name="Normal 5 13 3" xfId="6702" xr:uid="{00000000-0005-0000-0000-00002D1A0000}"/>
    <cellStyle name="Normal 5 130" xfId="6703" xr:uid="{00000000-0005-0000-0000-00002E1A0000}"/>
    <cellStyle name="Normal 5 130 2" xfId="6704" xr:uid="{00000000-0005-0000-0000-00002F1A0000}"/>
    <cellStyle name="Normal 5 131" xfId="6705" xr:uid="{00000000-0005-0000-0000-0000301A0000}"/>
    <cellStyle name="Normal 5 131 2" xfId="6706" xr:uid="{00000000-0005-0000-0000-0000311A0000}"/>
    <cellStyle name="Normal 5 132" xfId="6707" xr:uid="{00000000-0005-0000-0000-0000321A0000}"/>
    <cellStyle name="Normal 5 132 2" xfId="6708" xr:uid="{00000000-0005-0000-0000-0000331A0000}"/>
    <cellStyle name="Normal 5 133" xfId="6709" xr:uid="{00000000-0005-0000-0000-0000341A0000}"/>
    <cellStyle name="Normal 5 133 2" xfId="6710" xr:uid="{00000000-0005-0000-0000-0000351A0000}"/>
    <cellStyle name="Normal 5 134" xfId="6711" xr:uid="{00000000-0005-0000-0000-0000361A0000}"/>
    <cellStyle name="Normal 5 134 2" xfId="6712" xr:uid="{00000000-0005-0000-0000-0000371A0000}"/>
    <cellStyle name="Normal 5 135" xfId="6713" xr:uid="{00000000-0005-0000-0000-0000381A0000}"/>
    <cellStyle name="Normal 5 135 2" xfId="6714" xr:uid="{00000000-0005-0000-0000-0000391A0000}"/>
    <cellStyle name="Normal 5 136" xfId="6715" xr:uid="{00000000-0005-0000-0000-00003A1A0000}"/>
    <cellStyle name="Normal 5 136 2" xfId="6716" xr:uid="{00000000-0005-0000-0000-00003B1A0000}"/>
    <cellStyle name="Normal 5 137" xfId="6717" xr:uid="{00000000-0005-0000-0000-00003C1A0000}"/>
    <cellStyle name="Normal 5 137 2" xfId="6718" xr:uid="{00000000-0005-0000-0000-00003D1A0000}"/>
    <cellStyle name="Normal 5 138" xfId="6719" xr:uid="{00000000-0005-0000-0000-00003E1A0000}"/>
    <cellStyle name="Normal 5 138 2" xfId="6720" xr:uid="{00000000-0005-0000-0000-00003F1A0000}"/>
    <cellStyle name="Normal 5 139" xfId="6721" xr:uid="{00000000-0005-0000-0000-0000401A0000}"/>
    <cellStyle name="Normal 5 139 2" xfId="6722" xr:uid="{00000000-0005-0000-0000-0000411A0000}"/>
    <cellStyle name="Normal 5 14" xfId="6723" xr:uid="{00000000-0005-0000-0000-0000421A0000}"/>
    <cellStyle name="Normal 5 14 2" xfId="6724" xr:uid="{00000000-0005-0000-0000-0000431A0000}"/>
    <cellStyle name="Normal 5 14 2 2" xfId="6725" xr:uid="{00000000-0005-0000-0000-0000441A0000}"/>
    <cellStyle name="Normal 5 14 3" xfId="6726" xr:uid="{00000000-0005-0000-0000-0000451A0000}"/>
    <cellStyle name="Normal 5 140" xfId="6727" xr:uid="{00000000-0005-0000-0000-0000461A0000}"/>
    <cellStyle name="Normal 5 140 2" xfId="6728" xr:uid="{00000000-0005-0000-0000-0000471A0000}"/>
    <cellStyle name="Normal 5 141" xfId="6729" xr:uid="{00000000-0005-0000-0000-0000481A0000}"/>
    <cellStyle name="Normal 5 141 2" xfId="6730" xr:uid="{00000000-0005-0000-0000-0000491A0000}"/>
    <cellStyle name="Normal 5 142" xfId="6731" xr:uid="{00000000-0005-0000-0000-00004A1A0000}"/>
    <cellStyle name="Normal 5 142 2" xfId="6732" xr:uid="{00000000-0005-0000-0000-00004B1A0000}"/>
    <cellStyle name="Normal 5 143" xfId="6733" xr:uid="{00000000-0005-0000-0000-00004C1A0000}"/>
    <cellStyle name="Normal 5 143 2" xfId="6734" xr:uid="{00000000-0005-0000-0000-00004D1A0000}"/>
    <cellStyle name="Normal 5 144" xfId="6735" xr:uid="{00000000-0005-0000-0000-00004E1A0000}"/>
    <cellStyle name="Normal 5 144 2" xfId="6736" xr:uid="{00000000-0005-0000-0000-00004F1A0000}"/>
    <cellStyle name="Normal 5 145" xfId="6737" xr:uid="{00000000-0005-0000-0000-0000501A0000}"/>
    <cellStyle name="Normal 5 146" xfId="6738" xr:uid="{00000000-0005-0000-0000-0000511A0000}"/>
    <cellStyle name="Normal 5 147" xfId="6739" xr:uid="{00000000-0005-0000-0000-0000521A0000}"/>
    <cellStyle name="Normal 5 147 2" xfId="6740" xr:uid="{00000000-0005-0000-0000-0000531A0000}"/>
    <cellStyle name="Normal 5 148" xfId="6741" xr:uid="{00000000-0005-0000-0000-0000541A0000}"/>
    <cellStyle name="Normal 5 148 2" xfId="6742" xr:uid="{00000000-0005-0000-0000-0000551A0000}"/>
    <cellStyle name="Normal 5 149" xfId="6743" xr:uid="{00000000-0005-0000-0000-0000561A0000}"/>
    <cellStyle name="Normal 5 149 2" xfId="6744" xr:uid="{00000000-0005-0000-0000-0000571A0000}"/>
    <cellStyle name="Normal 5 15" xfId="6745" xr:uid="{00000000-0005-0000-0000-0000581A0000}"/>
    <cellStyle name="Normal 5 15 2" xfId="6746" xr:uid="{00000000-0005-0000-0000-0000591A0000}"/>
    <cellStyle name="Normal 5 15 2 2" xfId="6747" xr:uid="{00000000-0005-0000-0000-00005A1A0000}"/>
    <cellStyle name="Normal 5 15 3" xfId="6748" xr:uid="{00000000-0005-0000-0000-00005B1A0000}"/>
    <cellStyle name="Normal 5 150" xfId="6749" xr:uid="{00000000-0005-0000-0000-00005C1A0000}"/>
    <cellStyle name="Normal 5 150 2" xfId="6750" xr:uid="{00000000-0005-0000-0000-00005D1A0000}"/>
    <cellStyle name="Normal 5 151" xfId="6751" xr:uid="{00000000-0005-0000-0000-00005E1A0000}"/>
    <cellStyle name="Normal 5 151 2" xfId="6752" xr:uid="{00000000-0005-0000-0000-00005F1A0000}"/>
    <cellStyle name="Normal 5 152" xfId="6753" xr:uid="{00000000-0005-0000-0000-0000601A0000}"/>
    <cellStyle name="Normal 5 152 2" xfId="6754" xr:uid="{00000000-0005-0000-0000-0000611A0000}"/>
    <cellStyle name="Normal 5 153" xfId="6755" xr:uid="{00000000-0005-0000-0000-0000621A0000}"/>
    <cellStyle name="Normal 5 154" xfId="6756" xr:uid="{00000000-0005-0000-0000-0000631A0000}"/>
    <cellStyle name="Normal 5 155" xfId="6757" xr:uid="{00000000-0005-0000-0000-0000641A0000}"/>
    <cellStyle name="Normal 5 156" xfId="6758" xr:uid="{00000000-0005-0000-0000-0000651A0000}"/>
    <cellStyle name="Normal 5 157" xfId="6759" xr:uid="{00000000-0005-0000-0000-0000661A0000}"/>
    <cellStyle name="Normal 5 158" xfId="6760" xr:uid="{00000000-0005-0000-0000-0000671A0000}"/>
    <cellStyle name="Normal 5 159" xfId="6761" xr:uid="{00000000-0005-0000-0000-0000681A0000}"/>
    <cellStyle name="Normal 5 16" xfId="6762" xr:uid="{00000000-0005-0000-0000-0000691A0000}"/>
    <cellStyle name="Normal 5 16 2" xfId="6763" xr:uid="{00000000-0005-0000-0000-00006A1A0000}"/>
    <cellStyle name="Normal 5 16 2 2" xfId="6764" xr:uid="{00000000-0005-0000-0000-00006B1A0000}"/>
    <cellStyle name="Normal 5 16 3" xfId="6765" xr:uid="{00000000-0005-0000-0000-00006C1A0000}"/>
    <cellStyle name="Normal 5 17" xfId="6766" xr:uid="{00000000-0005-0000-0000-00006D1A0000}"/>
    <cellStyle name="Normal 5 17 2" xfId="6767" xr:uid="{00000000-0005-0000-0000-00006E1A0000}"/>
    <cellStyle name="Normal 5 17 2 2" xfId="6768" xr:uid="{00000000-0005-0000-0000-00006F1A0000}"/>
    <cellStyle name="Normal 5 17 3" xfId="6769" xr:uid="{00000000-0005-0000-0000-0000701A0000}"/>
    <cellStyle name="Normal 5 18" xfId="6770" xr:uid="{00000000-0005-0000-0000-0000711A0000}"/>
    <cellStyle name="Normal 5 18 2" xfId="6771" xr:uid="{00000000-0005-0000-0000-0000721A0000}"/>
    <cellStyle name="Normal 5 18 2 2" xfId="6772" xr:uid="{00000000-0005-0000-0000-0000731A0000}"/>
    <cellStyle name="Normal 5 18 3" xfId="6773" xr:uid="{00000000-0005-0000-0000-0000741A0000}"/>
    <cellStyle name="Normal 5 19" xfId="6774" xr:uid="{00000000-0005-0000-0000-0000751A0000}"/>
    <cellStyle name="Normal 5 19 2" xfId="6775" xr:uid="{00000000-0005-0000-0000-0000761A0000}"/>
    <cellStyle name="Normal 5 19 2 2" xfId="6776" xr:uid="{00000000-0005-0000-0000-0000771A0000}"/>
    <cellStyle name="Normal 5 19 3" xfId="6777" xr:uid="{00000000-0005-0000-0000-0000781A0000}"/>
    <cellStyle name="Normal 5 2" xfId="6778" xr:uid="{00000000-0005-0000-0000-0000791A0000}"/>
    <cellStyle name="Normal 5 2 2" xfId="6779" xr:uid="{00000000-0005-0000-0000-00007A1A0000}"/>
    <cellStyle name="Normal 5 2 2 2" xfId="6780" xr:uid="{00000000-0005-0000-0000-00007B1A0000}"/>
    <cellStyle name="Normal 5 2 2 3" xfId="6781" xr:uid="{00000000-0005-0000-0000-00007C1A0000}"/>
    <cellStyle name="Normal 5 2 3" xfId="6782" xr:uid="{00000000-0005-0000-0000-00007D1A0000}"/>
    <cellStyle name="Normal 5 2 3 2" xfId="6783" xr:uid="{00000000-0005-0000-0000-00007E1A0000}"/>
    <cellStyle name="Normal 5 2 4" xfId="6784" xr:uid="{00000000-0005-0000-0000-00007F1A0000}"/>
    <cellStyle name="Normal 5 2 5" xfId="6785" xr:uid="{00000000-0005-0000-0000-0000801A0000}"/>
    <cellStyle name="Normal 5 2 6" xfId="6786" xr:uid="{00000000-0005-0000-0000-0000811A0000}"/>
    <cellStyle name="Normal 5 2 7" xfId="6787" xr:uid="{00000000-0005-0000-0000-0000821A0000}"/>
    <cellStyle name="Normal 5 20" xfId="6788" xr:uid="{00000000-0005-0000-0000-0000831A0000}"/>
    <cellStyle name="Normal 5 20 2" xfId="6789" xr:uid="{00000000-0005-0000-0000-0000841A0000}"/>
    <cellStyle name="Normal 5 20 2 2" xfId="6790" xr:uid="{00000000-0005-0000-0000-0000851A0000}"/>
    <cellStyle name="Normal 5 20 3" xfId="6791" xr:uid="{00000000-0005-0000-0000-0000861A0000}"/>
    <cellStyle name="Normal 5 21" xfId="6792" xr:uid="{00000000-0005-0000-0000-0000871A0000}"/>
    <cellStyle name="Normal 5 21 2" xfId="6793" xr:uid="{00000000-0005-0000-0000-0000881A0000}"/>
    <cellStyle name="Normal 5 21 2 2" xfId="6794" xr:uid="{00000000-0005-0000-0000-0000891A0000}"/>
    <cellStyle name="Normal 5 21 3" xfId="6795" xr:uid="{00000000-0005-0000-0000-00008A1A0000}"/>
    <cellStyle name="Normal 5 22" xfId="6796" xr:uid="{00000000-0005-0000-0000-00008B1A0000}"/>
    <cellStyle name="Normal 5 22 2" xfId="6797" xr:uid="{00000000-0005-0000-0000-00008C1A0000}"/>
    <cellStyle name="Normal 5 22 2 2" xfId="6798" xr:uid="{00000000-0005-0000-0000-00008D1A0000}"/>
    <cellStyle name="Normal 5 22 3" xfId="6799" xr:uid="{00000000-0005-0000-0000-00008E1A0000}"/>
    <cellStyle name="Normal 5 23" xfId="6800" xr:uid="{00000000-0005-0000-0000-00008F1A0000}"/>
    <cellStyle name="Normal 5 23 2" xfId="6801" xr:uid="{00000000-0005-0000-0000-0000901A0000}"/>
    <cellStyle name="Normal 5 23 2 2" xfId="6802" xr:uid="{00000000-0005-0000-0000-0000911A0000}"/>
    <cellStyle name="Normal 5 23 3" xfId="6803" xr:uid="{00000000-0005-0000-0000-0000921A0000}"/>
    <cellStyle name="Normal 5 24" xfId="6804" xr:uid="{00000000-0005-0000-0000-0000931A0000}"/>
    <cellStyle name="Normal 5 24 2" xfId="6805" xr:uid="{00000000-0005-0000-0000-0000941A0000}"/>
    <cellStyle name="Normal 5 24 2 2" xfId="6806" xr:uid="{00000000-0005-0000-0000-0000951A0000}"/>
    <cellStyle name="Normal 5 24 3" xfId="6807" xr:uid="{00000000-0005-0000-0000-0000961A0000}"/>
    <cellStyle name="Normal 5 25" xfId="6808" xr:uid="{00000000-0005-0000-0000-0000971A0000}"/>
    <cellStyle name="Normal 5 25 2" xfId="6809" xr:uid="{00000000-0005-0000-0000-0000981A0000}"/>
    <cellStyle name="Normal 5 25 2 2" xfId="6810" xr:uid="{00000000-0005-0000-0000-0000991A0000}"/>
    <cellStyle name="Normal 5 25 3" xfId="6811" xr:uid="{00000000-0005-0000-0000-00009A1A0000}"/>
    <cellStyle name="Normal 5 26" xfId="6812" xr:uid="{00000000-0005-0000-0000-00009B1A0000}"/>
    <cellStyle name="Normal 5 26 2" xfId="6813" xr:uid="{00000000-0005-0000-0000-00009C1A0000}"/>
    <cellStyle name="Normal 5 26 2 2" xfId="6814" xr:uid="{00000000-0005-0000-0000-00009D1A0000}"/>
    <cellStyle name="Normal 5 26 3" xfId="6815" xr:uid="{00000000-0005-0000-0000-00009E1A0000}"/>
    <cellStyle name="Normal 5 27" xfId="6816" xr:uid="{00000000-0005-0000-0000-00009F1A0000}"/>
    <cellStyle name="Normal 5 27 2" xfId="6817" xr:uid="{00000000-0005-0000-0000-0000A01A0000}"/>
    <cellStyle name="Normal 5 27 2 2" xfId="6818" xr:uid="{00000000-0005-0000-0000-0000A11A0000}"/>
    <cellStyle name="Normal 5 27 3" xfId="6819" xr:uid="{00000000-0005-0000-0000-0000A21A0000}"/>
    <cellStyle name="Normal 5 28" xfId="6820" xr:uid="{00000000-0005-0000-0000-0000A31A0000}"/>
    <cellStyle name="Normal 5 28 2" xfId="6821" xr:uid="{00000000-0005-0000-0000-0000A41A0000}"/>
    <cellStyle name="Normal 5 28 2 2" xfId="6822" xr:uid="{00000000-0005-0000-0000-0000A51A0000}"/>
    <cellStyle name="Normal 5 28 3" xfId="6823" xr:uid="{00000000-0005-0000-0000-0000A61A0000}"/>
    <cellStyle name="Normal 5 29" xfId="6824" xr:uid="{00000000-0005-0000-0000-0000A71A0000}"/>
    <cellStyle name="Normal 5 29 2" xfId="6825" xr:uid="{00000000-0005-0000-0000-0000A81A0000}"/>
    <cellStyle name="Normal 5 29 2 2" xfId="6826" xr:uid="{00000000-0005-0000-0000-0000A91A0000}"/>
    <cellStyle name="Normal 5 29 3" xfId="6827" xr:uid="{00000000-0005-0000-0000-0000AA1A0000}"/>
    <cellStyle name="Normal 5 3" xfId="6828" xr:uid="{00000000-0005-0000-0000-0000AB1A0000}"/>
    <cellStyle name="Normal 5 3 10" xfId="6829" xr:uid="{00000000-0005-0000-0000-0000AC1A0000}"/>
    <cellStyle name="Normal 5 3 11" xfId="6830" xr:uid="{00000000-0005-0000-0000-0000AD1A0000}"/>
    <cellStyle name="Normal 5 3 2" xfId="6831" xr:uid="{00000000-0005-0000-0000-0000AE1A0000}"/>
    <cellStyle name="Normal 5 3 2 2" xfId="6832" xr:uid="{00000000-0005-0000-0000-0000AF1A0000}"/>
    <cellStyle name="Normal 5 3 2 2 2" xfId="6833" xr:uid="{00000000-0005-0000-0000-0000B01A0000}"/>
    <cellStyle name="Normal 5 3 2 2 2 2" xfId="6834" xr:uid="{00000000-0005-0000-0000-0000B11A0000}"/>
    <cellStyle name="Normal 5 3 2 2 3" xfId="6835" xr:uid="{00000000-0005-0000-0000-0000B21A0000}"/>
    <cellStyle name="Normal 5 3 2 3" xfId="6836" xr:uid="{00000000-0005-0000-0000-0000B31A0000}"/>
    <cellStyle name="Normal 5 3 2 3 2" xfId="6837" xr:uid="{00000000-0005-0000-0000-0000B41A0000}"/>
    <cellStyle name="Normal 5 3 2 3 2 2" xfId="6838" xr:uid="{00000000-0005-0000-0000-0000B51A0000}"/>
    <cellStyle name="Normal 5 3 2 3 3" xfId="6839" xr:uid="{00000000-0005-0000-0000-0000B61A0000}"/>
    <cellStyle name="Normal 5 3 2 4" xfId="6840" xr:uid="{00000000-0005-0000-0000-0000B71A0000}"/>
    <cellStyle name="Normal 5 3 2 4 2" xfId="6841" xr:uid="{00000000-0005-0000-0000-0000B81A0000}"/>
    <cellStyle name="Normal 5 3 2 4 2 2" xfId="6842" xr:uid="{00000000-0005-0000-0000-0000B91A0000}"/>
    <cellStyle name="Normal 5 3 2 4 3" xfId="6843" xr:uid="{00000000-0005-0000-0000-0000BA1A0000}"/>
    <cellStyle name="Normal 5 3 2 5" xfId="6844" xr:uid="{00000000-0005-0000-0000-0000BB1A0000}"/>
    <cellStyle name="Normal 5 3 2 5 2" xfId="6845" xr:uid="{00000000-0005-0000-0000-0000BC1A0000}"/>
    <cellStyle name="Normal 5 3 2 5 2 2" xfId="6846" xr:uid="{00000000-0005-0000-0000-0000BD1A0000}"/>
    <cellStyle name="Normal 5 3 2 5 3" xfId="6847" xr:uid="{00000000-0005-0000-0000-0000BE1A0000}"/>
    <cellStyle name="Normal 5 3 2 6" xfId="6848" xr:uid="{00000000-0005-0000-0000-0000BF1A0000}"/>
    <cellStyle name="Normal 5 3 2 6 2" xfId="6849" xr:uid="{00000000-0005-0000-0000-0000C01A0000}"/>
    <cellStyle name="Normal 5 3 2 7" xfId="6850" xr:uid="{00000000-0005-0000-0000-0000C11A0000}"/>
    <cellStyle name="Normal 5 3 3" xfId="6851" xr:uid="{00000000-0005-0000-0000-0000C21A0000}"/>
    <cellStyle name="Normal 5 3 3 2" xfId="6852" xr:uid="{00000000-0005-0000-0000-0000C31A0000}"/>
    <cellStyle name="Normal 5 3 3 2 2" xfId="6853" xr:uid="{00000000-0005-0000-0000-0000C41A0000}"/>
    <cellStyle name="Normal 5 3 3 3" xfId="6854" xr:uid="{00000000-0005-0000-0000-0000C51A0000}"/>
    <cellStyle name="Normal 5 3 4" xfId="6855" xr:uid="{00000000-0005-0000-0000-0000C61A0000}"/>
    <cellStyle name="Normal 5 3 4 2" xfId="6856" xr:uid="{00000000-0005-0000-0000-0000C71A0000}"/>
    <cellStyle name="Normal 5 3 4 2 2" xfId="6857" xr:uid="{00000000-0005-0000-0000-0000C81A0000}"/>
    <cellStyle name="Normal 5 3 4 3" xfId="6858" xr:uid="{00000000-0005-0000-0000-0000C91A0000}"/>
    <cellStyle name="Normal 5 3 5" xfId="6859" xr:uid="{00000000-0005-0000-0000-0000CA1A0000}"/>
    <cellStyle name="Normal 5 3 5 2" xfId="6860" xr:uid="{00000000-0005-0000-0000-0000CB1A0000}"/>
    <cellStyle name="Normal 5 3 5 2 2" xfId="6861" xr:uid="{00000000-0005-0000-0000-0000CC1A0000}"/>
    <cellStyle name="Normal 5 3 5 3" xfId="6862" xr:uid="{00000000-0005-0000-0000-0000CD1A0000}"/>
    <cellStyle name="Normal 5 3 6" xfId="6863" xr:uid="{00000000-0005-0000-0000-0000CE1A0000}"/>
    <cellStyle name="Normal 5 3 6 2" xfId="6864" xr:uid="{00000000-0005-0000-0000-0000CF1A0000}"/>
    <cellStyle name="Normal 5 3 6 3" xfId="6865" xr:uid="{00000000-0005-0000-0000-0000D01A0000}"/>
    <cellStyle name="Normal 5 3 7" xfId="6866" xr:uid="{00000000-0005-0000-0000-0000D11A0000}"/>
    <cellStyle name="Normal 5 3 8" xfId="6867" xr:uid="{00000000-0005-0000-0000-0000D21A0000}"/>
    <cellStyle name="Normal 5 3 9" xfId="6868" xr:uid="{00000000-0005-0000-0000-0000D31A0000}"/>
    <cellStyle name="Normal 5 30" xfId="6869" xr:uid="{00000000-0005-0000-0000-0000D41A0000}"/>
    <cellStyle name="Normal 5 30 2" xfId="6870" xr:uid="{00000000-0005-0000-0000-0000D51A0000}"/>
    <cellStyle name="Normal 5 30 2 2" xfId="6871" xr:uid="{00000000-0005-0000-0000-0000D61A0000}"/>
    <cellStyle name="Normal 5 30 3" xfId="6872" xr:uid="{00000000-0005-0000-0000-0000D71A0000}"/>
    <cellStyle name="Normal 5 31" xfId="6873" xr:uid="{00000000-0005-0000-0000-0000D81A0000}"/>
    <cellStyle name="Normal 5 31 2" xfId="6874" xr:uid="{00000000-0005-0000-0000-0000D91A0000}"/>
    <cellStyle name="Normal 5 31 2 2" xfId="6875" xr:uid="{00000000-0005-0000-0000-0000DA1A0000}"/>
    <cellStyle name="Normal 5 31 3" xfId="6876" xr:uid="{00000000-0005-0000-0000-0000DB1A0000}"/>
    <cellStyle name="Normal 5 32" xfId="6877" xr:uid="{00000000-0005-0000-0000-0000DC1A0000}"/>
    <cellStyle name="Normal 5 32 2" xfId="6878" xr:uid="{00000000-0005-0000-0000-0000DD1A0000}"/>
    <cellStyle name="Normal 5 32 2 2" xfId="6879" xr:uid="{00000000-0005-0000-0000-0000DE1A0000}"/>
    <cellStyle name="Normal 5 32 3" xfId="6880" xr:uid="{00000000-0005-0000-0000-0000DF1A0000}"/>
    <cellStyle name="Normal 5 33" xfId="6881" xr:uid="{00000000-0005-0000-0000-0000E01A0000}"/>
    <cellStyle name="Normal 5 33 2" xfId="6882" xr:uid="{00000000-0005-0000-0000-0000E11A0000}"/>
    <cellStyle name="Normal 5 33 2 2" xfId="6883" xr:uid="{00000000-0005-0000-0000-0000E21A0000}"/>
    <cellStyle name="Normal 5 33 3" xfId="6884" xr:uid="{00000000-0005-0000-0000-0000E31A0000}"/>
    <cellStyle name="Normal 5 34" xfId="6885" xr:uid="{00000000-0005-0000-0000-0000E41A0000}"/>
    <cellStyle name="Normal 5 34 2" xfId="6886" xr:uid="{00000000-0005-0000-0000-0000E51A0000}"/>
    <cellStyle name="Normal 5 34 2 2" xfId="6887" xr:uid="{00000000-0005-0000-0000-0000E61A0000}"/>
    <cellStyle name="Normal 5 34 3" xfId="6888" xr:uid="{00000000-0005-0000-0000-0000E71A0000}"/>
    <cellStyle name="Normal 5 35" xfId="6889" xr:uid="{00000000-0005-0000-0000-0000E81A0000}"/>
    <cellStyle name="Normal 5 35 2" xfId="6890" xr:uid="{00000000-0005-0000-0000-0000E91A0000}"/>
    <cellStyle name="Normal 5 35 2 2" xfId="6891" xr:uid="{00000000-0005-0000-0000-0000EA1A0000}"/>
    <cellStyle name="Normal 5 35 3" xfId="6892" xr:uid="{00000000-0005-0000-0000-0000EB1A0000}"/>
    <cellStyle name="Normal 5 36" xfId="6893" xr:uid="{00000000-0005-0000-0000-0000EC1A0000}"/>
    <cellStyle name="Normal 5 36 2" xfId="6894" xr:uid="{00000000-0005-0000-0000-0000ED1A0000}"/>
    <cellStyle name="Normal 5 36 2 2" xfId="6895" xr:uid="{00000000-0005-0000-0000-0000EE1A0000}"/>
    <cellStyle name="Normal 5 36 3" xfId="6896" xr:uid="{00000000-0005-0000-0000-0000EF1A0000}"/>
    <cellStyle name="Normal 5 37" xfId="6897" xr:uid="{00000000-0005-0000-0000-0000F01A0000}"/>
    <cellStyle name="Normal 5 37 2" xfId="6898" xr:uid="{00000000-0005-0000-0000-0000F11A0000}"/>
    <cellStyle name="Normal 5 37 2 2" xfId="6899" xr:uid="{00000000-0005-0000-0000-0000F21A0000}"/>
    <cellStyle name="Normal 5 37 3" xfId="6900" xr:uid="{00000000-0005-0000-0000-0000F31A0000}"/>
    <cellStyle name="Normal 5 38" xfId="6901" xr:uid="{00000000-0005-0000-0000-0000F41A0000}"/>
    <cellStyle name="Normal 5 38 2" xfId="6902" xr:uid="{00000000-0005-0000-0000-0000F51A0000}"/>
    <cellStyle name="Normal 5 38 2 2" xfId="6903" xr:uid="{00000000-0005-0000-0000-0000F61A0000}"/>
    <cellStyle name="Normal 5 38 3" xfId="6904" xr:uid="{00000000-0005-0000-0000-0000F71A0000}"/>
    <cellStyle name="Normal 5 39" xfId="6905" xr:uid="{00000000-0005-0000-0000-0000F81A0000}"/>
    <cellStyle name="Normal 5 39 2" xfId="6906" xr:uid="{00000000-0005-0000-0000-0000F91A0000}"/>
    <cellStyle name="Normal 5 39 2 2" xfId="6907" xr:uid="{00000000-0005-0000-0000-0000FA1A0000}"/>
    <cellStyle name="Normal 5 39 3" xfId="6908" xr:uid="{00000000-0005-0000-0000-0000FB1A0000}"/>
    <cellStyle name="Normal 5 4" xfId="6909" xr:uid="{00000000-0005-0000-0000-0000FC1A0000}"/>
    <cellStyle name="Normal 5 4 2" xfId="6910" xr:uid="{00000000-0005-0000-0000-0000FD1A0000}"/>
    <cellStyle name="Normal 5 4 2 2" xfId="6911" xr:uid="{00000000-0005-0000-0000-0000FE1A0000}"/>
    <cellStyle name="Normal 5 4 2 3" xfId="6912" xr:uid="{00000000-0005-0000-0000-0000FF1A0000}"/>
    <cellStyle name="Normal 5 4 3" xfId="6913" xr:uid="{00000000-0005-0000-0000-0000001B0000}"/>
    <cellStyle name="Normal 5 4 3 2" xfId="6914" xr:uid="{00000000-0005-0000-0000-0000011B0000}"/>
    <cellStyle name="Normal 5 40" xfId="6915" xr:uid="{00000000-0005-0000-0000-0000021B0000}"/>
    <cellStyle name="Normal 5 40 2" xfId="6916" xr:uid="{00000000-0005-0000-0000-0000031B0000}"/>
    <cellStyle name="Normal 5 40 2 2" xfId="6917" xr:uid="{00000000-0005-0000-0000-0000041B0000}"/>
    <cellStyle name="Normal 5 40 3" xfId="6918" xr:uid="{00000000-0005-0000-0000-0000051B0000}"/>
    <cellStyle name="Normal 5 41" xfId="6919" xr:uid="{00000000-0005-0000-0000-0000061B0000}"/>
    <cellStyle name="Normal 5 41 2" xfId="6920" xr:uid="{00000000-0005-0000-0000-0000071B0000}"/>
    <cellStyle name="Normal 5 41 2 2" xfId="6921" xr:uid="{00000000-0005-0000-0000-0000081B0000}"/>
    <cellStyle name="Normal 5 41 3" xfId="6922" xr:uid="{00000000-0005-0000-0000-0000091B0000}"/>
    <cellStyle name="Normal 5 42" xfId="6923" xr:uid="{00000000-0005-0000-0000-00000A1B0000}"/>
    <cellStyle name="Normal 5 42 2" xfId="6924" xr:uid="{00000000-0005-0000-0000-00000B1B0000}"/>
    <cellStyle name="Normal 5 42 2 2" xfId="6925" xr:uid="{00000000-0005-0000-0000-00000C1B0000}"/>
    <cellStyle name="Normal 5 42 3" xfId="6926" xr:uid="{00000000-0005-0000-0000-00000D1B0000}"/>
    <cellStyle name="Normal 5 43" xfId="6927" xr:uid="{00000000-0005-0000-0000-00000E1B0000}"/>
    <cellStyle name="Normal 5 43 2" xfId="6928" xr:uid="{00000000-0005-0000-0000-00000F1B0000}"/>
    <cellStyle name="Normal 5 43 2 2" xfId="6929" xr:uid="{00000000-0005-0000-0000-0000101B0000}"/>
    <cellStyle name="Normal 5 43 3" xfId="6930" xr:uid="{00000000-0005-0000-0000-0000111B0000}"/>
    <cellStyle name="Normal 5 44" xfId="6931" xr:uid="{00000000-0005-0000-0000-0000121B0000}"/>
    <cellStyle name="Normal 5 44 2" xfId="6932" xr:uid="{00000000-0005-0000-0000-0000131B0000}"/>
    <cellStyle name="Normal 5 44 2 2" xfId="6933" xr:uid="{00000000-0005-0000-0000-0000141B0000}"/>
    <cellStyle name="Normal 5 44 3" xfId="6934" xr:uid="{00000000-0005-0000-0000-0000151B0000}"/>
    <cellStyle name="Normal 5 45" xfId="6935" xr:uid="{00000000-0005-0000-0000-0000161B0000}"/>
    <cellStyle name="Normal 5 45 2" xfId="6936" xr:uid="{00000000-0005-0000-0000-0000171B0000}"/>
    <cellStyle name="Normal 5 45 2 2" xfId="6937" xr:uid="{00000000-0005-0000-0000-0000181B0000}"/>
    <cellStyle name="Normal 5 45 3" xfId="6938" xr:uid="{00000000-0005-0000-0000-0000191B0000}"/>
    <cellStyle name="Normal 5 46" xfId="6939" xr:uid="{00000000-0005-0000-0000-00001A1B0000}"/>
    <cellStyle name="Normal 5 46 2" xfId="6940" xr:uid="{00000000-0005-0000-0000-00001B1B0000}"/>
    <cellStyle name="Normal 5 46 2 2" xfId="6941" xr:uid="{00000000-0005-0000-0000-00001C1B0000}"/>
    <cellStyle name="Normal 5 46 3" xfId="6942" xr:uid="{00000000-0005-0000-0000-00001D1B0000}"/>
    <cellStyle name="Normal 5 47" xfId="6943" xr:uid="{00000000-0005-0000-0000-00001E1B0000}"/>
    <cellStyle name="Normal 5 47 2" xfId="6944" xr:uid="{00000000-0005-0000-0000-00001F1B0000}"/>
    <cellStyle name="Normal 5 47 2 2" xfId="6945" xr:uid="{00000000-0005-0000-0000-0000201B0000}"/>
    <cellStyle name="Normal 5 47 3" xfId="6946" xr:uid="{00000000-0005-0000-0000-0000211B0000}"/>
    <cellStyle name="Normal 5 48" xfId="6947" xr:uid="{00000000-0005-0000-0000-0000221B0000}"/>
    <cellStyle name="Normal 5 48 2" xfId="6948" xr:uid="{00000000-0005-0000-0000-0000231B0000}"/>
    <cellStyle name="Normal 5 48 2 2" xfId="6949" xr:uid="{00000000-0005-0000-0000-0000241B0000}"/>
    <cellStyle name="Normal 5 48 3" xfId="6950" xr:uid="{00000000-0005-0000-0000-0000251B0000}"/>
    <cellStyle name="Normal 5 49" xfId="6951" xr:uid="{00000000-0005-0000-0000-0000261B0000}"/>
    <cellStyle name="Normal 5 49 2" xfId="6952" xr:uid="{00000000-0005-0000-0000-0000271B0000}"/>
    <cellStyle name="Normal 5 49 2 2" xfId="6953" xr:uid="{00000000-0005-0000-0000-0000281B0000}"/>
    <cellStyle name="Normal 5 49 3" xfId="6954" xr:uid="{00000000-0005-0000-0000-0000291B0000}"/>
    <cellStyle name="Normal 5 5" xfId="6955" xr:uid="{00000000-0005-0000-0000-00002A1B0000}"/>
    <cellStyle name="Normal 5 5 2" xfId="6956" xr:uid="{00000000-0005-0000-0000-00002B1B0000}"/>
    <cellStyle name="Normal 5 5 2 2" xfId="6957" xr:uid="{00000000-0005-0000-0000-00002C1B0000}"/>
    <cellStyle name="Normal 5 5 2 3" xfId="6958" xr:uid="{00000000-0005-0000-0000-00002D1B0000}"/>
    <cellStyle name="Normal 5 5 3" xfId="6959" xr:uid="{00000000-0005-0000-0000-00002E1B0000}"/>
    <cellStyle name="Normal 5 5 3 2" xfId="6960" xr:uid="{00000000-0005-0000-0000-00002F1B0000}"/>
    <cellStyle name="Normal 5 50" xfId="6961" xr:uid="{00000000-0005-0000-0000-0000301B0000}"/>
    <cellStyle name="Normal 5 50 2" xfId="6962" xr:uid="{00000000-0005-0000-0000-0000311B0000}"/>
    <cellStyle name="Normal 5 50 2 2" xfId="6963" xr:uid="{00000000-0005-0000-0000-0000321B0000}"/>
    <cellStyle name="Normal 5 50 3" xfId="6964" xr:uid="{00000000-0005-0000-0000-0000331B0000}"/>
    <cellStyle name="Normal 5 51" xfId="6965" xr:uid="{00000000-0005-0000-0000-0000341B0000}"/>
    <cellStyle name="Normal 5 51 2" xfId="6966" xr:uid="{00000000-0005-0000-0000-0000351B0000}"/>
    <cellStyle name="Normal 5 51 2 2" xfId="6967" xr:uid="{00000000-0005-0000-0000-0000361B0000}"/>
    <cellStyle name="Normal 5 51 3" xfId="6968" xr:uid="{00000000-0005-0000-0000-0000371B0000}"/>
    <cellStyle name="Normal 5 52" xfId="6969" xr:uid="{00000000-0005-0000-0000-0000381B0000}"/>
    <cellStyle name="Normal 5 52 2" xfId="6970" xr:uid="{00000000-0005-0000-0000-0000391B0000}"/>
    <cellStyle name="Normal 5 52 2 2" xfId="6971" xr:uid="{00000000-0005-0000-0000-00003A1B0000}"/>
    <cellStyle name="Normal 5 52 3" xfId="6972" xr:uid="{00000000-0005-0000-0000-00003B1B0000}"/>
    <cellStyle name="Normal 5 53" xfId="6973" xr:uid="{00000000-0005-0000-0000-00003C1B0000}"/>
    <cellStyle name="Normal 5 53 2" xfId="6974" xr:uid="{00000000-0005-0000-0000-00003D1B0000}"/>
    <cellStyle name="Normal 5 53 2 2" xfId="6975" xr:uid="{00000000-0005-0000-0000-00003E1B0000}"/>
    <cellStyle name="Normal 5 53 3" xfId="6976" xr:uid="{00000000-0005-0000-0000-00003F1B0000}"/>
    <cellStyle name="Normal 5 54" xfId="6977" xr:uid="{00000000-0005-0000-0000-0000401B0000}"/>
    <cellStyle name="Normal 5 54 2" xfId="6978" xr:uid="{00000000-0005-0000-0000-0000411B0000}"/>
    <cellStyle name="Normal 5 54 2 2" xfId="6979" xr:uid="{00000000-0005-0000-0000-0000421B0000}"/>
    <cellStyle name="Normal 5 54 3" xfId="6980" xr:uid="{00000000-0005-0000-0000-0000431B0000}"/>
    <cellStyle name="Normal 5 55" xfId="6981" xr:uid="{00000000-0005-0000-0000-0000441B0000}"/>
    <cellStyle name="Normal 5 55 2" xfId="6982" xr:uid="{00000000-0005-0000-0000-0000451B0000}"/>
    <cellStyle name="Normal 5 55 2 2" xfId="6983" xr:uid="{00000000-0005-0000-0000-0000461B0000}"/>
    <cellStyle name="Normal 5 55 3" xfId="6984" xr:uid="{00000000-0005-0000-0000-0000471B0000}"/>
    <cellStyle name="Normal 5 56" xfId="6985" xr:uid="{00000000-0005-0000-0000-0000481B0000}"/>
    <cellStyle name="Normal 5 56 2" xfId="6986" xr:uid="{00000000-0005-0000-0000-0000491B0000}"/>
    <cellStyle name="Normal 5 56 2 2" xfId="6987" xr:uid="{00000000-0005-0000-0000-00004A1B0000}"/>
    <cellStyle name="Normal 5 56 3" xfId="6988" xr:uid="{00000000-0005-0000-0000-00004B1B0000}"/>
    <cellStyle name="Normal 5 57" xfId="6989" xr:uid="{00000000-0005-0000-0000-00004C1B0000}"/>
    <cellStyle name="Normal 5 57 2" xfId="6990" xr:uid="{00000000-0005-0000-0000-00004D1B0000}"/>
    <cellStyle name="Normal 5 57 2 2" xfId="6991" xr:uid="{00000000-0005-0000-0000-00004E1B0000}"/>
    <cellStyle name="Normal 5 57 3" xfId="6992" xr:uid="{00000000-0005-0000-0000-00004F1B0000}"/>
    <cellStyle name="Normal 5 58" xfId="6993" xr:uid="{00000000-0005-0000-0000-0000501B0000}"/>
    <cellStyle name="Normal 5 58 2" xfId="6994" xr:uid="{00000000-0005-0000-0000-0000511B0000}"/>
    <cellStyle name="Normal 5 58 2 2" xfId="6995" xr:uid="{00000000-0005-0000-0000-0000521B0000}"/>
    <cellStyle name="Normal 5 58 3" xfId="6996" xr:uid="{00000000-0005-0000-0000-0000531B0000}"/>
    <cellStyle name="Normal 5 59" xfId="6997" xr:uid="{00000000-0005-0000-0000-0000541B0000}"/>
    <cellStyle name="Normal 5 59 2" xfId="6998" xr:uid="{00000000-0005-0000-0000-0000551B0000}"/>
    <cellStyle name="Normal 5 59 2 2" xfId="6999" xr:uid="{00000000-0005-0000-0000-0000561B0000}"/>
    <cellStyle name="Normal 5 59 3" xfId="7000" xr:uid="{00000000-0005-0000-0000-0000571B0000}"/>
    <cellStyle name="Normal 5 6" xfId="7001" xr:uid="{00000000-0005-0000-0000-0000581B0000}"/>
    <cellStyle name="Normal 5 6 2" xfId="7002" xr:uid="{00000000-0005-0000-0000-0000591B0000}"/>
    <cellStyle name="Normal 5 6 2 2" xfId="7003" xr:uid="{00000000-0005-0000-0000-00005A1B0000}"/>
    <cellStyle name="Normal 5 6 2 3" xfId="7004" xr:uid="{00000000-0005-0000-0000-00005B1B0000}"/>
    <cellStyle name="Normal 5 6 3" xfId="7005" xr:uid="{00000000-0005-0000-0000-00005C1B0000}"/>
    <cellStyle name="Normal 5 6 3 2" xfId="7006" xr:uid="{00000000-0005-0000-0000-00005D1B0000}"/>
    <cellStyle name="Normal 5 60" xfId="7007" xr:uid="{00000000-0005-0000-0000-00005E1B0000}"/>
    <cellStyle name="Normal 5 60 2" xfId="7008" xr:uid="{00000000-0005-0000-0000-00005F1B0000}"/>
    <cellStyle name="Normal 5 60 2 2" xfId="7009" xr:uid="{00000000-0005-0000-0000-0000601B0000}"/>
    <cellStyle name="Normal 5 60 3" xfId="7010" xr:uid="{00000000-0005-0000-0000-0000611B0000}"/>
    <cellStyle name="Normal 5 61" xfId="7011" xr:uid="{00000000-0005-0000-0000-0000621B0000}"/>
    <cellStyle name="Normal 5 61 2" xfId="7012" xr:uid="{00000000-0005-0000-0000-0000631B0000}"/>
    <cellStyle name="Normal 5 61 2 2" xfId="7013" xr:uid="{00000000-0005-0000-0000-0000641B0000}"/>
    <cellStyle name="Normal 5 61 3" xfId="7014" xr:uid="{00000000-0005-0000-0000-0000651B0000}"/>
    <cellStyle name="Normal 5 62" xfId="7015" xr:uid="{00000000-0005-0000-0000-0000661B0000}"/>
    <cellStyle name="Normal 5 62 2" xfId="7016" xr:uid="{00000000-0005-0000-0000-0000671B0000}"/>
    <cellStyle name="Normal 5 63" xfId="7017" xr:uid="{00000000-0005-0000-0000-0000681B0000}"/>
    <cellStyle name="Normal 5 63 2" xfId="7018" xr:uid="{00000000-0005-0000-0000-0000691B0000}"/>
    <cellStyle name="Normal 5 64" xfId="7019" xr:uid="{00000000-0005-0000-0000-00006A1B0000}"/>
    <cellStyle name="Normal 5 64 2" xfId="7020" xr:uid="{00000000-0005-0000-0000-00006B1B0000}"/>
    <cellStyle name="Normal 5 65" xfId="7021" xr:uid="{00000000-0005-0000-0000-00006C1B0000}"/>
    <cellStyle name="Normal 5 65 2" xfId="7022" xr:uid="{00000000-0005-0000-0000-00006D1B0000}"/>
    <cellStyle name="Normal 5 66" xfId="7023" xr:uid="{00000000-0005-0000-0000-00006E1B0000}"/>
    <cellStyle name="Normal 5 66 2" xfId="7024" xr:uid="{00000000-0005-0000-0000-00006F1B0000}"/>
    <cellStyle name="Normal 5 67" xfId="7025" xr:uid="{00000000-0005-0000-0000-0000701B0000}"/>
    <cellStyle name="Normal 5 67 2" xfId="7026" xr:uid="{00000000-0005-0000-0000-0000711B0000}"/>
    <cellStyle name="Normal 5 68" xfId="7027" xr:uid="{00000000-0005-0000-0000-0000721B0000}"/>
    <cellStyle name="Normal 5 68 2" xfId="7028" xr:uid="{00000000-0005-0000-0000-0000731B0000}"/>
    <cellStyle name="Normal 5 69" xfId="7029" xr:uid="{00000000-0005-0000-0000-0000741B0000}"/>
    <cellStyle name="Normal 5 69 2" xfId="7030" xr:uid="{00000000-0005-0000-0000-0000751B0000}"/>
    <cellStyle name="Normal 5 7" xfId="7031" xr:uid="{00000000-0005-0000-0000-0000761B0000}"/>
    <cellStyle name="Normal 5 7 2" xfId="7032" xr:uid="{00000000-0005-0000-0000-0000771B0000}"/>
    <cellStyle name="Normal 5 7 2 2" xfId="7033" xr:uid="{00000000-0005-0000-0000-0000781B0000}"/>
    <cellStyle name="Normal 5 7 2 3" xfId="7034" xr:uid="{00000000-0005-0000-0000-0000791B0000}"/>
    <cellStyle name="Normal 5 7 3" xfId="7035" xr:uid="{00000000-0005-0000-0000-00007A1B0000}"/>
    <cellStyle name="Normal 5 7 3 2" xfId="7036" xr:uid="{00000000-0005-0000-0000-00007B1B0000}"/>
    <cellStyle name="Normal 5 70" xfId="7037" xr:uid="{00000000-0005-0000-0000-00007C1B0000}"/>
    <cellStyle name="Normal 5 70 2" xfId="7038" xr:uid="{00000000-0005-0000-0000-00007D1B0000}"/>
    <cellStyle name="Normal 5 71" xfId="7039" xr:uid="{00000000-0005-0000-0000-00007E1B0000}"/>
    <cellStyle name="Normal 5 71 2" xfId="7040" xr:uid="{00000000-0005-0000-0000-00007F1B0000}"/>
    <cellStyle name="Normal 5 72" xfId="7041" xr:uid="{00000000-0005-0000-0000-0000801B0000}"/>
    <cellStyle name="Normal 5 72 2" xfId="7042" xr:uid="{00000000-0005-0000-0000-0000811B0000}"/>
    <cellStyle name="Normal 5 73" xfId="7043" xr:uid="{00000000-0005-0000-0000-0000821B0000}"/>
    <cellStyle name="Normal 5 73 2" xfId="7044" xr:uid="{00000000-0005-0000-0000-0000831B0000}"/>
    <cellStyle name="Normal 5 74" xfId="7045" xr:uid="{00000000-0005-0000-0000-0000841B0000}"/>
    <cellStyle name="Normal 5 74 2" xfId="7046" xr:uid="{00000000-0005-0000-0000-0000851B0000}"/>
    <cellStyle name="Normal 5 75" xfId="7047" xr:uid="{00000000-0005-0000-0000-0000861B0000}"/>
    <cellStyle name="Normal 5 75 2" xfId="7048" xr:uid="{00000000-0005-0000-0000-0000871B0000}"/>
    <cellStyle name="Normal 5 76" xfId="7049" xr:uid="{00000000-0005-0000-0000-0000881B0000}"/>
    <cellStyle name="Normal 5 76 2" xfId="7050" xr:uid="{00000000-0005-0000-0000-0000891B0000}"/>
    <cellStyle name="Normal 5 77" xfId="7051" xr:uid="{00000000-0005-0000-0000-00008A1B0000}"/>
    <cellStyle name="Normal 5 77 2" xfId="7052" xr:uid="{00000000-0005-0000-0000-00008B1B0000}"/>
    <cellStyle name="Normal 5 78" xfId="7053" xr:uid="{00000000-0005-0000-0000-00008C1B0000}"/>
    <cellStyle name="Normal 5 78 2" xfId="7054" xr:uid="{00000000-0005-0000-0000-00008D1B0000}"/>
    <cellStyle name="Normal 5 79" xfId="7055" xr:uid="{00000000-0005-0000-0000-00008E1B0000}"/>
    <cellStyle name="Normal 5 79 2" xfId="7056" xr:uid="{00000000-0005-0000-0000-00008F1B0000}"/>
    <cellStyle name="Normal 5 8" xfId="7057" xr:uid="{00000000-0005-0000-0000-0000901B0000}"/>
    <cellStyle name="Normal 5 8 2" xfId="7058" xr:uid="{00000000-0005-0000-0000-0000911B0000}"/>
    <cellStyle name="Normal 5 8 2 2" xfId="7059" xr:uid="{00000000-0005-0000-0000-0000921B0000}"/>
    <cellStyle name="Normal 5 8 3" xfId="7060" xr:uid="{00000000-0005-0000-0000-0000931B0000}"/>
    <cellStyle name="Normal 5 80" xfId="7061" xr:uid="{00000000-0005-0000-0000-0000941B0000}"/>
    <cellStyle name="Normal 5 80 2" xfId="7062" xr:uid="{00000000-0005-0000-0000-0000951B0000}"/>
    <cellStyle name="Normal 5 81" xfId="7063" xr:uid="{00000000-0005-0000-0000-0000961B0000}"/>
    <cellStyle name="Normal 5 81 2" xfId="7064" xr:uid="{00000000-0005-0000-0000-0000971B0000}"/>
    <cellStyle name="Normal 5 82" xfId="7065" xr:uid="{00000000-0005-0000-0000-0000981B0000}"/>
    <cellStyle name="Normal 5 82 2" xfId="7066" xr:uid="{00000000-0005-0000-0000-0000991B0000}"/>
    <cellStyle name="Normal 5 83" xfId="7067" xr:uid="{00000000-0005-0000-0000-00009A1B0000}"/>
    <cellStyle name="Normal 5 83 2" xfId="7068" xr:uid="{00000000-0005-0000-0000-00009B1B0000}"/>
    <cellStyle name="Normal 5 84" xfId="7069" xr:uid="{00000000-0005-0000-0000-00009C1B0000}"/>
    <cellStyle name="Normal 5 84 2" xfId="7070" xr:uid="{00000000-0005-0000-0000-00009D1B0000}"/>
    <cellStyle name="Normal 5 85" xfId="7071" xr:uid="{00000000-0005-0000-0000-00009E1B0000}"/>
    <cellStyle name="Normal 5 85 2" xfId="7072" xr:uid="{00000000-0005-0000-0000-00009F1B0000}"/>
    <cellStyle name="Normal 5 86" xfId="7073" xr:uid="{00000000-0005-0000-0000-0000A01B0000}"/>
    <cellStyle name="Normal 5 86 2" xfId="7074" xr:uid="{00000000-0005-0000-0000-0000A11B0000}"/>
    <cellStyle name="Normal 5 87" xfId="7075" xr:uid="{00000000-0005-0000-0000-0000A21B0000}"/>
    <cellStyle name="Normal 5 87 2" xfId="7076" xr:uid="{00000000-0005-0000-0000-0000A31B0000}"/>
    <cellStyle name="Normal 5 88" xfId="7077" xr:uid="{00000000-0005-0000-0000-0000A41B0000}"/>
    <cellStyle name="Normal 5 88 2" xfId="7078" xr:uid="{00000000-0005-0000-0000-0000A51B0000}"/>
    <cellStyle name="Normal 5 89" xfId="7079" xr:uid="{00000000-0005-0000-0000-0000A61B0000}"/>
    <cellStyle name="Normal 5 89 2" xfId="7080" xr:uid="{00000000-0005-0000-0000-0000A71B0000}"/>
    <cellStyle name="Normal 5 9" xfId="7081" xr:uid="{00000000-0005-0000-0000-0000A81B0000}"/>
    <cellStyle name="Normal 5 9 2" xfId="7082" xr:uid="{00000000-0005-0000-0000-0000A91B0000}"/>
    <cellStyle name="Normal 5 9 2 2" xfId="7083" xr:uid="{00000000-0005-0000-0000-0000AA1B0000}"/>
    <cellStyle name="Normal 5 9 3" xfId="7084" xr:uid="{00000000-0005-0000-0000-0000AB1B0000}"/>
    <cellStyle name="Normal 5 90" xfId="7085" xr:uid="{00000000-0005-0000-0000-0000AC1B0000}"/>
    <cellStyle name="Normal 5 90 2" xfId="7086" xr:uid="{00000000-0005-0000-0000-0000AD1B0000}"/>
    <cellStyle name="Normal 5 91" xfId="7087" xr:uid="{00000000-0005-0000-0000-0000AE1B0000}"/>
    <cellStyle name="Normal 5 91 2" xfId="7088" xr:uid="{00000000-0005-0000-0000-0000AF1B0000}"/>
    <cellStyle name="Normal 5 92" xfId="7089" xr:uid="{00000000-0005-0000-0000-0000B01B0000}"/>
    <cellStyle name="Normal 5 92 2" xfId="7090" xr:uid="{00000000-0005-0000-0000-0000B11B0000}"/>
    <cellStyle name="Normal 5 93" xfId="7091" xr:uid="{00000000-0005-0000-0000-0000B21B0000}"/>
    <cellStyle name="Normal 5 93 2" xfId="7092" xr:uid="{00000000-0005-0000-0000-0000B31B0000}"/>
    <cellStyle name="Normal 5 94" xfId="7093" xr:uid="{00000000-0005-0000-0000-0000B41B0000}"/>
    <cellStyle name="Normal 5 95" xfId="7094" xr:uid="{00000000-0005-0000-0000-0000B51B0000}"/>
    <cellStyle name="Normal 5 95 2" xfId="7095" xr:uid="{00000000-0005-0000-0000-0000B61B0000}"/>
    <cellStyle name="Normal 5 96" xfId="7096" xr:uid="{00000000-0005-0000-0000-0000B71B0000}"/>
    <cellStyle name="Normal 5 96 2" xfId="7097" xr:uid="{00000000-0005-0000-0000-0000B81B0000}"/>
    <cellStyle name="Normal 5 97" xfId="7098" xr:uid="{00000000-0005-0000-0000-0000B91B0000}"/>
    <cellStyle name="Normal 5 97 2" xfId="7099" xr:uid="{00000000-0005-0000-0000-0000BA1B0000}"/>
    <cellStyle name="Normal 5 98" xfId="7100" xr:uid="{00000000-0005-0000-0000-0000BB1B0000}"/>
    <cellStyle name="Normal 5 98 2" xfId="7101" xr:uid="{00000000-0005-0000-0000-0000BC1B0000}"/>
    <cellStyle name="Normal 5 99" xfId="7102" xr:uid="{00000000-0005-0000-0000-0000BD1B0000}"/>
    <cellStyle name="Normal 50" xfId="7103" xr:uid="{00000000-0005-0000-0000-0000BE1B0000}"/>
    <cellStyle name="Normal 51" xfId="7104" xr:uid="{00000000-0005-0000-0000-0000BF1B0000}"/>
    <cellStyle name="Normal 52" xfId="7105" xr:uid="{00000000-0005-0000-0000-0000C01B0000}"/>
    <cellStyle name="Normal 53" xfId="7106" xr:uid="{00000000-0005-0000-0000-0000C11B0000}"/>
    <cellStyle name="Normal 54" xfId="7107" xr:uid="{00000000-0005-0000-0000-0000C21B0000}"/>
    <cellStyle name="Normal 55" xfId="7108" xr:uid="{00000000-0005-0000-0000-0000C31B0000}"/>
    <cellStyle name="Normal 56" xfId="7109" xr:uid="{00000000-0005-0000-0000-0000C41B0000}"/>
    <cellStyle name="Normal 57" xfId="7110" xr:uid="{00000000-0005-0000-0000-0000C51B0000}"/>
    <cellStyle name="Normal 58" xfId="7111" xr:uid="{00000000-0005-0000-0000-0000C61B0000}"/>
    <cellStyle name="Normal 59" xfId="7112" xr:uid="{00000000-0005-0000-0000-0000C71B0000}"/>
    <cellStyle name="Normal 6" xfId="7113" xr:uid="{00000000-0005-0000-0000-0000C81B0000}"/>
    <cellStyle name="Normal 6 10" xfId="7114" xr:uid="{00000000-0005-0000-0000-0000C91B0000}"/>
    <cellStyle name="Normal 6 11" xfId="7115" xr:uid="{00000000-0005-0000-0000-0000CA1B0000}"/>
    <cellStyle name="Normal 6 11 2" xfId="7116" xr:uid="{00000000-0005-0000-0000-0000CB1B0000}"/>
    <cellStyle name="Normal 6 12" xfId="7117" xr:uid="{00000000-0005-0000-0000-0000CC1B0000}"/>
    <cellStyle name="Normal 6 12 2" xfId="7118" xr:uid="{00000000-0005-0000-0000-0000CD1B0000}"/>
    <cellStyle name="Normal 6 13" xfId="7119" xr:uid="{00000000-0005-0000-0000-0000CE1B0000}"/>
    <cellStyle name="Normal 6 14" xfId="7120" xr:uid="{00000000-0005-0000-0000-0000CF1B0000}"/>
    <cellStyle name="Normal 6 15" xfId="7121" xr:uid="{00000000-0005-0000-0000-0000D01B0000}"/>
    <cellStyle name="Normal 6 2" xfId="7122" xr:uid="{00000000-0005-0000-0000-0000D11B0000}"/>
    <cellStyle name="Normal 6 2 10" xfId="7123" xr:uid="{00000000-0005-0000-0000-0000D21B0000}"/>
    <cellStyle name="Normal 6 2 11" xfId="7124" xr:uid="{00000000-0005-0000-0000-0000D31B0000}"/>
    <cellStyle name="Normal 6 2 2" xfId="7125" xr:uid="{00000000-0005-0000-0000-0000D41B0000}"/>
    <cellStyle name="Normal 6 2 2 2" xfId="7126" xr:uid="{00000000-0005-0000-0000-0000D51B0000}"/>
    <cellStyle name="Normal 6 2 2 2 2" xfId="7127" xr:uid="{00000000-0005-0000-0000-0000D61B0000}"/>
    <cellStyle name="Normal 6 2 2 2 2 2" xfId="7128" xr:uid="{00000000-0005-0000-0000-0000D71B0000}"/>
    <cellStyle name="Normal 6 2 2 2 3" xfId="7129" xr:uid="{00000000-0005-0000-0000-0000D81B0000}"/>
    <cellStyle name="Normal 6 2 2 3" xfId="7130" xr:uid="{00000000-0005-0000-0000-0000D91B0000}"/>
    <cellStyle name="Normal 6 2 2 3 2" xfId="7131" xr:uid="{00000000-0005-0000-0000-0000DA1B0000}"/>
    <cellStyle name="Normal 6 2 2 4" xfId="7132" xr:uid="{00000000-0005-0000-0000-0000DB1B0000}"/>
    <cellStyle name="Normal 6 2 2 4 2" xfId="7133" xr:uid="{00000000-0005-0000-0000-0000DC1B0000}"/>
    <cellStyle name="Normal 6 2 2 5" xfId="7134" xr:uid="{00000000-0005-0000-0000-0000DD1B0000}"/>
    <cellStyle name="Normal 6 2 2 5 2" xfId="7135" xr:uid="{00000000-0005-0000-0000-0000DE1B0000}"/>
    <cellStyle name="Normal 6 2 2 6" xfId="7136" xr:uid="{00000000-0005-0000-0000-0000DF1B0000}"/>
    <cellStyle name="Normal 6 2 2 6 2" xfId="7137" xr:uid="{00000000-0005-0000-0000-0000E01B0000}"/>
    <cellStyle name="Normal 6 2 2 7" xfId="7138" xr:uid="{00000000-0005-0000-0000-0000E11B0000}"/>
    <cellStyle name="Normal 6 2 2 7 2" xfId="7139" xr:uid="{00000000-0005-0000-0000-0000E21B0000}"/>
    <cellStyle name="Normal 6 2 2 8" xfId="7140" xr:uid="{00000000-0005-0000-0000-0000E31B0000}"/>
    <cellStyle name="Normal 6 2 2 8 2" xfId="7141" xr:uid="{00000000-0005-0000-0000-0000E41B0000}"/>
    <cellStyle name="Normal 6 2 2 9" xfId="7142" xr:uid="{00000000-0005-0000-0000-0000E51B0000}"/>
    <cellStyle name="Normal 6 2 2 9 2" xfId="7143" xr:uid="{00000000-0005-0000-0000-0000E61B0000}"/>
    <cellStyle name="Normal 6 2 3" xfId="7144" xr:uid="{00000000-0005-0000-0000-0000E71B0000}"/>
    <cellStyle name="Normal 6 2 4" xfId="7145" xr:uid="{00000000-0005-0000-0000-0000E81B0000}"/>
    <cellStyle name="Normal 6 2 4 2" xfId="7146" xr:uid="{00000000-0005-0000-0000-0000E91B0000}"/>
    <cellStyle name="Normal 6 2 5" xfId="7147" xr:uid="{00000000-0005-0000-0000-0000EA1B0000}"/>
    <cellStyle name="Normal 6 2 6" xfId="7148" xr:uid="{00000000-0005-0000-0000-0000EB1B0000}"/>
    <cellStyle name="Normal 6 2 7" xfId="7149" xr:uid="{00000000-0005-0000-0000-0000EC1B0000}"/>
    <cellStyle name="Normal 6 2 8" xfId="7150" xr:uid="{00000000-0005-0000-0000-0000ED1B0000}"/>
    <cellStyle name="Normal 6 2 9" xfId="7151" xr:uid="{00000000-0005-0000-0000-0000EE1B0000}"/>
    <cellStyle name="Normal 6 3" xfId="7152" xr:uid="{00000000-0005-0000-0000-0000EF1B0000}"/>
    <cellStyle name="Normal 6 3 2" xfId="7153" xr:uid="{00000000-0005-0000-0000-0000F01B0000}"/>
    <cellStyle name="Normal 6 3 2 2" xfId="7154" xr:uid="{00000000-0005-0000-0000-0000F11B0000}"/>
    <cellStyle name="Normal 6 3 2 3" xfId="7155" xr:uid="{00000000-0005-0000-0000-0000F21B0000}"/>
    <cellStyle name="Normal 6 3 3" xfId="7156" xr:uid="{00000000-0005-0000-0000-0000F31B0000}"/>
    <cellStyle name="Normal 6 3 4" xfId="7157" xr:uid="{00000000-0005-0000-0000-0000F41B0000}"/>
    <cellStyle name="Normal 6 4" xfId="7158" xr:uid="{00000000-0005-0000-0000-0000F51B0000}"/>
    <cellStyle name="Normal 6 4 2" xfId="7159" xr:uid="{00000000-0005-0000-0000-0000F61B0000}"/>
    <cellStyle name="Normal 6 4 3" xfId="7160" xr:uid="{00000000-0005-0000-0000-0000F71B0000}"/>
    <cellStyle name="Normal 6 5" xfId="7161" xr:uid="{00000000-0005-0000-0000-0000F81B0000}"/>
    <cellStyle name="Normal 6 5 2" xfId="7162" xr:uid="{00000000-0005-0000-0000-0000F91B0000}"/>
    <cellStyle name="Normal 6 5 3" xfId="7163" xr:uid="{00000000-0005-0000-0000-0000FA1B0000}"/>
    <cellStyle name="Normal 6 6" xfId="7164" xr:uid="{00000000-0005-0000-0000-0000FB1B0000}"/>
    <cellStyle name="Normal 6 7" xfId="7165" xr:uid="{00000000-0005-0000-0000-0000FC1B0000}"/>
    <cellStyle name="Normal 6 8" xfId="7166" xr:uid="{00000000-0005-0000-0000-0000FD1B0000}"/>
    <cellStyle name="Normal 6 9" xfId="7167" xr:uid="{00000000-0005-0000-0000-0000FE1B0000}"/>
    <cellStyle name="Normal 60" xfId="7168" xr:uid="{00000000-0005-0000-0000-0000FF1B0000}"/>
    <cellStyle name="Normal 61" xfId="7169" xr:uid="{00000000-0005-0000-0000-0000001C0000}"/>
    <cellStyle name="Normal 62" xfId="7170" xr:uid="{00000000-0005-0000-0000-0000011C0000}"/>
    <cellStyle name="Normal 63" xfId="7171" xr:uid="{00000000-0005-0000-0000-0000021C0000}"/>
    <cellStyle name="Normal 64" xfId="7172" xr:uid="{00000000-0005-0000-0000-0000031C0000}"/>
    <cellStyle name="Normal 65" xfId="7173" xr:uid="{00000000-0005-0000-0000-0000041C0000}"/>
    <cellStyle name="Normal 66" xfId="7174" xr:uid="{00000000-0005-0000-0000-0000051C0000}"/>
    <cellStyle name="Normal 66 2" xfId="7175" xr:uid="{00000000-0005-0000-0000-0000061C0000}"/>
    <cellStyle name="Normal 67" xfId="7176" xr:uid="{00000000-0005-0000-0000-0000071C0000}"/>
    <cellStyle name="Normal 67 2" xfId="7177" xr:uid="{00000000-0005-0000-0000-0000081C0000}"/>
    <cellStyle name="Normal 68" xfId="7178" xr:uid="{00000000-0005-0000-0000-0000091C0000}"/>
    <cellStyle name="Normal 68 2" xfId="7179" xr:uid="{00000000-0005-0000-0000-00000A1C0000}"/>
    <cellStyle name="Normal 69" xfId="7180" xr:uid="{00000000-0005-0000-0000-00000B1C0000}"/>
    <cellStyle name="Normal 7" xfId="7181" xr:uid="{00000000-0005-0000-0000-00000C1C0000}"/>
    <cellStyle name="Normal 7 10" xfId="7182" xr:uid="{00000000-0005-0000-0000-00000D1C0000}"/>
    <cellStyle name="Normal 7 11" xfId="7183" xr:uid="{00000000-0005-0000-0000-00000E1C0000}"/>
    <cellStyle name="Normal 7 12" xfId="7184" xr:uid="{00000000-0005-0000-0000-00000F1C0000}"/>
    <cellStyle name="Normal 7 13" xfId="7185" xr:uid="{00000000-0005-0000-0000-0000101C0000}"/>
    <cellStyle name="Normal 7 14" xfId="7186" xr:uid="{00000000-0005-0000-0000-0000111C0000}"/>
    <cellStyle name="Normal 7 15" xfId="7187" xr:uid="{00000000-0005-0000-0000-0000121C0000}"/>
    <cellStyle name="Normal 7 16" xfId="7188" xr:uid="{00000000-0005-0000-0000-0000131C0000}"/>
    <cellStyle name="Normal 7 17" xfId="7189" xr:uid="{00000000-0005-0000-0000-0000141C0000}"/>
    <cellStyle name="Normal 7 18" xfId="7190" xr:uid="{00000000-0005-0000-0000-0000151C0000}"/>
    <cellStyle name="Normal 7 19" xfId="7191" xr:uid="{00000000-0005-0000-0000-0000161C0000}"/>
    <cellStyle name="Normal 7 2" xfId="7192" xr:uid="{00000000-0005-0000-0000-0000171C0000}"/>
    <cellStyle name="Normal 7 2 2" xfId="7193" xr:uid="{00000000-0005-0000-0000-0000181C0000}"/>
    <cellStyle name="Normal 7 2 2 2" xfId="7194" xr:uid="{00000000-0005-0000-0000-0000191C0000}"/>
    <cellStyle name="Normal 7 2 2 2 2" xfId="7195" xr:uid="{00000000-0005-0000-0000-00001A1C0000}"/>
    <cellStyle name="Normal 7 2 2 3" xfId="7196" xr:uid="{00000000-0005-0000-0000-00001B1C0000}"/>
    <cellStyle name="Normal 7 2 2 4" xfId="7197" xr:uid="{00000000-0005-0000-0000-00001C1C0000}"/>
    <cellStyle name="Normal 7 2 2 5" xfId="7198" xr:uid="{00000000-0005-0000-0000-00001D1C0000}"/>
    <cellStyle name="Normal 7 2 3" xfId="7199" xr:uid="{00000000-0005-0000-0000-00001E1C0000}"/>
    <cellStyle name="Normal 7 2 4" xfId="7200" xr:uid="{00000000-0005-0000-0000-00001F1C0000}"/>
    <cellStyle name="Normal 7 2 5" xfId="7201" xr:uid="{00000000-0005-0000-0000-0000201C0000}"/>
    <cellStyle name="Normal 7 2 6" xfId="7202" xr:uid="{00000000-0005-0000-0000-0000211C0000}"/>
    <cellStyle name="Normal 7 2 7" xfId="7203" xr:uid="{00000000-0005-0000-0000-0000221C0000}"/>
    <cellStyle name="Normal 7 2 8" xfId="7204" xr:uid="{00000000-0005-0000-0000-0000231C0000}"/>
    <cellStyle name="Normal 7 2 9" xfId="7205" xr:uid="{00000000-0005-0000-0000-0000241C0000}"/>
    <cellStyle name="Normal 7 20" xfId="7206" xr:uid="{00000000-0005-0000-0000-0000251C0000}"/>
    <cellStyle name="Normal 7 21" xfId="7207" xr:uid="{00000000-0005-0000-0000-0000261C0000}"/>
    <cellStyle name="Normal 7 22" xfId="7208" xr:uid="{00000000-0005-0000-0000-0000271C0000}"/>
    <cellStyle name="Normal 7 23" xfId="7209" xr:uid="{00000000-0005-0000-0000-0000281C0000}"/>
    <cellStyle name="Normal 7 24" xfId="7210" xr:uid="{00000000-0005-0000-0000-0000291C0000}"/>
    <cellStyle name="Normal 7 25" xfId="7211" xr:uid="{00000000-0005-0000-0000-00002A1C0000}"/>
    <cellStyle name="Normal 7 26" xfId="7212" xr:uid="{00000000-0005-0000-0000-00002B1C0000}"/>
    <cellStyle name="Normal 7 27" xfId="7213" xr:uid="{00000000-0005-0000-0000-00002C1C0000}"/>
    <cellStyle name="Normal 7 28" xfId="7214" xr:uid="{00000000-0005-0000-0000-00002D1C0000}"/>
    <cellStyle name="Normal 7 29" xfId="7215" xr:uid="{00000000-0005-0000-0000-00002E1C0000}"/>
    <cellStyle name="Normal 7 3" xfId="7216" xr:uid="{00000000-0005-0000-0000-00002F1C0000}"/>
    <cellStyle name="Normal 7 3 2" xfId="7217" xr:uid="{00000000-0005-0000-0000-0000301C0000}"/>
    <cellStyle name="Normal 7 3 3" xfId="7218" xr:uid="{00000000-0005-0000-0000-0000311C0000}"/>
    <cellStyle name="Normal 7 3 4" xfId="7219" xr:uid="{00000000-0005-0000-0000-0000321C0000}"/>
    <cellStyle name="Normal 7 30" xfId="7220" xr:uid="{00000000-0005-0000-0000-0000331C0000}"/>
    <cellStyle name="Normal 7 31" xfId="7221" xr:uid="{00000000-0005-0000-0000-0000341C0000}"/>
    <cellStyle name="Normal 7 32" xfId="7222" xr:uid="{00000000-0005-0000-0000-0000351C0000}"/>
    <cellStyle name="Normal 7 33" xfId="7223" xr:uid="{00000000-0005-0000-0000-0000361C0000}"/>
    <cellStyle name="Normal 7 34" xfId="7224" xr:uid="{00000000-0005-0000-0000-0000371C0000}"/>
    <cellStyle name="Normal 7 35" xfId="7225" xr:uid="{00000000-0005-0000-0000-0000381C0000}"/>
    <cellStyle name="Normal 7 36" xfId="7226" xr:uid="{00000000-0005-0000-0000-0000391C0000}"/>
    <cellStyle name="Normal 7 37" xfId="7227" xr:uid="{00000000-0005-0000-0000-00003A1C0000}"/>
    <cellStyle name="Normal 7 38" xfId="7228" xr:uid="{00000000-0005-0000-0000-00003B1C0000}"/>
    <cellStyle name="Normal 7 39" xfId="7229" xr:uid="{00000000-0005-0000-0000-00003C1C0000}"/>
    <cellStyle name="Normal 7 4" xfId="7230" xr:uid="{00000000-0005-0000-0000-00003D1C0000}"/>
    <cellStyle name="Normal 7 4 2" xfId="7231" xr:uid="{00000000-0005-0000-0000-00003E1C0000}"/>
    <cellStyle name="Normal 7 4 2 2" xfId="7232" xr:uid="{00000000-0005-0000-0000-00003F1C0000}"/>
    <cellStyle name="Normal 7 4 3" xfId="7233" xr:uid="{00000000-0005-0000-0000-0000401C0000}"/>
    <cellStyle name="Normal 7 40" xfId="7234" xr:uid="{00000000-0005-0000-0000-0000411C0000}"/>
    <cellStyle name="Normal 7 41" xfId="7235" xr:uid="{00000000-0005-0000-0000-0000421C0000}"/>
    <cellStyle name="Normal 7 42" xfId="7236" xr:uid="{00000000-0005-0000-0000-0000431C0000}"/>
    <cellStyle name="Normal 7 43" xfId="7237" xr:uid="{00000000-0005-0000-0000-0000441C0000}"/>
    <cellStyle name="Normal 7 44" xfId="7238" xr:uid="{00000000-0005-0000-0000-0000451C0000}"/>
    <cellStyle name="Normal 7 45" xfId="7239" xr:uid="{00000000-0005-0000-0000-0000461C0000}"/>
    <cellStyle name="Normal 7 46" xfId="7240" xr:uid="{00000000-0005-0000-0000-0000471C0000}"/>
    <cellStyle name="Normal 7 47" xfId="7241" xr:uid="{00000000-0005-0000-0000-0000481C0000}"/>
    <cellStyle name="Normal 7 48" xfId="7242" xr:uid="{00000000-0005-0000-0000-0000491C0000}"/>
    <cellStyle name="Normal 7 49" xfId="7243" xr:uid="{00000000-0005-0000-0000-00004A1C0000}"/>
    <cellStyle name="Normal 7 5" xfId="7244" xr:uid="{00000000-0005-0000-0000-00004B1C0000}"/>
    <cellStyle name="Normal 7 5 2" xfId="7245" xr:uid="{00000000-0005-0000-0000-00004C1C0000}"/>
    <cellStyle name="Normal 7 5 2 2" xfId="7246" xr:uid="{00000000-0005-0000-0000-00004D1C0000}"/>
    <cellStyle name="Normal 7 5 3" xfId="7247" xr:uid="{00000000-0005-0000-0000-00004E1C0000}"/>
    <cellStyle name="Normal 7 50" xfId="7248" xr:uid="{00000000-0005-0000-0000-00004F1C0000}"/>
    <cellStyle name="Normal 7 51" xfId="7249" xr:uid="{00000000-0005-0000-0000-0000501C0000}"/>
    <cellStyle name="Normal 7 52" xfId="7250" xr:uid="{00000000-0005-0000-0000-0000511C0000}"/>
    <cellStyle name="Normal 7 53" xfId="7251" xr:uid="{00000000-0005-0000-0000-0000521C0000}"/>
    <cellStyle name="Normal 7 54" xfId="7252" xr:uid="{00000000-0005-0000-0000-0000531C0000}"/>
    <cellStyle name="Normal 7 55" xfId="7253" xr:uid="{00000000-0005-0000-0000-0000541C0000}"/>
    <cellStyle name="Normal 7 56" xfId="7254" xr:uid="{00000000-0005-0000-0000-0000551C0000}"/>
    <cellStyle name="Normal 7 57" xfId="7255" xr:uid="{00000000-0005-0000-0000-0000561C0000}"/>
    <cellStyle name="Normal 7 58" xfId="7256" xr:uid="{00000000-0005-0000-0000-0000571C0000}"/>
    <cellStyle name="Normal 7 59" xfId="7257" xr:uid="{00000000-0005-0000-0000-0000581C0000}"/>
    <cellStyle name="Normal 7 6" xfId="7258" xr:uid="{00000000-0005-0000-0000-0000591C0000}"/>
    <cellStyle name="Normal 7 6 2" xfId="7259" xr:uid="{00000000-0005-0000-0000-00005A1C0000}"/>
    <cellStyle name="Normal 7 6 2 2" xfId="7260" xr:uid="{00000000-0005-0000-0000-00005B1C0000}"/>
    <cellStyle name="Normal 7 6 3" xfId="7261" xr:uid="{00000000-0005-0000-0000-00005C1C0000}"/>
    <cellStyle name="Normal 7 60" xfId="7262" xr:uid="{00000000-0005-0000-0000-00005D1C0000}"/>
    <cellStyle name="Normal 7 61" xfId="7263" xr:uid="{00000000-0005-0000-0000-00005E1C0000}"/>
    <cellStyle name="Normal 7 62" xfId="7264" xr:uid="{00000000-0005-0000-0000-00005F1C0000}"/>
    <cellStyle name="Normal 7 63" xfId="7265" xr:uid="{00000000-0005-0000-0000-0000601C0000}"/>
    <cellStyle name="Normal 7 64" xfId="7266" xr:uid="{00000000-0005-0000-0000-0000611C0000}"/>
    <cellStyle name="Normal 7 65" xfId="7267" xr:uid="{00000000-0005-0000-0000-0000621C0000}"/>
    <cellStyle name="Normal 7 66" xfId="7268" xr:uid="{00000000-0005-0000-0000-0000631C0000}"/>
    <cellStyle name="Normal 7 67" xfId="7269" xr:uid="{00000000-0005-0000-0000-0000641C0000}"/>
    <cellStyle name="Normal 7 68" xfId="7270" xr:uid="{00000000-0005-0000-0000-0000651C0000}"/>
    <cellStyle name="Normal 7 69" xfId="7271" xr:uid="{00000000-0005-0000-0000-0000661C0000}"/>
    <cellStyle name="Normal 7 7" xfId="7272" xr:uid="{00000000-0005-0000-0000-0000671C0000}"/>
    <cellStyle name="Normal 7 7 2" xfId="7273" xr:uid="{00000000-0005-0000-0000-0000681C0000}"/>
    <cellStyle name="Normal 7 7 2 2" xfId="7274" xr:uid="{00000000-0005-0000-0000-0000691C0000}"/>
    <cellStyle name="Normal 7 7 3" xfId="7275" xr:uid="{00000000-0005-0000-0000-00006A1C0000}"/>
    <cellStyle name="Normal 7 70" xfId="7276" xr:uid="{00000000-0005-0000-0000-00006B1C0000}"/>
    <cellStyle name="Normal 7 71" xfId="7277" xr:uid="{00000000-0005-0000-0000-00006C1C0000}"/>
    <cellStyle name="Normal 7 72" xfId="7278" xr:uid="{00000000-0005-0000-0000-00006D1C0000}"/>
    <cellStyle name="Normal 7 73" xfId="7279" xr:uid="{00000000-0005-0000-0000-00006E1C0000}"/>
    <cellStyle name="Normal 7 74" xfId="7280" xr:uid="{00000000-0005-0000-0000-00006F1C0000}"/>
    <cellStyle name="Normal 7 75" xfId="7281" xr:uid="{00000000-0005-0000-0000-0000701C0000}"/>
    <cellStyle name="Normal 7 76" xfId="7282" xr:uid="{00000000-0005-0000-0000-0000711C0000}"/>
    <cellStyle name="Normal 7 77" xfId="7283" xr:uid="{00000000-0005-0000-0000-0000721C0000}"/>
    <cellStyle name="Normal 7 78" xfId="7284" xr:uid="{00000000-0005-0000-0000-0000731C0000}"/>
    <cellStyle name="Normal 7 79" xfId="7285" xr:uid="{00000000-0005-0000-0000-0000741C0000}"/>
    <cellStyle name="Normal 7 8" xfId="7286" xr:uid="{00000000-0005-0000-0000-0000751C0000}"/>
    <cellStyle name="Normal 7 8 2" xfId="7287" xr:uid="{00000000-0005-0000-0000-0000761C0000}"/>
    <cellStyle name="Normal 7 8 2 2" xfId="7288" xr:uid="{00000000-0005-0000-0000-0000771C0000}"/>
    <cellStyle name="Normal 7 8 3" xfId="7289" xr:uid="{00000000-0005-0000-0000-0000781C0000}"/>
    <cellStyle name="Normal 7 80" xfId="7290" xr:uid="{00000000-0005-0000-0000-0000791C0000}"/>
    <cellStyle name="Normal 7 81" xfId="7291" xr:uid="{00000000-0005-0000-0000-00007A1C0000}"/>
    <cellStyle name="Normal 7 82" xfId="7292" xr:uid="{00000000-0005-0000-0000-00007B1C0000}"/>
    <cellStyle name="Normal 7 83" xfId="7293" xr:uid="{00000000-0005-0000-0000-00007C1C0000}"/>
    <cellStyle name="Normal 7 84" xfId="7294" xr:uid="{00000000-0005-0000-0000-00007D1C0000}"/>
    <cellStyle name="Normal 7 85" xfId="7295" xr:uid="{00000000-0005-0000-0000-00007E1C0000}"/>
    <cellStyle name="Normal 7 86" xfId="7296" xr:uid="{00000000-0005-0000-0000-00007F1C0000}"/>
    <cellStyle name="Normal 7 87" xfId="7297" xr:uid="{00000000-0005-0000-0000-0000801C0000}"/>
    <cellStyle name="Normal 7 88" xfId="7298" xr:uid="{00000000-0005-0000-0000-0000811C0000}"/>
    <cellStyle name="Normal 7 89" xfId="7299" xr:uid="{00000000-0005-0000-0000-0000821C0000}"/>
    <cellStyle name="Normal 7 9" xfId="7300" xr:uid="{00000000-0005-0000-0000-0000831C0000}"/>
    <cellStyle name="Normal 7 9 2" xfId="7301" xr:uid="{00000000-0005-0000-0000-0000841C0000}"/>
    <cellStyle name="Normal 7 9 3" xfId="7302" xr:uid="{00000000-0005-0000-0000-0000851C0000}"/>
    <cellStyle name="Normal 7 9 4" xfId="7303" xr:uid="{00000000-0005-0000-0000-0000861C0000}"/>
    <cellStyle name="Normal 7 90" xfId="7304" xr:uid="{00000000-0005-0000-0000-0000871C0000}"/>
    <cellStyle name="Normal 7 91" xfId="7305" xr:uid="{00000000-0005-0000-0000-0000881C0000}"/>
    <cellStyle name="Normal 7 92" xfId="7306" xr:uid="{00000000-0005-0000-0000-0000891C0000}"/>
    <cellStyle name="Normal 7 93" xfId="7307" xr:uid="{00000000-0005-0000-0000-00008A1C0000}"/>
    <cellStyle name="Normal 70" xfId="7308" xr:uid="{00000000-0005-0000-0000-00008B1C0000}"/>
    <cellStyle name="Normal 71" xfId="7309" xr:uid="{00000000-0005-0000-0000-00008C1C0000}"/>
    <cellStyle name="Normal 72" xfId="7310" xr:uid="{00000000-0005-0000-0000-00008D1C0000}"/>
    <cellStyle name="Normal 73" xfId="7311" xr:uid="{00000000-0005-0000-0000-00008E1C0000}"/>
    <cellStyle name="Normal 74" xfId="7312" xr:uid="{00000000-0005-0000-0000-00008F1C0000}"/>
    <cellStyle name="Normal 75" xfId="7313" xr:uid="{00000000-0005-0000-0000-0000901C0000}"/>
    <cellStyle name="Normal 76" xfId="7314" xr:uid="{00000000-0005-0000-0000-0000911C0000}"/>
    <cellStyle name="Normal 77" xfId="7315" xr:uid="{00000000-0005-0000-0000-0000921C0000}"/>
    <cellStyle name="Normal 78" xfId="7316" xr:uid="{00000000-0005-0000-0000-0000931C0000}"/>
    <cellStyle name="Normal 79" xfId="7317" xr:uid="{00000000-0005-0000-0000-0000941C0000}"/>
    <cellStyle name="Normal 8" xfId="7318" xr:uid="{00000000-0005-0000-0000-0000951C0000}"/>
    <cellStyle name="Normal 8 10" xfId="7319" xr:uid="{00000000-0005-0000-0000-0000961C0000}"/>
    <cellStyle name="Normal 8 11" xfId="7320" xr:uid="{00000000-0005-0000-0000-0000971C0000}"/>
    <cellStyle name="Normal 8 12" xfId="7321" xr:uid="{00000000-0005-0000-0000-0000981C0000}"/>
    <cellStyle name="Normal 8 13" xfId="7322" xr:uid="{00000000-0005-0000-0000-0000991C0000}"/>
    <cellStyle name="Normal 8 14" xfId="7323" xr:uid="{00000000-0005-0000-0000-00009A1C0000}"/>
    <cellStyle name="Normal 8 15" xfId="7324" xr:uid="{00000000-0005-0000-0000-00009B1C0000}"/>
    <cellStyle name="Normal 8 16" xfId="7325" xr:uid="{00000000-0005-0000-0000-00009C1C0000}"/>
    <cellStyle name="Normal 8 17" xfId="7326" xr:uid="{00000000-0005-0000-0000-00009D1C0000}"/>
    <cellStyle name="Normal 8 18" xfId="7327" xr:uid="{00000000-0005-0000-0000-00009E1C0000}"/>
    <cellStyle name="Normal 8 19" xfId="7328" xr:uid="{00000000-0005-0000-0000-00009F1C0000}"/>
    <cellStyle name="Normal 8 2" xfId="7329" xr:uid="{00000000-0005-0000-0000-0000A01C0000}"/>
    <cellStyle name="Normal 8 2 2" xfId="7330" xr:uid="{00000000-0005-0000-0000-0000A11C0000}"/>
    <cellStyle name="Normal 8 2 2 2" xfId="7331" xr:uid="{00000000-0005-0000-0000-0000A21C0000}"/>
    <cellStyle name="Normal 8 2 2 2 2" xfId="7332" xr:uid="{00000000-0005-0000-0000-0000A31C0000}"/>
    <cellStyle name="Normal 8 2 2 2 2 2" xfId="7333" xr:uid="{00000000-0005-0000-0000-0000A41C0000}"/>
    <cellStyle name="Normal 8 2 2 2 3" xfId="7334" xr:uid="{00000000-0005-0000-0000-0000A51C0000}"/>
    <cellStyle name="Normal 8 2 2 3" xfId="7335" xr:uid="{00000000-0005-0000-0000-0000A61C0000}"/>
    <cellStyle name="Normal 8 2 2 3 2" xfId="7336" xr:uid="{00000000-0005-0000-0000-0000A71C0000}"/>
    <cellStyle name="Normal 8 2 2 3 2 2" xfId="7337" xr:uid="{00000000-0005-0000-0000-0000A81C0000}"/>
    <cellStyle name="Normal 8 2 2 3 3" xfId="7338" xr:uid="{00000000-0005-0000-0000-0000A91C0000}"/>
    <cellStyle name="Normal 8 2 2 4" xfId="7339" xr:uid="{00000000-0005-0000-0000-0000AA1C0000}"/>
    <cellStyle name="Normal 8 2 2 4 2" xfId="7340" xr:uid="{00000000-0005-0000-0000-0000AB1C0000}"/>
    <cellStyle name="Normal 8 2 2 4 2 2" xfId="7341" xr:uid="{00000000-0005-0000-0000-0000AC1C0000}"/>
    <cellStyle name="Normal 8 2 2 4 3" xfId="7342" xr:uid="{00000000-0005-0000-0000-0000AD1C0000}"/>
    <cellStyle name="Normal 8 2 2 5" xfId="7343" xr:uid="{00000000-0005-0000-0000-0000AE1C0000}"/>
    <cellStyle name="Normal 8 2 2 5 2" xfId="7344" xr:uid="{00000000-0005-0000-0000-0000AF1C0000}"/>
    <cellStyle name="Normal 8 2 2 5 2 2" xfId="7345" xr:uid="{00000000-0005-0000-0000-0000B01C0000}"/>
    <cellStyle name="Normal 8 2 2 5 3" xfId="7346" xr:uid="{00000000-0005-0000-0000-0000B11C0000}"/>
    <cellStyle name="Normal 8 2 2 6" xfId="7347" xr:uid="{00000000-0005-0000-0000-0000B21C0000}"/>
    <cellStyle name="Normal 8 2 2 6 2" xfId="7348" xr:uid="{00000000-0005-0000-0000-0000B31C0000}"/>
    <cellStyle name="Normal 8 2 2 7" xfId="7349" xr:uid="{00000000-0005-0000-0000-0000B41C0000}"/>
    <cellStyle name="Normal 8 2 3" xfId="7350" xr:uid="{00000000-0005-0000-0000-0000B51C0000}"/>
    <cellStyle name="Normal 8 2 3 2" xfId="7351" xr:uid="{00000000-0005-0000-0000-0000B61C0000}"/>
    <cellStyle name="Normal 8 2 3 2 2" xfId="7352" xr:uid="{00000000-0005-0000-0000-0000B71C0000}"/>
    <cellStyle name="Normal 8 2 3 3" xfId="7353" xr:uid="{00000000-0005-0000-0000-0000B81C0000}"/>
    <cellStyle name="Normal 8 2 4" xfId="7354" xr:uid="{00000000-0005-0000-0000-0000B91C0000}"/>
    <cellStyle name="Normal 8 2 4 2" xfId="7355" xr:uid="{00000000-0005-0000-0000-0000BA1C0000}"/>
    <cellStyle name="Normal 8 2 4 2 2" xfId="7356" xr:uid="{00000000-0005-0000-0000-0000BB1C0000}"/>
    <cellStyle name="Normal 8 2 4 3" xfId="7357" xr:uid="{00000000-0005-0000-0000-0000BC1C0000}"/>
    <cellStyle name="Normal 8 2 5" xfId="7358" xr:uid="{00000000-0005-0000-0000-0000BD1C0000}"/>
    <cellStyle name="Normal 8 2 5 2" xfId="7359" xr:uid="{00000000-0005-0000-0000-0000BE1C0000}"/>
    <cellStyle name="Normal 8 2 5 2 2" xfId="7360" xr:uid="{00000000-0005-0000-0000-0000BF1C0000}"/>
    <cellStyle name="Normal 8 2 5 3" xfId="7361" xr:uid="{00000000-0005-0000-0000-0000C01C0000}"/>
    <cellStyle name="Normal 8 2 6" xfId="7362" xr:uid="{00000000-0005-0000-0000-0000C11C0000}"/>
    <cellStyle name="Normal 8 2 6 2" xfId="7363" xr:uid="{00000000-0005-0000-0000-0000C21C0000}"/>
    <cellStyle name="Normal 8 2 7" xfId="7364" xr:uid="{00000000-0005-0000-0000-0000C31C0000}"/>
    <cellStyle name="Normal 8 20" xfId="7365" xr:uid="{00000000-0005-0000-0000-0000C41C0000}"/>
    <cellStyle name="Normal 8 21" xfId="7366" xr:uid="{00000000-0005-0000-0000-0000C51C0000}"/>
    <cellStyle name="Normal 8 22" xfId="7367" xr:uid="{00000000-0005-0000-0000-0000C61C0000}"/>
    <cellStyle name="Normal 8 23" xfId="7368" xr:uid="{00000000-0005-0000-0000-0000C71C0000}"/>
    <cellStyle name="Normal 8 24" xfId="7369" xr:uid="{00000000-0005-0000-0000-0000C81C0000}"/>
    <cellStyle name="Normal 8 25" xfId="7370" xr:uid="{00000000-0005-0000-0000-0000C91C0000}"/>
    <cellStyle name="Normal 8 26" xfId="7371" xr:uid="{00000000-0005-0000-0000-0000CA1C0000}"/>
    <cellStyle name="Normal 8 27" xfId="7372" xr:uid="{00000000-0005-0000-0000-0000CB1C0000}"/>
    <cellStyle name="Normal 8 28" xfId="7373" xr:uid="{00000000-0005-0000-0000-0000CC1C0000}"/>
    <cellStyle name="Normal 8 29" xfId="7374" xr:uid="{00000000-0005-0000-0000-0000CD1C0000}"/>
    <cellStyle name="Normal 8 3" xfId="7375" xr:uid="{00000000-0005-0000-0000-0000CE1C0000}"/>
    <cellStyle name="Normal 8 3 2" xfId="7376" xr:uid="{00000000-0005-0000-0000-0000CF1C0000}"/>
    <cellStyle name="Normal 8 3 2 2" xfId="7377" xr:uid="{00000000-0005-0000-0000-0000D01C0000}"/>
    <cellStyle name="Normal 8 3 3" xfId="7378" xr:uid="{00000000-0005-0000-0000-0000D11C0000}"/>
    <cellStyle name="Normal 8 30" xfId="7379" xr:uid="{00000000-0005-0000-0000-0000D21C0000}"/>
    <cellStyle name="Normal 8 31" xfId="7380" xr:uid="{00000000-0005-0000-0000-0000D31C0000}"/>
    <cellStyle name="Normal 8 32" xfId="7381" xr:uid="{00000000-0005-0000-0000-0000D41C0000}"/>
    <cellStyle name="Normal 8 33" xfId="7382" xr:uid="{00000000-0005-0000-0000-0000D51C0000}"/>
    <cellStyle name="Normal 8 34" xfId="7383" xr:uid="{00000000-0005-0000-0000-0000D61C0000}"/>
    <cellStyle name="Normal 8 35" xfId="7384" xr:uid="{00000000-0005-0000-0000-0000D71C0000}"/>
    <cellStyle name="Normal 8 36" xfId="7385" xr:uid="{00000000-0005-0000-0000-0000D81C0000}"/>
    <cellStyle name="Normal 8 37" xfId="7386" xr:uid="{00000000-0005-0000-0000-0000D91C0000}"/>
    <cellStyle name="Normal 8 38" xfId="7387" xr:uid="{00000000-0005-0000-0000-0000DA1C0000}"/>
    <cellStyle name="Normal 8 39" xfId="7388" xr:uid="{00000000-0005-0000-0000-0000DB1C0000}"/>
    <cellStyle name="Normal 8 39 2" xfId="7389" xr:uid="{00000000-0005-0000-0000-0000DC1C0000}"/>
    <cellStyle name="Normal 8 4" xfId="7390" xr:uid="{00000000-0005-0000-0000-0000DD1C0000}"/>
    <cellStyle name="Normal 8 4 2" xfId="7391" xr:uid="{00000000-0005-0000-0000-0000DE1C0000}"/>
    <cellStyle name="Normal 8 4 2 2" xfId="7392" xr:uid="{00000000-0005-0000-0000-0000DF1C0000}"/>
    <cellStyle name="Normal 8 4 3" xfId="7393" xr:uid="{00000000-0005-0000-0000-0000E01C0000}"/>
    <cellStyle name="Normal 8 40" xfId="7394" xr:uid="{00000000-0005-0000-0000-0000E11C0000}"/>
    <cellStyle name="Normal 8 40 2" xfId="7395" xr:uid="{00000000-0005-0000-0000-0000E21C0000}"/>
    <cellStyle name="Normal 8 41" xfId="7396" xr:uid="{00000000-0005-0000-0000-0000E31C0000}"/>
    <cellStyle name="Normal 8 42" xfId="7397" xr:uid="{00000000-0005-0000-0000-0000E41C0000}"/>
    <cellStyle name="Normal 8 43" xfId="7398" xr:uid="{00000000-0005-0000-0000-0000E51C0000}"/>
    <cellStyle name="Normal 8 44" xfId="7399" xr:uid="{00000000-0005-0000-0000-0000E61C0000}"/>
    <cellStyle name="Normal 8 45" xfId="7400" xr:uid="{00000000-0005-0000-0000-0000E71C0000}"/>
    <cellStyle name="Normal 8 46" xfId="7401" xr:uid="{00000000-0005-0000-0000-0000E81C0000}"/>
    <cellStyle name="Normal 8 47" xfId="7402" xr:uid="{00000000-0005-0000-0000-0000E91C0000}"/>
    <cellStyle name="Normal 8 48" xfId="7403" xr:uid="{00000000-0005-0000-0000-0000EA1C0000}"/>
    <cellStyle name="Normal 8 49" xfId="7404" xr:uid="{00000000-0005-0000-0000-0000EB1C0000}"/>
    <cellStyle name="Normal 8 5" xfId="7405" xr:uid="{00000000-0005-0000-0000-0000EC1C0000}"/>
    <cellStyle name="Normal 8 5 2" xfId="7406" xr:uid="{00000000-0005-0000-0000-0000ED1C0000}"/>
    <cellStyle name="Normal 8 5 2 2" xfId="7407" xr:uid="{00000000-0005-0000-0000-0000EE1C0000}"/>
    <cellStyle name="Normal 8 5 3" xfId="7408" xr:uid="{00000000-0005-0000-0000-0000EF1C0000}"/>
    <cellStyle name="Normal 8 50" xfId="7409" xr:uid="{00000000-0005-0000-0000-0000F01C0000}"/>
    <cellStyle name="Normal 8 51" xfId="7410" xr:uid="{00000000-0005-0000-0000-0000F11C0000}"/>
    <cellStyle name="Normal 8 52" xfId="7411" xr:uid="{00000000-0005-0000-0000-0000F21C0000}"/>
    <cellStyle name="Normal 8 53" xfId="7412" xr:uid="{00000000-0005-0000-0000-0000F31C0000}"/>
    <cellStyle name="Normal 8 54" xfId="7413" xr:uid="{00000000-0005-0000-0000-0000F41C0000}"/>
    <cellStyle name="Normal 8 55" xfId="7414" xr:uid="{00000000-0005-0000-0000-0000F51C0000}"/>
    <cellStyle name="Normal 8 56" xfId="7415" xr:uid="{00000000-0005-0000-0000-0000F61C0000}"/>
    <cellStyle name="Normal 8 57" xfId="7416" xr:uid="{00000000-0005-0000-0000-0000F71C0000}"/>
    <cellStyle name="Normal 8 58" xfId="7417" xr:uid="{00000000-0005-0000-0000-0000F81C0000}"/>
    <cellStyle name="Normal 8 59" xfId="7418" xr:uid="{00000000-0005-0000-0000-0000F91C0000}"/>
    <cellStyle name="Normal 8 6" xfId="7419" xr:uid="{00000000-0005-0000-0000-0000FA1C0000}"/>
    <cellStyle name="Normal 8 6 2" xfId="7420" xr:uid="{00000000-0005-0000-0000-0000FB1C0000}"/>
    <cellStyle name="Normal 8 6 2 2" xfId="7421" xr:uid="{00000000-0005-0000-0000-0000FC1C0000}"/>
    <cellStyle name="Normal 8 6 3" xfId="7422" xr:uid="{00000000-0005-0000-0000-0000FD1C0000}"/>
    <cellStyle name="Normal 8 60" xfId="7423" xr:uid="{00000000-0005-0000-0000-0000FE1C0000}"/>
    <cellStyle name="Normal 8 61" xfId="7424" xr:uid="{00000000-0005-0000-0000-0000FF1C0000}"/>
    <cellStyle name="Normal 8 62" xfId="7425" xr:uid="{00000000-0005-0000-0000-0000001D0000}"/>
    <cellStyle name="Normal 8 63" xfId="7426" xr:uid="{00000000-0005-0000-0000-0000011D0000}"/>
    <cellStyle name="Normal 8 64" xfId="7427" xr:uid="{00000000-0005-0000-0000-0000021D0000}"/>
    <cellStyle name="Normal 8 65" xfId="7428" xr:uid="{00000000-0005-0000-0000-0000031D0000}"/>
    <cellStyle name="Normal 8 66" xfId="7429" xr:uid="{00000000-0005-0000-0000-0000041D0000}"/>
    <cellStyle name="Normal 8 67" xfId="7430" xr:uid="{00000000-0005-0000-0000-0000051D0000}"/>
    <cellStyle name="Normal 8 68" xfId="7431" xr:uid="{00000000-0005-0000-0000-0000061D0000}"/>
    <cellStyle name="Normal 8 69" xfId="7432" xr:uid="{00000000-0005-0000-0000-0000071D0000}"/>
    <cellStyle name="Normal 8 7" xfId="7433" xr:uid="{00000000-0005-0000-0000-0000081D0000}"/>
    <cellStyle name="Normal 8 7 2" xfId="7434" xr:uid="{00000000-0005-0000-0000-0000091D0000}"/>
    <cellStyle name="Normal 8 70" xfId="7435" xr:uid="{00000000-0005-0000-0000-00000A1D0000}"/>
    <cellStyle name="Normal 8 71" xfId="7436" xr:uid="{00000000-0005-0000-0000-00000B1D0000}"/>
    <cellStyle name="Normal 8 72" xfId="7437" xr:uid="{00000000-0005-0000-0000-00000C1D0000}"/>
    <cellStyle name="Normal 8 73" xfId="7438" xr:uid="{00000000-0005-0000-0000-00000D1D0000}"/>
    <cellStyle name="Normal 8 74" xfId="7439" xr:uid="{00000000-0005-0000-0000-00000E1D0000}"/>
    <cellStyle name="Normal 8 75" xfId="7440" xr:uid="{00000000-0005-0000-0000-00000F1D0000}"/>
    <cellStyle name="Normal 8 76" xfId="7441" xr:uid="{00000000-0005-0000-0000-0000101D0000}"/>
    <cellStyle name="Normal 8 77" xfId="7442" xr:uid="{00000000-0005-0000-0000-0000111D0000}"/>
    <cellStyle name="Normal 8 78" xfId="7443" xr:uid="{00000000-0005-0000-0000-0000121D0000}"/>
    <cellStyle name="Normal 8 79" xfId="7444" xr:uid="{00000000-0005-0000-0000-0000131D0000}"/>
    <cellStyle name="Normal 8 8" xfId="7445" xr:uid="{00000000-0005-0000-0000-0000141D0000}"/>
    <cellStyle name="Normal 8 80" xfId="7446" xr:uid="{00000000-0005-0000-0000-0000151D0000}"/>
    <cellStyle name="Normal 8 81" xfId="7447" xr:uid="{00000000-0005-0000-0000-0000161D0000}"/>
    <cellStyle name="Normal 8 82" xfId="7448" xr:uid="{00000000-0005-0000-0000-0000171D0000}"/>
    <cellStyle name="Normal 8 83" xfId="7449" xr:uid="{00000000-0005-0000-0000-0000181D0000}"/>
    <cellStyle name="Normal 8 84" xfId="7450" xr:uid="{00000000-0005-0000-0000-0000191D0000}"/>
    <cellStyle name="Normal 8 85" xfId="7451" xr:uid="{00000000-0005-0000-0000-00001A1D0000}"/>
    <cellStyle name="Normal 8 86" xfId="7452" xr:uid="{00000000-0005-0000-0000-00001B1D0000}"/>
    <cellStyle name="Normal 8 87" xfId="7453" xr:uid="{00000000-0005-0000-0000-00001C1D0000}"/>
    <cellStyle name="Normal 8 88" xfId="7454" xr:uid="{00000000-0005-0000-0000-00001D1D0000}"/>
    <cellStyle name="Normal 8 89" xfId="7455" xr:uid="{00000000-0005-0000-0000-00001E1D0000}"/>
    <cellStyle name="Normal 8 9" xfId="7456" xr:uid="{00000000-0005-0000-0000-00001F1D0000}"/>
    <cellStyle name="Normal 8 90" xfId="7457" xr:uid="{00000000-0005-0000-0000-0000201D0000}"/>
    <cellStyle name="Normal 8 91" xfId="7458" xr:uid="{00000000-0005-0000-0000-0000211D0000}"/>
    <cellStyle name="Normal 8 92" xfId="7459" xr:uid="{00000000-0005-0000-0000-0000221D0000}"/>
    <cellStyle name="Normal 8 92 2" xfId="7460" xr:uid="{00000000-0005-0000-0000-0000231D0000}"/>
    <cellStyle name="Normal 8 93" xfId="7461" xr:uid="{00000000-0005-0000-0000-0000241D0000}"/>
    <cellStyle name="Normal 8 94" xfId="7462" xr:uid="{00000000-0005-0000-0000-0000251D0000}"/>
    <cellStyle name="Normal 80" xfId="7463" xr:uid="{00000000-0005-0000-0000-0000261D0000}"/>
    <cellStyle name="Normal 81" xfId="7464" xr:uid="{00000000-0005-0000-0000-0000271D0000}"/>
    <cellStyle name="Normal 82" xfId="7465" xr:uid="{00000000-0005-0000-0000-0000281D0000}"/>
    <cellStyle name="Normal 83" xfId="7466" xr:uid="{00000000-0005-0000-0000-0000291D0000}"/>
    <cellStyle name="Normal 84" xfId="7467" xr:uid="{00000000-0005-0000-0000-00002A1D0000}"/>
    <cellStyle name="Normal 85" xfId="7468" xr:uid="{00000000-0005-0000-0000-00002B1D0000}"/>
    <cellStyle name="Normal 86" xfId="7469" xr:uid="{00000000-0005-0000-0000-00002C1D0000}"/>
    <cellStyle name="Normal 87" xfId="7470" xr:uid="{00000000-0005-0000-0000-00002D1D0000}"/>
    <cellStyle name="Normal 88" xfId="7471" xr:uid="{00000000-0005-0000-0000-00002E1D0000}"/>
    <cellStyle name="Normal 89" xfId="7472" xr:uid="{00000000-0005-0000-0000-00002F1D0000}"/>
    <cellStyle name="Normal 89 2" xfId="7473" xr:uid="{00000000-0005-0000-0000-0000301D0000}"/>
    <cellStyle name="Normal 9" xfId="7474" xr:uid="{00000000-0005-0000-0000-0000311D0000}"/>
    <cellStyle name="Normal 9 10" xfId="7475" xr:uid="{00000000-0005-0000-0000-0000321D0000}"/>
    <cellStyle name="Normal 9 11" xfId="7476" xr:uid="{00000000-0005-0000-0000-0000331D0000}"/>
    <cellStyle name="Normal 9 12" xfId="7477" xr:uid="{00000000-0005-0000-0000-0000341D0000}"/>
    <cellStyle name="Normal 9 13" xfId="7478" xr:uid="{00000000-0005-0000-0000-0000351D0000}"/>
    <cellStyle name="Normal 9 14" xfId="7479" xr:uid="{00000000-0005-0000-0000-0000361D0000}"/>
    <cellStyle name="Normal 9 15" xfId="7480" xr:uid="{00000000-0005-0000-0000-0000371D0000}"/>
    <cellStyle name="Normal 9 16" xfId="7481" xr:uid="{00000000-0005-0000-0000-0000381D0000}"/>
    <cellStyle name="Normal 9 17" xfId="7482" xr:uid="{00000000-0005-0000-0000-0000391D0000}"/>
    <cellStyle name="Normal 9 18" xfId="7483" xr:uid="{00000000-0005-0000-0000-00003A1D0000}"/>
    <cellStyle name="Normal 9 19" xfId="7484" xr:uid="{00000000-0005-0000-0000-00003B1D0000}"/>
    <cellStyle name="Normal 9 2" xfId="7485" xr:uid="{00000000-0005-0000-0000-00003C1D0000}"/>
    <cellStyle name="Normal 9 2 2" xfId="7486" xr:uid="{00000000-0005-0000-0000-00003D1D0000}"/>
    <cellStyle name="Normal 9 20" xfId="7487" xr:uid="{00000000-0005-0000-0000-00003E1D0000}"/>
    <cellStyle name="Normal 9 21" xfId="7488" xr:uid="{00000000-0005-0000-0000-00003F1D0000}"/>
    <cellStyle name="Normal 9 22" xfId="7489" xr:uid="{00000000-0005-0000-0000-0000401D0000}"/>
    <cellStyle name="Normal 9 23" xfId="7490" xr:uid="{00000000-0005-0000-0000-0000411D0000}"/>
    <cellStyle name="Normal 9 24" xfId="7491" xr:uid="{00000000-0005-0000-0000-0000421D0000}"/>
    <cellStyle name="Normal 9 25" xfId="7492" xr:uid="{00000000-0005-0000-0000-0000431D0000}"/>
    <cellStyle name="Normal 9 26" xfId="7493" xr:uid="{00000000-0005-0000-0000-0000441D0000}"/>
    <cellStyle name="Normal 9 27" xfId="7494" xr:uid="{00000000-0005-0000-0000-0000451D0000}"/>
    <cellStyle name="Normal 9 28" xfId="7495" xr:uid="{00000000-0005-0000-0000-0000461D0000}"/>
    <cellStyle name="Normal 9 29" xfId="7496" xr:uid="{00000000-0005-0000-0000-0000471D0000}"/>
    <cellStyle name="Normal 9 3" xfId="7497" xr:uid="{00000000-0005-0000-0000-0000481D0000}"/>
    <cellStyle name="Normal 9 30" xfId="7498" xr:uid="{00000000-0005-0000-0000-0000491D0000}"/>
    <cellStyle name="Normal 9 31" xfId="7499" xr:uid="{00000000-0005-0000-0000-00004A1D0000}"/>
    <cellStyle name="Normal 9 32" xfId="7500" xr:uid="{00000000-0005-0000-0000-00004B1D0000}"/>
    <cellStyle name="Normal 9 33" xfId="7501" xr:uid="{00000000-0005-0000-0000-00004C1D0000}"/>
    <cellStyle name="Normal 9 34" xfId="7502" xr:uid="{00000000-0005-0000-0000-00004D1D0000}"/>
    <cellStyle name="Normal 9 35" xfId="7503" xr:uid="{00000000-0005-0000-0000-00004E1D0000}"/>
    <cellStyle name="Normal 9 36" xfId="7504" xr:uid="{00000000-0005-0000-0000-00004F1D0000}"/>
    <cellStyle name="Normal 9 37" xfId="7505" xr:uid="{00000000-0005-0000-0000-0000501D0000}"/>
    <cellStyle name="Normal 9 38" xfId="7506" xr:uid="{00000000-0005-0000-0000-0000511D0000}"/>
    <cellStyle name="Normal 9 39" xfId="7507" xr:uid="{00000000-0005-0000-0000-0000521D0000}"/>
    <cellStyle name="Normal 9 4" xfId="7508" xr:uid="{00000000-0005-0000-0000-0000531D0000}"/>
    <cellStyle name="Normal 9 40" xfId="7509" xr:uid="{00000000-0005-0000-0000-0000541D0000}"/>
    <cellStyle name="Normal 9 41" xfId="7510" xr:uid="{00000000-0005-0000-0000-0000551D0000}"/>
    <cellStyle name="Normal 9 42" xfId="7511" xr:uid="{00000000-0005-0000-0000-0000561D0000}"/>
    <cellStyle name="Normal 9 43" xfId="7512" xr:uid="{00000000-0005-0000-0000-0000571D0000}"/>
    <cellStyle name="Normal 9 44" xfId="7513" xr:uid="{00000000-0005-0000-0000-0000581D0000}"/>
    <cellStyle name="Normal 9 45" xfId="7514" xr:uid="{00000000-0005-0000-0000-0000591D0000}"/>
    <cellStyle name="Normal 9 46" xfId="7515" xr:uid="{00000000-0005-0000-0000-00005A1D0000}"/>
    <cellStyle name="Normal 9 47" xfId="7516" xr:uid="{00000000-0005-0000-0000-00005B1D0000}"/>
    <cellStyle name="Normal 9 48" xfId="7517" xr:uid="{00000000-0005-0000-0000-00005C1D0000}"/>
    <cellStyle name="Normal 9 49" xfId="7518" xr:uid="{00000000-0005-0000-0000-00005D1D0000}"/>
    <cellStyle name="Normal 9 5" xfId="7519" xr:uid="{00000000-0005-0000-0000-00005E1D0000}"/>
    <cellStyle name="Normal 9 50" xfId="7520" xr:uid="{00000000-0005-0000-0000-00005F1D0000}"/>
    <cellStyle name="Normal 9 51" xfId="7521" xr:uid="{00000000-0005-0000-0000-0000601D0000}"/>
    <cellStyle name="Normal 9 52" xfId="7522" xr:uid="{00000000-0005-0000-0000-0000611D0000}"/>
    <cellStyle name="Normal 9 53" xfId="7523" xr:uid="{00000000-0005-0000-0000-0000621D0000}"/>
    <cellStyle name="Normal 9 54" xfId="7524" xr:uid="{00000000-0005-0000-0000-0000631D0000}"/>
    <cellStyle name="Normal 9 55" xfId="7525" xr:uid="{00000000-0005-0000-0000-0000641D0000}"/>
    <cellStyle name="Normal 9 56" xfId="7526" xr:uid="{00000000-0005-0000-0000-0000651D0000}"/>
    <cellStyle name="Normal 9 57" xfId="7527" xr:uid="{00000000-0005-0000-0000-0000661D0000}"/>
    <cellStyle name="Normal 9 58" xfId="7528" xr:uid="{00000000-0005-0000-0000-0000671D0000}"/>
    <cellStyle name="Normal 9 59" xfId="7529" xr:uid="{00000000-0005-0000-0000-0000681D0000}"/>
    <cellStyle name="Normal 9 6" xfId="7530" xr:uid="{00000000-0005-0000-0000-0000691D0000}"/>
    <cellStyle name="Normal 9 60" xfId="7531" xr:uid="{00000000-0005-0000-0000-00006A1D0000}"/>
    <cellStyle name="Normal 9 61" xfId="7532" xr:uid="{00000000-0005-0000-0000-00006B1D0000}"/>
    <cellStyle name="Normal 9 62" xfId="7533" xr:uid="{00000000-0005-0000-0000-00006C1D0000}"/>
    <cellStyle name="Normal 9 63" xfId="7534" xr:uid="{00000000-0005-0000-0000-00006D1D0000}"/>
    <cellStyle name="Normal 9 64" xfId="7535" xr:uid="{00000000-0005-0000-0000-00006E1D0000}"/>
    <cellStyle name="Normal 9 65" xfId="7536" xr:uid="{00000000-0005-0000-0000-00006F1D0000}"/>
    <cellStyle name="Normal 9 66" xfId="7537" xr:uid="{00000000-0005-0000-0000-0000701D0000}"/>
    <cellStyle name="Normal 9 67" xfId="7538" xr:uid="{00000000-0005-0000-0000-0000711D0000}"/>
    <cellStyle name="Normal 9 68" xfId="7539" xr:uid="{00000000-0005-0000-0000-0000721D0000}"/>
    <cellStyle name="Normal 9 69" xfId="7540" xr:uid="{00000000-0005-0000-0000-0000731D0000}"/>
    <cellStyle name="Normal 9 7" xfId="7541" xr:uid="{00000000-0005-0000-0000-0000741D0000}"/>
    <cellStyle name="Normal 9 70" xfId="7542" xr:uid="{00000000-0005-0000-0000-0000751D0000}"/>
    <cellStyle name="Normal 9 71" xfId="7543" xr:uid="{00000000-0005-0000-0000-0000761D0000}"/>
    <cellStyle name="Normal 9 72" xfId="7544" xr:uid="{00000000-0005-0000-0000-0000771D0000}"/>
    <cellStyle name="Normal 9 73" xfId="7545" xr:uid="{00000000-0005-0000-0000-0000781D0000}"/>
    <cellStyle name="Normal 9 74" xfId="7546" xr:uid="{00000000-0005-0000-0000-0000791D0000}"/>
    <cellStyle name="Normal 9 75" xfId="7547" xr:uid="{00000000-0005-0000-0000-00007A1D0000}"/>
    <cellStyle name="Normal 9 76" xfId="7548" xr:uid="{00000000-0005-0000-0000-00007B1D0000}"/>
    <cellStyle name="Normal 9 77" xfId="7549" xr:uid="{00000000-0005-0000-0000-00007C1D0000}"/>
    <cellStyle name="Normal 9 78" xfId="7550" xr:uid="{00000000-0005-0000-0000-00007D1D0000}"/>
    <cellStyle name="Normal 9 79" xfId="7551" xr:uid="{00000000-0005-0000-0000-00007E1D0000}"/>
    <cellStyle name="Normal 9 8" xfId="7552" xr:uid="{00000000-0005-0000-0000-00007F1D0000}"/>
    <cellStyle name="Normal 9 80" xfId="7553" xr:uid="{00000000-0005-0000-0000-0000801D0000}"/>
    <cellStyle name="Normal 9 81" xfId="7554" xr:uid="{00000000-0005-0000-0000-0000811D0000}"/>
    <cellStyle name="Normal 9 82" xfId="7555" xr:uid="{00000000-0005-0000-0000-0000821D0000}"/>
    <cellStyle name="Normal 9 83" xfId="7556" xr:uid="{00000000-0005-0000-0000-0000831D0000}"/>
    <cellStyle name="Normal 9 84" xfId="7557" xr:uid="{00000000-0005-0000-0000-0000841D0000}"/>
    <cellStyle name="Normal 9 85" xfId="7558" xr:uid="{00000000-0005-0000-0000-0000851D0000}"/>
    <cellStyle name="Normal 9 86" xfId="7559" xr:uid="{00000000-0005-0000-0000-0000861D0000}"/>
    <cellStyle name="Normal 9 87" xfId="7560" xr:uid="{00000000-0005-0000-0000-0000871D0000}"/>
    <cellStyle name="Normal 9 88" xfId="7561" xr:uid="{00000000-0005-0000-0000-0000881D0000}"/>
    <cellStyle name="Normal 9 89" xfId="7562" xr:uid="{00000000-0005-0000-0000-0000891D0000}"/>
    <cellStyle name="Normal 9 9" xfId="7563" xr:uid="{00000000-0005-0000-0000-00008A1D0000}"/>
    <cellStyle name="Normal 9 90" xfId="7564" xr:uid="{00000000-0005-0000-0000-00008B1D0000}"/>
    <cellStyle name="Normal 9 91" xfId="7565" xr:uid="{00000000-0005-0000-0000-00008C1D0000}"/>
    <cellStyle name="Normal 90" xfId="7566" xr:uid="{00000000-0005-0000-0000-00008D1D0000}"/>
    <cellStyle name="Normal 90 2" xfId="7567" xr:uid="{00000000-0005-0000-0000-00008E1D0000}"/>
    <cellStyle name="Normal 90 3" xfId="7568" xr:uid="{00000000-0005-0000-0000-00008F1D0000}"/>
    <cellStyle name="Normal 91" xfId="7569" xr:uid="{00000000-0005-0000-0000-0000901D0000}"/>
    <cellStyle name="Normal 91 2" xfId="7570" xr:uid="{00000000-0005-0000-0000-0000911D0000}"/>
    <cellStyle name="Normal 92" xfId="7571" xr:uid="{00000000-0005-0000-0000-0000921D0000}"/>
    <cellStyle name="Normal 93" xfId="7572" xr:uid="{00000000-0005-0000-0000-0000931D0000}"/>
    <cellStyle name="Normal 94" xfId="7573" xr:uid="{00000000-0005-0000-0000-0000941D0000}"/>
    <cellStyle name="Normal 95" xfId="7574" xr:uid="{00000000-0005-0000-0000-0000951D0000}"/>
    <cellStyle name="Normal 95 2" xfId="7575" xr:uid="{00000000-0005-0000-0000-0000961D0000}"/>
    <cellStyle name="Normal 96" xfId="7576" xr:uid="{00000000-0005-0000-0000-0000971D0000}"/>
    <cellStyle name="Normal 97" xfId="7577" xr:uid="{00000000-0005-0000-0000-0000981D0000}"/>
    <cellStyle name="Normal 98" xfId="7578" xr:uid="{00000000-0005-0000-0000-0000991D0000}"/>
    <cellStyle name="Normal 99" xfId="7579" xr:uid="{00000000-0005-0000-0000-00009A1D0000}"/>
    <cellStyle name="Normal FICA" xfId="7580" xr:uid="{00000000-0005-0000-0000-00009B1D0000}"/>
    <cellStyle name="Normal FUI" xfId="7581" xr:uid="{00000000-0005-0000-0000-00009C1D0000}"/>
    <cellStyle name="Normal Other Benefits" xfId="7582" xr:uid="{00000000-0005-0000-0000-00009D1D0000}"/>
    <cellStyle name="Normal_CAPITAL" xfId="9424" xr:uid="{F39C4BEF-908B-46F3-B9C9-6F58DA0AB9B2}"/>
    <cellStyle name="Note 2" xfId="7583" xr:uid="{00000000-0005-0000-0000-00009E1D0000}"/>
    <cellStyle name="Note 2 2" xfId="7584" xr:uid="{00000000-0005-0000-0000-00009F1D0000}"/>
    <cellStyle name="Note 2 2 2" xfId="7585" xr:uid="{00000000-0005-0000-0000-0000A01D0000}"/>
    <cellStyle name="Note 2 2 3" xfId="7586" xr:uid="{00000000-0005-0000-0000-0000A11D0000}"/>
    <cellStyle name="Note 2 3" xfId="7587" xr:uid="{00000000-0005-0000-0000-0000A21D0000}"/>
    <cellStyle name="Note 2 3 2" xfId="7588" xr:uid="{00000000-0005-0000-0000-0000A31D0000}"/>
    <cellStyle name="Note 2 4" xfId="7589" xr:uid="{00000000-0005-0000-0000-0000A41D0000}"/>
    <cellStyle name="Note 2 4 2" xfId="7590" xr:uid="{00000000-0005-0000-0000-0000A51D0000}"/>
    <cellStyle name="Note 2 5" xfId="7591" xr:uid="{00000000-0005-0000-0000-0000A61D0000}"/>
    <cellStyle name="Note 2 5 2" xfId="7592" xr:uid="{00000000-0005-0000-0000-0000A71D0000}"/>
    <cellStyle name="Note 3" xfId="7593" xr:uid="{00000000-0005-0000-0000-0000A81D0000}"/>
    <cellStyle name="Note 3 2" xfId="7594" xr:uid="{00000000-0005-0000-0000-0000A91D0000}"/>
    <cellStyle name="Note 3 3" xfId="7595" xr:uid="{00000000-0005-0000-0000-0000AA1D0000}"/>
    <cellStyle name="Note 4" xfId="7596" xr:uid="{00000000-0005-0000-0000-0000AB1D0000}"/>
    <cellStyle name="Note 4 2" xfId="7597" xr:uid="{00000000-0005-0000-0000-0000AC1D0000}"/>
    <cellStyle name="Note 5" xfId="7598" xr:uid="{00000000-0005-0000-0000-0000AD1D0000}"/>
    <cellStyle name="Output 2" xfId="7599" xr:uid="{00000000-0005-0000-0000-0000AE1D0000}"/>
    <cellStyle name="Output 3" xfId="7600" xr:uid="{00000000-0005-0000-0000-0000AF1D0000}"/>
    <cellStyle name="Output 4" xfId="7601" xr:uid="{00000000-0005-0000-0000-0000B01D0000}"/>
    <cellStyle name="Output 5" xfId="7602" xr:uid="{00000000-0005-0000-0000-0000B11D0000}"/>
    <cellStyle name="Output 6" xfId="7603" xr:uid="{00000000-0005-0000-0000-0000B21D0000}"/>
    <cellStyle name="Output 7" xfId="7604" xr:uid="{00000000-0005-0000-0000-0000B31D0000}"/>
    <cellStyle name="Output Amounts" xfId="7605" xr:uid="{00000000-0005-0000-0000-0000B41D0000}"/>
    <cellStyle name="Output Column Headings" xfId="7606" xr:uid="{00000000-0005-0000-0000-0000B51D0000}"/>
    <cellStyle name="Output Line Items" xfId="7607" xr:uid="{00000000-0005-0000-0000-0000B61D0000}"/>
    <cellStyle name="Output Report Heading" xfId="7608" xr:uid="{00000000-0005-0000-0000-0000B71D0000}"/>
    <cellStyle name="Output Report Title" xfId="7609" xr:uid="{00000000-0005-0000-0000-0000B81D0000}"/>
    <cellStyle name="Percent" xfId="1" builtinId="5"/>
    <cellStyle name="Percent 10" xfId="7610" xr:uid="{00000000-0005-0000-0000-0000BA1D0000}"/>
    <cellStyle name="Percent 10 2" xfId="7611" xr:uid="{00000000-0005-0000-0000-0000BB1D0000}"/>
    <cellStyle name="Percent 11" xfId="7612" xr:uid="{00000000-0005-0000-0000-0000BC1D0000}"/>
    <cellStyle name="Percent 11 2" xfId="7613" xr:uid="{00000000-0005-0000-0000-0000BD1D0000}"/>
    <cellStyle name="Percent 12" xfId="7614" xr:uid="{00000000-0005-0000-0000-0000BE1D0000}"/>
    <cellStyle name="Percent 12 2" xfId="7615" xr:uid="{00000000-0005-0000-0000-0000BF1D0000}"/>
    <cellStyle name="Percent 13" xfId="7616" xr:uid="{00000000-0005-0000-0000-0000C01D0000}"/>
    <cellStyle name="Percent 13 2" xfId="7617" xr:uid="{00000000-0005-0000-0000-0000C11D0000}"/>
    <cellStyle name="Percent 14" xfId="7618" xr:uid="{00000000-0005-0000-0000-0000C21D0000}"/>
    <cellStyle name="Percent 14 2" xfId="7619" xr:uid="{00000000-0005-0000-0000-0000C31D0000}"/>
    <cellStyle name="Percent 15" xfId="7620" xr:uid="{00000000-0005-0000-0000-0000C41D0000}"/>
    <cellStyle name="Percent 15 2" xfId="7621" xr:uid="{00000000-0005-0000-0000-0000C51D0000}"/>
    <cellStyle name="Percent 16" xfId="7622" xr:uid="{00000000-0005-0000-0000-0000C61D0000}"/>
    <cellStyle name="Percent 16 2" xfId="7623" xr:uid="{00000000-0005-0000-0000-0000C71D0000}"/>
    <cellStyle name="Percent 17" xfId="7624" xr:uid="{00000000-0005-0000-0000-0000C81D0000}"/>
    <cellStyle name="Percent 17 2" xfId="7625" xr:uid="{00000000-0005-0000-0000-0000C91D0000}"/>
    <cellStyle name="Percent 18" xfId="7626" xr:uid="{00000000-0005-0000-0000-0000CA1D0000}"/>
    <cellStyle name="Percent 18 2" xfId="7627" xr:uid="{00000000-0005-0000-0000-0000CB1D0000}"/>
    <cellStyle name="Percent 19" xfId="7628" xr:uid="{00000000-0005-0000-0000-0000CC1D0000}"/>
    <cellStyle name="Percent 19 2" xfId="7629" xr:uid="{00000000-0005-0000-0000-0000CD1D0000}"/>
    <cellStyle name="Percent 2" xfId="2" xr:uid="{00000000-0005-0000-0000-0000CE1D0000}"/>
    <cellStyle name="Percent 2 10" xfId="7630" xr:uid="{00000000-0005-0000-0000-0000CF1D0000}"/>
    <cellStyle name="Percent 2 10 2" xfId="7631" xr:uid="{00000000-0005-0000-0000-0000D01D0000}"/>
    <cellStyle name="Percent 2 10 2 2" xfId="7632" xr:uid="{00000000-0005-0000-0000-0000D11D0000}"/>
    <cellStyle name="Percent 2 10 2 3" xfId="7633" xr:uid="{00000000-0005-0000-0000-0000D21D0000}"/>
    <cellStyle name="Percent 2 10 3" xfId="7634" xr:uid="{00000000-0005-0000-0000-0000D31D0000}"/>
    <cellStyle name="Percent 2 100" xfId="7635" xr:uid="{00000000-0005-0000-0000-0000D41D0000}"/>
    <cellStyle name="Percent 2 101" xfId="7636" xr:uid="{00000000-0005-0000-0000-0000D51D0000}"/>
    <cellStyle name="Percent 2 102" xfId="7637" xr:uid="{00000000-0005-0000-0000-0000D61D0000}"/>
    <cellStyle name="Percent 2 103" xfId="7638" xr:uid="{00000000-0005-0000-0000-0000D71D0000}"/>
    <cellStyle name="Percent 2 104" xfId="7639" xr:uid="{00000000-0005-0000-0000-0000D81D0000}"/>
    <cellStyle name="Percent 2 105" xfId="7640" xr:uid="{00000000-0005-0000-0000-0000D91D0000}"/>
    <cellStyle name="Percent 2 106" xfId="7641" xr:uid="{00000000-0005-0000-0000-0000DA1D0000}"/>
    <cellStyle name="Percent 2 107" xfId="7642" xr:uid="{00000000-0005-0000-0000-0000DB1D0000}"/>
    <cellStyle name="Percent 2 108" xfId="7643" xr:uid="{00000000-0005-0000-0000-0000DC1D0000}"/>
    <cellStyle name="Percent 2 109" xfId="7644" xr:uid="{00000000-0005-0000-0000-0000DD1D0000}"/>
    <cellStyle name="Percent 2 11" xfId="7645" xr:uid="{00000000-0005-0000-0000-0000DE1D0000}"/>
    <cellStyle name="Percent 2 11 2" xfId="7646" xr:uid="{00000000-0005-0000-0000-0000DF1D0000}"/>
    <cellStyle name="Percent 2 11 2 2" xfId="7647" xr:uid="{00000000-0005-0000-0000-0000E01D0000}"/>
    <cellStyle name="Percent 2 11 2 3" xfId="7648" xr:uid="{00000000-0005-0000-0000-0000E11D0000}"/>
    <cellStyle name="Percent 2 11 3" xfId="7649" xr:uid="{00000000-0005-0000-0000-0000E21D0000}"/>
    <cellStyle name="Percent 2 110" xfId="7650" xr:uid="{00000000-0005-0000-0000-0000E31D0000}"/>
    <cellStyle name="Percent 2 111" xfId="7651" xr:uid="{00000000-0005-0000-0000-0000E41D0000}"/>
    <cellStyle name="Percent 2 112" xfId="7652" xr:uid="{00000000-0005-0000-0000-0000E51D0000}"/>
    <cellStyle name="Percent 2 113" xfId="7653" xr:uid="{00000000-0005-0000-0000-0000E61D0000}"/>
    <cellStyle name="Percent 2 114" xfId="7654" xr:uid="{00000000-0005-0000-0000-0000E71D0000}"/>
    <cellStyle name="Percent 2 115" xfId="7655" xr:uid="{00000000-0005-0000-0000-0000E81D0000}"/>
    <cellStyle name="Percent 2 116" xfId="7656" xr:uid="{00000000-0005-0000-0000-0000E91D0000}"/>
    <cellStyle name="Percent 2 117" xfId="7657" xr:uid="{00000000-0005-0000-0000-0000EA1D0000}"/>
    <cellStyle name="Percent 2 118" xfId="7658" xr:uid="{00000000-0005-0000-0000-0000EB1D0000}"/>
    <cellStyle name="Percent 2 119" xfId="7659" xr:uid="{00000000-0005-0000-0000-0000EC1D0000}"/>
    <cellStyle name="Percent 2 12" xfId="7660" xr:uid="{00000000-0005-0000-0000-0000ED1D0000}"/>
    <cellStyle name="Percent 2 12 2" xfId="7661" xr:uid="{00000000-0005-0000-0000-0000EE1D0000}"/>
    <cellStyle name="Percent 2 12 2 2" xfId="7662" xr:uid="{00000000-0005-0000-0000-0000EF1D0000}"/>
    <cellStyle name="Percent 2 12 2 3" xfId="7663" xr:uid="{00000000-0005-0000-0000-0000F01D0000}"/>
    <cellStyle name="Percent 2 12 3" xfId="7664" xr:uid="{00000000-0005-0000-0000-0000F11D0000}"/>
    <cellStyle name="Percent 2 120" xfId="7665" xr:uid="{00000000-0005-0000-0000-0000F21D0000}"/>
    <cellStyle name="Percent 2 121" xfId="7666" xr:uid="{00000000-0005-0000-0000-0000F31D0000}"/>
    <cellStyle name="Percent 2 122" xfId="7667" xr:uid="{00000000-0005-0000-0000-0000F41D0000}"/>
    <cellStyle name="Percent 2 123" xfId="7668" xr:uid="{00000000-0005-0000-0000-0000F51D0000}"/>
    <cellStyle name="Percent 2 124" xfId="7669" xr:uid="{00000000-0005-0000-0000-0000F61D0000}"/>
    <cellStyle name="Percent 2 125" xfId="7670" xr:uid="{00000000-0005-0000-0000-0000F71D0000}"/>
    <cellStyle name="Percent 2 126" xfId="7671" xr:uid="{00000000-0005-0000-0000-0000F81D0000}"/>
    <cellStyle name="Percent 2 127" xfId="7672" xr:uid="{00000000-0005-0000-0000-0000F91D0000}"/>
    <cellStyle name="Percent 2 128" xfId="7673" xr:uid="{00000000-0005-0000-0000-0000FA1D0000}"/>
    <cellStyle name="Percent 2 129" xfId="7674" xr:uid="{00000000-0005-0000-0000-0000FB1D0000}"/>
    <cellStyle name="Percent 2 13" xfId="7675" xr:uid="{00000000-0005-0000-0000-0000FC1D0000}"/>
    <cellStyle name="Percent 2 13 2" xfId="7676" xr:uid="{00000000-0005-0000-0000-0000FD1D0000}"/>
    <cellStyle name="Percent 2 13 2 2" xfId="7677" xr:uid="{00000000-0005-0000-0000-0000FE1D0000}"/>
    <cellStyle name="Percent 2 13 2 3" xfId="7678" xr:uid="{00000000-0005-0000-0000-0000FF1D0000}"/>
    <cellStyle name="Percent 2 13 3" xfId="7679" xr:uid="{00000000-0005-0000-0000-0000001E0000}"/>
    <cellStyle name="Percent 2 130" xfId="7680" xr:uid="{00000000-0005-0000-0000-0000011E0000}"/>
    <cellStyle name="Percent 2 131" xfId="7681" xr:uid="{00000000-0005-0000-0000-0000021E0000}"/>
    <cellStyle name="Percent 2 132" xfId="7682" xr:uid="{00000000-0005-0000-0000-0000031E0000}"/>
    <cellStyle name="Percent 2 133" xfId="7683" xr:uid="{00000000-0005-0000-0000-0000041E0000}"/>
    <cellStyle name="Percent 2 134" xfId="7684" xr:uid="{00000000-0005-0000-0000-0000051E0000}"/>
    <cellStyle name="Percent 2 135" xfId="7685" xr:uid="{00000000-0005-0000-0000-0000061E0000}"/>
    <cellStyle name="Percent 2 136" xfId="7686" xr:uid="{00000000-0005-0000-0000-0000071E0000}"/>
    <cellStyle name="Percent 2 137" xfId="7687" xr:uid="{00000000-0005-0000-0000-0000081E0000}"/>
    <cellStyle name="Percent 2 138" xfId="7688" xr:uid="{00000000-0005-0000-0000-0000091E0000}"/>
    <cellStyle name="Percent 2 139" xfId="7689" xr:uid="{00000000-0005-0000-0000-00000A1E0000}"/>
    <cellStyle name="Percent 2 14" xfId="7690" xr:uid="{00000000-0005-0000-0000-00000B1E0000}"/>
    <cellStyle name="Percent 2 14 2" xfId="7691" xr:uid="{00000000-0005-0000-0000-00000C1E0000}"/>
    <cellStyle name="Percent 2 14 2 2" xfId="7692" xr:uid="{00000000-0005-0000-0000-00000D1E0000}"/>
    <cellStyle name="Percent 2 14 2 3" xfId="7693" xr:uid="{00000000-0005-0000-0000-00000E1E0000}"/>
    <cellStyle name="Percent 2 14 3" xfId="7694" xr:uid="{00000000-0005-0000-0000-00000F1E0000}"/>
    <cellStyle name="Percent 2 140" xfId="7695" xr:uid="{00000000-0005-0000-0000-0000101E0000}"/>
    <cellStyle name="Percent 2 141" xfId="7696" xr:uid="{00000000-0005-0000-0000-0000111E0000}"/>
    <cellStyle name="Percent 2 142" xfId="7697" xr:uid="{00000000-0005-0000-0000-0000121E0000}"/>
    <cellStyle name="Percent 2 143" xfId="7698" xr:uid="{00000000-0005-0000-0000-0000131E0000}"/>
    <cellStyle name="Percent 2 144" xfId="7699" xr:uid="{00000000-0005-0000-0000-0000141E0000}"/>
    <cellStyle name="Percent 2 145" xfId="7700" xr:uid="{00000000-0005-0000-0000-0000151E0000}"/>
    <cellStyle name="Percent 2 146" xfId="7701" xr:uid="{00000000-0005-0000-0000-0000161E0000}"/>
    <cellStyle name="Percent 2 147" xfId="7702" xr:uid="{00000000-0005-0000-0000-0000171E0000}"/>
    <cellStyle name="Percent 2 148" xfId="7703" xr:uid="{00000000-0005-0000-0000-0000181E0000}"/>
    <cellStyle name="Percent 2 149" xfId="7704" xr:uid="{00000000-0005-0000-0000-0000191E0000}"/>
    <cellStyle name="Percent 2 15" xfId="7705" xr:uid="{00000000-0005-0000-0000-00001A1E0000}"/>
    <cellStyle name="Percent 2 15 2" xfId="7706" xr:uid="{00000000-0005-0000-0000-00001B1E0000}"/>
    <cellStyle name="Percent 2 15 2 2" xfId="7707" xr:uid="{00000000-0005-0000-0000-00001C1E0000}"/>
    <cellStyle name="Percent 2 15 2 3" xfId="7708" xr:uid="{00000000-0005-0000-0000-00001D1E0000}"/>
    <cellStyle name="Percent 2 15 3" xfId="7709" xr:uid="{00000000-0005-0000-0000-00001E1E0000}"/>
    <cellStyle name="Percent 2 150" xfId="7710" xr:uid="{00000000-0005-0000-0000-00001F1E0000}"/>
    <cellStyle name="Percent 2 151" xfId="7711" xr:uid="{00000000-0005-0000-0000-0000201E0000}"/>
    <cellStyle name="Percent 2 151 2" xfId="7712" xr:uid="{00000000-0005-0000-0000-0000211E0000}"/>
    <cellStyle name="Percent 2 152" xfId="7713" xr:uid="{00000000-0005-0000-0000-0000221E0000}"/>
    <cellStyle name="Percent 2 153" xfId="7714" xr:uid="{00000000-0005-0000-0000-0000231E0000}"/>
    <cellStyle name="Percent 2 154" xfId="7715" xr:uid="{00000000-0005-0000-0000-0000241E0000}"/>
    <cellStyle name="Percent 2 155" xfId="9386" xr:uid="{00000000-0005-0000-0000-0000251E0000}"/>
    <cellStyle name="Percent 2 155 2" xfId="9407" xr:uid="{679DECEF-19EF-4E2D-BEE2-3861F142B627}"/>
    <cellStyle name="Percent 2 155 2 2" xfId="9409" xr:uid="{364BB7BE-C6C7-4CA6-BCBD-2613FACEEAF3}"/>
    <cellStyle name="Percent 2 155 2 2 2" xfId="9420" xr:uid="{E998D592-33FB-40E9-AD47-3ABA5D9526D6}"/>
    <cellStyle name="Percent 2 155 2 3" xfId="9417" xr:uid="{32E261F4-1E09-4528-A51C-928A690E88AB}"/>
    <cellStyle name="Percent 2 155 3" xfId="9414" xr:uid="{770FD500-D266-4047-AFF8-83515C2318BB}"/>
    <cellStyle name="Percent 2 16" xfId="13" xr:uid="{00000000-0005-0000-0000-0000261E0000}"/>
    <cellStyle name="Percent 2 16 2" xfId="7716" xr:uid="{00000000-0005-0000-0000-0000271E0000}"/>
    <cellStyle name="Percent 2 16 2 2" xfId="7717" xr:uid="{00000000-0005-0000-0000-0000281E0000}"/>
    <cellStyle name="Percent 2 16 2 3" xfId="7718" xr:uid="{00000000-0005-0000-0000-0000291E0000}"/>
    <cellStyle name="Percent 2 16 3" xfId="7719" xr:uid="{00000000-0005-0000-0000-00002A1E0000}"/>
    <cellStyle name="Percent 2 17" xfId="7720" xr:uid="{00000000-0005-0000-0000-00002B1E0000}"/>
    <cellStyle name="Percent 2 17 2" xfId="7721" xr:uid="{00000000-0005-0000-0000-00002C1E0000}"/>
    <cellStyle name="Percent 2 17 2 2" xfId="7722" xr:uid="{00000000-0005-0000-0000-00002D1E0000}"/>
    <cellStyle name="Percent 2 17 2 3" xfId="7723" xr:uid="{00000000-0005-0000-0000-00002E1E0000}"/>
    <cellStyle name="Percent 2 17 3" xfId="7724" xr:uid="{00000000-0005-0000-0000-00002F1E0000}"/>
    <cellStyle name="Percent 2 18" xfId="7725" xr:uid="{00000000-0005-0000-0000-0000301E0000}"/>
    <cellStyle name="Percent 2 18 2" xfId="7726" xr:uid="{00000000-0005-0000-0000-0000311E0000}"/>
    <cellStyle name="Percent 2 18 2 2" xfId="7727" xr:uid="{00000000-0005-0000-0000-0000321E0000}"/>
    <cellStyle name="Percent 2 18 2 3" xfId="7728" xr:uid="{00000000-0005-0000-0000-0000331E0000}"/>
    <cellStyle name="Percent 2 18 3" xfId="7729" xr:uid="{00000000-0005-0000-0000-0000341E0000}"/>
    <cellStyle name="Percent 2 19" xfId="7730" xr:uid="{00000000-0005-0000-0000-0000351E0000}"/>
    <cellStyle name="Percent 2 19 2" xfId="7731" xr:uid="{00000000-0005-0000-0000-0000361E0000}"/>
    <cellStyle name="Percent 2 19 2 2" xfId="7732" xr:uid="{00000000-0005-0000-0000-0000371E0000}"/>
    <cellStyle name="Percent 2 19 2 3" xfId="7733" xr:uid="{00000000-0005-0000-0000-0000381E0000}"/>
    <cellStyle name="Percent 2 19 3" xfId="7734" xr:uid="{00000000-0005-0000-0000-0000391E0000}"/>
    <cellStyle name="Percent 2 2" xfId="7735" xr:uid="{00000000-0005-0000-0000-00003A1E0000}"/>
    <cellStyle name="Percent 2 2 10" xfId="7736" xr:uid="{00000000-0005-0000-0000-00003B1E0000}"/>
    <cellStyle name="Percent 2 2 11" xfId="7737" xr:uid="{00000000-0005-0000-0000-00003C1E0000}"/>
    <cellStyle name="Percent 2 2 12" xfId="7738" xr:uid="{00000000-0005-0000-0000-00003D1E0000}"/>
    <cellStyle name="Percent 2 2 12 2" xfId="7739" xr:uid="{00000000-0005-0000-0000-00003E1E0000}"/>
    <cellStyle name="Percent 2 2 12 2 2" xfId="7740" xr:uid="{00000000-0005-0000-0000-00003F1E0000}"/>
    <cellStyle name="Percent 2 2 12 3" xfId="7741" xr:uid="{00000000-0005-0000-0000-0000401E0000}"/>
    <cellStyle name="Percent 2 2 12 4" xfId="7742" xr:uid="{00000000-0005-0000-0000-0000411E0000}"/>
    <cellStyle name="Percent 2 2 13" xfId="7743" xr:uid="{00000000-0005-0000-0000-0000421E0000}"/>
    <cellStyle name="Percent 2 2 13 2" xfId="7744" xr:uid="{00000000-0005-0000-0000-0000431E0000}"/>
    <cellStyle name="Percent 2 2 13 2 2" xfId="7745" xr:uid="{00000000-0005-0000-0000-0000441E0000}"/>
    <cellStyle name="Percent 2 2 13 3" xfId="7746" xr:uid="{00000000-0005-0000-0000-0000451E0000}"/>
    <cellStyle name="Percent 2 2 14" xfId="7747" xr:uid="{00000000-0005-0000-0000-0000461E0000}"/>
    <cellStyle name="Percent 2 2 14 2" xfId="7748" xr:uid="{00000000-0005-0000-0000-0000471E0000}"/>
    <cellStyle name="Percent 2 2 14 2 2" xfId="7749" xr:uid="{00000000-0005-0000-0000-0000481E0000}"/>
    <cellStyle name="Percent 2 2 14 3" xfId="7750" xr:uid="{00000000-0005-0000-0000-0000491E0000}"/>
    <cellStyle name="Percent 2 2 15" xfId="7751" xr:uid="{00000000-0005-0000-0000-00004A1E0000}"/>
    <cellStyle name="Percent 2 2 15 2" xfId="7752" xr:uid="{00000000-0005-0000-0000-00004B1E0000}"/>
    <cellStyle name="Percent 2 2 15 2 2" xfId="7753" xr:uid="{00000000-0005-0000-0000-00004C1E0000}"/>
    <cellStyle name="Percent 2 2 15 3" xfId="7754" xr:uid="{00000000-0005-0000-0000-00004D1E0000}"/>
    <cellStyle name="Percent 2 2 16" xfId="7755" xr:uid="{00000000-0005-0000-0000-00004E1E0000}"/>
    <cellStyle name="Percent 2 2 16 2" xfId="7756" xr:uid="{00000000-0005-0000-0000-00004F1E0000}"/>
    <cellStyle name="Percent 2 2 16 2 2" xfId="7757" xr:uid="{00000000-0005-0000-0000-0000501E0000}"/>
    <cellStyle name="Percent 2 2 16 3" xfId="7758" xr:uid="{00000000-0005-0000-0000-0000511E0000}"/>
    <cellStyle name="Percent 2 2 17" xfId="7759" xr:uid="{00000000-0005-0000-0000-0000521E0000}"/>
    <cellStyle name="Percent 2 2 17 2" xfId="7760" xr:uid="{00000000-0005-0000-0000-0000531E0000}"/>
    <cellStyle name="Percent 2 2 17 2 2" xfId="7761" xr:uid="{00000000-0005-0000-0000-0000541E0000}"/>
    <cellStyle name="Percent 2 2 17 3" xfId="7762" xr:uid="{00000000-0005-0000-0000-0000551E0000}"/>
    <cellStyle name="Percent 2 2 18" xfId="7763" xr:uid="{00000000-0005-0000-0000-0000561E0000}"/>
    <cellStyle name="Percent 2 2 18 2" xfId="7764" xr:uid="{00000000-0005-0000-0000-0000571E0000}"/>
    <cellStyle name="Percent 2 2 18 2 2" xfId="7765" xr:uid="{00000000-0005-0000-0000-0000581E0000}"/>
    <cellStyle name="Percent 2 2 18 3" xfId="7766" xr:uid="{00000000-0005-0000-0000-0000591E0000}"/>
    <cellStyle name="Percent 2 2 19" xfId="7767" xr:uid="{00000000-0005-0000-0000-00005A1E0000}"/>
    <cellStyle name="Percent 2 2 19 2" xfId="7768" xr:uid="{00000000-0005-0000-0000-00005B1E0000}"/>
    <cellStyle name="Percent 2 2 19 2 2" xfId="7769" xr:uid="{00000000-0005-0000-0000-00005C1E0000}"/>
    <cellStyle name="Percent 2 2 19 3" xfId="7770" xr:uid="{00000000-0005-0000-0000-00005D1E0000}"/>
    <cellStyle name="Percent 2 2 2" xfId="7771" xr:uid="{00000000-0005-0000-0000-00005E1E0000}"/>
    <cellStyle name="Percent 2 2 2 10" xfId="7772" xr:uid="{00000000-0005-0000-0000-00005F1E0000}"/>
    <cellStyle name="Percent 2 2 2 10 2" xfId="7773" xr:uid="{00000000-0005-0000-0000-0000601E0000}"/>
    <cellStyle name="Percent 2 2 2 10 2 2" xfId="7774" xr:uid="{00000000-0005-0000-0000-0000611E0000}"/>
    <cellStyle name="Percent 2 2 2 10 3" xfId="7775" xr:uid="{00000000-0005-0000-0000-0000621E0000}"/>
    <cellStyle name="Percent 2 2 2 11" xfId="7776" xr:uid="{00000000-0005-0000-0000-0000631E0000}"/>
    <cellStyle name="Percent 2 2 2 12" xfId="7777" xr:uid="{00000000-0005-0000-0000-0000641E0000}"/>
    <cellStyle name="Percent 2 2 2 13" xfId="7778" xr:uid="{00000000-0005-0000-0000-0000651E0000}"/>
    <cellStyle name="Percent 2 2 2 14" xfId="7779" xr:uid="{00000000-0005-0000-0000-0000661E0000}"/>
    <cellStyle name="Percent 2 2 2 15" xfId="7780" xr:uid="{00000000-0005-0000-0000-0000671E0000}"/>
    <cellStyle name="Percent 2 2 2 16" xfId="7781" xr:uid="{00000000-0005-0000-0000-0000681E0000}"/>
    <cellStyle name="Percent 2 2 2 17" xfId="7782" xr:uid="{00000000-0005-0000-0000-0000691E0000}"/>
    <cellStyle name="Percent 2 2 2 18" xfId="7783" xr:uid="{00000000-0005-0000-0000-00006A1E0000}"/>
    <cellStyle name="Percent 2 2 2 19" xfId="7784" xr:uid="{00000000-0005-0000-0000-00006B1E0000}"/>
    <cellStyle name="Percent 2 2 2 2" xfId="7785" xr:uid="{00000000-0005-0000-0000-00006C1E0000}"/>
    <cellStyle name="Percent 2 2 2 2 10" xfId="7786" xr:uid="{00000000-0005-0000-0000-00006D1E0000}"/>
    <cellStyle name="Percent 2 2 2 2 11" xfId="7787" xr:uid="{00000000-0005-0000-0000-00006E1E0000}"/>
    <cellStyle name="Percent 2 2 2 2 11 2" xfId="7788" xr:uid="{00000000-0005-0000-0000-00006F1E0000}"/>
    <cellStyle name="Percent 2 2 2 2 11 2 2" xfId="7789" xr:uid="{00000000-0005-0000-0000-0000701E0000}"/>
    <cellStyle name="Percent 2 2 2 2 11 3" xfId="7790" xr:uid="{00000000-0005-0000-0000-0000711E0000}"/>
    <cellStyle name="Percent 2 2 2 2 12" xfId="7791" xr:uid="{00000000-0005-0000-0000-0000721E0000}"/>
    <cellStyle name="Percent 2 2 2 2 12 2" xfId="7792" xr:uid="{00000000-0005-0000-0000-0000731E0000}"/>
    <cellStyle name="Percent 2 2 2 2 12 2 2" xfId="7793" xr:uid="{00000000-0005-0000-0000-0000741E0000}"/>
    <cellStyle name="Percent 2 2 2 2 12 3" xfId="7794" xr:uid="{00000000-0005-0000-0000-0000751E0000}"/>
    <cellStyle name="Percent 2 2 2 2 13" xfId="7795" xr:uid="{00000000-0005-0000-0000-0000761E0000}"/>
    <cellStyle name="Percent 2 2 2 2 13 2" xfId="7796" xr:uid="{00000000-0005-0000-0000-0000771E0000}"/>
    <cellStyle name="Percent 2 2 2 2 13 2 2" xfId="7797" xr:uid="{00000000-0005-0000-0000-0000781E0000}"/>
    <cellStyle name="Percent 2 2 2 2 13 3" xfId="7798" xr:uid="{00000000-0005-0000-0000-0000791E0000}"/>
    <cellStyle name="Percent 2 2 2 2 14" xfId="7799" xr:uid="{00000000-0005-0000-0000-00007A1E0000}"/>
    <cellStyle name="Percent 2 2 2 2 14 2" xfId="7800" xr:uid="{00000000-0005-0000-0000-00007B1E0000}"/>
    <cellStyle name="Percent 2 2 2 2 14 2 2" xfId="7801" xr:uid="{00000000-0005-0000-0000-00007C1E0000}"/>
    <cellStyle name="Percent 2 2 2 2 14 3" xfId="7802" xr:uid="{00000000-0005-0000-0000-00007D1E0000}"/>
    <cellStyle name="Percent 2 2 2 2 15" xfId="7803" xr:uid="{00000000-0005-0000-0000-00007E1E0000}"/>
    <cellStyle name="Percent 2 2 2 2 15 2" xfId="7804" xr:uid="{00000000-0005-0000-0000-00007F1E0000}"/>
    <cellStyle name="Percent 2 2 2 2 15 2 2" xfId="7805" xr:uid="{00000000-0005-0000-0000-0000801E0000}"/>
    <cellStyle name="Percent 2 2 2 2 15 3" xfId="7806" xr:uid="{00000000-0005-0000-0000-0000811E0000}"/>
    <cellStyle name="Percent 2 2 2 2 16" xfId="7807" xr:uid="{00000000-0005-0000-0000-0000821E0000}"/>
    <cellStyle name="Percent 2 2 2 2 16 2" xfId="7808" xr:uid="{00000000-0005-0000-0000-0000831E0000}"/>
    <cellStyle name="Percent 2 2 2 2 16 2 2" xfId="7809" xr:uid="{00000000-0005-0000-0000-0000841E0000}"/>
    <cellStyle name="Percent 2 2 2 2 16 3" xfId="7810" xr:uid="{00000000-0005-0000-0000-0000851E0000}"/>
    <cellStyle name="Percent 2 2 2 2 17" xfId="7811" xr:uid="{00000000-0005-0000-0000-0000861E0000}"/>
    <cellStyle name="Percent 2 2 2 2 17 2" xfId="7812" xr:uid="{00000000-0005-0000-0000-0000871E0000}"/>
    <cellStyle name="Percent 2 2 2 2 17 2 2" xfId="7813" xr:uid="{00000000-0005-0000-0000-0000881E0000}"/>
    <cellStyle name="Percent 2 2 2 2 17 3" xfId="7814" xr:uid="{00000000-0005-0000-0000-0000891E0000}"/>
    <cellStyle name="Percent 2 2 2 2 18" xfId="7815" xr:uid="{00000000-0005-0000-0000-00008A1E0000}"/>
    <cellStyle name="Percent 2 2 2 2 18 2" xfId="7816" xr:uid="{00000000-0005-0000-0000-00008B1E0000}"/>
    <cellStyle name="Percent 2 2 2 2 18 2 2" xfId="7817" xr:uid="{00000000-0005-0000-0000-00008C1E0000}"/>
    <cellStyle name="Percent 2 2 2 2 18 3" xfId="7818" xr:uid="{00000000-0005-0000-0000-00008D1E0000}"/>
    <cellStyle name="Percent 2 2 2 2 19" xfId="7819" xr:uid="{00000000-0005-0000-0000-00008E1E0000}"/>
    <cellStyle name="Percent 2 2 2 2 19 2" xfId="7820" xr:uid="{00000000-0005-0000-0000-00008F1E0000}"/>
    <cellStyle name="Percent 2 2 2 2 19 2 2" xfId="7821" xr:uid="{00000000-0005-0000-0000-0000901E0000}"/>
    <cellStyle name="Percent 2 2 2 2 19 3" xfId="7822" xr:uid="{00000000-0005-0000-0000-0000911E0000}"/>
    <cellStyle name="Percent 2 2 2 2 2" xfId="7823" xr:uid="{00000000-0005-0000-0000-0000921E0000}"/>
    <cellStyle name="Percent 2 2 2 2 2 10" xfId="7824" xr:uid="{00000000-0005-0000-0000-0000931E0000}"/>
    <cellStyle name="Percent 2 2 2 2 2 11" xfId="7825" xr:uid="{00000000-0005-0000-0000-0000941E0000}"/>
    <cellStyle name="Percent 2 2 2 2 2 12" xfId="7826" xr:uid="{00000000-0005-0000-0000-0000951E0000}"/>
    <cellStyle name="Percent 2 2 2 2 2 13" xfId="7827" xr:uid="{00000000-0005-0000-0000-0000961E0000}"/>
    <cellStyle name="Percent 2 2 2 2 2 14" xfId="7828" xr:uid="{00000000-0005-0000-0000-0000971E0000}"/>
    <cellStyle name="Percent 2 2 2 2 2 15" xfId="7829" xr:uid="{00000000-0005-0000-0000-0000981E0000}"/>
    <cellStyle name="Percent 2 2 2 2 2 16" xfId="7830" xr:uid="{00000000-0005-0000-0000-0000991E0000}"/>
    <cellStyle name="Percent 2 2 2 2 2 17" xfId="7831" xr:uid="{00000000-0005-0000-0000-00009A1E0000}"/>
    <cellStyle name="Percent 2 2 2 2 2 18" xfId="7832" xr:uid="{00000000-0005-0000-0000-00009B1E0000}"/>
    <cellStyle name="Percent 2 2 2 2 2 19" xfId="7833" xr:uid="{00000000-0005-0000-0000-00009C1E0000}"/>
    <cellStyle name="Percent 2 2 2 2 2 19 2" xfId="7834" xr:uid="{00000000-0005-0000-0000-00009D1E0000}"/>
    <cellStyle name="Percent 2 2 2 2 2 2" xfId="7835" xr:uid="{00000000-0005-0000-0000-00009E1E0000}"/>
    <cellStyle name="Percent 2 2 2 2 2 20" xfId="7836" xr:uid="{00000000-0005-0000-0000-00009F1E0000}"/>
    <cellStyle name="Percent 2 2 2 2 2 3" xfId="7837" xr:uid="{00000000-0005-0000-0000-0000A01E0000}"/>
    <cellStyle name="Percent 2 2 2 2 2 4" xfId="7838" xr:uid="{00000000-0005-0000-0000-0000A11E0000}"/>
    <cellStyle name="Percent 2 2 2 2 2 5" xfId="7839" xr:uid="{00000000-0005-0000-0000-0000A21E0000}"/>
    <cellStyle name="Percent 2 2 2 2 2 6" xfId="7840" xr:uid="{00000000-0005-0000-0000-0000A31E0000}"/>
    <cellStyle name="Percent 2 2 2 2 2 7" xfId="7841" xr:uid="{00000000-0005-0000-0000-0000A41E0000}"/>
    <cellStyle name="Percent 2 2 2 2 2 8" xfId="7842" xr:uid="{00000000-0005-0000-0000-0000A51E0000}"/>
    <cellStyle name="Percent 2 2 2 2 2 9" xfId="7843" xr:uid="{00000000-0005-0000-0000-0000A61E0000}"/>
    <cellStyle name="Percent 2 2 2 2 20" xfId="7844" xr:uid="{00000000-0005-0000-0000-0000A71E0000}"/>
    <cellStyle name="Percent 2 2 2 2 20 2" xfId="7845" xr:uid="{00000000-0005-0000-0000-0000A81E0000}"/>
    <cellStyle name="Percent 2 2 2 2 20 2 2" xfId="7846" xr:uid="{00000000-0005-0000-0000-0000A91E0000}"/>
    <cellStyle name="Percent 2 2 2 2 20 3" xfId="7847" xr:uid="{00000000-0005-0000-0000-0000AA1E0000}"/>
    <cellStyle name="Percent 2 2 2 2 21" xfId="7848" xr:uid="{00000000-0005-0000-0000-0000AB1E0000}"/>
    <cellStyle name="Percent 2 2 2 2 21 2" xfId="7849" xr:uid="{00000000-0005-0000-0000-0000AC1E0000}"/>
    <cellStyle name="Percent 2 2 2 2 21 2 2" xfId="7850" xr:uid="{00000000-0005-0000-0000-0000AD1E0000}"/>
    <cellStyle name="Percent 2 2 2 2 21 3" xfId="7851" xr:uid="{00000000-0005-0000-0000-0000AE1E0000}"/>
    <cellStyle name="Percent 2 2 2 2 22" xfId="7852" xr:uid="{00000000-0005-0000-0000-0000AF1E0000}"/>
    <cellStyle name="Percent 2 2 2 2 22 2" xfId="7853" xr:uid="{00000000-0005-0000-0000-0000B01E0000}"/>
    <cellStyle name="Percent 2 2 2 2 22 2 2" xfId="7854" xr:uid="{00000000-0005-0000-0000-0000B11E0000}"/>
    <cellStyle name="Percent 2 2 2 2 22 3" xfId="7855" xr:uid="{00000000-0005-0000-0000-0000B21E0000}"/>
    <cellStyle name="Percent 2 2 2 2 23" xfId="7856" xr:uid="{00000000-0005-0000-0000-0000B31E0000}"/>
    <cellStyle name="Percent 2 2 2 2 23 2" xfId="7857" xr:uid="{00000000-0005-0000-0000-0000B41E0000}"/>
    <cellStyle name="Percent 2 2 2 2 23 2 2" xfId="7858" xr:uid="{00000000-0005-0000-0000-0000B51E0000}"/>
    <cellStyle name="Percent 2 2 2 2 23 3" xfId="7859" xr:uid="{00000000-0005-0000-0000-0000B61E0000}"/>
    <cellStyle name="Percent 2 2 2 2 24" xfId="7860" xr:uid="{00000000-0005-0000-0000-0000B71E0000}"/>
    <cellStyle name="Percent 2 2 2 2 24 2" xfId="7861" xr:uid="{00000000-0005-0000-0000-0000B81E0000}"/>
    <cellStyle name="Percent 2 2 2 2 24 2 2" xfId="7862" xr:uid="{00000000-0005-0000-0000-0000B91E0000}"/>
    <cellStyle name="Percent 2 2 2 2 24 3" xfId="7863" xr:uid="{00000000-0005-0000-0000-0000BA1E0000}"/>
    <cellStyle name="Percent 2 2 2 2 25" xfId="7864" xr:uid="{00000000-0005-0000-0000-0000BB1E0000}"/>
    <cellStyle name="Percent 2 2 2 2 25 2" xfId="7865" xr:uid="{00000000-0005-0000-0000-0000BC1E0000}"/>
    <cellStyle name="Percent 2 2 2 2 25 2 2" xfId="7866" xr:uid="{00000000-0005-0000-0000-0000BD1E0000}"/>
    <cellStyle name="Percent 2 2 2 2 25 3" xfId="7867" xr:uid="{00000000-0005-0000-0000-0000BE1E0000}"/>
    <cellStyle name="Percent 2 2 2 2 26" xfId="7868" xr:uid="{00000000-0005-0000-0000-0000BF1E0000}"/>
    <cellStyle name="Percent 2 2 2 2 26 2" xfId="7869" xr:uid="{00000000-0005-0000-0000-0000C01E0000}"/>
    <cellStyle name="Percent 2 2 2 2 26 2 2" xfId="7870" xr:uid="{00000000-0005-0000-0000-0000C11E0000}"/>
    <cellStyle name="Percent 2 2 2 2 26 3" xfId="7871" xr:uid="{00000000-0005-0000-0000-0000C21E0000}"/>
    <cellStyle name="Percent 2 2 2 2 3" xfId="7872" xr:uid="{00000000-0005-0000-0000-0000C31E0000}"/>
    <cellStyle name="Percent 2 2 2 2 4" xfId="7873" xr:uid="{00000000-0005-0000-0000-0000C41E0000}"/>
    <cellStyle name="Percent 2 2 2 2 5" xfId="7874" xr:uid="{00000000-0005-0000-0000-0000C51E0000}"/>
    <cellStyle name="Percent 2 2 2 2 6" xfId="7875" xr:uid="{00000000-0005-0000-0000-0000C61E0000}"/>
    <cellStyle name="Percent 2 2 2 2 7" xfId="7876" xr:uid="{00000000-0005-0000-0000-0000C71E0000}"/>
    <cellStyle name="Percent 2 2 2 2 8" xfId="7877" xr:uid="{00000000-0005-0000-0000-0000C81E0000}"/>
    <cellStyle name="Percent 2 2 2 2 9" xfId="7878" xr:uid="{00000000-0005-0000-0000-0000C91E0000}"/>
    <cellStyle name="Percent 2 2 2 20" xfId="7879" xr:uid="{00000000-0005-0000-0000-0000CA1E0000}"/>
    <cellStyle name="Percent 2 2 2 21" xfId="7880" xr:uid="{00000000-0005-0000-0000-0000CB1E0000}"/>
    <cellStyle name="Percent 2 2 2 22" xfId="7881" xr:uid="{00000000-0005-0000-0000-0000CC1E0000}"/>
    <cellStyle name="Percent 2 2 2 23" xfId="7882" xr:uid="{00000000-0005-0000-0000-0000CD1E0000}"/>
    <cellStyle name="Percent 2 2 2 24" xfId="7883" xr:uid="{00000000-0005-0000-0000-0000CE1E0000}"/>
    <cellStyle name="Percent 2 2 2 25" xfId="7884" xr:uid="{00000000-0005-0000-0000-0000CF1E0000}"/>
    <cellStyle name="Percent 2 2 2 26" xfId="7885" xr:uid="{00000000-0005-0000-0000-0000D01E0000}"/>
    <cellStyle name="Percent 2 2 2 27" xfId="7886" xr:uid="{00000000-0005-0000-0000-0000D11E0000}"/>
    <cellStyle name="Percent 2 2 2 28" xfId="7887" xr:uid="{00000000-0005-0000-0000-0000D21E0000}"/>
    <cellStyle name="Percent 2 2 2 3" xfId="7888" xr:uid="{00000000-0005-0000-0000-0000D31E0000}"/>
    <cellStyle name="Percent 2 2 2 3 2" xfId="7889" xr:uid="{00000000-0005-0000-0000-0000D41E0000}"/>
    <cellStyle name="Percent 2 2 2 3 2 2" xfId="7890" xr:uid="{00000000-0005-0000-0000-0000D51E0000}"/>
    <cellStyle name="Percent 2 2 2 3 3" xfId="7891" xr:uid="{00000000-0005-0000-0000-0000D61E0000}"/>
    <cellStyle name="Percent 2 2 2 4" xfId="7892" xr:uid="{00000000-0005-0000-0000-0000D71E0000}"/>
    <cellStyle name="Percent 2 2 2 4 2" xfId="7893" xr:uid="{00000000-0005-0000-0000-0000D81E0000}"/>
    <cellStyle name="Percent 2 2 2 4 2 2" xfId="7894" xr:uid="{00000000-0005-0000-0000-0000D91E0000}"/>
    <cellStyle name="Percent 2 2 2 4 3" xfId="7895" xr:uid="{00000000-0005-0000-0000-0000DA1E0000}"/>
    <cellStyle name="Percent 2 2 2 5" xfId="7896" xr:uid="{00000000-0005-0000-0000-0000DB1E0000}"/>
    <cellStyle name="Percent 2 2 2 5 2" xfId="7897" xr:uid="{00000000-0005-0000-0000-0000DC1E0000}"/>
    <cellStyle name="Percent 2 2 2 5 2 2" xfId="7898" xr:uid="{00000000-0005-0000-0000-0000DD1E0000}"/>
    <cellStyle name="Percent 2 2 2 5 3" xfId="7899" xr:uid="{00000000-0005-0000-0000-0000DE1E0000}"/>
    <cellStyle name="Percent 2 2 2 6" xfId="7900" xr:uid="{00000000-0005-0000-0000-0000DF1E0000}"/>
    <cellStyle name="Percent 2 2 2 6 2" xfId="7901" xr:uid="{00000000-0005-0000-0000-0000E01E0000}"/>
    <cellStyle name="Percent 2 2 2 6 2 2" xfId="7902" xr:uid="{00000000-0005-0000-0000-0000E11E0000}"/>
    <cellStyle name="Percent 2 2 2 6 3" xfId="7903" xr:uid="{00000000-0005-0000-0000-0000E21E0000}"/>
    <cellStyle name="Percent 2 2 2 7" xfId="7904" xr:uid="{00000000-0005-0000-0000-0000E31E0000}"/>
    <cellStyle name="Percent 2 2 2 7 2" xfId="7905" xr:uid="{00000000-0005-0000-0000-0000E41E0000}"/>
    <cellStyle name="Percent 2 2 2 7 2 2" xfId="7906" xr:uid="{00000000-0005-0000-0000-0000E51E0000}"/>
    <cellStyle name="Percent 2 2 2 7 3" xfId="7907" xr:uid="{00000000-0005-0000-0000-0000E61E0000}"/>
    <cellStyle name="Percent 2 2 2 8" xfId="7908" xr:uid="{00000000-0005-0000-0000-0000E71E0000}"/>
    <cellStyle name="Percent 2 2 2 8 2" xfId="7909" xr:uid="{00000000-0005-0000-0000-0000E81E0000}"/>
    <cellStyle name="Percent 2 2 2 8 2 2" xfId="7910" xr:uid="{00000000-0005-0000-0000-0000E91E0000}"/>
    <cellStyle name="Percent 2 2 2 8 3" xfId="7911" xr:uid="{00000000-0005-0000-0000-0000EA1E0000}"/>
    <cellStyle name="Percent 2 2 2 9" xfId="7912" xr:uid="{00000000-0005-0000-0000-0000EB1E0000}"/>
    <cellStyle name="Percent 2 2 2 9 2" xfId="7913" xr:uid="{00000000-0005-0000-0000-0000EC1E0000}"/>
    <cellStyle name="Percent 2 2 2 9 2 2" xfId="7914" xr:uid="{00000000-0005-0000-0000-0000ED1E0000}"/>
    <cellStyle name="Percent 2 2 2 9 3" xfId="7915" xr:uid="{00000000-0005-0000-0000-0000EE1E0000}"/>
    <cellStyle name="Percent 2 2 20" xfId="7916" xr:uid="{00000000-0005-0000-0000-0000EF1E0000}"/>
    <cellStyle name="Percent 2 2 20 2" xfId="7917" xr:uid="{00000000-0005-0000-0000-0000F01E0000}"/>
    <cellStyle name="Percent 2 2 20 2 2" xfId="7918" xr:uid="{00000000-0005-0000-0000-0000F11E0000}"/>
    <cellStyle name="Percent 2 2 20 3" xfId="7919" xr:uid="{00000000-0005-0000-0000-0000F21E0000}"/>
    <cellStyle name="Percent 2 2 21" xfId="7920" xr:uid="{00000000-0005-0000-0000-0000F31E0000}"/>
    <cellStyle name="Percent 2 2 21 2" xfId="7921" xr:uid="{00000000-0005-0000-0000-0000F41E0000}"/>
    <cellStyle name="Percent 2 2 21 2 2" xfId="7922" xr:uid="{00000000-0005-0000-0000-0000F51E0000}"/>
    <cellStyle name="Percent 2 2 21 3" xfId="7923" xr:uid="{00000000-0005-0000-0000-0000F61E0000}"/>
    <cellStyle name="Percent 2 2 22" xfId="7924" xr:uid="{00000000-0005-0000-0000-0000F71E0000}"/>
    <cellStyle name="Percent 2 2 22 2" xfId="7925" xr:uid="{00000000-0005-0000-0000-0000F81E0000}"/>
    <cellStyle name="Percent 2 2 22 2 2" xfId="7926" xr:uid="{00000000-0005-0000-0000-0000F91E0000}"/>
    <cellStyle name="Percent 2 2 22 3" xfId="7927" xr:uid="{00000000-0005-0000-0000-0000FA1E0000}"/>
    <cellStyle name="Percent 2 2 23" xfId="7928" xr:uid="{00000000-0005-0000-0000-0000FB1E0000}"/>
    <cellStyle name="Percent 2 2 23 2" xfId="7929" xr:uid="{00000000-0005-0000-0000-0000FC1E0000}"/>
    <cellStyle name="Percent 2 2 23 2 2" xfId="7930" xr:uid="{00000000-0005-0000-0000-0000FD1E0000}"/>
    <cellStyle name="Percent 2 2 23 3" xfId="7931" xr:uid="{00000000-0005-0000-0000-0000FE1E0000}"/>
    <cellStyle name="Percent 2 2 24" xfId="7932" xr:uid="{00000000-0005-0000-0000-0000FF1E0000}"/>
    <cellStyle name="Percent 2 2 24 2" xfId="7933" xr:uid="{00000000-0005-0000-0000-0000001F0000}"/>
    <cellStyle name="Percent 2 2 24 2 2" xfId="7934" xr:uid="{00000000-0005-0000-0000-0000011F0000}"/>
    <cellStyle name="Percent 2 2 24 3" xfId="7935" xr:uid="{00000000-0005-0000-0000-0000021F0000}"/>
    <cellStyle name="Percent 2 2 25" xfId="7936" xr:uid="{00000000-0005-0000-0000-0000031F0000}"/>
    <cellStyle name="Percent 2 2 25 2" xfId="7937" xr:uid="{00000000-0005-0000-0000-0000041F0000}"/>
    <cellStyle name="Percent 2 2 25 2 2" xfId="7938" xr:uid="{00000000-0005-0000-0000-0000051F0000}"/>
    <cellStyle name="Percent 2 2 25 3" xfId="7939" xr:uid="{00000000-0005-0000-0000-0000061F0000}"/>
    <cellStyle name="Percent 2 2 26" xfId="7940" xr:uid="{00000000-0005-0000-0000-0000071F0000}"/>
    <cellStyle name="Percent 2 2 26 2" xfId="7941" xr:uid="{00000000-0005-0000-0000-0000081F0000}"/>
    <cellStyle name="Percent 2 2 26 2 2" xfId="7942" xr:uid="{00000000-0005-0000-0000-0000091F0000}"/>
    <cellStyle name="Percent 2 2 26 3" xfId="7943" xr:uid="{00000000-0005-0000-0000-00000A1F0000}"/>
    <cellStyle name="Percent 2 2 27" xfId="7944" xr:uid="{00000000-0005-0000-0000-00000B1F0000}"/>
    <cellStyle name="Percent 2 2 27 2" xfId="7945" xr:uid="{00000000-0005-0000-0000-00000C1F0000}"/>
    <cellStyle name="Percent 2 2 27 2 2" xfId="7946" xr:uid="{00000000-0005-0000-0000-00000D1F0000}"/>
    <cellStyle name="Percent 2 2 27 3" xfId="7947" xr:uid="{00000000-0005-0000-0000-00000E1F0000}"/>
    <cellStyle name="Percent 2 2 28" xfId="7948" xr:uid="{00000000-0005-0000-0000-00000F1F0000}"/>
    <cellStyle name="Percent 2 2 28 2" xfId="7949" xr:uid="{00000000-0005-0000-0000-0000101F0000}"/>
    <cellStyle name="Percent 2 2 28 3" xfId="7950" xr:uid="{00000000-0005-0000-0000-0000111F0000}"/>
    <cellStyle name="Percent 2 2 29" xfId="7951" xr:uid="{00000000-0005-0000-0000-0000121F0000}"/>
    <cellStyle name="Percent 2 2 3" xfId="7952" xr:uid="{00000000-0005-0000-0000-0000131F0000}"/>
    <cellStyle name="Percent 2 2 3 2" xfId="7953" xr:uid="{00000000-0005-0000-0000-0000141F0000}"/>
    <cellStyle name="Percent 2 2 3 2 2" xfId="7954" xr:uid="{00000000-0005-0000-0000-0000151F0000}"/>
    <cellStyle name="Percent 2 2 3 2 3" xfId="7955" xr:uid="{00000000-0005-0000-0000-0000161F0000}"/>
    <cellStyle name="Percent 2 2 3 3" xfId="7956" xr:uid="{00000000-0005-0000-0000-0000171F0000}"/>
    <cellStyle name="Percent 2 2 4" xfId="7957" xr:uid="{00000000-0005-0000-0000-0000181F0000}"/>
    <cellStyle name="Percent 2 2 4 2" xfId="7958" xr:uid="{00000000-0005-0000-0000-0000191F0000}"/>
    <cellStyle name="Percent 2 2 4 2 2" xfId="7959" xr:uid="{00000000-0005-0000-0000-00001A1F0000}"/>
    <cellStyle name="Percent 2 2 4 2 3" xfId="7960" xr:uid="{00000000-0005-0000-0000-00001B1F0000}"/>
    <cellStyle name="Percent 2 2 4 3" xfId="7961" xr:uid="{00000000-0005-0000-0000-00001C1F0000}"/>
    <cellStyle name="Percent 2 2 5" xfId="7962" xr:uid="{00000000-0005-0000-0000-00001D1F0000}"/>
    <cellStyle name="Percent 2 2 5 2" xfId="7963" xr:uid="{00000000-0005-0000-0000-00001E1F0000}"/>
    <cellStyle name="Percent 2 2 5 2 2" xfId="7964" xr:uid="{00000000-0005-0000-0000-00001F1F0000}"/>
    <cellStyle name="Percent 2 2 5 2 3" xfId="7965" xr:uid="{00000000-0005-0000-0000-0000201F0000}"/>
    <cellStyle name="Percent 2 2 5 3" xfId="7966" xr:uid="{00000000-0005-0000-0000-0000211F0000}"/>
    <cellStyle name="Percent 2 2 6" xfId="7967" xr:uid="{00000000-0005-0000-0000-0000221F0000}"/>
    <cellStyle name="Percent 2 2 6 2" xfId="7968" xr:uid="{00000000-0005-0000-0000-0000231F0000}"/>
    <cellStyle name="Percent 2 2 6 2 2" xfId="7969" xr:uid="{00000000-0005-0000-0000-0000241F0000}"/>
    <cellStyle name="Percent 2 2 6 2 3" xfId="7970" xr:uid="{00000000-0005-0000-0000-0000251F0000}"/>
    <cellStyle name="Percent 2 2 6 3" xfId="7971" xr:uid="{00000000-0005-0000-0000-0000261F0000}"/>
    <cellStyle name="Percent 2 2 7" xfId="7972" xr:uid="{00000000-0005-0000-0000-0000271F0000}"/>
    <cellStyle name="Percent 2 2 7 2" xfId="7973" xr:uid="{00000000-0005-0000-0000-0000281F0000}"/>
    <cellStyle name="Percent 2 2 7 2 2" xfId="7974" xr:uid="{00000000-0005-0000-0000-0000291F0000}"/>
    <cellStyle name="Percent 2 2 7 2 3" xfId="7975" xr:uid="{00000000-0005-0000-0000-00002A1F0000}"/>
    <cellStyle name="Percent 2 2 7 3" xfId="7976" xr:uid="{00000000-0005-0000-0000-00002B1F0000}"/>
    <cellStyle name="Percent 2 2 8" xfId="7977" xr:uid="{00000000-0005-0000-0000-00002C1F0000}"/>
    <cellStyle name="Percent 2 2 8 2" xfId="7978" xr:uid="{00000000-0005-0000-0000-00002D1F0000}"/>
    <cellStyle name="Percent 2 2 8 2 2" xfId="7979" xr:uid="{00000000-0005-0000-0000-00002E1F0000}"/>
    <cellStyle name="Percent 2 2 8 2 3" xfId="7980" xr:uid="{00000000-0005-0000-0000-00002F1F0000}"/>
    <cellStyle name="Percent 2 2 8 3" xfId="7981" xr:uid="{00000000-0005-0000-0000-0000301F0000}"/>
    <cellStyle name="Percent 2 2 9" xfId="7982" xr:uid="{00000000-0005-0000-0000-0000311F0000}"/>
    <cellStyle name="Percent 2 2 9 2" xfId="7983" xr:uid="{00000000-0005-0000-0000-0000321F0000}"/>
    <cellStyle name="Percent 2 20" xfId="7984" xr:uid="{00000000-0005-0000-0000-0000331F0000}"/>
    <cellStyle name="Percent 2 20 2" xfId="7985" xr:uid="{00000000-0005-0000-0000-0000341F0000}"/>
    <cellStyle name="Percent 2 20 2 2" xfId="7986" xr:uid="{00000000-0005-0000-0000-0000351F0000}"/>
    <cellStyle name="Percent 2 20 2 3" xfId="7987" xr:uid="{00000000-0005-0000-0000-0000361F0000}"/>
    <cellStyle name="Percent 2 20 3" xfId="7988" xr:uid="{00000000-0005-0000-0000-0000371F0000}"/>
    <cellStyle name="Percent 2 21" xfId="7989" xr:uid="{00000000-0005-0000-0000-0000381F0000}"/>
    <cellStyle name="Percent 2 21 2" xfId="7990" xr:uid="{00000000-0005-0000-0000-0000391F0000}"/>
    <cellStyle name="Percent 2 21 2 2" xfId="7991" xr:uid="{00000000-0005-0000-0000-00003A1F0000}"/>
    <cellStyle name="Percent 2 21 2 3" xfId="7992" xr:uid="{00000000-0005-0000-0000-00003B1F0000}"/>
    <cellStyle name="Percent 2 21 3" xfId="7993" xr:uid="{00000000-0005-0000-0000-00003C1F0000}"/>
    <cellStyle name="Percent 2 22" xfId="7994" xr:uid="{00000000-0005-0000-0000-00003D1F0000}"/>
    <cellStyle name="Percent 2 22 2" xfId="7995" xr:uid="{00000000-0005-0000-0000-00003E1F0000}"/>
    <cellStyle name="Percent 2 22 2 2" xfId="7996" xr:uid="{00000000-0005-0000-0000-00003F1F0000}"/>
    <cellStyle name="Percent 2 22 2 3" xfId="7997" xr:uid="{00000000-0005-0000-0000-0000401F0000}"/>
    <cellStyle name="Percent 2 22 3" xfId="7998" xr:uid="{00000000-0005-0000-0000-0000411F0000}"/>
    <cellStyle name="Percent 2 23" xfId="7999" xr:uid="{00000000-0005-0000-0000-0000421F0000}"/>
    <cellStyle name="Percent 2 23 2" xfId="8000" xr:uid="{00000000-0005-0000-0000-0000431F0000}"/>
    <cellStyle name="Percent 2 23 2 2" xfId="8001" xr:uid="{00000000-0005-0000-0000-0000441F0000}"/>
    <cellStyle name="Percent 2 23 2 3" xfId="8002" xr:uid="{00000000-0005-0000-0000-0000451F0000}"/>
    <cellStyle name="Percent 2 23 3" xfId="8003" xr:uid="{00000000-0005-0000-0000-0000461F0000}"/>
    <cellStyle name="Percent 2 24" xfId="8004" xr:uid="{00000000-0005-0000-0000-0000471F0000}"/>
    <cellStyle name="Percent 2 24 2" xfId="8005" xr:uid="{00000000-0005-0000-0000-0000481F0000}"/>
    <cellStyle name="Percent 2 24 2 2" xfId="8006" xr:uid="{00000000-0005-0000-0000-0000491F0000}"/>
    <cellStyle name="Percent 2 24 2 3" xfId="8007" xr:uid="{00000000-0005-0000-0000-00004A1F0000}"/>
    <cellStyle name="Percent 2 24 3" xfId="8008" xr:uid="{00000000-0005-0000-0000-00004B1F0000}"/>
    <cellStyle name="Percent 2 25" xfId="8009" xr:uid="{00000000-0005-0000-0000-00004C1F0000}"/>
    <cellStyle name="Percent 2 25 2" xfId="8010" xr:uid="{00000000-0005-0000-0000-00004D1F0000}"/>
    <cellStyle name="Percent 2 25 2 2" xfId="8011" xr:uid="{00000000-0005-0000-0000-00004E1F0000}"/>
    <cellStyle name="Percent 2 25 2 3" xfId="8012" xr:uid="{00000000-0005-0000-0000-00004F1F0000}"/>
    <cellStyle name="Percent 2 25 3" xfId="8013" xr:uid="{00000000-0005-0000-0000-0000501F0000}"/>
    <cellStyle name="Percent 2 26" xfId="8014" xr:uid="{00000000-0005-0000-0000-0000511F0000}"/>
    <cellStyle name="Percent 2 26 2" xfId="8015" xr:uid="{00000000-0005-0000-0000-0000521F0000}"/>
    <cellStyle name="Percent 2 26 2 2" xfId="8016" xr:uid="{00000000-0005-0000-0000-0000531F0000}"/>
    <cellStyle name="Percent 2 26 2 3" xfId="8017" xr:uid="{00000000-0005-0000-0000-0000541F0000}"/>
    <cellStyle name="Percent 2 26 3" xfId="8018" xr:uid="{00000000-0005-0000-0000-0000551F0000}"/>
    <cellStyle name="Percent 2 27" xfId="8019" xr:uid="{00000000-0005-0000-0000-0000561F0000}"/>
    <cellStyle name="Percent 2 27 2" xfId="8020" xr:uid="{00000000-0005-0000-0000-0000571F0000}"/>
    <cellStyle name="Percent 2 27 2 2" xfId="8021" xr:uid="{00000000-0005-0000-0000-0000581F0000}"/>
    <cellStyle name="Percent 2 27 2 3" xfId="8022" xr:uid="{00000000-0005-0000-0000-0000591F0000}"/>
    <cellStyle name="Percent 2 27 3" xfId="8023" xr:uid="{00000000-0005-0000-0000-00005A1F0000}"/>
    <cellStyle name="Percent 2 28" xfId="8024" xr:uid="{00000000-0005-0000-0000-00005B1F0000}"/>
    <cellStyle name="Percent 2 28 2" xfId="8025" xr:uid="{00000000-0005-0000-0000-00005C1F0000}"/>
    <cellStyle name="Percent 2 28 3" xfId="8026" xr:uid="{00000000-0005-0000-0000-00005D1F0000}"/>
    <cellStyle name="Percent 2 28 4" xfId="8027" xr:uid="{00000000-0005-0000-0000-00005E1F0000}"/>
    <cellStyle name="Percent 2 29" xfId="8028" xr:uid="{00000000-0005-0000-0000-00005F1F0000}"/>
    <cellStyle name="Percent 2 29 2" xfId="8029" xr:uid="{00000000-0005-0000-0000-0000601F0000}"/>
    <cellStyle name="Percent 2 3" xfId="8030" xr:uid="{00000000-0005-0000-0000-0000611F0000}"/>
    <cellStyle name="Percent 2 3 10" xfId="8031" xr:uid="{00000000-0005-0000-0000-0000621F0000}"/>
    <cellStyle name="Percent 2 3 11" xfId="8032" xr:uid="{00000000-0005-0000-0000-0000631F0000}"/>
    <cellStyle name="Percent 2 3 12" xfId="8033" xr:uid="{00000000-0005-0000-0000-0000641F0000}"/>
    <cellStyle name="Percent 2 3 13" xfId="8034" xr:uid="{00000000-0005-0000-0000-0000651F0000}"/>
    <cellStyle name="Percent 2 3 14" xfId="8035" xr:uid="{00000000-0005-0000-0000-0000661F0000}"/>
    <cellStyle name="Percent 2 3 15" xfId="8036" xr:uid="{00000000-0005-0000-0000-0000671F0000}"/>
    <cellStyle name="Percent 2 3 16" xfId="8037" xr:uid="{00000000-0005-0000-0000-0000681F0000}"/>
    <cellStyle name="Percent 2 3 17" xfId="8038" xr:uid="{00000000-0005-0000-0000-0000691F0000}"/>
    <cellStyle name="Percent 2 3 18" xfId="8039" xr:uid="{00000000-0005-0000-0000-00006A1F0000}"/>
    <cellStyle name="Percent 2 3 19" xfId="8040" xr:uid="{00000000-0005-0000-0000-00006B1F0000}"/>
    <cellStyle name="Percent 2 3 2" xfId="8041" xr:uid="{00000000-0005-0000-0000-00006C1F0000}"/>
    <cellStyle name="Percent 2 3 2 2" xfId="8042" xr:uid="{00000000-0005-0000-0000-00006D1F0000}"/>
    <cellStyle name="Percent 2 3 2 2 2" xfId="8043" xr:uid="{00000000-0005-0000-0000-00006E1F0000}"/>
    <cellStyle name="Percent 2 3 2 2 2 2" xfId="8044" xr:uid="{00000000-0005-0000-0000-00006F1F0000}"/>
    <cellStyle name="Percent 2 3 2 2 2 2 2" xfId="8045" xr:uid="{00000000-0005-0000-0000-0000701F0000}"/>
    <cellStyle name="Percent 2 3 2 2 2 3" xfId="8046" xr:uid="{00000000-0005-0000-0000-0000711F0000}"/>
    <cellStyle name="Percent 2 3 2 2 3" xfId="8047" xr:uid="{00000000-0005-0000-0000-0000721F0000}"/>
    <cellStyle name="Percent 2 3 2 2 3 2" xfId="8048" xr:uid="{00000000-0005-0000-0000-0000731F0000}"/>
    <cellStyle name="Percent 2 3 2 2 3 2 2" xfId="8049" xr:uid="{00000000-0005-0000-0000-0000741F0000}"/>
    <cellStyle name="Percent 2 3 2 2 3 3" xfId="8050" xr:uid="{00000000-0005-0000-0000-0000751F0000}"/>
    <cellStyle name="Percent 2 3 2 2 4" xfId="8051" xr:uid="{00000000-0005-0000-0000-0000761F0000}"/>
    <cellStyle name="Percent 2 3 2 2 4 2" xfId="8052" xr:uid="{00000000-0005-0000-0000-0000771F0000}"/>
    <cellStyle name="Percent 2 3 2 2 4 2 2" xfId="8053" xr:uid="{00000000-0005-0000-0000-0000781F0000}"/>
    <cellStyle name="Percent 2 3 2 2 4 3" xfId="8054" xr:uid="{00000000-0005-0000-0000-0000791F0000}"/>
    <cellStyle name="Percent 2 3 2 2 5" xfId="8055" xr:uid="{00000000-0005-0000-0000-00007A1F0000}"/>
    <cellStyle name="Percent 2 3 2 2 5 2" xfId="8056" xr:uid="{00000000-0005-0000-0000-00007B1F0000}"/>
    <cellStyle name="Percent 2 3 2 2 5 2 2" xfId="8057" xr:uid="{00000000-0005-0000-0000-00007C1F0000}"/>
    <cellStyle name="Percent 2 3 2 2 5 3" xfId="8058" xr:uid="{00000000-0005-0000-0000-00007D1F0000}"/>
    <cellStyle name="Percent 2 3 2 3" xfId="8059" xr:uid="{00000000-0005-0000-0000-00007E1F0000}"/>
    <cellStyle name="Percent 2 3 2 4" xfId="8060" xr:uid="{00000000-0005-0000-0000-00007F1F0000}"/>
    <cellStyle name="Percent 2 3 2 4 2" xfId="8061" xr:uid="{00000000-0005-0000-0000-0000801F0000}"/>
    <cellStyle name="Percent 2 3 2 5" xfId="8062" xr:uid="{00000000-0005-0000-0000-0000811F0000}"/>
    <cellStyle name="Percent 2 3 2 6" xfId="8063" xr:uid="{00000000-0005-0000-0000-0000821F0000}"/>
    <cellStyle name="Percent 2 3 2 6 2" xfId="8064" xr:uid="{00000000-0005-0000-0000-0000831F0000}"/>
    <cellStyle name="Percent 2 3 2 6 3" xfId="8065" xr:uid="{00000000-0005-0000-0000-0000841F0000}"/>
    <cellStyle name="Percent 2 3 2 7" xfId="8066" xr:uid="{00000000-0005-0000-0000-0000851F0000}"/>
    <cellStyle name="Percent 2 3 2 8" xfId="8067" xr:uid="{00000000-0005-0000-0000-0000861F0000}"/>
    <cellStyle name="Percent 2 3 3" xfId="8068" xr:uid="{00000000-0005-0000-0000-0000871F0000}"/>
    <cellStyle name="Percent 2 3 3 2" xfId="8069" xr:uid="{00000000-0005-0000-0000-0000881F0000}"/>
    <cellStyle name="Percent 2 3 3 2 2" xfId="8070" xr:uid="{00000000-0005-0000-0000-0000891F0000}"/>
    <cellStyle name="Percent 2 3 3 3" xfId="8071" xr:uid="{00000000-0005-0000-0000-00008A1F0000}"/>
    <cellStyle name="Percent 2 3 3 4" xfId="8072" xr:uid="{00000000-0005-0000-0000-00008B1F0000}"/>
    <cellStyle name="Percent 2 3 4" xfId="8073" xr:uid="{00000000-0005-0000-0000-00008C1F0000}"/>
    <cellStyle name="Percent 2 3 4 2" xfId="8074" xr:uid="{00000000-0005-0000-0000-00008D1F0000}"/>
    <cellStyle name="Percent 2 3 4 2 2" xfId="8075" xr:uid="{00000000-0005-0000-0000-00008E1F0000}"/>
    <cellStyle name="Percent 2 3 4 3" xfId="8076" xr:uid="{00000000-0005-0000-0000-00008F1F0000}"/>
    <cellStyle name="Percent 2 3 4 4" xfId="8077" xr:uid="{00000000-0005-0000-0000-0000901F0000}"/>
    <cellStyle name="Percent 2 3 5" xfId="8078" xr:uid="{00000000-0005-0000-0000-0000911F0000}"/>
    <cellStyle name="Percent 2 3 5 2" xfId="8079" xr:uid="{00000000-0005-0000-0000-0000921F0000}"/>
    <cellStyle name="Percent 2 3 5 2 2" xfId="8080" xr:uid="{00000000-0005-0000-0000-0000931F0000}"/>
    <cellStyle name="Percent 2 3 5 3" xfId="8081" xr:uid="{00000000-0005-0000-0000-0000941F0000}"/>
    <cellStyle name="Percent 2 3 5 4" xfId="8082" xr:uid="{00000000-0005-0000-0000-0000951F0000}"/>
    <cellStyle name="Percent 2 3 6" xfId="8083" xr:uid="{00000000-0005-0000-0000-0000961F0000}"/>
    <cellStyle name="Percent 2 3 6 2" xfId="8084" xr:uid="{00000000-0005-0000-0000-0000971F0000}"/>
    <cellStyle name="Percent 2 3 6 2 2" xfId="8085" xr:uid="{00000000-0005-0000-0000-0000981F0000}"/>
    <cellStyle name="Percent 2 3 6 3" xfId="8086" xr:uid="{00000000-0005-0000-0000-0000991F0000}"/>
    <cellStyle name="Percent 2 3 6 4" xfId="8087" xr:uid="{00000000-0005-0000-0000-00009A1F0000}"/>
    <cellStyle name="Percent 2 3 7" xfId="8088" xr:uid="{00000000-0005-0000-0000-00009B1F0000}"/>
    <cellStyle name="Percent 2 3 8" xfId="8089" xr:uid="{00000000-0005-0000-0000-00009C1F0000}"/>
    <cellStyle name="Percent 2 3 9" xfId="8090" xr:uid="{00000000-0005-0000-0000-00009D1F0000}"/>
    <cellStyle name="Percent 2 30" xfId="8091" xr:uid="{00000000-0005-0000-0000-00009E1F0000}"/>
    <cellStyle name="Percent 2 30 2" xfId="8092" xr:uid="{00000000-0005-0000-0000-00009F1F0000}"/>
    <cellStyle name="Percent 2 31" xfId="8093" xr:uid="{00000000-0005-0000-0000-0000A01F0000}"/>
    <cellStyle name="Percent 2 31 2" xfId="8094" xr:uid="{00000000-0005-0000-0000-0000A11F0000}"/>
    <cellStyle name="Percent 2 32" xfId="8095" xr:uid="{00000000-0005-0000-0000-0000A21F0000}"/>
    <cellStyle name="Percent 2 32 2" xfId="8096" xr:uid="{00000000-0005-0000-0000-0000A31F0000}"/>
    <cellStyle name="Percent 2 33" xfId="8097" xr:uid="{00000000-0005-0000-0000-0000A41F0000}"/>
    <cellStyle name="Percent 2 33 2" xfId="8098" xr:uid="{00000000-0005-0000-0000-0000A51F0000}"/>
    <cellStyle name="Percent 2 34" xfId="8099" xr:uid="{00000000-0005-0000-0000-0000A61F0000}"/>
    <cellStyle name="Percent 2 34 2" xfId="8100" xr:uid="{00000000-0005-0000-0000-0000A71F0000}"/>
    <cellStyle name="Percent 2 35" xfId="8101" xr:uid="{00000000-0005-0000-0000-0000A81F0000}"/>
    <cellStyle name="Percent 2 35 2" xfId="8102" xr:uid="{00000000-0005-0000-0000-0000A91F0000}"/>
    <cellStyle name="Percent 2 36" xfId="8103" xr:uid="{00000000-0005-0000-0000-0000AA1F0000}"/>
    <cellStyle name="Percent 2 36 2" xfId="8104" xr:uid="{00000000-0005-0000-0000-0000AB1F0000}"/>
    <cellStyle name="Percent 2 37" xfId="8105" xr:uid="{00000000-0005-0000-0000-0000AC1F0000}"/>
    <cellStyle name="Percent 2 37 2" xfId="8106" xr:uid="{00000000-0005-0000-0000-0000AD1F0000}"/>
    <cellStyle name="Percent 2 38" xfId="8107" xr:uid="{00000000-0005-0000-0000-0000AE1F0000}"/>
    <cellStyle name="Percent 2 38 2" xfId="8108" xr:uid="{00000000-0005-0000-0000-0000AF1F0000}"/>
    <cellStyle name="Percent 2 39" xfId="8109" xr:uid="{00000000-0005-0000-0000-0000B01F0000}"/>
    <cellStyle name="Percent 2 39 2" xfId="8110" xr:uid="{00000000-0005-0000-0000-0000B11F0000}"/>
    <cellStyle name="Percent 2 4" xfId="8111" xr:uid="{00000000-0005-0000-0000-0000B21F0000}"/>
    <cellStyle name="Percent 2 4 2" xfId="8112" xr:uid="{00000000-0005-0000-0000-0000B31F0000}"/>
    <cellStyle name="Percent 2 4 2 2" xfId="8113" xr:uid="{00000000-0005-0000-0000-0000B41F0000}"/>
    <cellStyle name="Percent 2 4 2 2 2" xfId="8114" xr:uid="{00000000-0005-0000-0000-0000B51F0000}"/>
    <cellStyle name="Percent 2 4 2 3" xfId="8115" xr:uid="{00000000-0005-0000-0000-0000B61F0000}"/>
    <cellStyle name="Percent 2 4 2 4" xfId="8116" xr:uid="{00000000-0005-0000-0000-0000B71F0000}"/>
    <cellStyle name="Percent 2 4 2 5" xfId="8117" xr:uid="{00000000-0005-0000-0000-0000B81F0000}"/>
    <cellStyle name="Percent 2 4 3" xfId="8118" xr:uid="{00000000-0005-0000-0000-0000B91F0000}"/>
    <cellStyle name="Percent 2 4 4" xfId="8119" xr:uid="{00000000-0005-0000-0000-0000BA1F0000}"/>
    <cellStyle name="Percent 2 4 5" xfId="8120" xr:uid="{00000000-0005-0000-0000-0000BB1F0000}"/>
    <cellStyle name="Percent 2 4 6" xfId="8121" xr:uid="{00000000-0005-0000-0000-0000BC1F0000}"/>
    <cellStyle name="Percent 2 40" xfId="8122" xr:uid="{00000000-0005-0000-0000-0000BD1F0000}"/>
    <cellStyle name="Percent 2 40 2" xfId="8123" xr:uid="{00000000-0005-0000-0000-0000BE1F0000}"/>
    <cellStyle name="Percent 2 41" xfId="8124" xr:uid="{00000000-0005-0000-0000-0000BF1F0000}"/>
    <cellStyle name="Percent 2 41 2" xfId="8125" xr:uid="{00000000-0005-0000-0000-0000C01F0000}"/>
    <cellStyle name="Percent 2 42" xfId="8126" xr:uid="{00000000-0005-0000-0000-0000C11F0000}"/>
    <cellStyle name="Percent 2 42 2" xfId="8127" xr:uid="{00000000-0005-0000-0000-0000C21F0000}"/>
    <cellStyle name="Percent 2 43" xfId="8128" xr:uid="{00000000-0005-0000-0000-0000C31F0000}"/>
    <cellStyle name="Percent 2 43 2" xfId="8129" xr:uid="{00000000-0005-0000-0000-0000C41F0000}"/>
    <cellStyle name="Percent 2 44" xfId="8130" xr:uid="{00000000-0005-0000-0000-0000C51F0000}"/>
    <cellStyle name="Percent 2 44 2" xfId="8131" xr:uid="{00000000-0005-0000-0000-0000C61F0000}"/>
    <cellStyle name="Percent 2 45" xfId="8132" xr:uid="{00000000-0005-0000-0000-0000C71F0000}"/>
    <cellStyle name="Percent 2 45 2" xfId="8133" xr:uid="{00000000-0005-0000-0000-0000C81F0000}"/>
    <cellStyle name="Percent 2 46" xfId="8134" xr:uid="{00000000-0005-0000-0000-0000C91F0000}"/>
    <cellStyle name="Percent 2 46 2" xfId="8135" xr:uid="{00000000-0005-0000-0000-0000CA1F0000}"/>
    <cellStyle name="Percent 2 47" xfId="8136" xr:uid="{00000000-0005-0000-0000-0000CB1F0000}"/>
    <cellStyle name="Percent 2 47 2" xfId="8137" xr:uid="{00000000-0005-0000-0000-0000CC1F0000}"/>
    <cellStyle name="Percent 2 48" xfId="8138" xr:uid="{00000000-0005-0000-0000-0000CD1F0000}"/>
    <cellStyle name="Percent 2 48 2" xfId="8139" xr:uid="{00000000-0005-0000-0000-0000CE1F0000}"/>
    <cellStyle name="Percent 2 49" xfId="8140" xr:uid="{00000000-0005-0000-0000-0000CF1F0000}"/>
    <cellStyle name="Percent 2 49 2" xfId="8141" xr:uid="{00000000-0005-0000-0000-0000D01F0000}"/>
    <cellStyle name="Percent 2 5" xfId="8142" xr:uid="{00000000-0005-0000-0000-0000D11F0000}"/>
    <cellStyle name="Percent 2 5 2" xfId="8143" xr:uid="{00000000-0005-0000-0000-0000D21F0000}"/>
    <cellStyle name="Percent 2 5 2 2" xfId="8144" xr:uid="{00000000-0005-0000-0000-0000D31F0000}"/>
    <cellStyle name="Percent 2 5 2 3" xfId="8145" xr:uid="{00000000-0005-0000-0000-0000D41F0000}"/>
    <cellStyle name="Percent 2 5 3" xfId="8146" xr:uid="{00000000-0005-0000-0000-0000D51F0000}"/>
    <cellStyle name="Percent 2 5 4" xfId="8147" xr:uid="{00000000-0005-0000-0000-0000D61F0000}"/>
    <cellStyle name="Percent 2 50" xfId="8148" xr:uid="{00000000-0005-0000-0000-0000D71F0000}"/>
    <cellStyle name="Percent 2 50 2" xfId="8149" xr:uid="{00000000-0005-0000-0000-0000D81F0000}"/>
    <cellStyle name="Percent 2 51" xfId="8150" xr:uid="{00000000-0005-0000-0000-0000D91F0000}"/>
    <cellStyle name="Percent 2 51 2" xfId="8151" xr:uid="{00000000-0005-0000-0000-0000DA1F0000}"/>
    <cellStyle name="Percent 2 52" xfId="8152" xr:uid="{00000000-0005-0000-0000-0000DB1F0000}"/>
    <cellStyle name="Percent 2 52 2" xfId="8153" xr:uid="{00000000-0005-0000-0000-0000DC1F0000}"/>
    <cellStyle name="Percent 2 53" xfId="8154" xr:uid="{00000000-0005-0000-0000-0000DD1F0000}"/>
    <cellStyle name="Percent 2 53 2" xfId="8155" xr:uid="{00000000-0005-0000-0000-0000DE1F0000}"/>
    <cellStyle name="Percent 2 54" xfId="8156" xr:uid="{00000000-0005-0000-0000-0000DF1F0000}"/>
    <cellStyle name="Percent 2 54 2" xfId="8157" xr:uid="{00000000-0005-0000-0000-0000E01F0000}"/>
    <cellStyle name="Percent 2 55" xfId="8158" xr:uid="{00000000-0005-0000-0000-0000E11F0000}"/>
    <cellStyle name="Percent 2 56" xfId="8159" xr:uid="{00000000-0005-0000-0000-0000E21F0000}"/>
    <cellStyle name="Percent 2 56 2" xfId="8160" xr:uid="{00000000-0005-0000-0000-0000E31F0000}"/>
    <cellStyle name="Percent 2 57" xfId="8161" xr:uid="{00000000-0005-0000-0000-0000E41F0000}"/>
    <cellStyle name="Percent 2 57 2" xfId="8162" xr:uid="{00000000-0005-0000-0000-0000E51F0000}"/>
    <cellStyle name="Percent 2 58" xfId="8163" xr:uid="{00000000-0005-0000-0000-0000E61F0000}"/>
    <cellStyle name="Percent 2 58 2" xfId="8164" xr:uid="{00000000-0005-0000-0000-0000E71F0000}"/>
    <cellStyle name="Percent 2 59" xfId="8165" xr:uid="{00000000-0005-0000-0000-0000E81F0000}"/>
    <cellStyle name="Percent 2 59 2" xfId="8166" xr:uid="{00000000-0005-0000-0000-0000E91F0000}"/>
    <cellStyle name="Percent 2 6" xfId="8167" xr:uid="{00000000-0005-0000-0000-0000EA1F0000}"/>
    <cellStyle name="Percent 2 6 2" xfId="8168" xr:uid="{00000000-0005-0000-0000-0000EB1F0000}"/>
    <cellStyle name="Percent 2 6 2 2" xfId="8169" xr:uid="{00000000-0005-0000-0000-0000EC1F0000}"/>
    <cellStyle name="Percent 2 6 2 2 2" xfId="8170" xr:uid="{00000000-0005-0000-0000-0000ED1F0000}"/>
    <cellStyle name="Percent 2 6 2 3" xfId="8171" xr:uid="{00000000-0005-0000-0000-0000EE1F0000}"/>
    <cellStyle name="Percent 2 6 3" xfId="8172" xr:uid="{00000000-0005-0000-0000-0000EF1F0000}"/>
    <cellStyle name="Percent 2 6 4" xfId="8173" xr:uid="{00000000-0005-0000-0000-0000F01F0000}"/>
    <cellStyle name="Percent 2 60" xfId="8174" xr:uid="{00000000-0005-0000-0000-0000F11F0000}"/>
    <cellStyle name="Percent 2 60 2" xfId="8175" xr:uid="{00000000-0005-0000-0000-0000F21F0000}"/>
    <cellStyle name="Percent 2 61" xfId="8176" xr:uid="{00000000-0005-0000-0000-0000F31F0000}"/>
    <cellStyle name="Percent 2 61 2" xfId="8177" xr:uid="{00000000-0005-0000-0000-0000F41F0000}"/>
    <cellStyle name="Percent 2 62" xfId="8178" xr:uid="{00000000-0005-0000-0000-0000F51F0000}"/>
    <cellStyle name="Percent 2 62 2" xfId="8179" xr:uid="{00000000-0005-0000-0000-0000F61F0000}"/>
    <cellStyle name="Percent 2 63" xfId="8180" xr:uid="{00000000-0005-0000-0000-0000F71F0000}"/>
    <cellStyle name="Percent 2 63 2" xfId="8181" xr:uid="{00000000-0005-0000-0000-0000F81F0000}"/>
    <cellStyle name="Percent 2 63 2 2" xfId="8182" xr:uid="{00000000-0005-0000-0000-0000F91F0000}"/>
    <cellStyle name="Percent 2 63 2 2 2" xfId="8183" xr:uid="{00000000-0005-0000-0000-0000FA1F0000}"/>
    <cellStyle name="Percent 2 63 2 3" xfId="8184" xr:uid="{00000000-0005-0000-0000-0000FB1F0000}"/>
    <cellStyle name="Percent 2 64" xfId="8185" xr:uid="{00000000-0005-0000-0000-0000FC1F0000}"/>
    <cellStyle name="Percent 2 65" xfId="8186" xr:uid="{00000000-0005-0000-0000-0000FD1F0000}"/>
    <cellStyle name="Percent 2 66" xfId="8187" xr:uid="{00000000-0005-0000-0000-0000FE1F0000}"/>
    <cellStyle name="Percent 2 67" xfId="8188" xr:uid="{00000000-0005-0000-0000-0000FF1F0000}"/>
    <cellStyle name="Percent 2 68" xfId="8189" xr:uid="{00000000-0005-0000-0000-000000200000}"/>
    <cellStyle name="Percent 2 69" xfId="8190" xr:uid="{00000000-0005-0000-0000-000001200000}"/>
    <cellStyle name="Percent 2 69 2" xfId="8191" xr:uid="{00000000-0005-0000-0000-000002200000}"/>
    <cellStyle name="Percent 2 7" xfId="8192" xr:uid="{00000000-0005-0000-0000-000003200000}"/>
    <cellStyle name="Percent 2 7 2" xfId="8193" xr:uid="{00000000-0005-0000-0000-000004200000}"/>
    <cellStyle name="Percent 2 7 2 2" xfId="8194" xr:uid="{00000000-0005-0000-0000-000005200000}"/>
    <cellStyle name="Percent 2 7 2 3" xfId="8195" xr:uid="{00000000-0005-0000-0000-000006200000}"/>
    <cellStyle name="Percent 2 7 3" xfId="8196" xr:uid="{00000000-0005-0000-0000-000007200000}"/>
    <cellStyle name="Percent 2 70" xfId="8197" xr:uid="{00000000-0005-0000-0000-000008200000}"/>
    <cellStyle name="Percent 2 71" xfId="8198" xr:uid="{00000000-0005-0000-0000-000009200000}"/>
    <cellStyle name="Percent 2 72" xfId="8199" xr:uid="{00000000-0005-0000-0000-00000A200000}"/>
    <cellStyle name="Percent 2 73" xfId="8200" xr:uid="{00000000-0005-0000-0000-00000B200000}"/>
    <cellStyle name="Percent 2 74" xfId="8201" xr:uid="{00000000-0005-0000-0000-00000C200000}"/>
    <cellStyle name="Percent 2 75" xfId="8202" xr:uid="{00000000-0005-0000-0000-00000D200000}"/>
    <cellStyle name="Percent 2 76" xfId="8203" xr:uid="{00000000-0005-0000-0000-00000E200000}"/>
    <cellStyle name="Percent 2 77" xfId="8204" xr:uid="{00000000-0005-0000-0000-00000F200000}"/>
    <cellStyle name="Percent 2 78" xfId="8205" xr:uid="{00000000-0005-0000-0000-000010200000}"/>
    <cellStyle name="Percent 2 79" xfId="8206" xr:uid="{00000000-0005-0000-0000-000011200000}"/>
    <cellStyle name="Percent 2 8" xfId="8207" xr:uid="{00000000-0005-0000-0000-000012200000}"/>
    <cellStyle name="Percent 2 8 2" xfId="8208" xr:uid="{00000000-0005-0000-0000-000013200000}"/>
    <cellStyle name="Percent 2 8 2 2" xfId="8209" xr:uid="{00000000-0005-0000-0000-000014200000}"/>
    <cellStyle name="Percent 2 8 2 3" xfId="8210" xr:uid="{00000000-0005-0000-0000-000015200000}"/>
    <cellStyle name="Percent 2 8 3" xfId="8211" xr:uid="{00000000-0005-0000-0000-000016200000}"/>
    <cellStyle name="Percent 2 80" xfId="8212" xr:uid="{00000000-0005-0000-0000-000017200000}"/>
    <cellStyle name="Percent 2 81" xfId="8213" xr:uid="{00000000-0005-0000-0000-000018200000}"/>
    <cellStyle name="Percent 2 82" xfId="8214" xr:uid="{00000000-0005-0000-0000-000019200000}"/>
    <cellStyle name="Percent 2 83" xfId="8215" xr:uid="{00000000-0005-0000-0000-00001A200000}"/>
    <cellStyle name="Percent 2 84" xfId="8216" xr:uid="{00000000-0005-0000-0000-00001B200000}"/>
    <cellStyle name="Percent 2 85" xfId="8217" xr:uid="{00000000-0005-0000-0000-00001C200000}"/>
    <cellStyle name="Percent 2 86" xfId="8218" xr:uid="{00000000-0005-0000-0000-00001D200000}"/>
    <cellStyle name="Percent 2 87" xfId="8219" xr:uid="{00000000-0005-0000-0000-00001E200000}"/>
    <cellStyle name="Percent 2 88" xfId="8220" xr:uid="{00000000-0005-0000-0000-00001F200000}"/>
    <cellStyle name="Percent 2 89" xfId="8221" xr:uid="{00000000-0005-0000-0000-000020200000}"/>
    <cellStyle name="Percent 2 9" xfId="8222" xr:uid="{00000000-0005-0000-0000-000021200000}"/>
    <cellStyle name="Percent 2 9 2" xfId="8223" xr:uid="{00000000-0005-0000-0000-000022200000}"/>
    <cellStyle name="Percent 2 9 2 2" xfId="8224" xr:uid="{00000000-0005-0000-0000-000023200000}"/>
    <cellStyle name="Percent 2 9 2 3" xfId="8225" xr:uid="{00000000-0005-0000-0000-000024200000}"/>
    <cellStyle name="Percent 2 9 3" xfId="8226" xr:uid="{00000000-0005-0000-0000-000025200000}"/>
    <cellStyle name="Percent 2 90" xfId="8227" xr:uid="{00000000-0005-0000-0000-000026200000}"/>
    <cellStyle name="Percent 2 91" xfId="8228" xr:uid="{00000000-0005-0000-0000-000027200000}"/>
    <cellStyle name="Percent 2 92" xfId="8229" xr:uid="{00000000-0005-0000-0000-000028200000}"/>
    <cellStyle name="Percent 2 93" xfId="8230" xr:uid="{00000000-0005-0000-0000-000029200000}"/>
    <cellStyle name="Percent 2 94" xfId="8231" xr:uid="{00000000-0005-0000-0000-00002A200000}"/>
    <cellStyle name="Percent 2 95" xfId="8232" xr:uid="{00000000-0005-0000-0000-00002B200000}"/>
    <cellStyle name="Percent 2 96" xfId="8233" xr:uid="{00000000-0005-0000-0000-00002C200000}"/>
    <cellStyle name="Percent 2 97" xfId="8234" xr:uid="{00000000-0005-0000-0000-00002D200000}"/>
    <cellStyle name="Percent 2 98" xfId="8235" xr:uid="{00000000-0005-0000-0000-00002E200000}"/>
    <cellStyle name="Percent 2 99" xfId="8236" xr:uid="{00000000-0005-0000-0000-00002F200000}"/>
    <cellStyle name="Percent 20" xfId="8237" xr:uid="{00000000-0005-0000-0000-000030200000}"/>
    <cellStyle name="Percent 20 2" xfId="8238" xr:uid="{00000000-0005-0000-0000-000031200000}"/>
    <cellStyle name="Percent 21" xfId="8239" xr:uid="{00000000-0005-0000-0000-000032200000}"/>
    <cellStyle name="Percent 21 2" xfId="8240" xr:uid="{00000000-0005-0000-0000-000033200000}"/>
    <cellStyle name="Percent 22" xfId="8241" xr:uid="{00000000-0005-0000-0000-000034200000}"/>
    <cellStyle name="Percent 23" xfId="8242" xr:uid="{00000000-0005-0000-0000-000035200000}"/>
    <cellStyle name="Percent 24" xfId="8243" xr:uid="{00000000-0005-0000-0000-000036200000}"/>
    <cellStyle name="Percent 25" xfId="8244" xr:uid="{00000000-0005-0000-0000-000037200000}"/>
    <cellStyle name="Percent 26" xfId="8245" xr:uid="{00000000-0005-0000-0000-000038200000}"/>
    <cellStyle name="Percent 26 2" xfId="8246" xr:uid="{00000000-0005-0000-0000-000039200000}"/>
    <cellStyle name="Percent 27" xfId="8247" xr:uid="{00000000-0005-0000-0000-00003A200000}"/>
    <cellStyle name="Percent 28" xfId="8248" xr:uid="{00000000-0005-0000-0000-00003B200000}"/>
    <cellStyle name="Percent 29" xfId="8249" xr:uid="{00000000-0005-0000-0000-00003C200000}"/>
    <cellStyle name="Percent 3" xfId="5" xr:uid="{00000000-0005-0000-0000-00003D200000}"/>
    <cellStyle name="Percent 3 10" xfId="8250" xr:uid="{00000000-0005-0000-0000-00003E200000}"/>
    <cellStyle name="Percent 3 10 2" xfId="8251" xr:uid="{00000000-0005-0000-0000-00003F200000}"/>
    <cellStyle name="Percent 3 10 2 2" xfId="8252" xr:uid="{00000000-0005-0000-0000-000040200000}"/>
    <cellStyle name="Percent 3 10 2 3" xfId="8253" xr:uid="{00000000-0005-0000-0000-000041200000}"/>
    <cellStyle name="Percent 3 10 3" xfId="8254" xr:uid="{00000000-0005-0000-0000-000042200000}"/>
    <cellStyle name="Percent 3 100" xfId="8255" xr:uid="{00000000-0005-0000-0000-000043200000}"/>
    <cellStyle name="Percent 3 101" xfId="8256" xr:uid="{00000000-0005-0000-0000-000044200000}"/>
    <cellStyle name="Percent 3 101 2" xfId="8257" xr:uid="{00000000-0005-0000-0000-000045200000}"/>
    <cellStyle name="Percent 3 101 3" xfId="8258" xr:uid="{00000000-0005-0000-0000-000046200000}"/>
    <cellStyle name="Percent 3 102" xfId="8259" xr:uid="{00000000-0005-0000-0000-000047200000}"/>
    <cellStyle name="Percent 3 102 2" xfId="8260" xr:uid="{00000000-0005-0000-0000-000048200000}"/>
    <cellStyle name="Percent 3 103" xfId="8261" xr:uid="{00000000-0005-0000-0000-000049200000}"/>
    <cellStyle name="Percent 3 103 2" xfId="8262" xr:uid="{00000000-0005-0000-0000-00004A200000}"/>
    <cellStyle name="Percent 3 104" xfId="8263" xr:uid="{00000000-0005-0000-0000-00004B200000}"/>
    <cellStyle name="Percent 3 104 2" xfId="8264" xr:uid="{00000000-0005-0000-0000-00004C200000}"/>
    <cellStyle name="Percent 3 105" xfId="8265" xr:uid="{00000000-0005-0000-0000-00004D200000}"/>
    <cellStyle name="Percent 3 105 2" xfId="8266" xr:uid="{00000000-0005-0000-0000-00004E200000}"/>
    <cellStyle name="Percent 3 106" xfId="8267" xr:uid="{00000000-0005-0000-0000-00004F200000}"/>
    <cellStyle name="Percent 3 106 2" xfId="8268" xr:uid="{00000000-0005-0000-0000-000050200000}"/>
    <cellStyle name="Percent 3 107" xfId="8269" xr:uid="{00000000-0005-0000-0000-000051200000}"/>
    <cellStyle name="Percent 3 108" xfId="8270" xr:uid="{00000000-0005-0000-0000-000052200000}"/>
    <cellStyle name="Percent 3 109" xfId="8271" xr:uid="{00000000-0005-0000-0000-000053200000}"/>
    <cellStyle name="Percent 3 11" xfId="8272" xr:uid="{00000000-0005-0000-0000-000054200000}"/>
    <cellStyle name="Percent 3 11 2" xfId="8273" xr:uid="{00000000-0005-0000-0000-000055200000}"/>
    <cellStyle name="Percent 3 11 2 2" xfId="8274" xr:uid="{00000000-0005-0000-0000-000056200000}"/>
    <cellStyle name="Percent 3 11 2 3" xfId="8275" xr:uid="{00000000-0005-0000-0000-000057200000}"/>
    <cellStyle name="Percent 3 11 3" xfId="8276" xr:uid="{00000000-0005-0000-0000-000058200000}"/>
    <cellStyle name="Percent 3 110" xfId="8277" xr:uid="{00000000-0005-0000-0000-000059200000}"/>
    <cellStyle name="Percent 3 111" xfId="8278" xr:uid="{00000000-0005-0000-0000-00005A200000}"/>
    <cellStyle name="Percent 3 112" xfId="8279" xr:uid="{00000000-0005-0000-0000-00005B200000}"/>
    <cellStyle name="Percent 3 113" xfId="8280" xr:uid="{00000000-0005-0000-0000-00005C200000}"/>
    <cellStyle name="Percent 3 114" xfId="8281" xr:uid="{00000000-0005-0000-0000-00005D200000}"/>
    <cellStyle name="Percent 3 115" xfId="8282" xr:uid="{00000000-0005-0000-0000-00005E200000}"/>
    <cellStyle name="Percent 3 116" xfId="8283" xr:uid="{00000000-0005-0000-0000-00005F200000}"/>
    <cellStyle name="Percent 3 117" xfId="8284" xr:uid="{00000000-0005-0000-0000-000060200000}"/>
    <cellStyle name="Percent 3 118" xfId="8285" xr:uid="{00000000-0005-0000-0000-000061200000}"/>
    <cellStyle name="Percent 3 119" xfId="8286" xr:uid="{00000000-0005-0000-0000-000062200000}"/>
    <cellStyle name="Percent 3 119 2" xfId="8287" xr:uid="{00000000-0005-0000-0000-000063200000}"/>
    <cellStyle name="Percent 3 12" xfId="8288" xr:uid="{00000000-0005-0000-0000-000064200000}"/>
    <cellStyle name="Percent 3 12 2" xfId="8289" xr:uid="{00000000-0005-0000-0000-000065200000}"/>
    <cellStyle name="Percent 3 12 2 2" xfId="8290" xr:uid="{00000000-0005-0000-0000-000066200000}"/>
    <cellStyle name="Percent 3 12 2 3" xfId="8291" xr:uid="{00000000-0005-0000-0000-000067200000}"/>
    <cellStyle name="Percent 3 12 3" xfId="8292" xr:uid="{00000000-0005-0000-0000-000068200000}"/>
    <cellStyle name="Percent 3 120" xfId="8293" xr:uid="{00000000-0005-0000-0000-000069200000}"/>
    <cellStyle name="Percent 3 120 2" xfId="8294" xr:uid="{00000000-0005-0000-0000-00006A200000}"/>
    <cellStyle name="Percent 3 121" xfId="8295" xr:uid="{00000000-0005-0000-0000-00006B200000}"/>
    <cellStyle name="Percent 3 121 2" xfId="8296" xr:uid="{00000000-0005-0000-0000-00006C200000}"/>
    <cellStyle name="Percent 3 122" xfId="8297" xr:uid="{00000000-0005-0000-0000-00006D200000}"/>
    <cellStyle name="Percent 3 122 2" xfId="8298" xr:uid="{00000000-0005-0000-0000-00006E200000}"/>
    <cellStyle name="Percent 3 123" xfId="8299" xr:uid="{00000000-0005-0000-0000-00006F200000}"/>
    <cellStyle name="Percent 3 124" xfId="8300" xr:uid="{00000000-0005-0000-0000-000070200000}"/>
    <cellStyle name="Percent 3 125" xfId="8301" xr:uid="{00000000-0005-0000-0000-000071200000}"/>
    <cellStyle name="Percent 3 126" xfId="8302" xr:uid="{00000000-0005-0000-0000-000072200000}"/>
    <cellStyle name="Percent 3 127" xfId="8303" xr:uid="{00000000-0005-0000-0000-000073200000}"/>
    <cellStyle name="Percent 3 128" xfId="8304" xr:uid="{00000000-0005-0000-0000-000074200000}"/>
    <cellStyle name="Percent 3 129" xfId="8305" xr:uid="{00000000-0005-0000-0000-000075200000}"/>
    <cellStyle name="Percent 3 13" xfId="8306" xr:uid="{00000000-0005-0000-0000-000076200000}"/>
    <cellStyle name="Percent 3 13 2" xfId="8307" xr:uid="{00000000-0005-0000-0000-000077200000}"/>
    <cellStyle name="Percent 3 13 2 2" xfId="8308" xr:uid="{00000000-0005-0000-0000-000078200000}"/>
    <cellStyle name="Percent 3 13 2 3" xfId="8309" xr:uid="{00000000-0005-0000-0000-000079200000}"/>
    <cellStyle name="Percent 3 13 3" xfId="8310" xr:uid="{00000000-0005-0000-0000-00007A200000}"/>
    <cellStyle name="Percent 3 13 4" xfId="8311" xr:uid="{00000000-0005-0000-0000-00007B200000}"/>
    <cellStyle name="Percent 3 130" xfId="8312" xr:uid="{00000000-0005-0000-0000-00007C200000}"/>
    <cellStyle name="Percent 3 131" xfId="8313" xr:uid="{00000000-0005-0000-0000-00007D200000}"/>
    <cellStyle name="Percent 3 132" xfId="8314" xr:uid="{00000000-0005-0000-0000-00007E200000}"/>
    <cellStyle name="Percent 3 133" xfId="8315" xr:uid="{00000000-0005-0000-0000-00007F200000}"/>
    <cellStyle name="Percent 3 134" xfId="8316" xr:uid="{00000000-0005-0000-0000-000080200000}"/>
    <cellStyle name="Percent 3 135" xfId="8317" xr:uid="{00000000-0005-0000-0000-000081200000}"/>
    <cellStyle name="Percent 3 136" xfId="8318" xr:uid="{00000000-0005-0000-0000-000082200000}"/>
    <cellStyle name="Percent 3 137" xfId="8319" xr:uid="{00000000-0005-0000-0000-000083200000}"/>
    <cellStyle name="Percent 3 138" xfId="8320" xr:uid="{00000000-0005-0000-0000-000084200000}"/>
    <cellStyle name="Percent 3 139" xfId="8321" xr:uid="{00000000-0005-0000-0000-000085200000}"/>
    <cellStyle name="Percent 3 14" xfId="8322" xr:uid="{00000000-0005-0000-0000-000086200000}"/>
    <cellStyle name="Percent 3 14 2" xfId="8323" xr:uid="{00000000-0005-0000-0000-000087200000}"/>
    <cellStyle name="Percent 3 14 2 2" xfId="8324" xr:uid="{00000000-0005-0000-0000-000088200000}"/>
    <cellStyle name="Percent 3 14 2 3" xfId="8325" xr:uid="{00000000-0005-0000-0000-000089200000}"/>
    <cellStyle name="Percent 3 14 3" xfId="8326" xr:uid="{00000000-0005-0000-0000-00008A200000}"/>
    <cellStyle name="Percent 3 140" xfId="8327" xr:uid="{00000000-0005-0000-0000-00008B200000}"/>
    <cellStyle name="Percent 3 141" xfId="8328" xr:uid="{00000000-0005-0000-0000-00008C200000}"/>
    <cellStyle name="Percent 3 142" xfId="8329" xr:uid="{00000000-0005-0000-0000-00008D200000}"/>
    <cellStyle name="Percent 3 143" xfId="8330" xr:uid="{00000000-0005-0000-0000-00008E200000}"/>
    <cellStyle name="Percent 3 144" xfId="8331" xr:uid="{00000000-0005-0000-0000-00008F200000}"/>
    <cellStyle name="Percent 3 145" xfId="8332" xr:uid="{00000000-0005-0000-0000-000090200000}"/>
    <cellStyle name="Percent 3 145 2" xfId="8333" xr:uid="{00000000-0005-0000-0000-000091200000}"/>
    <cellStyle name="Percent 3 146" xfId="8334" xr:uid="{00000000-0005-0000-0000-000092200000}"/>
    <cellStyle name="Percent 3 146 2" xfId="8335" xr:uid="{00000000-0005-0000-0000-000093200000}"/>
    <cellStyle name="Percent 3 147" xfId="8336" xr:uid="{00000000-0005-0000-0000-000094200000}"/>
    <cellStyle name="Percent 3 148" xfId="8337" xr:uid="{00000000-0005-0000-0000-000095200000}"/>
    <cellStyle name="Percent 3 149" xfId="8338" xr:uid="{00000000-0005-0000-0000-000096200000}"/>
    <cellStyle name="Percent 3 15" xfId="8339" xr:uid="{00000000-0005-0000-0000-000097200000}"/>
    <cellStyle name="Percent 3 15 2" xfId="8340" xr:uid="{00000000-0005-0000-0000-000098200000}"/>
    <cellStyle name="Percent 3 15 2 2" xfId="8341" xr:uid="{00000000-0005-0000-0000-000099200000}"/>
    <cellStyle name="Percent 3 15 2 3" xfId="8342" xr:uid="{00000000-0005-0000-0000-00009A200000}"/>
    <cellStyle name="Percent 3 15 3" xfId="8343" xr:uid="{00000000-0005-0000-0000-00009B200000}"/>
    <cellStyle name="Percent 3 15 4" xfId="8344" xr:uid="{00000000-0005-0000-0000-00009C200000}"/>
    <cellStyle name="Percent 3 150" xfId="8345" xr:uid="{00000000-0005-0000-0000-00009D200000}"/>
    <cellStyle name="Percent 3 151" xfId="8346" xr:uid="{00000000-0005-0000-0000-00009E200000}"/>
    <cellStyle name="Percent 3 152" xfId="8347" xr:uid="{00000000-0005-0000-0000-00009F200000}"/>
    <cellStyle name="Percent 3 153" xfId="8348" xr:uid="{00000000-0005-0000-0000-0000A0200000}"/>
    <cellStyle name="Percent 3 154" xfId="8349" xr:uid="{00000000-0005-0000-0000-0000A1200000}"/>
    <cellStyle name="Percent 3 155" xfId="8350" xr:uid="{00000000-0005-0000-0000-0000A2200000}"/>
    <cellStyle name="Percent 3 16" xfId="8351" xr:uid="{00000000-0005-0000-0000-0000A3200000}"/>
    <cellStyle name="Percent 3 16 2" xfId="8352" xr:uid="{00000000-0005-0000-0000-0000A4200000}"/>
    <cellStyle name="Percent 3 16 2 2" xfId="8353" xr:uid="{00000000-0005-0000-0000-0000A5200000}"/>
    <cellStyle name="Percent 3 16 2 3" xfId="8354" xr:uid="{00000000-0005-0000-0000-0000A6200000}"/>
    <cellStyle name="Percent 3 16 3" xfId="8355" xr:uid="{00000000-0005-0000-0000-0000A7200000}"/>
    <cellStyle name="Percent 3 16 4" xfId="8356" xr:uid="{00000000-0005-0000-0000-0000A8200000}"/>
    <cellStyle name="Percent 3 17" xfId="8357" xr:uid="{00000000-0005-0000-0000-0000A9200000}"/>
    <cellStyle name="Percent 3 17 2" xfId="8358" xr:uid="{00000000-0005-0000-0000-0000AA200000}"/>
    <cellStyle name="Percent 3 17 2 2" xfId="8359" xr:uid="{00000000-0005-0000-0000-0000AB200000}"/>
    <cellStyle name="Percent 3 17 2 3" xfId="8360" xr:uid="{00000000-0005-0000-0000-0000AC200000}"/>
    <cellStyle name="Percent 3 17 3" xfId="8361" xr:uid="{00000000-0005-0000-0000-0000AD200000}"/>
    <cellStyle name="Percent 3 17 4" xfId="8362" xr:uid="{00000000-0005-0000-0000-0000AE200000}"/>
    <cellStyle name="Percent 3 18" xfId="8363" xr:uid="{00000000-0005-0000-0000-0000AF200000}"/>
    <cellStyle name="Percent 3 18 2" xfId="8364" xr:uid="{00000000-0005-0000-0000-0000B0200000}"/>
    <cellStyle name="Percent 3 18 2 2" xfId="8365" xr:uid="{00000000-0005-0000-0000-0000B1200000}"/>
    <cellStyle name="Percent 3 18 2 3" xfId="8366" xr:uid="{00000000-0005-0000-0000-0000B2200000}"/>
    <cellStyle name="Percent 3 18 3" xfId="8367" xr:uid="{00000000-0005-0000-0000-0000B3200000}"/>
    <cellStyle name="Percent 3 18 4" xfId="8368" xr:uid="{00000000-0005-0000-0000-0000B4200000}"/>
    <cellStyle name="Percent 3 19" xfId="8369" xr:uid="{00000000-0005-0000-0000-0000B5200000}"/>
    <cellStyle name="Percent 3 19 2" xfId="8370" xr:uid="{00000000-0005-0000-0000-0000B6200000}"/>
    <cellStyle name="Percent 3 19 2 2" xfId="8371" xr:uid="{00000000-0005-0000-0000-0000B7200000}"/>
    <cellStyle name="Percent 3 19 2 3" xfId="8372" xr:uid="{00000000-0005-0000-0000-0000B8200000}"/>
    <cellStyle name="Percent 3 19 3" xfId="8373" xr:uid="{00000000-0005-0000-0000-0000B9200000}"/>
    <cellStyle name="Percent 3 2" xfId="8374" xr:uid="{00000000-0005-0000-0000-0000BA200000}"/>
    <cellStyle name="Percent 3 2 10" xfId="8375" xr:uid="{00000000-0005-0000-0000-0000BB200000}"/>
    <cellStyle name="Percent 3 2 10 2" xfId="8376" xr:uid="{00000000-0005-0000-0000-0000BC200000}"/>
    <cellStyle name="Percent 3 2 11" xfId="8377" xr:uid="{00000000-0005-0000-0000-0000BD200000}"/>
    <cellStyle name="Percent 3 2 11 2" xfId="8378" xr:uid="{00000000-0005-0000-0000-0000BE200000}"/>
    <cellStyle name="Percent 3 2 12" xfId="8379" xr:uid="{00000000-0005-0000-0000-0000BF200000}"/>
    <cellStyle name="Percent 3 2 12 2" xfId="8380" xr:uid="{00000000-0005-0000-0000-0000C0200000}"/>
    <cellStyle name="Percent 3 2 12 2 2" xfId="8381" xr:uid="{00000000-0005-0000-0000-0000C1200000}"/>
    <cellStyle name="Percent 3 2 12 3" xfId="8382" xr:uid="{00000000-0005-0000-0000-0000C2200000}"/>
    <cellStyle name="Percent 3 2 13" xfId="8383" xr:uid="{00000000-0005-0000-0000-0000C3200000}"/>
    <cellStyle name="Percent 3 2 13 2" xfId="8384" xr:uid="{00000000-0005-0000-0000-0000C4200000}"/>
    <cellStyle name="Percent 3 2 14" xfId="8385" xr:uid="{00000000-0005-0000-0000-0000C5200000}"/>
    <cellStyle name="Percent 3 2 14 2" xfId="8386" xr:uid="{00000000-0005-0000-0000-0000C6200000}"/>
    <cellStyle name="Percent 3 2 14 2 2" xfId="8387" xr:uid="{00000000-0005-0000-0000-0000C7200000}"/>
    <cellStyle name="Percent 3 2 14 3" xfId="8388" xr:uid="{00000000-0005-0000-0000-0000C8200000}"/>
    <cellStyle name="Percent 3 2 15" xfId="8389" xr:uid="{00000000-0005-0000-0000-0000C9200000}"/>
    <cellStyle name="Percent 3 2 15 2" xfId="8390" xr:uid="{00000000-0005-0000-0000-0000CA200000}"/>
    <cellStyle name="Percent 3 2 15 2 2" xfId="8391" xr:uid="{00000000-0005-0000-0000-0000CB200000}"/>
    <cellStyle name="Percent 3 2 15 3" xfId="8392" xr:uid="{00000000-0005-0000-0000-0000CC200000}"/>
    <cellStyle name="Percent 3 2 16" xfId="8393" xr:uid="{00000000-0005-0000-0000-0000CD200000}"/>
    <cellStyle name="Percent 3 2 16 2" xfId="8394" xr:uid="{00000000-0005-0000-0000-0000CE200000}"/>
    <cellStyle name="Percent 3 2 16 2 2" xfId="8395" xr:uid="{00000000-0005-0000-0000-0000CF200000}"/>
    <cellStyle name="Percent 3 2 16 3" xfId="8396" xr:uid="{00000000-0005-0000-0000-0000D0200000}"/>
    <cellStyle name="Percent 3 2 17" xfId="8397" xr:uid="{00000000-0005-0000-0000-0000D1200000}"/>
    <cellStyle name="Percent 3 2 17 2" xfId="8398" xr:uid="{00000000-0005-0000-0000-0000D2200000}"/>
    <cellStyle name="Percent 3 2 17 2 2" xfId="8399" xr:uid="{00000000-0005-0000-0000-0000D3200000}"/>
    <cellStyle name="Percent 3 2 17 3" xfId="8400" xr:uid="{00000000-0005-0000-0000-0000D4200000}"/>
    <cellStyle name="Percent 3 2 18" xfId="8401" xr:uid="{00000000-0005-0000-0000-0000D5200000}"/>
    <cellStyle name="Percent 3 2 19" xfId="8402" xr:uid="{00000000-0005-0000-0000-0000D6200000}"/>
    <cellStyle name="Percent 3 2 2" xfId="8403" xr:uid="{00000000-0005-0000-0000-0000D7200000}"/>
    <cellStyle name="Percent 3 2 2 10" xfId="8404" xr:uid="{00000000-0005-0000-0000-0000D8200000}"/>
    <cellStyle name="Percent 3 2 2 10 2" xfId="8405" xr:uid="{00000000-0005-0000-0000-0000D9200000}"/>
    <cellStyle name="Percent 3 2 2 10 2 2" xfId="8406" xr:uid="{00000000-0005-0000-0000-0000DA200000}"/>
    <cellStyle name="Percent 3 2 2 10 3" xfId="8407" xr:uid="{00000000-0005-0000-0000-0000DB200000}"/>
    <cellStyle name="Percent 3 2 2 11" xfId="8408" xr:uid="{00000000-0005-0000-0000-0000DC200000}"/>
    <cellStyle name="Percent 3 2 2 11 2" xfId="8409" xr:uid="{00000000-0005-0000-0000-0000DD200000}"/>
    <cellStyle name="Percent 3 2 2 11 2 2" xfId="8410" xr:uid="{00000000-0005-0000-0000-0000DE200000}"/>
    <cellStyle name="Percent 3 2 2 11 3" xfId="8411" xr:uid="{00000000-0005-0000-0000-0000DF200000}"/>
    <cellStyle name="Percent 3 2 2 12" xfId="8412" xr:uid="{00000000-0005-0000-0000-0000E0200000}"/>
    <cellStyle name="Percent 3 2 2 12 2" xfId="8413" xr:uid="{00000000-0005-0000-0000-0000E1200000}"/>
    <cellStyle name="Percent 3 2 2 12 2 2" xfId="8414" xr:uid="{00000000-0005-0000-0000-0000E2200000}"/>
    <cellStyle name="Percent 3 2 2 12 3" xfId="8415" xr:uid="{00000000-0005-0000-0000-0000E3200000}"/>
    <cellStyle name="Percent 3 2 2 13" xfId="8416" xr:uid="{00000000-0005-0000-0000-0000E4200000}"/>
    <cellStyle name="Percent 3 2 2 13 2" xfId="8417" xr:uid="{00000000-0005-0000-0000-0000E5200000}"/>
    <cellStyle name="Percent 3 2 2 13 2 2" xfId="8418" xr:uid="{00000000-0005-0000-0000-0000E6200000}"/>
    <cellStyle name="Percent 3 2 2 13 3" xfId="8419" xr:uid="{00000000-0005-0000-0000-0000E7200000}"/>
    <cellStyle name="Percent 3 2 2 14" xfId="8420" xr:uid="{00000000-0005-0000-0000-0000E8200000}"/>
    <cellStyle name="Percent 3 2 2 14 2" xfId="8421" xr:uid="{00000000-0005-0000-0000-0000E9200000}"/>
    <cellStyle name="Percent 3 2 2 14 2 2" xfId="8422" xr:uid="{00000000-0005-0000-0000-0000EA200000}"/>
    <cellStyle name="Percent 3 2 2 14 3" xfId="8423" xr:uid="{00000000-0005-0000-0000-0000EB200000}"/>
    <cellStyle name="Percent 3 2 2 15" xfId="8424" xr:uid="{00000000-0005-0000-0000-0000EC200000}"/>
    <cellStyle name="Percent 3 2 2 15 2" xfId="8425" xr:uid="{00000000-0005-0000-0000-0000ED200000}"/>
    <cellStyle name="Percent 3 2 2 15 2 2" xfId="8426" xr:uid="{00000000-0005-0000-0000-0000EE200000}"/>
    <cellStyle name="Percent 3 2 2 15 3" xfId="8427" xr:uid="{00000000-0005-0000-0000-0000EF200000}"/>
    <cellStyle name="Percent 3 2 2 16" xfId="8428" xr:uid="{00000000-0005-0000-0000-0000F0200000}"/>
    <cellStyle name="Percent 3 2 2 16 2" xfId="8429" xr:uid="{00000000-0005-0000-0000-0000F1200000}"/>
    <cellStyle name="Percent 3 2 2 17" xfId="8430" xr:uid="{00000000-0005-0000-0000-0000F2200000}"/>
    <cellStyle name="Percent 3 2 2 17 2" xfId="8431" xr:uid="{00000000-0005-0000-0000-0000F3200000}"/>
    <cellStyle name="Percent 3 2 2 18" xfId="8432" xr:uid="{00000000-0005-0000-0000-0000F4200000}"/>
    <cellStyle name="Percent 3 2 2 18 2" xfId="8433" xr:uid="{00000000-0005-0000-0000-0000F5200000}"/>
    <cellStyle name="Percent 3 2 2 19" xfId="8434" xr:uid="{00000000-0005-0000-0000-0000F6200000}"/>
    <cellStyle name="Percent 3 2 2 2" xfId="8435" xr:uid="{00000000-0005-0000-0000-0000F7200000}"/>
    <cellStyle name="Percent 3 2 2 2 10" xfId="8436" xr:uid="{00000000-0005-0000-0000-0000F8200000}"/>
    <cellStyle name="Percent 3 2 2 2 10 2" xfId="8437" xr:uid="{00000000-0005-0000-0000-0000F9200000}"/>
    <cellStyle name="Percent 3 2 2 2 10 2 2" xfId="8438" xr:uid="{00000000-0005-0000-0000-0000FA200000}"/>
    <cellStyle name="Percent 3 2 2 2 10 3" xfId="8439" xr:uid="{00000000-0005-0000-0000-0000FB200000}"/>
    <cellStyle name="Percent 3 2 2 2 11" xfId="8440" xr:uid="{00000000-0005-0000-0000-0000FC200000}"/>
    <cellStyle name="Percent 3 2 2 2 11 2" xfId="8441" xr:uid="{00000000-0005-0000-0000-0000FD200000}"/>
    <cellStyle name="Percent 3 2 2 2 11 2 2" xfId="8442" xr:uid="{00000000-0005-0000-0000-0000FE200000}"/>
    <cellStyle name="Percent 3 2 2 2 11 3" xfId="8443" xr:uid="{00000000-0005-0000-0000-0000FF200000}"/>
    <cellStyle name="Percent 3 2 2 2 12" xfId="8444" xr:uid="{00000000-0005-0000-0000-000000210000}"/>
    <cellStyle name="Percent 3 2 2 2 12 2" xfId="8445" xr:uid="{00000000-0005-0000-0000-000001210000}"/>
    <cellStyle name="Percent 3 2 2 2 12 2 2" xfId="8446" xr:uid="{00000000-0005-0000-0000-000002210000}"/>
    <cellStyle name="Percent 3 2 2 2 12 3" xfId="8447" xr:uid="{00000000-0005-0000-0000-000003210000}"/>
    <cellStyle name="Percent 3 2 2 2 13" xfId="8448" xr:uid="{00000000-0005-0000-0000-000004210000}"/>
    <cellStyle name="Percent 3 2 2 2 13 2" xfId="8449" xr:uid="{00000000-0005-0000-0000-000005210000}"/>
    <cellStyle name="Percent 3 2 2 2 13 2 2" xfId="8450" xr:uid="{00000000-0005-0000-0000-000006210000}"/>
    <cellStyle name="Percent 3 2 2 2 13 3" xfId="8451" xr:uid="{00000000-0005-0000-0000-000007210000}"/>
    <cellStyle name="Percent 3 2 2 2 14" xfId="8452" xr:uid="{00000000-0005-0000-0000-000008210000}"/>
    <cellStyle name="Percent 3 2 2 2 14 2" xfId="8453" xr:uid="{00000000-0005-0000-0000-000009210000}"/>
    <cellStyle name="Percent 3 2 2 2 14 2 2" xfId="8454" xr:uid="{00000000-0005-0000-0000-00000A210000}"/>
    <cellStyle name="Percent 3 2 2 2 14 3" xfId="8455" xr:uid="{00000000-0005-0000-0000-00000B210000}"/>
    <cellStyle name="Percent 3 2 2 2 15" xfId="8456" xr:uid="{00000000-0005-0000-0000-00000C210000}"/>
    <cellStyle name="Percent 3 2 2 2 15 2" xfId="8457" xr:uid="{00000000-0005-0000-0000-00000D210000}"/>
    <cellStyle name="Percent 3 2 2 2 15 2 2" xfId="8458" xr:uid="{00000000-0005-0000-0000-00000E210000}"/>
    <cellStyle name="Percent 3 2 2 2 15 3" xfId="8459" xr:uid="{00000000-0005-0000-0000-00000F210000}"/>
    <cellStyle name="Percent 3 2 2 2 16" xfId="8460" xr:uid="{00000000-0005-0000-0000-000010210000}"/>
    <cellStyle name="Percent 3 2 2 2 16 2" xfId="8461" xr:uid="{00000000-0005-0000-0000-000011210000}"/>
    <cellStyle name="Percent 3 2 2 2 16 2 2" xfId="8462" xr:uid="{00000000-0005-0000-0000-000012210000}"/>
    <cellStyle name="Percent 3 2 2 2 16 3" xfId="8463" xr:uid="{00000000-0005-0000-0000-000013210000}"/>
    <cellStyle name="Percent 3 2 2 2 16 4" xfId="8464" xr:uid="{00000000-0005-0000-0000-000014210000}"/>
    <cellStyle name="Percent 3 2 2 2 17" xfId="8465" xr:uid="{00000000-0005-0000-0000-000015210000}"/>
    <cellStyle name="Percent 3 2 2 2 17 2" xfId="8466" xr:uid="{00000000-0005-0000-0000-000016210000}"/>
    <cellStyle name="Percent 3 2 2 2 17 2 2" xfId="8467" xr:uid="{00000000-0005-0000-0000-000017210000}"/>
    <cellStyle name="Percent 3 2 2 2 17 3" xfId="8468" xr:uid="{00000000-0005-0000-0000-000018210000}"/>
    <cellStyle name="Percent 3 2 2 2 18" xfId="8469" xr:uid="{00000000-0005-0000-0000-000019210000}"/>
    <cellStyle name="Percent 3 2 2 2 2" xfId="8470" xr:uid="{00000000-0005-0000-0000-00001A210000}"/>
    <cellStyle name="Percent 3 2 2 2 2 2" xfId="8471" xr:uid="{00000000-0005-0000-0000-00001B210000}"/>
    <cellStyle name="Percent 3 2 2 2 2 2 2" xfId="8472" xr:uid="{00000000-0005-0000-0000-00001C210000}"/>
    <cellStyle name="Percent 3 2 2 2 2 2 2 2" xfId="8473" xr:uid="{00000000-0005-0000-0000-00001D210000}"/>
    <cellStyle name="Percent 3 2 2 2 2 2 2 2 2" xfId="8474" xr:uid="{00000000-0005-0000-0000-00001E210000}"/>
    <cellStyle name="Percent 3 2 2 2 2 2 2 3" xfId="8475" xr:uid="{00000000-0005-0000-0000-00001F210000}"/>
    <cellStyle name="Percent 3 2 2 2 2 2 3" xfId="8476" xr:uid="{00000000-0005-0000-0000-000020210000}"/>
    <cellStyle name="Percent 3 2 2 2 2 2 3 2" xfId="8477" xr:uid="{00000000-0005-0000-0000-000021210000}"/>
    <cellStyle name="Percent 3 2 2 2 2 2 3 2 2" xfId="8478" xr:uid="{00000000-0005-0000-0000-000022210000}"/>
    <cellStyle name="Percent 3 2 2 2 2 2 3 3" xfId="8479" xr:uid="{00000000-0005-0000-0000-000023210000}"/>
    <cellStyle name="Percent 3 2 2 2 2 2 4" xfId="8480" xr:uid="{00000000-0005-0000-0000-000024210000}"/>
    <cellStyle name="Percent 3 2 2 2 2 2 4 2" xfId="8481" xr:uid="{00000000-0005-0000-0000-000025210000}"/>
    <cellStyle name="Percent 3 2 2 2 2 2 4 2 2" xfId="8482" xr:uid="{00000000-0005-0000-0000-000026210000}"/>
    <cellStyle name="Percent 3 2 2 2 2 2 4 3" xfId="8483" xr:uid="{00000000-0005-0000-0000-000027210000}"/>
    <cellStyle name="Percent 3 2 2 2 2 2 5" xfId="8484" xr:uid="{00000000-0005-0000-0000-000028210000}"/>
    <cellStyle name="Percent 3 2 2 2 2 2 5 2" xfId="8485" xr:uid="{00000000-0005-0000-0000-000029210000}"/>
    <cellStyle name="Percent 3 2 2 2 2 2 5 2 2" xfId="8486" xr:uid="{00000000-0005-0000-0000-00002A210000}"/>
    <cellStyle name="Percent 3 2 2 2 2 2 5 3" xfId="8487" xr:uid="{00000000-0005-0000-0000-00002B210000}"/>
    <cellStyle name="Percent 3 2 2 2 2 2 6" xfId="8488" xr:uid="{00000000-0005-0000-0000-00002C210000}"/>
    <cellStyle name="Percent 3 2 2 2 2 2 6 2" xfId="8489" xr:uid="{00000000-0005-0000-0000-00002D210000}"/>
    <cellStyle name="Percent 3 2 2 2 2 2 7" xfId="8490" xr:uid="{00000000-0005-0000-0000-00002E210000}"/>
    <cellStyle name="Percent 3 2 2 2 2 3" xfId="8491" xr:uid="{00000000-0005-0000-0000-00002F210000}"/>
    <cellStyle name="Percent 3 2 2 2 2 3 2" xfId="8492" xr:uid="{00000000-0005-0000-0000-000030210000}"/>
    <cellStyle name="Percent 3 2 2 2 2 3 2 2" xfId="8493" xr:uid="{00000000-0005-0000-0000-000031210000}"/>
    <cellStyle name="Percent 3 2 2 2 2 3 3" xfId="8494" xr:uid="{00000000-0005-0000-0000-000032210000}"/>
    <cellStyle name="Percent 3 2 2 2 2 4" xfId="8495" xr:uid="{00000000-0005-0000-0000-000033210000}"/>
    <cellStyle name="Percent 3 2 2 2 2 4 2" xfId="8496" xr:uid="{00000000-0005-0000-0000-000034210000}"/>
    <cellStyle name="Percent 3 2 2 2 2 4 2 2" xfId="8497" xr:uid="{00000000-0005-0000-0000-000035210000}"/>
    <cellStyle name="Percent 3 2 2 2 2 4 3" xfId="8498" xr:uid="{00000000-0005-0000-0000-000036210000}"/>
    <cellStyle name="Percent 3 2 2 2 2 5" xfId="8499" xr:uid="{00000000-0005-0000-0000-000037210000}"/>
    <cellStyle name="Percent 3 2 2 2 2 5 2" xfId="8500" xr:uid="{00000000-0005-0000-0000-000038210000}"/>
    <cellStyle name="Percent 3 2 2 2 2 5 2 2" xfId="8501" xr:uid="{00000000-0005-0000-0000-000039210000}"/>
    <cellStyle name="Percent 3 2 2 2 2 5 3" xfId="8502" xr:uid="{00000000-0005-0000-0000-00003A210000}"/>
    <cellStyle name="Percent 3 2 2 2 2 6" xfId="8503" xr:uid="{00000000-0005-0000-0000-00003B210000}"/>
    <cellStyle name="Percent 3 2 2 2 2 6 2" xfId="8504" xr:uid="{00000000-0005-0000-0000-00003C210000}"/>
    <cellStyle name="Percent 3 2 2 2 2 7" xfId="8505" xr:uid="{00000000-0005-0000-0000-00003D210000}"/>
    <cellStyle name="Percent 3 2 2 2 3" xfId="8506" xr:uid="{00000000-0005-0000-0000-00003E210000}"/>
    <cellStyle name="Percent 3 2 2 2 3 2" xfId="8507" xr:uid="{00000000-0005-0000-0000-00003F210000}"/>
    <cellStyle name="Percent 3 2 2 2 3 2 2" xfId="8508" xr:uid="{00000000-0005-0000-0000-000040210000}"/>
    <cellStyle name="Percent 3 2 2 2 3 3" xfId="8509" xr:uid="{00000000-0005-0000-0000-000041210000}"/>
    <cellStyle name="Percent 3 2 2 2 4" xfId="8510" xr:uid="{00000000-0005-0000-0000-000042210000}"/>
    <cellStyle name="Percent 3 2 2 2 4 2" xfId="8511" xr:uid="{00000000-0005-0000-0000-000043210000}"/>
    <cellStyle name="Percent 3 2 2 2 4 2 2" xfId="8512" xr:uid="{00000000-0005-0000-0000-000044210000}"/>
    <cellStyle name="Percent 3 2 2 2 4 3" xfId="8513" xr:uid="{00000000-0005-0000-0000-000045210000}"/>
    <cellStyle name="Percent 3 2 2 2 5" xfId="8514" xr:uid="{00000000-0005-0000-0000-000046210000}"/>
    <cellStyle name="Percent 3 2 2 2 5 2" xfId="8515" xr:uid="{00000000-0005-0000-0000-000047210000}"/>
    <cellStyle name="Percent 3 2 2 2 5 2 2" xfId="8516" xr:uid="{00000000-0005-0000-0000-000048210000}"/>
    <cellStyle name="Percent 3 2 2 2 5 3" xfId="8517" xr:uid="{00000000-0005-0000-0000-000049210000}"/>
    <cellStyle name="Percent 3 2 2 2 6" xfId="8518" xr:uid="{00000000-0005-0000-0000-00004A210000}"/>
    <cellStyle name="Percent 3 2 2 2 6 2" xfId="8519" xr:uid="{00000000-0005-0000-0000-00004B210000}"/>
    <cellStyle name="Percent 3 2 2 2 6 2 2" xfId="8520" xr:uid="{00000000-0005-0000-0000-00004C210000}"/>
    <cellStyle name="Percent 3 2 2 2 6 3" xfId="8521" xr:uid="{00000000-0005-0000-0000-00004D210000}"/>
    <cellStyle name="Percent 3 2 2 2 7" xfId="8522" xr:uid="{00000000-0005-0000-0000-00004E210000}"/>
    <cellStyle name="Percent 3 2 2 2 7 2" xfId="8523" xr:uid="{00000000-0005-0000-0000-00004F210000}"/>
    <cellStyle name="Percent 3 2 2 2 7 2 2" xfId="8524" xr:uid="{00000000-0005-0000-0000-000050210000}"/>
    <cellStyle name="Percent 3 2 2 2 7 3" xfId="8525" xr:uid="{00000000-0005-0000-0000-000051210000}"/>
    <cellStyle name="Percent 3 2 2 2 8" xfId="8526" xr:uid="{00000000-0005-0000-0000-000052210000}"/>
    <cellStyle name="Percent 3 2 2 2 8 2" xfId="8527" xr:uid="{00000000-0005-0000-0000-000053210000}"/>
    <cellStyle name="Percent 3 2 2 2 8 2 2" xfId="8528" xr:uid="{00000000-0005-0000-0000-000054210000}"/>
    <cellStyle name="Percent 3 2 2 2 8 3" xfId="8529" xr:uid="{00000000-0005-0000-0000-000055210000}"/>
    <cellStyle name="Percent 3 2 2 2 9" xfId="8530" xr:uid="{00000000-0005-0000-0000-000056210000}"/>
    <cellStyle name="Percent 3 2 2 2 9 2" xfId="8531" xr:uid="{00000000-0005-0000-0000-000057210000}"/>
    <cellStyle name="Percent 3 2 2 2 9 2 2" xfId="8532" xr:uid="{00000000-0005-0000-0000-000058210000}"/>
    <cellStyle name="Percent 3 2 2 2 9 3" xfId="8533" xr:uid="{00000000-0005-0000-0000-000059210000}"/>
    <cellStyle name="Percent 3 2 2 3" xfId="8534" xr:uid="{00000000-0005-0000-0000-00005A210000}"/>
    <cellStyle name="Percent 3 2 2 3 2" xfId="8535" xr:uid="{00000000-0005-0000-0000-00005B210000}"/>
    <cellStyle name="Percent 3 2 2 3 2 2" xfId="8536" xr:uid="{00000000-0005-0000-0000-00005C210000}"/>
    <cellStyle name="Percent 3 2 2 3 3" xfId="8537" xr:uid="{00000000-0005-0000-0000-00005D210000}"/>
    <cellStyle name="Percent 3 2 2 4" xfId="8538" xr:uid="{00000000-0005-0000-0000-00005E210000}"/>
    <cellStyle name="Percent 3 2 2 4 2" xfId="8539" xr:uid="{00000000-0005-0000-0000-00005F210000}"/>
    <cellStyle name="Percent 3 2 2 4 2 2" xfId="8540" xr:uid="{00000000-0005-0000-0000-000060210000}"/>
    <cellStyle name="Percent 3 2 2 4 3" xfId="8541" xr:uid="{00000000-0005-0000-0000-000061210000}"/>
    <cellStyle name="Percent 3 2 2 5" xfId="8542" xr:uid="{00000000-0005-0000-0000-000062210000}"/>
    <cellStyle name="Percent 3 2 2 5 2" xfId="8543" xr:uid="{00000000-0005-0000-0000-000063210000}"/>
    <cellStyle name="Percent 3 2 2 5 2 2" xfId="8544" xr:uid="{00000000-0005-0000-0000-000064210000}"/>
    <cellStyle name="Percent 3 2 2 5 3" xfId="8545" xr:uid="{00000000-0005-0000-0000-000065210000}"/>
    <cellStyle name="Percent 3 2 2 6" xfId="8546" xr:uid="{00000000-0005-0000-0000-000066210000}"/>
    <cellStyle name="Percent 3 2 2 6 2" xfId="8547" xr:uid="{00000000-0005-0000-0000-000067210000}"/>
    <cellStyle name="Percent 3 2 2 6 2 2" xfId="8548" xr:uid="{00000000-0005-0000-0000-000068210000}"/>
    <cellStyle name="Percent 3 2 2 6 3" xfId="8549" xr:uid="{00000000-0005-0000-0000-000069210000}"/>
    <cellStyle name="Percent 3 2 2 7" xfId="8550" xr:uid="{00000000-0005-0000-0000-00006A210000}"/>
    <cellStyle name="Percent 3 2 2 7 2" xfId="8551" xr:uid="{00000000-0005-0000-0000-00006B210000}"/>
    <cellStyle name="Percent 3 2 2 7 2 2" xfId="8552" xr:uid="{00000000-0005-0000-0000-00006C210000}"/>
    <cellStyle name="Percent 3 2 2 7 3" xfId="8553" xr:uid="{00000000-0005-0000-0000-00006D210000}"/>
    <cellStyle name="Percent 3 2 2 8" xfId="8554" xr:uid="{00000000-0005-0000-0000-00006E210000}"/>
    <cellStyle name="Percent 3 2 2 8 2" xfId="8555" xr:uid="{00000000-0005-0000-0000-00006F210000}"/>
    <cellStyle name="Percent 3 2 2 8 2 2" xfId="8556" xr:uid="{00000000-0005-0000-0000-000070210000}"/>
    <cellStyle name="Percent 3 2 2 8 3" xfId="8557" xr:uid="{00000000-0005-0000-0000-000071210000}"/>
    <cellStyle name="Percent 3 2 2 9" xfId="8558" xr:uid="{00000000-0005-0000-0000-000072210000}"/>
    <cellStyle name="Percent 3 2 2 9 2" xfId="8559" xr:uid="{00000000-0005-0000-0000-000073210000}"/>
    <cellStyle name="Percent 3 2 2 9 2 2" xfId="8560" xr:uid="{00000000-0005-0000-0000-000074210000}"/>
    <cellStyle name="Percent 3 2 2 9 3" xfId="8561" xr:uid="{00000000-0005-0000-0000-000075210000}"/>
    <cellStyle name="Percent 3 2 20" xfId="8562" xr:uid="{00000000-0005-0000-0000-000076210000}"/>
    <cellStyle name="Percent 3 2 20 2" xfId="8563" xr:uid="{00000000-0005-0000-0000-000077210000}"/>
    <cellStyle name="Percent 3 2 3" xfId="8564" xr:uid="{00000000-0005-0000-0000-000078210000}"/>
    <cellStyle name="Percent 3 2 3 2" xfId="8565" xr:uid="{00000000-0005-0000-0000-000079210000}"/>
    <cellStyle name="Percent 3 2 4" xfId="8566" xr:uid="{00000000-0005-0000-0000-00007A210000}"/>
    <cellStyle name="Percent 3 2 4 2" xfId="8567" xr:uid="{00000000-0005-0000-0000-00007B210000}"/>
    <cellStyle name="Percent 3 2 5" xfId="8568" xr:uid="{00000000-0005-0000-0000-00007C210000}"/>
    <cellStyle name="Percent 3 2 5 2" xfId="8569" xr:uid="{00000000-0005-0000-0000-00007D210000}"/>
    <cellStyle name="Percent 3 2 6" xfId="8570" xr:uid="{00000000-0005-0000-0000-00007E210000}"/>
    <cellStyle name="Percent 3 2 6 2" xfId="8571" xr:uid="{00000000-0005-0000-0000-00007F210000}"/>
    <cellStyle name="Percent 3 2 7" xfId="8572" xr:uid="{00000000-0005-0000-0000-000080210000}"/>
    <cellStyle name="Percent 3 2 7 2" xfId="8573" xr:uid="{00000000-0005-0000-0000-000081210000}"/>
    <cellStyle name="Percent 3 2 8" xfId="8574" xr:uid="{00000000-0005-0000-0000-000082210000}"/>
    <cellStyle name="Percent 3 2 8 2" xfId="8575" xr:uid="{00000000-0005-0000-0000-000083210000}"/>
    <cellStyle name="Percent 3 2 9" xfId="8576" xr:uid="{00000000-0005-0000-0000-000084210000}"/>
    <cellStyle name="Percent 3 2 9 2" xfId="8577" xr:uid="{00000000-0005-0000-0000-000085210000}"/>
    <cellStyle name="Percent 3 20" xfId="8578" xr:uid="{00000000-0005-0000-0000-000086210000}"/>
    <cellStyle name="Percent 3 20 2" xfId="8579" xr:uid="{00000000-0005-0000-0000-000087210000}"/>
    <cellStyle name="Percent 3 20 3" xfId="8580" xr:uid="{00000000-0005-0000-0000-000088210000}"/>
    <cellStyle name="Percent 3 20 4" xfId="8581" xr:uid="{00000000-0005-0000-0000-000089210000}"/>
    <cellStyle name="Percent 3 21" xfId="8582" xr:uid="{00000000-0005-0000-0000-00008A210000}"/>
    <cellStyle name="Percent 3 21 2" xfId="8583" xr:uid="{00000000-0005-0000-0000-00008B210000}"/>
    <cellStyle name="Percent 3 21 3" xfId="8584" xr:uid="{00000000-0005-0000-0000-00008C210000}"/>
    <cellStyle name="Percent 3 21 4" xfId="8585" xr:uid="{00000000-0005-0000-0000-00008D210000}"/>
    <cellStyle name="Percent 3 22" xfId="8586" xr:uid="{00000000-0005-0000-0000-00008E210000}"/>
    <cellStyle name="Percent 3 22 2" xfId="8587" xr:uid="{00000000-0005-0000-0000-00008F210000}"/>
    <cellStyle name="Percent 3 23" xfId="8588" xr:uid="{00000000-0005-0000-0000-000090210000}"/>
    <cellStyle name="Percent 3 23 2" xfId="8589" xr:uid="{00000000-0005-0000-0000-000091210000}"/>
    <cellStyle name="Percent 3 24" xfId="8590" xr:uid="{00000000-0005-0000-0000-000092210000}"/>
    <cellStyle name="Percent 3 24 2" xfId="8591" xr:uid="{00000000-0005-0000-0000-000093210000}"/>
    <cellStyle name="Percent 3 25" xfId="8592" xr:uid="{00000000-0005-0000-0000-000094210000}"/>
    <cellStyle name="Percent 3 25 2" xfId="8593" xr:uid="{00000000-0005-0000-0000-000095210000}"/>
    <cellStyle name="Percent 3 26" xfId="8594" xr:uid="{00000000-0005-0000-0000-000096210000}"/>
    <cellStyle name="Percent 3 26 2" xfId="8595" xr:uid="{00000000-0005-0000-0000-000097210000}"/>
    <cellStyle name="Percent 3 27" xfId="8596" xr:uid="{00000000-0005-0000-0000-000098210000}"/>
    <cellStyle name="Percent 3 27 2" xfId="8597" xr:uid="{00000000-0005-0000-0000-000099210000}"/>
    <cellStyle name="Percent 3 28" xfId="8598" xr:uid="{00000000-0005-0000-0000-00009A210000}"/>
    <cellStyle name="Percent 3 28 2" xfId="8599" xr:uid="{00000000-0005-0000-0000-00009B210000}"/>
    <cellStyle name="Percent 3 29" xfId="8600" xr:uid="{00000000-0005-0000-0000-00009C210000}"/>
    <cellStyle name="Percent 3 29 2" xfId="8601" xr:uid="{00000000-0005-0000-0000-00009D210000}"/>
    <cellStyle name="Percent 3 3" xfId="8602" xr:uid="{00000000-0005-0000-0000-00009E210000}"/>
    <cellStyle name="Percent 3 3 2" xfId="8603" xr:uid="{00000000-0005-0000-0000-00009F210000}"/>
    <cellStyle name="Percent 3 3 2 2" xfId="8604" xr:uid="{00000000-0005-0000-0000-0000A0210000}"/>
    <cellStyle name="Percent 3 3 2 2 2" xfId="8605" xr:uid="{00000000-0005-0000-0000-0000A1210000}"/>
    <cellStyle name="Percent 3 3 2 3" xfId="8606" xr:uid="{00000000-0005-0000-0000-0000A2210000}"/>
    <cellStyle name="Percent 3 3 2 4" xfId="8607" xr:uid="{00000000-0005-0000-0000-0000A3210000}"/>
    <cellStyle name="Percent 3 3 2 5" xfId="8608" xr:uid="{00000000-0005-0000-0000-0000A4210000}"/>
    <cellStyle name="Percent 3 3 3" xfId="8609" xr:uid="{00000000-0005-0000-0000-0000A5210000}"/>
    <cellStyle name="Percent 3 3 4" xfId="8610" xr:uid="{00000000-0005-0000-0000-0000A6210000}"/>
    <cellStyle name="Percent 3 3 5" xfId="8611" xr:uid="{00000000-0005-0000-0000-0000A7210000}"/>
    <cellStyle name="Percent 3 3 6" xfId="8612" xr:uid="{00000000-0005-0000-0000-0000A8210000}"/>
    <cellStyle name="Percent 3 3 6 2" xfId="8613" xr:uid="{00000000-0005-0000-0000-0000A9210000}"/>
    <cellStyle name="Percent 3 3 6 3" xfId="8614" xr:uid="{00000000-0005-0000-0000-0000AA210000}"/>
    <cellStyle name="Percent 3 3 7" xfId="8615" xr:uid="{00000000-0005-0000-0000-0000AB210000}"/>
    <cellStyle name="Percent 3 30" xfId="8616" xr:uid="{00000000-0005-0000-0000-0000AC210000}"/>
    <cellStyle name="Percent 3 30 2" xfId="8617" xr:uid="{00000000-0005-0000-0000-0000AD210000}"/>
    <cellStyle name="Percent 3 31" xfId="8618" xr:uid="{00000000-0005-0000-0000-0000AE210000}"/>
    <cellStyle name="Percent 3 31 2" xfId="8619" xr:uid="{00000000-0005-0000-0000-0000AF210000}"/>
    <cellStyle name="Percent 3 32" xfId="8620" xr:uid="{00000000-0005-0000-0000-0000B0210000}"/>
    <cellStyle name="Percent 3 32 2" xfId="8621" xr:uid="{00000000-0005-0000-0000-0000B1210000}"/>
    <cellStyle name="Percent 3 33" xfId="8622" xr:uid="{00000000-0005-0000-0000-0000B2210000}"/>
    <cellStyle name="Percent 3 33 2" xfId="8623" xr:uid="{00000000-0005-0000-0000-0000B3210000}"/>
    <cellStyle name="Percent 3 34" xfId="8624" xr:uid="{00000000-0005-0000-0000-0000B4210000}"/>
    <cellStyle name="Percent 3 34 2" xfId="8625" xr:uid="{00000000-0005-0000-0000-0000B5210000}"/>
    <cellStyle name="Percent 3 35" xfId="8626" xr:uid="{00000000-0005-0000-0000-0000B6210000}"/>
    <cellStyle name="Percent 3 35 2" xfId="8627" xr:uid="{00000000-0005-0000-0000-0000B7210000}"/>
    <cellStyle name="Percent 3 36" xfId="8628" xr:uid="{00000000-0005-0000-0000-0000B8210000}"/>
    <cellStyle name="Percent 3 36 2" xfId="8629" xr:uid="{00000000-0005-0000-0000-0000B9210000}"/>
    <cellStyle name="Percent 3 37" xfId="8630" xr:uid="{00000000-0005-0000-0000-0000BA210000}"/>
    <cellStyle name="Percent 3 37 2" xfId="8631" xr:uid="{00000000-0005-0000-0000-0000BB210000}"/>
    <cellStyle name="Percent 3 38" xfId="8632" xr:uid="{00000000-0005-0000-0000-0000BC210000}"/>
    <cellStyle name="Percent 3 38 2" xfId="8633" xr:uid="{00000000-0005-0000-0000-0000BD210000}"/>
    <cellStyle name="Percent 3 39" xfId="8634" xr:uid="{00000000-0005-0000-0000-0000BE210000}"/>
    <cellStyle name="Percent 3 39 2" xfId="8635" xr:uid="{00000000-0005-0000-0000-0000BF210000}"/>
    <cellStyle name="Percent 3 4" xfId="8636" xr:uid="{00000000-0005-0000-0000-0000C0210000}"/>
    <cellStyle name="Percent 3 4 2" xfId="8637" xr:uid="{00000000-0005-0000-0000-0000C1210000}"/>
    <cellStyle name="Percent 3 4 3" xfId="8638" xr:uid="{00000000-0005-0000-0000-0000C2210000}"/>
    <cellStyle name="Percent 3 4 3 2" xfId="8639" xr:uid="{00000000-0005-0000-0000-0000C3210000}"/>
    <cellStyle name="Percent 3 4 4" xfId="8640" xr:uid="{00000000-0005-0000-0000-0000C4210000}"/>
    <cellStyle name="Percent 3 4 4 2" xfId="8641" xr:uid="{00000000-0005-0000-0000-0000C5210000}"/>
    <cellStyle name="Percent 3 4 4 3" xfId="8642" xr:uid="{00000000-0005-0000-0000-0000C6210000}"/>
    <cellStyle name="Percent 3 40" xfId="8643" xr:uid="{00000000-0005-0000-0000-0000C7210000}"/>
    <cellStyle name="Percent 3 40 2" xfId="8644" xr:uid="{00000000-0005-0000-0000-0000C8210000}"/>
    <cellStyle name="Percent 3 41" xfId="8645" xr:uid="{00000000-0005-0000-0000-0000C9210000}"/>
    <cellStyle name="Percent 3 41 2" xfId="8646" xr:uid="{00000000-0005-0000-0000-0000CA210000}"/>
    <cellStyle name="Percent 3 42" xfId="8647" xr:uid="{00000000-0005-0000-0000-0000CB210000}"/>
    <cellStyle name="Percent 3 42 2" xfId="8648" xr:uid="{00000000-0005-0000-0000-0000CC210000}"/>
    <cellStyle name="Percent 3 43" xfId="8649" xr:uid="{00000000-0005-0000-0000-0000CD210000}"/>
    <cellStyle name="Percent 3 43 2" xfId="8650" xr:uid="{00000000-0005-0000-0000-0000CE210000}"/>
    <cellStyle name="Percent 3 44" xfId="8651" xr:uid="{00000000-0005-0000-0000-0000CF210000}"/>
    <cellStyle name="Percent 3 44 2" xfId="8652" xr:uid="{00000000-0005-0000-0000-0000D0210000}"/>
    <cellStyle name="Percent 3 45" xfId="8653" xr:uid="{00000000-0005-0000-0000-0000D1210000}"/>
    <cellStyle name="Percent 3 45 2" xfId="8654" xr:uid="{00000000-0005-0000-0000-0000D2210000}"/>
    <cellStyle name="Percent 3 46" xfId="8655" xr:uid="{00000000-0005-0000-0000-0000D3210000}"/>
    <cellStyle name="Percent 3 46 2" xfId="8656" xr:uid="{00000000-0005-0000-0000-0000D4210000}"/>
    <cellStyle name="Percent 3 47" xfId="8657" xr:uid="{00000000-0005-0000-0000-0000D5210000}"/>
    <cellStyle name="Percent 3 47 2" xfId="8658" xr:uid="{00000000-0005-0000-0000-0000D6210000}"/>
    <cellStyle name="Percent 3 48" xfId="8659" xr:uid="{00000000-0005-0000-0000-0000D7210000}"/>
    <cellStyle name="Percent 3 48 2" xfId="8660" xr:uid="{00000000-0005-0000-0000-0000D8210000}"/>
    <cellStyle name="Percent 3 49" xfId="8661" xr:uid="{00000000-0005-0000-0000-0000D9210000}"/>
    <cellStyle name="Percent 3 49 2" xfId="8662" xr:uid="{00000000-0005-0000-0000-0000DA210000}"/>
    <cellStyle name="Percent 3 5" xfId="8663" xr:uid="{00000000-0005-0000-0000-0000DB210000}"/>
    <cellStyle name="Percent 3 5 2" xfId="8664" xr:uid="{00000000-0005-0000-0000-0000DC210000}"/>
    <cellStyle name="Percent 3 5 2 2" xfId="8665" xr:uid="{00000000-0005-0000-0000-0000DD210000}"/>
    <cellStyle name="Percent 3 5 2 3" xfId="8666" xr:uid="{00000000-0005-0000-0000-0000DE210000}"/>
    <cellStyle name="Percent 3 5 3" xfId="8667" xr:uid="{00000000-0005-0000-0000-0000DF210000}"/>
    <cellStyle name="Percent 3 50" xfId="8668" xr:uid="{00000000-0005-0000-0000-0000E0210000}"/>
    <cellStyle name="Percent 3 50 2" xfId="8669" xr:uid="{00000000-0005-0000-0000-0000E1210000}"/>
    <cellStyle name="Percent 3 51" xfId="8670" xr:uid="{00000000-0005-0000-0000-0000E2210000}"/>
    <cellStyle name="Percent 3 51 2" xfId="8671" xr:uid="{00000000-0005-0000-0000-0000E3210000}"/>
    <cellStyle name="Percent 3 52" xfId="8672" xr:uid="{00000000-0005-0000-0000-0000E4210000}"/>
    <cellStyle name="Percent 3 52 2" xfId="8673" xr:uid="{00000000-0005-0000-0000-0000E5210000}"/>
    <cellStyle name="Percent 3 53" xfId="8674" xr:uid="{00000000-0005-0000-0000-0000E6210000}"/>
    <cellStyle name="Percent 3 53 2" xfId="8675" xr:uid="{00000000-0005-0000-0000-0000E7210000}"/>
    <cellStyle name="Percent 3 54" xfId="8676" xr:uid="{00000000-0005-0000-0000-0000E8210000}"/>
    <cellStyle name="Percent 3 54 2" xfId="8677" xr:uid="{00000000-0005-0000-0000-0000E9210000}"/>
    <cellStyle name="Percent 3 55" xfId="8678" xr:uid="{00000000-0005-0000-0000-0000EA210000}"/>
    <cellStyle name="Percent 3 55 2" xfId="8679" xr:uid="{00000000-0005-0000-0000-0000EB210000}"/>
    <cellStyle name="Percent 3 56" xfId="8680" xr:uid="{00000000-0005-0000-0000-0000EC210000}"/>
    <cellStyle name="Percent 3 56 2" xfId="8681" xr:uid="{00000000-0005-0000-0000-0000ED210000}"/>
    <cellStyle name="Percent 3 57" xfId="8682" xr:uid="{00000000-0005-0000-0000-0000EE210000}"/>
    <cellStyle name="Percent 3 57 2" xfId="8683" xr:uid="{00000000-0005-0000-0000-0000EF210000}"/>
    <cellStyle name="Percent 3 58" xfId="8684" xr:uid="{00000000-0005-0000-0000-0000F0210000}"/>
    <cellStyle name="Percent 3 58 2" xfId="8685" xr:uid="{00000000-0005-0000-0000-0000F1210000}"/>
    <cellStyle name="Percent 3 59" xfId="8686" xr:uid="{00000000-0005-0000-0000-0000F2210000}"/>
    <cellStyle name="Percent 3 59 2" xfId="8687" xr:uid="{00000000-0005-0000-0000-0000F3210000}"/>
    <cellStyle name="Percent 3 6" xfId="8688" xr:uid="{00000000-0005-0000-0000-0000F4210000}"/>
    <cellStyle name="Percent 3 6 2" xfId="8689" xr:uid="{00000000-0005-0000-0000-0000F5210000}"/>
    <cellStyle name="Percent 3 6 2 2" xfId="8690" xr:uid="{00000000-0005-0000-0000-0000F6210000}"/>
    <cellStyle name="Percent 3 6 2 3" xfId="8691" xr:uid="{00000000-0005-0000-0000-0000F7210000}"/>
    <cellStyle name="Percent 3 6 3" xfId="8692" xr:uid="{00000000-0005-0000-0000-0000F8210000}"/>
    <cellStyle name="Percent 3 60" xfId="8693" xr:uid="{00000000-0005-0000-0000-0000F9210000}"/>
    <cellStyle name="Percent 3 60 2" xfId="8694" xr:uid="{00000000-0005-0000-0000-0000FA210000}"/>
    <cellStyle name="Percent 3 61" xfId="8695" xr:uid="{00000000-0005-0000-0000-0000FB210000}"/>
    <cellStyle name="Percent 3 61 2" xfId="8696" xr:uid="{00000000-0005-0000-0000-0000FC210000}"/>
    <cellStyle name="Percent 3 62" xfId="8697" xr:uid="{00000000-0005-0000-0000-0000FD210000}"/>
    <cellStyle name="Percent 3 63" xfId="8698" xr:uid="{00000000-0005-0000-0000-0000FE210000}"/>
    <cellStyle name="Percent 3 64" xfId="8699" xr:uid="{00000000-0005-0000-0000-0000FF210000}"/>
    <cellStyle name="Percent 3 65" xfId="8700" xr:uid="{00000000-0005-0000-0000-000000220000}"/>
    <cellStyle name="Percent 3 66" xfId="8701" xr:uid="{00000000-0005-0000-0000-000001220000}"/>
    <cellStyle name="Percent 3 67" xfId="8702" xr:uid="{00000000-0005-0000-0000-000002220000}"/>
    <cellStyle name="Percent 3 68" xfId="8703" xr:uid="{00000000-0005-0000-0000-000003220000}"/>
    <cellStyle name="Percent 3 69" xfId="8704" xr:uid="{00000000-0005-0000-0000-000004220000}"/>
    <cellStyle name="Percent 3 7" xfId="8705" xr:uid="{00000000-0005-0000-0000-000005220000}"/>
    <cellStyle name="Percent 3 7 2" xfId="8706" xr:uid="{00000000-0005-0000-0000-000006220000}"/>
    <cellStyle name="Percent 3 7 2 2" xfId="8707" xr:uid="{00000000-0005-0000-0000-000007220000}"/>
    <cellStyle name="Percent 3 7 2 3" xfId="8708" xr:uid="{00000000-0005-0000-0000-000008220000}"/>
    <cellStyle name="Percent 3 7 3" xfId="8709" xr:uid="{00000000-0005-0000-0000-000009220000}"/>
    <cellStyle name="Percent 3 70" xfId="8710" xr:uid="{00000000-0005-0000-0000-00000A220000}"/>
    <cellStyle name="Percent 3 71" xfId="8711" xr:uid="{00000000-0005-0000-0000-00000B220000}"/>
    <cellStyle name="Percent 3 72" xfId="8712" xr:uid="{00000000-0005-0000-0000-00000C220000}"/>
    <cellStyle name="Percent 3 73" xfId="8713" xr:uid="{00000000-0005-0000-0000-00000D220000}"/>
    <cellStyle name="Percent 3 74" xfId="8714" xr:uid="{00000000-0005-0000-0000-00000E220000}"/>
    <cellStyle name="Percent 3 75" xfId="8715" xr:uid="{00000000-0005-0000-0000-00000F220000}"/>
    <cellStyle name="Percent 3 76" xfId="8716" xr:uid="{00000000-0005-0000-0000-000010220000}"/>
    <cellStyle name="Percent 3 77" xfId="8717" xr:uid="{00000000-0005-0000-0000-000011220000}"/>
    <cellStyle name="Percent 3 78" xfId="8718" xr:uid="{00000000-0005-0000-0000-000012220000}"/>
    <cellStyle name="Percent 3 79" xfId="8719" xr:uid="{00000000-0005-0000-0000-000013220000}"/>
    <cellStyle name="Percent 3 8" xfId="8720" xr:uid="{00000000-0005-0000-0000-000014220000}"/>
    <cellStyle name="Percent 3 8 2" xfId="8721" xr:uid="{00000000-0005-0000-0000-000015220000}"/>
    <cellStyle name="Percent 3 8 2 2" xfId="8722" xr:uid="{00000000-0005-0000-0000-000016220000}"/>
    <cellStyle name="Percent 3 8 2 3" xfId="8723" xr:uid="{00000000-0005-0000-0000-000017220000}"/>
    <cellStyle name="Percent 3 8 3" xfId="8724" xr:uid="{00000000-0005-0000-0000-000018220000}"/>
    <cellStyle name="Percent 3 80" xfId="8725" xr:uid="{00000000-0005-0000-0000-000019220000}"/>
    <cellStyle name="Percent 3 81" xfId="8726" xr:uid="{00000000-0005-0000-0000-00001A220000}"/>
    <cellStyle name="Percent 3 82" xfId="8727" xr:uid="{00000000-0005-0000-0000-00001B220000}"/>
    <cellStyle name="Percent 3 83" xfId="8728" xr:uid="{00000000-0005-0000-0000-00001C220000}"/>
    <cellStyle name="Percent 3 84" xfId="8729" xr:uid="{00000000-0005-0000-0000-00001D220000}"/>
    <cellStyle name="Percent 3 85" xfId="8730" xr:uid="{00000000-0005-0000-0000-00001E220000}"/>
    <cellStyle name="Percent 3 86" xfId="8731" xr:uid="{00000000-0005-0000-0000-00001F220000}"/>
    <cellStyle name="Percent 3 87" xfId="8732" xr:uid="{00000000-0005-0000-0000-000020220000}"/>
    <cellStyle name="Percent 3 88" xfId="8733" xr:uid="{00000000-0005-0000-0000-000021220000}"/>
    <cellStyle name="Percent 3 89" xfId="8734" xr:uid="{00000000-0005-0000-0000-000022220000}"/>
    <cellStyle name="Percent 3 9" xfId="8735" xr:uid="{00000000-0005-0000-0000-000023220000}"/>
    <cellStyle name="Percent 3 9 2" xfId="8736" xr:uid="{00000000-0005-0000-0000-000024220000}"/>
    <cellStyle name="Percent 3 9 2 2" xfId="8737" xr:uid="{00000000-0005-0000-0000-000025220000}"/>
    <cellStyle name="Percent 3 9 2 3" xfId="8738" xr:uid="{00000000-0005-0000-0000-000026220000}"/>
    <cellStyle name="Percent 3 9 3" xfId="8739" xr:uid="{00000000-0005-0000-0000-000027220000}"/>
    <cellStyle name="Percent 3 90" xfId="8740" xr:uid="{00000000-0005-0000-0000-000028220000}"/>
    <cellStyle name="Percent 3 91" xfId="8741" xr:uid="{00000000-0005-0000-0000-000029220000}"/>
    <cellStyle name="Percent 3 92" xfId="8742" xr:uid="{00000000-0005-0000-0000-00002A220000}"/>
    <cellStyle name="Percent 3 93" xfId="8743" xr:uid="{00000000-0005-0000-0000-00002B220000}"/>
    <cellStyle name="Percent 3 94" xfId="8744" xr:uid="{00000000-0005-0000-0000-00002C220000}"/>
    <cellStyle name="Percent 3 95" xfId="8745" xr:uid="{00000000-0005-0000-0000-00002D220000}"/>
    <cellStyle name="Percent 3 96" xfId="8746" xr:uid="{00000000-0005-0000-0000-00002E220000}"/>
    <cellStyle name="Percent 3 97" xfId="8747" xr:uid="{00000000-0005-0000-0000-00002F220000}"/>
    <cellStyle name="Percent 3 98" xfId="8748" xr:uid="{00000000-0005-0000-0000-000030220000}"/>
    <cellStyle name="Percent 3 99" xfId="8749" xr:uid="{00000000-0005-0000-0000-000031220000}"/>
    <cellStyle name="Percent 3 99 2" xfId="8750" xr:uid="{00000000-0005-0000-0000-000032220000}"/>
    <cellStyle name="Percent 30" xfId="8751" xr:uid="{00000000-0005-0000-0000-000033220000}"/>
    <cellStyle name="Percent 31" xfId="8752" xr:uid="{00000000-0005-0000-0000-000034220000}"/>
    <cellStyle name="Percent 32" xfId="8753" xr:uid="{00000000-0005-0000-0000-000035220000}"/>
    <cellStyle name="Percent 33" xfId="8754" xr:uid="{00000000-0005-0000-0000-000036220000}"/>
    <cellStyle name="Percent 34" xfId="8755" xr:uid="{00000000-0005-0000-0000-000037220000}"/>
    <cellStyle name="Percent 35" xfId="8756" xr:uid="{00000000-0005-0000-0000-000038220000}"/>
    <cellStyle name="Percent 36" xfId="8757" xr:uid="{00000000-0005-0000-0000-000039220000}"/>
    <cellStyle name="Percent 37" xfId="8758" xr:uid="{00000000-0005-0000-0000-00003A220000}"/>
    <cellStyle name="Percent 38" xfId="8759" xr:uid="{00000000-0005-0000-0000-00003B220000}"/>
    <cellStyle name="Percent 39" xfId="8760" xr:uid="{00000000-0005-0000-0000-00003C220000}"/>
    <cellStyle name="Percent 4" xfId="8" xr:uid="{00000000-0005-0000-0000-00003D220000}"/>
    <cellStyle name="Percent 4 10" xfId="8761" xr:uid="{00000000-0005-0000-0000-00003E220000}"/>
    <cellStyle name="Percent 4 11" xfId="8762" xr:uid="{00000000-0005-0000-0000-00003F220000}"/>
    <cellStyle name="Percent 4 12" xfId="8763" xr:uid="{00000000-0005-0000-0000-000040220000}"/>
    <cellStyle name="Percent 4 13" xfId="8764" xr:uid="{00000000-0005-0000-0000-000041220000}"/>
    <cellStyle name="Percent 4 14" xfId="8765" xr:uid="{00000000-0005-0000-0000-000042220000}"/>
    <cellStyle name="Percent 4 15" xfId="8766" xr:uid="{00000000-0005-0000-0000-000043220000}"/>
    <cellStyle name="Percent 4 16" xfId="8767" xr:uid="{00000000-0005-0000-0000-000044220000}"/>
    <cellStyle name="Percent 4 17" xfId="8768" xr:uid="{00000000-0005-0000-0000-000045220000}"/>
    <cellStyle name="Percent 4 18" xfId="8769" xr:uid="{00000000-0005-0000-0000-000046220000}"/>
    <cellStyle name="Percent 4 19" xfId="8770" xr:uid="{00000000-0005-0000-0000-000047220000}"/>
    <cellStyle name="Percent 4 2" xfId="8771" xr:uid="{00000000-0005-0000-0000-000048220000}"/>
    <cellStyle name="Percent 4 2 2" xfId="8772" xr:uid="{00000000-0005-0000-0000-000049220000}"/>
    <cellStyle name="Percent 4 2 2 2" xfId="8773" xr:uid="{00000000-0005-0000-0000-00004A220000}"/>
    <cellStyle name="Percent 4 2 3" xfId="8774" xr:uid="{00000000-0005-0000-0000-00004B220000}"/>
    <cellStyle name="Percent 4 2 4" xfId="8775" xr:uid="{00000000-0005-0000-0000-00004C220000}"/>
    <cellStyle name="Percent 4 20" xfId="8776" xr:uid="{00000000-0005-0000-0000-00004D220000}"/>
    <cellStyle name="Percent 4 21" xfId="8777" xr:uid="{00000000-0005-0000-0000-00004E220000}"/>
    <cellStyle name="Percent 4 22" xfId="8778" xr:uid="{00000000-0005-0000-0000-00004F220000}"/>
    <cellStyle name="Percent 4 23" xfId="8779" xr:uid="{00000000-0005-0000-0000-000050220000}"/>
    <cellStyle name="Percent 4 24" xfId="8780" xr:uid="{00000000-0005-0000-0000-000051220000}"/>
    <cellStyle name="Percent 4 25" xfId="8781" xr:uid="{00000000-0005-0000-0000-000052220000}"/>
    <cellStyle name="Percent 4 26" xfId="8782" xr:uid="{00000000-0005-0000-0000-000053220000}"/>
    <cellStyle name="Percent 4 27" xfId="8783" xr:uid="{00000000-0005-0000-0000-000054220000}"/>
    <cellStyle name="Percent 4 28" xfId="8784" xr:uid="{00000000-0005-0000-0000-000055220000}"/>
    <cellStyle name="Percent 4 29" xfId="8785" xr:uid="{00000000-0005-0000-0000-000056220000}"/>
    <cellStyle name="Percent 4 3" xfId="8786" xr:uid="{00000000-0005-0000-0000-000057220000}"/>
    <cellStyle name="Percent 4 3 2" xfId="8787" xr:uid="{00000000-0005-0000-0000-000058220000}"/>
    <cellStyle name="Percent 4 30" xfId="8788" xr:uid="{00000000-0005-0000-0000-000059220000}"/>
    <cellStyle name="Percent 4 31" xfId="8789" xr:uid="{00000000-0005-0000-0000-00005A220000}"/>
    <cellStyle name="Percent 4 32" xfId="8790" xr:uid="{00000000-0005-0000-0000-00005B220000}"/>
    <cellStyle name="Percent 4 33" xfId="8791" xr:uid="{00000000-0005-0000-0000-00005C220000}"/>
    <cellStyle name="Percent 4 34" xfId="8792" xr:uid="{00000000-0005-0000-0000-00005D220000}"/>
    <cellStyle name="Percent 4 35" xfId="8793" xr:uid="{00000000-0005-0000-0000-00005E220000}"/>
    <cellStyle name="Percent 4 36" xfId="8794" xr:uid="{00000000-0005-0000-0000-00005F220000}"/>
    <cellStyle name="Percent 4 37" xfId="8795" xr:uid="{00000000-0005-0000-0000-000060220000}"/>
    <cellStyle name="Percent 4 38" xfId="8796" xr:uid="{00000000-0005-0000-0000-000061220000}"/>
    <cellStyle name="Percent 4 39" xfId="8797" xr:uid="{00000000-0005-0000-0000-000062220000}"/>
    <cellStyle name="Percent 4 4" xfId="8798" xr:uid="{00000000-0005-0000-0000-000063220000}"/>
    <cellStyle name="Percent 4 40" xfId="8799" xr:uid="{00000000-0005-0000-0000-000064220000}"/>
    <cellStyle name="Percent 4 41" xfId="8800" xr:uid="{00000000-0005-0000-0000-000065220000}"/>
    <cellStyle name="Percent 4 42" xfId="8801" xr:uid="{00000000-0005-0000-0000-000066220000}"/>
    <cellStyle name="Percent 4 43" xfId="8802" xr:uid="{00000000-0005-0000-0000-000067220000}"/>
    <cellStyle name="Percent 4 44" xfId="8803" xr:uid="{00000000-0005-0000-0000-000068220000}"/>
    <cellStyle name="Percent 4 45" xfId="8804" xr:uid="{00000000-0005-0000-0000-000069220000}"/>
    <cellStyle name="Percent 4 46" xfId="8805" xr:uid="{00000000-0005-0000-0000-00006A220000}"/>
    <cellStyle name="Percent 4 47" xfId="8806" xr:uid="{00000000-0005-0000-0000-00006B220000}"/>
    <cellStyle name="Percent 4 48" xfId="8807" xr:uid="{00000000-0005-0000-0000-00006C220000}"/>
    <cellStyle name="Percent 4 49" xfId="8808" xr:uid="{00000000-0005-0000-0000-00006D220000}"/>
    <cellStyle name="Percent 4 5" xfId="8809" xr:uid="{00000000-0005-0000-0000-00006E220000}"/>
    <cellStyle name="Percent 4 50" xfId="8810" xr:uid="{00000000-0005-0000-0000-00006F220000}"/>
    <cellStyle name="Percent 4 51" xfId="8811" xr:uid="{00000000-0005-0000-0000-000070220000}"/>
    <cellStyle name="Percent 4 52" xfId="8812" xr:uid="{00000000-0005-0000-0000-000071220000}"/>
    <cellStyle name="Percent 4 53" xfId="8813" xr:uid="{00000000-0005-0000-0000-000072220000}"/>
    <cellStyle name="Percent 4 54" xfId="8814" xr:uid="{00000000-0005-0000-0000-000073220000}"/>
    <cellStyle name="Percent 4 55" xfId="8815" xr:uid="{00000000-0005-0000-0000-000074220000}"/>
    <cellStyle name="Percent 4 56" xfId="8816" xr:uid="{00000000-0005-0000-0000-000075220000}"/>
    <cellStyle name="Percent 4 57" xfId="8817" xr:uid="{00000000-0005-0000-0000-000076220000}"/>
    <cellStyle name="Percent 4 58" xfId="8818" xr:uid="{00000000-0005-0000-0000-000077220000}"/>
    <cellStyle name="Percent 4 59" xfId="8819" xr:uid="{00000000-0005-0000-0000-000078220000}"/>
    <cellStyle name="Percent 4 6" xfId="8820" xr:uid="{00000000-0005-0000-0000-000079220000}"/>
    <cellStyle name="Percent 4 60" xfId="8821" xr:uid="{00000000-0005-0000-0000-00007A220000}"/>
    <cellStyle name="Percent 4 61" xfId="8822" xr:uid="{00000000-0005-0000-0000-00007B220000}"/>
    <cellStyle name="Percent 4 62" xfId="9381" xr:uid="{00000000-0005-0000-0000-00007C220000}"/>
    <cellStyle name="Percent 4 63" xfId="9385" xr:uid="{00000000-0005-0000-0000-00007D220000}"/>
    <cellStyle name="Percent 4 7" xfId="8823" xr:uid="{00000000-0005-0000-0000-00007E220000}"/>
    <cellStyle name="Percent 4 8" xfId="8824" xr:uid="{00000000-0005-0000-0000-00007F220000}"/>
    <cellStyle name="Percent 4 9" xfId="8825" xr:uid="{00000000-0005-0000-0000-000080220000}"/>
    <cellStyle name="Percent 40" xfId="8826" xr:uid="{00000000-0005-0000-0000-000081220000}"/>
    <cellStyle name="Percent 41" xfId="8827" xr:uid="{00000000-0005-0000-0000-000082220000}"/>
    <cellStyle name="Percent 42" xfId="8828" xr:uid="{00000000-0005-0000-0000-000083220000}"/>
    <cellStyle name="Percent 43" xfId="8829" xr:uid="{00000000-0005-0000-0000-000084220000}"/>
    <cellStyle name="Percent 44" xfId="8830" xr:uid="{00000000-0005-0000-0000-000085220000}"/>
    <cellStyle name="Percent 44 2" xfId="8831" xr:uid="{00000000-0005-0000-0000-000086220000}"/>
    <cellStyle name="Percent 45" xfId="8832" xr:uid="{00000000-0005-0000-0000-000087220000}"/>
    <cellStyle name="Percent 46" xfId="8833" xr:uid="{00000000-0005-0000-0000-000088220000}"/>
    <cellStyle name="Percent 47" xfId="8834" xr:uid="{00000000-0005-0000-0000-000089220000}"/>
    <cellStyle name="Percent 48" xfId="8835" xr:uid="{00000000-0005-0000-0000-00008A220000}"/>
    <cellStyle name="Percent 49" xfId="8836" xr:uid="{00000000-0005-0000-0000-00008B220000}"/>
    <cellStyle name="Percent 49 2" xfId="8837" xr:uid="{00000000-0005-0000-0000-00008C220000}"/>
    <cellStyle name="Percent 5" xfId="10" xr:uid="{00000000-0005-0000-0000-00008D220000}"/>
    <cellStyle name="Percent 5 10" xfId="8838" xr:uid="{00000000-0005-0000-0000-00008E220000}"/>
    <cellStyle name="Percent 5 11" xfId="8839" xr:uid="{00000000-0005-0000-0000-00008F220000}"/>
    <cellStyle name="Percent 5 12" xfId="8840" xr:uid="{00000000-0005-0000-0000-000090220000}"/>
    <cellStyle name="Percent 5 13" xfId="8841" xr:uid="{00000000-0005-0000-0000-000091220000}"/>
    <cellStyle name="Percent 5 14" xfId="8842" xr:uid="{00000000-0005-0000-0000-000092220000}"/>
    <cellStyle name="Percent 5 15" xfId="8843" xr:uid="{00000000-0005-0000-0000-000093220000}"/>
    <cellStyle name="Percent 5 16" xfId="8844" xr:uid="{00000000-0005-0000-0000-000094220000}"/>
    <cellStyle name="Percent 5 17" xfId="8845" xr:uid="{00000000-0005-0000-0000-000095220000}"/>
    <cellStyle name="Percent 5 18" xfId="8846" xr:uid="{00000000-0005-0000-0000-000096220000}"/>
    <cellStyle name="Percent 5 19" xfId="8847" xr:uid="{00000000-0005-0000-0000-000097220000}"/>
    <cellStyle name="Percent 5 2" xfId="8848" xr:uid="{00000000-0005-0000-0000-000098220000}"/>
    <cellStyle name="Percent 5 2 10" xfId="8849" xr:uid="{00000000-0005-0000-0000-000099220000}"/>
    <cellStyle name="Percent 5 2 11" xfId="8850" xr:uid="{00000000-0005-0000-0000-00009A220000}"/>
    <cellStyle name="Percent 5 2 12" xfId="8851" xr:uid="{00000000-0005-0000-0000-00009B220000}"/>
    <cellStyle name="Percent 5 2 13" xfId="8852" xr:uid="{00000000-0005-0000-0000-00009C220000}"/>
    <cellStyle name="Percent 5 2 14" xfId="8853" xr:uid="{00000000-0005-0000-0000-00009D220000}"/>
    <cellStyle name="Percent 5 2 15" xfId="8854" xr:uid="{00000000-0005-0000-0000-00009E220000}"/>
    <cellStyle name="Percent 5 2 15 2" xfId="8855" xr:uid="{00000000-0005-0000-0000-00009F220000}"/>
    <cellStyle name="Percent 5 2 16" xfId="8856" xr:uid="{00000000-0005-0000-0000-0000A0220000}"/>
    <cellStyle name="Percent 5 2 17" xfId="8857" xr:uid="{00000000-0005-0000-0000-0000A1220000}"/>
    <cellStyle name="Percent 5 2 18" xfId="8858" xr:uid="{00000000-0005-0000-0000-0000A2220000}"/>
    <cellStyle name="Percent 5 2 19" xfId="8859" xr:uid="{00000000-0005-0000-0000-0000A3220000}"/>
    <cellStyle name="Percent 5 2 2" xfId="8860" xr:uid="{00000000-0005-0000-0000-0000A4220000}"/>
    <cellStyle name="Percent 5 2 2 10" xfId="8861" xr:uid="{00000000-0005-0000-0000-0000A5220000}"/>
    <cellStyle name="Percent 5 2 2 11" xfId="8862" xr:uid="{00000000-0005-0000-0000-0000A6220000}"/>
    <cellStyle name="Percent 5 2 2 12" xfId="8863" xr:uid="{00000000-0005-0000-0000-0000A7220000}"/>
    <cellStyle name="Percent 5 2 2 12 2" xfId="8864" xr:uid="{00000000-0005-0000-0000-0000A8220000}"/>
    <cellStyle name="Percent 5 2 2 13" xfId="8865" xr:uid="{00000000-0005-0000-0000-0000A9220000}"/>
    <cellStyle name="Percent 5 2 2 14" xfId="8866" xr:uid="{00000000-0005-0000-0000-0000AA220000}"/>
    <cellStyle name="Percent 5 2 2 2" xfId="8867" xr:uid="{00000000-0005-0000-0000-0000AB220000}"/>
    <cellStyle name="Percent 5 2 2 2 10" xfId="8868" xr:uid="{00000000-0005-0000-0000-0000AC220000}"/>
    <cellStyle name="Percent 5 2 2 2 10 2" xfId="8869" xr:uid="{00000000-0005-0000-0000-0000AD220000}"/>
    <cellStyle name="Percent 5 2 2 2 10 2 2" xfId="8870" xr:uid="{00000000-0005-0000-0000-0000AE220000}"/>
    <cellStyle name="Percent 5 2 2 2 10 3" xfId="8871" xr:uid="{00000000-0005-0000-0000-0000AF220000}"/>
    <cellStyle name="Percent 5 2 2 2 11" xfId="8872" xr:uid="{00000000-0005-0000-0000-0000B0220000}"/>
    <cellStyle name="Percent 5 2 2 2 11 2" xfId="8873" xr:uid="{00000000-0005-0000-0000-0000B1220000}"/>
    <cellStyle name="Percent 5 2 2 2 11 2 2" xfId="8874" xr:uid="{00000000-0005-0000-0000-0000B2220000}"/>
    <cellStyle name="Percent 5 2 2 2 11 3" xfId="8875" xr:uid="{00000000-0005-0000-0000-0000B3220000}"/>
    <cellStyle name="Percent 5 2 2 2 12" xfId="8876" xr:uid="{00000000-0005-0000-0000-0000B4220000}"/>
    <cellStyle name="Percent 5 2 2 2 12 2" xfId="8877" xr:uid="{00000000-0005-0000-0000-0000B5220000}"/>
    <cellStyle name="Percent 5 2 2 2 13" xfId="8878" xr:uid="{00000000-0005-0000-0000-0000B6220000}"/>
    <cellStyle name="Percent 5 2 2 2 13 2" xfId="8879" xr:uid="{00000000-0005-0000-0000-0000B7220000}"/>
    <cellStyle name="Percent 5 2 2 2 14" xfId="8880" xr:uid="{00000000-0005-0000-0000-0000B8220000}"/>
    <cellStyle name="Percent 5 2 2 2 2" xfId="8881" xr:uid="{00000000-0005-0000-0000-0000B9220000}"/>
    <cellStyle name="Percent 5 2 2 2 2 2" xfId="8882" xr:uid="{00000000-0005-0000-0000-0000BA220000}"/>
    <cellStyle name="Percent 5 2 2 2 2 2 2" xfId="8883" xr:uid="{00000000-0005-0000-0000-0000BB220000}"/>
    <cellStyle name="Percent 5 2 2 2 2 3" xfId="8884" xr:uid="{00000000-0005-0000-0000-0000BC220000}"/>
    <cellStyle name="Percent 5 2 2 2 3" xfId="8885" xr:uid="{00000000-0005-0000-0000-0000BD220000}"/>
    <cellStyle name="Percent 5 2 2 2 3 2" xfId="8886" xr:uid="{00000000-0005-0000-0000-0000BE220000}"/>
    <cellStyle name="Percent 5 2 2 2 3 2 2" xfId="8887" xr:uid="{00000000-0005-0000-0000-0000BF220000}"/>
    <cellStyle name="Percent 5 2 2 2 3 3" xfId="8888" xr:uid="{00000000-0005-0000-0000-0000C0220000}"/>
    <cellStyle name="Percent 5 2 2 2 4" xfId="8889" xr:uid="{00000000-0005-0000-0000-0000C1220000}"/>
    <cellStyle name="Percent 5 2 2 2 4 2" xfId="8890" xr:uid="{00000000-0005-0000-0000-0000C2220000}"/>
    <cellStyle name="Percent 5 2 2 2 4 2 2" xfId="8891" xr:uid="{00000000-0005-0000-0000-0000C3220000}"/>
    <cellStyle name="Percent 5 2 2 2 4 3" xfId="8892" xr:uid="{00000000-0005-0000-0000-0000C4220000}"/>
    <cellStyle name="Percent 5 2 2 2 5" xfId="8893" xr:uid="{00000000-0005-0000-0000-0000C5220000}"/>
    <cellStyle name="Percent 5 2 2 2 5 2" xfId="8894" xr:uid="{00000000-0005-0000-0000-0000C6220000}"/>
    <cellStyle name="Percent 5 2 2 2 5 2 2" xfId="8895" xr:uid="{00000000-0005-0000-0000-0000C7220000}"/>
    <cellStyle name="Percent 5 2 2 2 5 3" xfId="8896" xr:uid="{00000000-0005-0000-0000-0000C8220000}"/>
    <cellStyle name="Percent 5 2 2 2 6" xfId="8897" xr:uid="{00000000-0005-0000-0000-0000C9220000}"/>
    <cellStyle name="Percent 5 2 2 2 6 2" xfId="8898" xr:uid="{00000000-0005-0000-0000-0000CA220000}"/>
    <cellStyle name="Percent 5 2 2 2 6 2 2" xfId="8899" xr:uid="{00000000-0005-0000-0000-0000CB220000}"/>
    <cellStyle name="Percent 5 2 2 2 6 3" xfId="8900" xr:uid="{00000000-0005-0000-0000-0000CC220000}"/>
    <cellStyle name="Percent 5 2 2 2 7" xfId="8901" xr:uid="{00000000-0005-0000-0000-0000CD220000}"/>
    <cellStyle name="Percent 5 2 2 2 7 2" xfId="8902" xr:uid="{00000000-0005-0000-0000-0000CE220000}"/>
    <cellStyle name="Percent 5 2 2 2 7 2 2" xfId="8903" xr:uid="{00000000-0005-0000-0000-0000CF220000}"/>
    <cellStyle name="Percent 5 2 2 2 7 3" xfId="8904" xr:uid="{00000000-0005-0000-0000-0000D0220000}"/>
    <cellStyle name="Percent 5 2 2 2 8" xfId="8905" xr:uid="{00000000-0005-0000-0000-0000D1220000}"/>
    <cellStyle name="Percent 5 2 2 2 8 2" xfId="8906" xr:uid="{00000000-0005-0000-0000-0000D2220000}"/>
    <cellStyle name="Percent 5 2 2 2 8 2 2" xfId="8907" xr:uid="{00000000-0005-0000-0000-0000D3220000}"/>
    <cellStyle name="Percent 5 2 2 2 8 3" xfId="8908" xr:uid="{00000000-0005-0000-0000-0000D4220000}"/>
    <cellStyle name="Percent 5 2 2 2 9" xfId="8909" xr:uid="{00000000-0005-0000-0000-0000D5220000}"/>
    <cellStyle name="Percent 5 2 2 2 9 2" xfId="8910" xr:uid="{00000000-0005-0000-0000-0000D6220000}"/>
    <cellStyle name="Percent 5 2 2 2 9 2 2" xfId="8911" xr:uid="{00000000-0005-0000-0000-0000D7220000}"/>
    <cellStyle name="Percent 5 2 2 2 9 3" xfId="8912" xr:uid="{00000000-0005-0000-0000-0000D8220000}"/>
    <cellStyle name="Percent 5 2 2 3" xfId="8913" xr:uid="{00000000-0005-0000-0000-0000D9220000}"/>
    <cellStyle name="Percent 5 2 2 4" xfId="8914" xr:uid="{00000000-0005-0000-0000-0000DA220000}"/>
    <cellStyle name="Percent 5 2 2 5" xfId="8915" xr:uid="{00000000-0005-0000-0000-0000DB220000}"/>
    <cellStyle name="Percent 5 2 2 6" xfId="8916" xr:uid="{00000000-0005-0000-0000-0000DC220000}"/>
    <cellStyle name="Percent 5 2 2 7" xfId="8917" xr:uid="{00000000-0005-0000-0000-0000DD220000}"/>
    <cellStyle name="Percent 5 2 2 8" xfId="8918" xr:uid="{00000000-0005-0000-0000-0000DE220000}"/>
    <cellStyle name="Percent 5 2 2 9" xfId="8919" xr:uid="{00000000-0005-0000-0000-0000DF220000}"/>
    <cellStyle name="Percent 5 2 20" xfId="8920" xr:uid="{00000000-0005-0000-0000-0000E0220000}"/>
    <cellStyle name="Percent 5 2 3" xfId="8921" xr:uid="{00000000-0005-0000-0000-0000E1220000}"/>
    <cellStyle name="Percent 5 2 3 2" xfId="8922" xr:uid="{00000000-0005-0000-0000-0000E2220000}"/>
    <cellStyle name="Percent 5 2 3 2 2" xfId="8923" xr:uid="{00000000-0005-0000-0000-0000E3220000}"/>
    <cellStyle name="Percent 5 2 3 2 3" xfId="8924" xr:uid="{00000000-0005-0000-0000-0000E4220000}"/>
    <cellStyle name="Percent 5 2 3 3" xfId="8925" xr:uid="{00000000-0005-0000-0000-0000E5220000}"/>
    <cellStyle name="Percent 5 2 4" xfId="8926" xr:uid="{00000000-0005-0000-0000-0000E6220000}"/>
    <cellStyle name="Percent 5 2 4 2" xfId="8927" xr:uid="{00000000-0005-0000-0000-0000E7220000}"/>
    <cellStyle name="Percent 5 2 4 2 2" xfId="8928" xr:uid="{00000000-0005-0000-0000-0000E8220000}"/>
    <cellStyle name="Percent 5 2 4 3" xfId="8929" xr:uid="{00000000-0005-0000-0000-0000E9220000}"/>
    <cellStyle name="Percent 5 2 5" xfId="8930" xr:uid="{00000000-0005-0000-0000-0000EA220000}"/>
    <cellStyle name="Percent 5 2 5 2" xfId="8931" xr:uid="{00000000-0005-0000-0000-0000EB220000}"/>
    <cellStyle name="Percent 5 2 5 2 2" xfId="8932" xr:uid="{00000000-0005-0000-0000-0000EC220000}"/>
    <cellStyle name="Percent 5 2 5 3" xfId="8933" xr:uid="{00000000-0005-0000-0000-0000ED220000}"/>
    <cellStyle name="Percent 5 2 6" xfId="8934" xr:uid="{00000000-0005-0000-0000-0000EE220000}"/>
    <cellStyle name="Percent 5 2 7" xfId="8935" xr:uid="{00000000-0005-0000-0000-0000EF220000}"/>
    <cellStyle name="Percent 5 2 8" xfId="8936" xr:uid="{00000000-0005-0000-0000-0000F0220000}"/>
    <cellStyle name="Percent 5 2 9" xfId="8937" xr:uid="{00000000-0005-0000-0000-0000F1220000}"/>
    <cellStyle name="Percent 5 20" xfId="8938" xr:uid="{00000000-0005-0000-0000-0000F2220000}"/>
    <cellStyle name="Percent 5 21" xfId="8939" xr:uid="{00000000-0005-0000-0000-0000F3220000}"/>
    <cellStyle name="Percent 5 22" xfId="8940" xr:uid="{00000000-0005-0000-0000-0000F4220000}"/>
    <cellStyle name="Percent 5 23" xfId="8941" xr:uid="{00000000-0005-0000-0000-0000F5220000}"/>
    <cellStyle name="Percent 5 24" xfId="8942" xr:uid="{00000000-0005-0000-0000-0000F6220000}"/>
    <cellStyle name="Percent 5 25" xfId="8943" xr:uid="{00000000-0005-0000-0000-0000F7220000}"/>
    <cellStyle name="Percent 5 26" xfId="8944" xr:uid="{00000000-0005-0000-0000-0000F8220000}"/>
    <cellStyle name="Percent 5 27" xfId="8945" xr:uid="{00000000-0005-0000-0000-0000F9220000}"/>
    <cellStyle name="Percent 5 28" xfId="8946" xr:uid="{00000000-0005-0000-0000-0000FA220000}"/>
    <cellStyle name="Percent 5 29" xfId="8947" xr:uid="{00000000-0005-0000-0000-0000FB220000}"/>
    <cellStyle name="Percent 5 3" xfId="8948" xr:uid="{00000000-0005-0000-0000-0000FC220000}"/>
    <cellStyle name="Percent 5 3 2" xfId="8949" xr:uid="{00000000-0005-0000-0000-0000FD220000}"/>
    <cellStyle name="Percent 5 3 2 2" xfId="8950" xr:uid="{00000000-0005-0000-0000-0000FE220000}"/>
    <cellStyle name="Percent 5 3 3" xfId="8951" xr:uid="{00000000-0005-0000-0000-0000FF220000}"/>
    <cellStyle name="Percent 5 3 4" xfId="8952" xr:uid="{00000000-0005-0000-0000-000000230000}"/>
    <cellStyle name="Percent 5 3 5" xfId="8953" xr:uid="{00000000-0005-0000-0000-000001230000}"/>
    <cellStyle name="Percent 5 30" xfId="8954" xr:uid="{00000000-0005-0000-0000-000002230000}"/>
    <cellStyle name="Percent 5 31" xfId="8955" xr:uid="{00000000-0005-0000-0000-000003230000}"/>
    <cellStyle name="Percent 5 32" xfId="8956" xr:uid="{00000000-0005-0000-0000-000004230000}"/>
    <cellStyle name="Percent 5 33" xfId="8957" xr:uid="{00000000-0005-0000-0000-000005230000}"/>
    <cellStyle name="Percent 5 34" xfId="8958" xr:uid="{00000000-0005-0000-0000-000006230000}"/>
    <cellStyle name="Percent 5 35" xfId="8959" xr:uid="{00000000-0005-0000-0000-000007230000}"/>
    <cellStyle name="Percent 5 36" xfId="8960" xr:uid="{00000000-0005-0000-0000-000008230000}"/>
    <cellStyle name="Percent 5 37" xfId="8961" xr:uid="{00000000-0005-0000-0000-000009230000}"/>
    <cellStyle name="Percent 5 38" xfId="8962" xr:uid="{00000000-0005-0000-0000-00000A230000}"/>
    <cellStyle name="Percent 5 39" xfId="8963" xr:uid="{00000000-0005-0000-0000-00000B230000}"/>
    <cellStyle name="Percent 5 4" xfId="8964" xr:uid="{00000000-0005-0000-0000-00000C230000}"/>
    <cellStyle name="Percent 5 4 2" xfId="8965" xr:uid="{00000000-0005-0000-0000-00000D230000}"/>
    <cellStyle name="Percent 5 4 3" xfId="8966" xr:uid="{00000000-0005-0000-0000-00000E230000}"/>
    <cellStyle name="Percent 5 40" xfId="8967" xr:uid="{00000000-0005-0000-0000-00000F230000}"/>
    <cellStyle name="Percent 5 41" xfId="8968" xr:uid="{00000000-0005-0000-0000-000010230000}"/>
    <cellStyle name="Percent 5 42" xfId="8969" xr:uid="{00000000-0005-0000-0000-000011230000}"/>
    <cellStyle name="Percent 5 43" xfId="8970" xr:uid="{00000000-0005-0000-0000-000012230000}"/>
    <cellStyle name="Percent 5 44" xfId="8971" xr:uid="{00000000-0005-0000-0000-000013230000}"/>
    <cellStyle name="Percent 5 45" xfId="8972" xr:uid="{00000000-0005-0000-0000-000014230000}"/>
    <cellStyle name="Percent 5 46" xfId="8973" xr:uid="{00000000-0005-0000-0000-000015230000}"/>
    <cellStyle name="Percent 5 47" xfId="8974" xr:uid="{00000000-0005-0000-0000-000016230000}"/>
    <cellStyle name="Percent 5 48" xfId="8975" xr:uid="{00000000-0005-0000-0000-000017230000}"/>
    <cellStyle name="Percent 5 49" xfId="8976" xr:uid="{00000000-0005-0000-0000-000018230000}"/>
    <cellStyle name="Percent 5 5" xfId="8977" xr:uid="{00000000-0005-0000-0000-000019230000}"/>
    <cellStyle name="Percent 5 5 2" xfId="8978" xr:uid="{00000000-0005-0000-0000-00001A230000}"/>
    <cellStyle name="Percent 5 5 3" xfId="8979" xr:uid="{00000000-0005-0000-0000-00001B230000}"/>
    <cellStyle name="Percent 5 50" xfId="8980" xr:uid="{00000000-0005-0000-0000-00001C230000}"/>
    <cellStyle name="Percent 5 51" xfId="8981" xr:uid="{00000000-0005-0000-0000-00001D230000}"/>
    <cellStyle name="Percent 5 52" xfId="8982" xr:uid="{00000000-0005-0000-0000-00001E230000}"/>
    <cellStyle name="Percent 5 53" xfId="8983" xr:uid="{00000000-0005-0000-0000-00001F230000}"/>
    <cellStyle name="Percent 5 54" xfId="8984" xr:uid="{00000000-0005-0000-0000-000020230000}"/>
    <cellStyle name="Percent 5 55" xfId="8985" xr:uid="{00000000-0005-0000-0000-000021230000}"/>
    <cellStyle name="Percent 5 56" xfId="8986" xr:uid="{00000000-0005-0000-0000-000022230000}"/>
    <cellStyle name="Percent 5 57" xfId="8987" xr:uid="{00000000-0005-0000-0000-000023230000}"/>
    <cellStyle name="Percent 5 58" xfId="8988" xr:uid="{00000000-0005-0000-0000-000024230000}"/>
    <cellStyle name="Percent 5 59" xfId="8989" xr:uid="{00000000-0005-0000-0000-000025230000}"/>
    <cellStyle name="Percent 5 6" xfId="8990" xr:uid="{00000000-0005-0000-0000-000026230000}"/>
    <cellStyle name="Percent 5 60" xfId="8991" xr:uid="{00000000-0005-0000-0000-000027230000}"/>
    <cellStyle name="Percent 5 61" xfId="8992" xr:uid="{00000000-0005-0000-0000-000028230000}"/>
    <cellStyle name="Percent 5 62" xfId="8993" xr:uid="{00000000-0005-0000-0000-000029230000}"/>
    <cellStyle name="Percent 5 63" xfId="8994" xr:uid="{00000000-0005-0000-0000-00002A230000}"/>
    <cellStyle name="Percent 5 64" xfId="8995" xr:uid="{00000000-0005-0000-0000-00002B230000}"/>
    <cellStyle name="Percent 5 7" xfId="8996" xr:uid="{00000000-0005-0000-0000-00002C230000}"/>
    <cellStyle name="Percent 5 8" xfId="8997" xr:uid="{00000000-0005-0000-0000-00002D230000}"/>
    <cellStyle name="Percent 5 9" xfId="8998" xr:uid="{00000000-0005-0000-0000-00002E230000}"/>
    <cellStyle name="Percent 50" xfId="8999" xr:uid="{00000000-0005-0000-0000-00002F230000}"/>
    <cellStyle name="Percent 51" xfId="9000" xr:uid="{00000000-0005-0000-0000-000030230000}"/>
    <cellStyle name="Percent 52" xfId="9001" xr:uid="{00000000-0005-0000-0000-000031230000}"/>
    <cellStyle name="Percent 53" xfId="9002" xr:uid="{00000000-0005-0000-0000-000032230000}"/>
    <cellStyle name="Percent 54" xfId="9003" xr:uid="{00000000-0005-0000-0000-000033230000}"/>
    <cellStyle name="Percent 55" xfId="9004" xr:uid="{00000000-0005-0000-0000-000034230000}"/>
    <cellStyle name="Percent 56" xfId="9005" xr:uid="{00000000-0005-0000-0000-000035230000}"/>
    <cellStyle name="Percent 57" xfId="9006" xr:uid="{00000000-0005-0000-0000-000036230000}"/>
    <cellStyle name="Percent 58" xfId="9007" xr:uid="{00000000-0005-0000-0000-000037230000}"/>
    <cellStyle name="Percent 59" xfId="9008" xr:uid="{00000000-0005-0000-0000-000038230000}"/>
    <cellStyle name="Percent 6" xfId="12" xr:uid="{00000000-0005-0000-0000-000039230000}"/>
    <cellStyle name="Percent 6 2" xfId="9009" xr:uid="{00000000-0005-0000-0000-00003A230000}"/>
    <cellStyle name="Percent 6 3" xfId="9010" xr:uid="{00000000-0005-0000-0000-00003B230000}"/>
    <cellStyle name="Percent 6 4" xfId="9011" xr:uid="{00000000-0005-0000-0000-00003C230000}"/>
    <cellStyle name="Percent 6 4 2 2" xfId="9425" xr:uid="{AE8E7014-3E6C-4D54-91D6-9131A6F91630}"/>
    <cellStyle name="Percent 60" xfId="9012" xr:uid="{00000000-0005-0000-0000-00003D230000}"/>
    <cellStyle name="Percent 61" xfId="9013" xr:uid="{00000000-0005-0000-0000-00003E230000}"/>
    <cellStyle name="Percent 62" xfId="9014" xr:uid="{00000000-0005-0000-0000-00003F230000}"/>
    <cellStyle name="Percent 63" xfId="9015" xr:uid="{00000000-0005-0000-0000-000040230000}"/>
    <cellStyle name="Percent 64" xfId="9016" xr:uid="{00000000-0005-0000-0000-000041230000}"/>
    <cellStyle name="Percent 64 2" xfId="9017" xr:uid="{00000000-0005-0000-0000-000042230000}"/>
    <cellStyle name="Percent 64 2 2" xfId="9018" xr:uid="{00000000-0005-0000-0000-000043230000}"/>
    <cellStyle name="Percent 65" xfId="9019" xr:uid="{00000000-0005-0000-0000-000044230000}"/>
    <cellStyle name="Percent 65 2" xfId="9020" xr:uid="{00000000-0005-0000-0000-000045230000}"/>
    <cellStyle name="Percent 65 3" xfId="9021" xr:uid="{00000000-0005-0000-0000-000046230000}"/>
    <cellStyle name="Percent 66" xfId="9022" xr:uid="{00000000-0005-0000-0000-000047230000}"/>
    <cellStyle name="Percent 66 2" xfId="9023" xr:uid="{00000000-0005-0000-0000-000048230000}"/>
    <cellStyle name="Percent 67" xfId="9024" xr:uid="{00000000-0005-0000-0000-000049230000}"/>
    <cellStyle name="Percent 67 2" xfId="9025" xr:uid="{00000000-0005-0000-0000-00004A230000}"/>
    <cellStyle name="Percent 68" xfId="9026" xr:uid="{00000000-0005-0000-0000-00004B230000}"/>
    <cellStyle name="Percent 69" xfId="9027" xr:uid="{00000000-0005-0000-0000-00004C230000}"/>
    <cellStyle name="Percent 7" xfId="15" xr:uid="{00000000-0005-0000-0000-00004D230000}"/>
    <cellStyle name="Percent 7 10" xfId="9028" xr:uid="{00000000-0005-0000-0000-00004E230000}"/>
    <cellStyle name="Percent 7 11" xfId="9029" xr:uid="{00000000-0005-0000-0000-00004F230000}"/>
    <cellStyle name="Percent 7 12" xfId="9030" xr:uid="{00000000-0005-0000-0000-000050230000}"/>
    <cellStyle name="Percent 7 12 2" xfId="9031" xr:uid="{00000000-0005-0000-0000-000051230000}"/>
    <cellStyle name="Percent 7 13" xfId="9032" xr:uid="{00000000-0005-0000-0000-000052230000}"/>
    <cellStyle name="Percent 7 14" xfId="9033" xr:uid="{00000000-0005-0000-0000-000053230000}"/>
    <cellStyle name="Percent 7 15" xfId="9034" xr:uid="{00000000-0005-0000-0000-000054230000}"/>
    <cellStyle name="Percent 7 2" xfId="9035" xr:uid="{00000000-0005-0000-0000-000055230000}"/>
    <cellStyle name="Percent 7 2 10" xfId="9036" xr:uid="{00000000-0005-0000-0000-000056230000}"/>
    <cellStyle name="Percent 7 2 10 2" xfId="9037" xr:uid="{00000000-0005-0000-0000-000057230000}"/>
    <cellStyle name="Percent 7 2 10 2 2" xfId="9038" xr:uid="{00000000-0005-0000-0000-000058230000}"/>
    <cellStyle name="Percent 7 2 10 3" xfId="9039" xr:uid="{00000000-0005-0000-0000-000059230000}"/>
    <cellStyle name="Percent 7 2 11" xfId="9040" xr:uid="{00000000-0005-0000-0000-00005A230000}"/>
    <cellStyle name="Percent 7 2 11 2" xfId="9041" xr:uid="{00000000-0005-0000-0000-00005B230000}"/>
    <cellStyle name="Percent 7 2 11 2 2" xfId="9042" xr:uid="{00000000-0005-0000-0000-00005C230000}"/>
    <cellStyle name="Percent 7 2 11 3" xfId="9043" xr:uid="{00000000-0005-0000-0000-00005D230000}"/>
    <cellStyle name="Percent 7 2 12" xfId="9044" xr:uid="{00000000-0005-0000-0000-00005E230000}"/>
    <cellStyle name="Percent 7 2 12 2" xfId="9045" xr:uid="{00000000-0005-0000-0000-00005F230000}"/>
    <cellStyle name="Percent 7 2 12 3" xfId="9046" xr:uid="{00000000-0005-0000-0000-000060230000}"/>
    <cellStyle name="Percent 7 2 13" xfId="9047" xr:uid="{00000000-0005-0000-0000-000061230000}"/>
    <cellStyle name="Percent 7 2 13 2" xfId="9048" xr:uid="{00000000-0005-0000-0000-000062230000}"/>
    <cellStyle name="Percent 7 2 13 3" xfId="9049" xr:uid="{00000000-0005-0000-0000-000063230000}"/>
    <cellStyle name="Percent 7 2 14" xfId="9050" xr:uid="{00000000-0005-0000-0000-000064230000}"/>
    <cellStyle name="Percent 7 2 2" xfId="9051" xr:uid="{00000000-0005-0000-0000-000065230000}"/>
    <cellStyle name="Percent 7 2 2 2" xfId="9052" xr:uid="{00000000-0005-0000-0000-000066230000}"/>
    <cellStyle name="Percent 7 2 2 2 2" xfId="9053" xr:uid="{00000000-0005-0000-0000-000067230000}"/>
    <cellStyle name="Percent 7 2 2 3" xfId="9054" xr:uid="{00000000-0005-0000-0000-000068230000}"/>
    <cellStyle name="Percent 7 2 3" xfId="9055" xr:uid="{00000000-0005-0000-0000-000069230000}"/>
    <cellStyle name="Percent 7 2 3 2" xfId="9056" xr:uid="{00000000-0005-0000-0000-00006A230000}"/>
    <cellStyle name="Percent 7 2 3 2 2" xfId="9057" xr:uid="{00000000-0005-0000-0000-00006B230000}"/>
    <cellStyle name="Percent 7 2 3 3" xfId="9058" xr:uid="{00000000-0005-0000-0000-00006C230000}"/>
    <cellStyle name="Percent 7 2 4" xfId="9059" xr:uid="{00000000-0005-0000-0000-00006D230000}"/>
    <cellStyle name="Percent 7 2 4 2" xfId="9060" xr:uid="{00000000-0005-0000-0000-00006E230000}"/>
    <cellStyle name="Percent 7 2 4 2 2" xfId="9061" xr:uid="{00000000-0005-0000-0000-00006F230000}"/>
    <cellStyle name="Percent 7 2 4 3" xfId="9062" xr:uid="{00000000-0005-0000-0000-000070230000}"/>
    <cellStyle name="Percent 7 2 5" xfId="9063" xr:uid="{00000000-0005-0000-0000-000071230000}"/>
    <cellStyle name="Percent 7 2 5 2" xfId="9064" xr:uid="{00000000-0005-0000-0000-000072230000}"/>
    <cellStyle name="Percent 7 2 5 2 2" xfId="9065" xr:uid="{00000000-0005-0000-0000-000073230000}"/>
    <cellStyle name="Percent 7 2 5 3" xfId="9066" xr:uid="{00000000-0005-0000-0000-000074230000}"/>
    <cellStyle name="Percent 7 2 6" xfId="9067" xr:uid="{00000000-0005-0000-0000-000075230000}"/>
    <cellStyle name="Percent 7 2 6 2" xfId="9068" xr:uid="{00000000-0005-0000-0000-000076230000}"/>
    <cellStyle name="Percent 7 2 6 2 2" xfId="9069" xr:uid="{00000000-0005-0000-0000-000077230000}"/>
    <cellStyle name="Percent 7 2 6 3" xfId="9070" xr:uid="{00000000-0005-0000-0000-000078230000}"/>
    <cellStyle name="Percent 7 2 7" xfId="9071" xr:uid="{00000000-0005-0000-0000-000079230000}"/>
    <cellStyle name="Percent 7 2 7 2" xfId="9072" xr:uid="{00000000-0005-0000-0000-00007A230000}"/>
    <cellStyle name="Percent 7 2 7 2 2" xfId="9073" xr:uid="{00000000-0005-0000-0000-00007B230000}"/>
    <cellStyle name="Percent 7 2 7 3" xfId="9074" xr:uid="{00000000-0005-0000-0000-00007C230000}"/>
    <cellStyle name="Percent 7 2 8" xfId="9075" xr:uid="{00000000-0005-0000-0000-00007D230000}"/>
    <cellStyle name="Percent 7 2 8 2" xfId="9076" xr:uid="{00000000-0005-0000-0000-00007E230000}"/>
    <cellStyle name="Percent 7 2 8 2 2" xfId="9077" xr:uid="{00000000-0005-0000-0000-00007F230000}"/>
    <cellStyle name="Percent 7 2 8 3" xfId="9078" xr:uid="{00000000-0005-0000-0000-000080230000}"/>
    <cellStyle name="Percent 7 2 9" xfId="9079" xr:uid="{00000000-0005-0000-0000-000081230000}"/>
    <cellStyle name="Percent 7 2 9 2" xfId="9080" xr:uid="{00000000-0005-0000-0000-000082230000}"/>
    <cellStyle name="Percent 7 2 9 2 2" xfId="9081" xr:uid="{00000000-0005-0000-0000-000083230000}"/>
    <cellStyle name="Percent 7 2 9 3" xfId="9082" xr:uid="{00000000-0005-0000-0000-000084230000}"/>
    <cellStyle name="Percent 7 3" xfId="9083" xr:uid="{00000000-0005-0000-0000-000085230000}"/>
    <cellStyle name="Percent 7 4" xfId="9084" xr:uid="{00000000-0005-0000-0000-000086230000}"/>
    <cellStyle name="Percent 7 5" xfId="9085" xr:uid="{00000000-0005-0000-0000-000087230000}"/>
    <cellStyle name="Percent 7 6" xfId="9086" xr:uid="{00000000-0005-0000-0000-000088230000}"/>
    <cellStyle name="Percent 7 7" xfId="9087" xr:uid="{00000000-0005-0000-0000-000089230000}"/>
    <cellStyle name="Percent 7 8" xfId="9088" xr:uid="{00000000-0005-0000-0000-00008A230000}"/>
    <cellStyle name="Percent 7 9" xfId="9089" xr:uid="{00000000-0005-0000-0000-00008B230000}"/>
    <cellStyle name="Percent 70" xfId="9090" xr:uid="{00000000-0005-0000-0000-00008C230000}"/>
    <cellStyle name="Percent 71" xfId="9091" xr:uid="{00000000-0005-0000-0000-00008D230000}"/>
    <cellStyle name="Percent 72" xfId="9092" xr:uid="{00000000-0005-0000-0000-00008E230000}"/>
    <cellStyle name="Percent 73" xfId="9093" xr:uid="{00000000-0005-0000-0000-00008F230000}"/>
    <cellStyle name="Percent 73 2" xfId="9094" xr:uid="{00000000-0005-0000-0000-000090230000}"/>
    <cellStyle name="Percent 74" xfId="9095" xr:uid="{00000000-0005-0000-0000-000091230000}"/>
    <cellStyle name="Percent 75" xfId="9096" xr:uid="{00000000-0005-0000-0000-000092230000}"/>
    <cellStyle name="Percent 76" xfId="9097" xr:uid="{00000000-0005-0000-0000-000093230000}"/>
    <cellStyle name="Percent 77" xfId="9098" xr:uid="{00000000-0005-0000-0000-000094230000}"/>
    <cellStyle name="Percent 78" xfId="9099" xr:uid="{00000000-0005-0000-0000-000095230000}"/>
    <cellStyle name="Percent 78 2" xfId="9397" xr:uid="{8EFC8721-E791-4B69-97AD-1ED7797939A3}"/>
    <cellStyle name="Percent 79" xfId="9100" xr:uid="{00000000-0005-0000-0000-000096230000}"/>
    <cellStyle name="Percent 8" xfId="9101" xr:uid="{00000000-0005-0000-0000-000097230000}"/>
    <cellStyle name="Percent 8 2" xfId="9102" xr:uid="{00000000-0005-0000-0000-000098230000}"/>
    <cellStyle name="Percent 8 2 2" xfId="9103" xr:uid="{00000000-0005-0000-0000-000099230000}"/>
    <cellStyle name="Percent 8 2 2 2" xfId="9104" xr:uid="{00000000-0005-0000-0000-00009A230000}"/>
    <cellStyle name="Percent 8 2 2 2 2" xfId="9105" xr:uid="{00000000-0005-0000-0000-00009B230000}"/>
    <cellStyle name="Percent 8 2 2 2 2 2" xfId="9106" xr:uid="{00000000-0005-0000-0000-00009C230000}"/>
    <cellStyle name="Percent 8 2 2 2 3" xfId="9107" xr:uid="{00000000-0005-0000-0000-00009D230000}"/>
    <cellStyle name="Percent 8 2 2 3" xfId="9108" xr:uid="{00000000-0005-0000-0000-00009E230000}"/>
    <cellStyle name="Percent 8 2 2 3 2" xfId="9109" xr:uid="{00000000-0005-0000-0000-00009F230000}"/>
    <cellStyle name="Percent 8 2 2 3 2 2" xfId="9110" xr:uid="{00000000-0005-0000-0000-0000A0230000}"/>
    <cellStyle name="Percent 8 2 2 3 3" xfId="9111" xr:uid="{00000000-0005-0000-0000-0000A1230000}"/>
    <cellStyle name="Percent 8 2 2 4" xfId="9112" xr:uid="{00000000-0005-0000-0000-0000A2230000}"/>
    <cellStyle name="Percent 8 2 2 4 2" xfId="9113" xr:uid="{00000000-0005-0000-0000-0000A3230000}"/>
    <cellStyle name="Percent 8 2 2 4 2 2" xfId="9114" xr:uid="{00000000-0005-0000-0000-0000A4230000}"/>
    <cellStyle name="Percent 8 2 2 4 3" xfId="9115" xr:uid="{00000000-0005-0000-0000-0000A5230000}"/>
    <cellStyle name="Percent 8 2 2 5" xfId="9116" xr:uid="{00000000-0005-0000-0000-0000A6230000}"/>
    <cellStyle name="Percent 8 2 2 5 2" xfId="9117" xr:uid="{00000000-0005-0000-0000-0000A7230000}"/>
    <cellStyle name="Percent 8 2 2 5 2 2" xfId="9118" xr:uid="{00000000-0005-0000-0000-0000A8230000}"/>
    <cellStyle name="Percent 8 2 2 5 3" xfId="9119" xr:uid="{00000000-0005-0000-0000-0000A9230000}"/>
    <cellStyle name="Percent 8 2 3" xfId="9120" xr:uid="{00000000-0005-0000-0000-0000AA230000}"/>
    <cellStyle name="Percent 8 2 4" xfId="9121" xr:uid="{00000000-0005-0000-0000-0000AB230000}"/>
    <cellStyle name="Percent 8 2 5" xfId="9122" xr:uid="{00000000-0005-0000-0000-0000AC230000}"/>
    <cellStyle name="Percent 8 2 6" xfId="9123" xr:uid="{00000000-0005-0000-0000-0000AD230000}"/>
    <cellStyle name="Percent 8 2 6 2" xfId="9124" xr:uid="{00000000-0005-0000-0000-0000AE230000}"/>
    <cellStyle name="Percent 8 2 7" xfId="9125" xr:uid="{00000000-0005-0000-0000-0000AF230000}"/>
    <cellStyle name="Percent 8 3" xfId="9126" xr:uid="{00000000-0005-0000-0000-0000B0230000}"/>
    <cellStyle name="Percent 8 3 2" xfId="9127" xr:uid="{00000000-0005-0000-0000-0000B1230000}"/>
    <cellStyle name="Percent 8 3 2 2" xfId="9128" xr:uid="{00000000-0005-0000-0000-0000B2230000}"/>
    <cellStyle name="Percent 8 3 3" xfId="9129" xr:uid="{00000000-0005-0000-0000-0000B3230000}"/>
    <cellStyle name="Percent 8 4" xfId="9130" xr:uid="{00000000-0005-0000-0000-0000B4230000}"/>
    <cellStyle name="Percent 8 4 2" xfId="9131" xr:uid="{00000000-0005-0000-0000-0000B5230000}"/>
    <cellStyle name="Percent 8 4 2 2" xfId="9132" xr:uid="{00000000-0005-0000-0000-0000B6230000}"/>
    <cellStyle name="Percent 8 4 3" xfId="9133" xr:uid="{00000000-0005-0000-0000-0000B7230000}"/>
    <cellStyle name="Percent 8 5" xfId="9134" xr:uid="{00000000-0005-0000-0000-0000B8230000}"/>
    <cellStyle name="Percent 8 5 2" xfId="9135" xr:uid="{00000000-0005-0000-0000-0000B9230000}"/>
    <cellStyle name="Percent 8 5 2 2" xfId="9136" xr:uid="{00000000-0005-0000-0000-0000BA230000}"/>
    <cellStyle name="Percent 8 5 3" xfId="9137" xr:uid="{00000000-0005-0000-0000-0000BB230000}"/>
    <cellStyle name="Percent 8 6" xfId="9138" xr:uid="{00000000-0005-0000-0000-0000BC230000}"/>
    <cellStyle name="Percent 8 6 2" xfId="9139" xr:uid="{00000000-0005-0000-0000-0000BD230000}"/>
    <cellStyle name="Percent 8 6 2 2" xfId="9140" xr:uid="{00000000-0005-0000-0000-0000BE230000}"/>
    <cellStyle name="Percent 8 6 3" xfId="9141" xr:uid="{00000000-0005-0000-0000-0000BF230000}"/>
    <cellStyle name="Percent 8 7" xfId="9142" xr:uid="{00000000-0005-0000-0000-0000C0230000}"/>
    <cellStyle name="Percent 8 7 2" xfId="9143" xr:uid="{00000000-0005-0000-0000-0000C1230000}"/>
    <cellStyle name="Percent 8 7 3" xfId="9144" xr:uid="{00000000-0005-0000-0000-0000C2230000}"/>
    <cellStyle name="Percent 8 8" xfId="9145" xr:uid="{00000000-0005-0000-0000-0000C3230000}"/>
    <cellStyle name="Percent 80" xfId="9146" xr:uid="{00000000-0005-0000-0000-0000C4230000}"/>
    <cellStyle name="Percent 81" xfId="9147" xr:uid="{00000000-0005-0000-0000-0000C5230000}"/>
    <cellStyle name="Percent 82" xfId="9148" xr:uid="{00000000-0005-0000-0000-0000C6230000}"/>
    <cellStyle name="Percent 83" xfId="9149" xr:uid="{00000000-0005-0000-0000-0000C7230000}"/>
    <cellStyle name="Percent 84" xfId="9150" xr:uid="{00000000-0005-0000-0000-0000C8230000}"/>
    <cellStyle name="Percent 85" xfId="9151" xr:uid="{00000000-0005-0000-0000-0000C9230000}"/>
    <cellStyle name="Percent 86" xfId="9152" xr:uid="{00000000-0005-0000-0000-0000CA230000}"/>
    <cellStyle name="Percent 87" xfId="9377" xr:uid="{00000000-0005-0000-0000-0000CB230000}"/>
    <cellStyle name="Percent 88" xfId="9379" xr:uid="{00000000-0005-0000-0000-0000CC230000}"/>
    <cellStyle name="Percent 88 2" xfId="9392" xr:uid="{E6FE501A-A1DC-492D-8E00-4B654070FD57}"/>
    <cellStyle name="Percent 89" xfId="9380" xr:uid="{00000000-0005-0000-0000-0000CD230000}"/>
    <cellStyle name="Percent 9" xfId="9153" xr:uid="{00000000-0005-0000-0000-0000CE230000}"/>
    <cellStyle name="Percent 9 2" xfId="9154" xr:uid="{00000000-0005-0000-0000-0000CF230000}"/>
    <cellStyle name="Percent 9 3" xfId="9155" xr:uid="{00000000-0005-0000-0000-0000D0230000}"/>
    <cellStyle name="Percent 90" xfId="9383" xr:uid="{00000000-0005-0000-0000-0000D1230000}"/>
    <cellStyle name="Percent 90 2" xfId="9390" xr:uid="{00000000-0005-0000-0000-0000D2230000}"/>
    <cellStyle name="Percent 91" xfId="9384" xr:uid="{00000000-0005-0000-0000-0000D3230000}"/>
    <cellStyle name="Percent 92" xfId="9399" xr:uid="{017850ED-30EE-497A-8C0C-A0A93E928C4F}"/>
    <cellStyle name="Percent 93" xfId="9403" xr:uid="{2F6724F7-6E08-4C60-A404-24CECC3CEE44}"/>
    <cellStyle name="Percent 94" xfId="9411" xr:uid="{FFC91947-BF7C-49F9-9C76-D69CD54026C4}"/>
    <cellStyle name="Percent 94 2" xfId="9406" xr:uid="{0D4C50E7-21AC-4F62-8B97-48524FC92694}"/>
    <cellStyle name="Percent 94 2 2" xfId="9416" xr:uid="{70FDE156-F711-423E-BABA-70C2C5910162}"/>
    <cellStyle name="PRINTFONT" xfId="9156" xr:uid="{00000000-0005-0000-0000-0000D4230000}"/>
    <cellStyle name="PSChar" xfId="9157" xr:uid="{00000000-0005-0000-0000-0000D5230000}"/>
    <cellStyle name="PSDate" xfId="9158" xr:uid="{00000000-0005-0000-0000-0000D6230000}"/>
    <cellStyle name="PSDec" xfId="9159" xr:uid="{00000000-0005-0000-0000-0000D7230000}"/>
    <cellStyle name="PSHeading" xfId="9160" xr:uid="{00000000-0005-0000-0000-0000D8230000}"/>
    <cellStyle name="PSInt" xfId="9161" xr:uid="{00000000-0005-0000-0000-0000D9230000}"/>
    <cellStyle name="PSSpacer" xfId="9162" xr:uid="{00000000-0005-0000-0000-0000DA230000}"/>
    <cellStyle name="RangeBelow" xfId="9163" xr:uid="{00000000-0005-0000-0000-0000DB230000}"/>
    <cellStyle name="Reset  - Style4" xfId="9164" xr:uid="{00000000-0005-0000-0000-0000DC230000}"/>
    <cellStyle name="Reset  - Style7" xfId="9165" xr:uid="{00000000-0005-0000-0000-0000DD230000}"/>
    <cellStyle name="STD" xfId="9166" xr:uid="{00000000-0005-0000-0000-0000DE230000}"/>
    <cellStyle name="Style 21" xfId="9167" xr:uid="{00000000-0005-0000-0000-0000DF230000}"/>
    <cellStyle name="Style 21 2" xfId="9168" xr:uid="{00000000-0005-0000-0000-0000E0230000}"/>
    <cellStyle name="Style 21 3" xfId="9169" xr:uid="{00000000-0005-0000-0000-0000E1230000}"/>
    <cellStyle name="Style 21 4" xfId="9170" xr:uid="{00000000-0005-0000-0000-0000E2230000}"/>
    <cellStyle name="Style 21 5" xfId="9171" xr:uid="{00000000-0005-0000-0000-0000E3230000}"/>
    <cellStyle name="Style 22" xfId="6" xr:uid="{00000000-0005-0000-0000-0000E4230000}"/>
    <cellStyle name="Style 22 2" xfId="9172" xr:uid="{00000000-0005-0000-0000-0000E5230000}"/>
    <cellStyle name="Style 22 3" xfId="9173" xr:uid="{00000000-0005-0000-0000-0000E6230000}"/>
    <cellStyle name="Style 22 4" xfId="9174" xr:uid="{00000000-0005-0000-0000-0000E7230000}"/>
    <cellStyle name="Style 22 5" xfId="9175" xr:uid="{00000000-0005-0000-0000-0000E8230000}"/>
    <cellStyle name="Style 23" xfId="9176" xr:uid="{00000000-0005-0000-0000-0000E9230000}"/>
    <cellStyle name="Style 23 2" xfId="9177" xr:uid="{00000000-0005-0000-0000-0000EA230000}"/>
    <cellStyle name="Style 23 3" xfId="9178" xr:uid="{00000000-0005-0000-0000-0000EB230000}"/>
    <cellStyle name="Style 23 4" xfId="9179" xr:uid="{00000000-0005-0000-0000-0000EC230000}"/>
    <cellStyle name="Style 23 5" xfId="9180" xr:uid="{00000000-0005-0000-0000-0000ED230000}"/>
    <cellStyle name="Style 24" xfId="7" xr:uid="{00000000-0005-0000-0000-0000EE230000}"/>
    <cellStyle name="Style 24 2" xfId="9181" xr:uid="{00000000-0005-0000-0000-0000EF230000}"/>
    <cellStyle name="Style 24 3" xfId="9182" xr:uid="{00000000-0005-0000-0000-0000F0230000}"/>
    <cellStyle name="Style 24 4" xfId="9183" xr:uid="{00000000-0005-0000-0000-0000F1230000}"/>
    <cellStyle name="Style 24 5" xfId="9184" xr:uid="{00000000-0005-0000-0000-0000F2230000}"/>
    <cellStyle name="Style 25" xfId="9185" xr:uid="{00000000-0005-0000-0000-0000F3230000}"/>
    <cellStyle name="Style 25 10" xfId="9186" xr:uid="{00000000-0005-0000-0000-0000F4230000}"/>
    <cellStyle name="Style 25 2" xfId="9187" xr:uid="{00000000-0005-0000-0000-0000F5230000}"/>
    <cellStyle name="Style 25 3" xfId="9188" xr:uid="{00000000-0005-0000-0000-0000F6230000}"/>
    <cellStyle name="Style 25 4" xfId="9189" xr:uid="{00000000-0005-0000-0000-0000F7230000}"/>
    <cellStyle name="Style 25 5" xfId="9190" xr:uid="{00000000-0005-0000-0000-0000F8230000}"/>
    <cellStyle name="Style 25 6" xfId="9191" xr:uid="{00000000-0005-0000-0000-0000F9230000}"/>
    <cellStyle name="Style 25 7" xfId="9192" xr:uid="{00000000-0005-0000-0000-0000FA230000}"/>
    <cellStyle name="Style 25 8" xfId="9193" xr:uid="{00000000-0005-0000-0000-0000FB230000}"/>
    <cellStyle name="Style 25 9" xfId="9194" xr:uid="{00000000-0005-0000-0000-0000FC230000}"/>
    <cellStyle name="Style 26" xfId="9195" xr:uid="{00000000-0005-0000-0000-0000FD230000}"/>
    <cellStyle name="Style 26 2" xfId="9196" xr:uid="{00000000-0005-0000-0000-0000FE230000}"/>
    <cellStyle name="Style 26 2 2" xfId="9197" xr:uid="{00000000-0005-0000-0000-0000FF230000}"/>
    <cellStyle name="Style 26 3" xfId="9198" xr:uid="{00000000-0005-0000-0000-000000240000}"/>
    <cellStyle name="Style 26 3 2" xfId="9199" xr:uid="{00000000-0005-0000-0000-000001240000}"/>
    <cellStyle name="Style 26 4" xfId="9200" xr:uid="{00000000-0005-0000-0000-000002240000}"/>
    <cellStyle name="Style 26 5" xfId="9201" xr:uid="{00000000-0005-0000-0000-000003240000}"/>
    <cellStyle name="Style 26 6" xfId="9202" xr:uid="{00000000-0005-0000-0000-000004240000}"/>
    <cellStyle name="Style 26 7" xfId="9203" xr:uid="{00000000-0005-0000-0000-000005240000}"/>
    <cellStyle name="Style 27" xfId="9204" xr:uid="{00000000-0005-0000-0000-000006240000}"/>
    <cellStyle name="Style 27 2" xfId="9205" xr:uid="{00000000-0005-0000-0000-000007240000}"/>
    <cellStyle name="Style 27 3" xfId="9206" xr:uid="{00000000-0005-0000-0000-000008240000}"/>
    <cellStyle name="Style 27 4" xfId="9207" xr:uid="{00000000-0005-0000-0000-000009240000}"/>
    <cellStyle name="Style 27 5" xfId="9208" xr:uid="{00000000-0005-0000-0000-00000A240000}"/>
    <cellStyle name="Style 28" xfId="9209" xr:uid="{00000000-0005-0000-0000-00000B240000}"/>
    <cellStyle name="Style 28 2" xfId="9210" xr:uid="{00000000-0005-0000-0000-00000C240000}"/>
    <cellStyle name="Style 28 3" xfId="9211" xr:uid="{00000000-0005-0000-0000-00000D240000}"/>
    <cellStyle name="Style 28 4" xfId="9212" xr:uid="{00000000-0005-0000-0000-00000E240000}"/>
    <cellStyle name="Style 28 5" xfId="9213" xr:uid="{00000000-0005-0000-0000-00000F240000}"/>
    <cellStyle name="Style 29" xfId="9214" xr:uid="{00000000-0005-0000-0000-000010240000}"/>
    <cellStyle name="Style 29 10" xfId="9215" xr:uid="{00000000-0005-0000-0000-000011240000}"/>
    <cellStyle name="Style 29 11" xfId="9216" xr:uid="{00000000-0005-0000-0000-000012240000}"/>
    <cellStyle name="Style 29 12" xfId="9217" xr:uid="{00000000-0005-0000-0000-000013240000}"/>
    <cellStyle name="Style 29 13" xfId="9218" xr:uid="{00000000-0005-0000-0000-000014240000}"/>
    <cellStyle name="Style 29 14" xfId="9219" xr:uid="{00000000-0005-0000-0000-000015240000}"/>
    <cellStyle name="Style 29 15" xfId="9220" xr:uid="{00000000-0005-0000-0000-000016240000}"/>
    <cellStyle name="Style 29 16" xfId="9221" xr:uid="{00000000-0005-0000-0000-000017240000}"/>
    <cellStyle name="Style 29 2" xfId="9222" xr:uid="{00000000-0005-0000-0000-000018240000}"/>
    <cellStyle name="Style 29 3" xfId="9223" xr:uid="{00000000-0005-0000-0000-000019240000}"/>
    <cellStyle name="Style 29 4" xfId="9224" xr:uid="{00000000-0005-0000-0000-00001A240000}"/>
    <cellStyle name="Style 29 5" xfId="9225" xr:uid="{00000000-0005-0000-0000-00001B240000}"/>
    <cellStyle name="Style 29 6" xfId="9226" xr:uid="{00000000-0005-0000-0000-00001C240000}"/>
    <cellStyle name="Style 29 7" xfId="9227" xr:uid="{00000000-0005-0000-0000-00001D240000}"/>
    <cellStyle name="Style 29 8" xfId="9228" xr:uid="{00000000-0005-0000-0000-00001E240000}"/>
    <cellStyle name="Style 29 9" xfId="9229" xr:uid="{00000000-0005-0000-0000-00001F240000}"/>
    <cellStyle name="Style 30" xfId="9230" xr:uid="{00000000-0005-0000-0000-000020240000}"/>
    <cellStyle name="Style 30 10" xfId="9231" xr:uid="{00000000-0005-0000-0000-000021240000}"/>
    <cellStyle name="Style 30 11" xfId="9232" xr:uid="{00000000-0005-0000-0000-000022240000}"/>
    <cellStyle name="Style 30 12" xfId="9233" xr:uid="{00000000-0005-0000-0000-000023240000}"/>
    <cellStyle name="Style 30 13" xfId="9234" xr:uid="{00000000-0005-0000-0000-000024240000}"/>
    <cellStyle name="Style 30 14" xfId="9235" xr:uid="{00000000-0005-0000-0000-000025240000}"/>
    <cellStyle name="Style 30 15" xfId="9236" xr:uid="{00000000-0005-0000-0000-000026240000}"/>
    <cellStyle name="Style 30 16" xfId="9237" xr:uid="{00000000-0005-0000-0000-000027240000}"/>
    <cellStyle name="Style 30 2" xfId="9238" xr:uid="{00000000-0005-0000-0000-000028240000}"/>
    <cellStyle name="Style 30 3" xfId="9239" xr:uid="{00000000-0005-0000-0000-000029240000}"/>
    <cellStyle name="Style 30 4" xfId="9240" xr:uid="{00000000-0005-0000-0000-00002A240000}"/>
    <cellStyle name="Style 30 5" xfId="9241" xr:uid="{00000000-0005-0000-0000-00002B240000}"/>
    <cellStyle name="Style 30 6" xfId="9242" xr:uid="{00000000-0005-0000-0000-00002C240000}"/>
    <cellStyle name="Style 30 7" xfId="9243" xr:uid="{00000000-0005-0000-0000-00002D240000}"/>
    <cellStyle name="Style 30 8" xfId="9244" xr:uid="{00000000-0005-0000-0000-00002E240000}"/>
    <cellStyle name="Style 30 9" xfId="9245" xr:uid="{00000000-0005-0000-0000-00002F240000}"/>
    <cellStyle name="Style 31" xfId="9246" xr:uid="{00000000-0005-0000-0000-000030240000}"/>
    <cellStyle name="Style 31 2" xfId="9247" xr:uid="{00000000-0005-0000-0000-000031240000}"/>
    <cellStyle name="Style 31 3" xfId="9248" xr:uid="{00000000-0005-0000-0000-000032240000}"/>
    <cellStyle name="Style 31 4" xfId="9249" xr:uid="{00000000-0005-0000-0000-000033240000}"/>
    <cellStyle name="Style 31 5" xfId="9250" xr:uid="{00000000-0005-0000-0000-000034240000}"/>
    <cellStyle name="Style 32" xfId="9251" xr:uid="{00000000-0005-0000-0000-000035240000}"/>
    <cellStyle name="Style 32 2" xfId="9252" xr:uid="{00000000-0005-0000-0000-000036240000}"/>
    <cellStyle name="Style 32 3" xfId="9253" xr:uid="{00000000-0005-0000-0000-000037240000}"/>
    <cellStyle name="Style 32 4" xfId="9254" xr:uid="{00000000-0005-0000-0000-000038240000}"/>
    <cellStyle name="Style 32 5" xfId="9255" xr:uid="{00000000-0005-0000-0000-000039240000}"/>
    <cellStyle name="Style 32 6" xfId="9256" xr:uid="{00000000-0005-0000-0000-00003A240000}"/>
    <cellStyle name="Style 32 7" xfId="9257" xr:uid="{00000000-0005-0000-0000-00003B240000}"/>
    <cellStyle name="Style 32 8" xfId="9258" xr:uid="{00000000-0005-0000-0000-00003C240000}"/>
    <cellStyle name="Style 33" xfId="9259" xr:uid="{00000000-0005-0000-0000-00003D240000}"/>
    <cellStyle name="Style 33 10" xfId="9260" xr:uid="{00000000-0005-0000-0000-00003E240000}"/>
    <cellStyle name="Style 33 11" xfId="9261" xr:uid="{00000000-0005-0000-0000-00003F240000}"/>
    <cellStyle name="Style 33 12" xfId="9262" xr:uid="{00000000-0005-0000-0000-000040240000}"/>
    <cellStyle name="Style 33 13" xfId="9263" xr:uid="{00000000-0005-0000-0000-000041240000}"/>
    <cellStyle name="Style 33 14" xfId="9264" xr:uid="{00000000-0005-0000-0000-000042240000}"/>
    <cellStyle name="Style 33 15" xfId="9265" xr:uid="{00000000-0005-0000-0000-000043240000}"/>
    <cellStyle name="Style 33 16" xfId="9266" xr:uid="{00000000-0005-0000-0000-000044240000}"/>
    <cellStyle name="Style 33 2" xfId="9267" xr:uid="{00000000-0005-0000-0000-000045240000}"/>
    <cellStyle name="Style 33 3" xfId="9268" xr:uid="{00000000-0005-0000-0000-000046240000}"/>
    <cellStyle name="Style 33 4" xfId="9269" xr:uid="{00000000-0005-0000-0000-000047240000}"/>
    <cellStyle name="Style 33 5" xfId="9270" xr:uid="{00000000-0005-0000-0000-000048240000}"/>
    <cellStyle name="Style 33 6" xfId="9271" xr:uid="{00000000-0005-0000-0000-000049240000}"/>
    <cellStyle name="Style 33 7" xfId="9272" xr:uid="{00000000-0005-0000-0000-00004A240000}"/>
    <cellStyle name="Style 33 8" xfId="9273" xr:uid="{00000000-0005-0000-0000-00004B240000}"/>
    <cellStyle name="Style 33 9" xfId="9274" xr:uid="{00000000-0005-0000-0000-00004C240000}"/>
    <cellStyle name="Style 34" xfId="9275" xr:uid="{00000000-0005-0000-0000-00004D240000}"/>
    <cellStyle name="Style 34 10" xfId="9276" xr:uid="{00000000-0005-0000-0000-00004E240000}"/>
    <cellStyle name="Style 34 11" xfId="9277" xr:uid="{00000000-0005-0000-0000-00004F240000}"/>
    <cellStyle name="Style 34 12" xfId="9278" xr:uid="{00000000-0005-0000-0000-000050240000}"/>
    <cellStyle name="Style 34 13" xfId="9279" xr:uid="{00000000-0005-0000-0000-000051240000}"/>
    <cellStyle name="Style 34 14" xfId="9280" xr:uid="{00000000-0005-0000-0000-000052240000}"/>
    <cellStyle name="Style 34 15" xfId="9281" xr:uid="{00000000-0005-0000-0000-000053240000}"/>
    <cellStyle name="Style 34 16" xfId="9282" xr:uid="{00000000-0005-0000-0000-000054240000}"/>
    <cellStyle name="Style 34 2" xfId="9283" xr:uid="{00000000-0005-0000-0000-000055240000}"/>
    <cellStyle name="Style 34 3" xfId="9284" xr:uid="{00000000-0005-0000-0000-000056240000}"/>
    <cellStyle name="Style 34 4" xfId="9285" xr:uid="{00000000-0005-0000-0000-000057240000}"/>
    <cellStyle name="Style 34 5" xfId="9286" xr:uid="{00000000-0005-0000-0000-000058240000}"/>
    <cellStyle name="Style 34 6" xfId="9287" xr:uid="{00000000-0005-0000-0000-000059240000}"/>
    <cellStyle name="Style 34 7" xfId="9288" xr:uid="{00000000-0005-0000-0000-00005A240000}"/>
    <cellStyle name="Style 34 8" xfId="9289" xr:uid="{00000000-0005-0000-0000-00005B240000}"/>
    <cellStyle name="Style 34 9" xfId="9290" xr:uid="{00000000-0005-0000-0000-00005C240000}"/>
    <cellStyle name="Style 35" xfId="9291" xr:uid="{00000000-0005-0000-0000-00005D240000}"/>
    <cellStyle name="Style 35 10" xfId="9292" xr:uid="{00000000-0005-0000-0000-00005E240000}"/>
    <cellStyle name="Style 35 11" xfId="9293" xr:uid="{00000000-0005-0000-0000-00005F240000}"/>
    <cellStyle name="Style 35 12" xfId="9294" xr:uid="{00000000-0005-0000-0000-000060240000}"/>
    <cellStyle name="Style 35 13" xfId="9295" xr:uid="{00000000-0005-0000-0000-000061240000}"/>
    <cellStyle name="Style 35 14" xfId="9296" xr:uid="{00000000-0005-0000-0000-000062240000}"/>
    <cellStyle name="Style 35 15" xfId="9297" xr:uid="{00000000-0005-0000-0000-000063240000}"/>
    <cellStyle name="Style 35 16" xfId="9298" xr:uid="{00000000-0005-0000-0000-000064240000}"/>
    <cellStyle name="Style 35 2" xfId="9299" xr:uid="{00000000-0005-0000-0000-000065240000}"/>
    <cellStyle name="Style 35 3" xfId="9300" xr:uid="{00000000-0005-0000-0000-000066240000}"/>
    <cellStyle name="Style 35 4" xfId="9301" xr:uid="{00000000-0005-0000-0000-000067240000}"/>
    <cellStyle name="Style 35 5" xfId="9302" xr:uid="{00000000-0005-0000-0000-000068240000}"/>
    <cellStyle name="Style 35 6" xfId="9303" xr:uid="{00000000-0005-0000-0000-000069240000}"/>
    <cellStyle name="Style 35 7" xfId="9304" xr:uid="{00000000-0005-0000-0000-00006A240000}"/>
    <cellStyle name="Style 35 8" xfId="9305" xr:uid="{00000000-0005-0000-0000-00006B240000}"/>
    <cellStyle name="Style 35 9" xfId="9306" xr:uid="{00000000-0005-0000-0000-00006C240000}"/>
    <cellStyle name="Style 36" xfId="9307" xr:uid="{00000000-0005-0000-0000-00006D240000}"/>
    <cellStyle name="Style 36 10" xfId="9308" xr:uid="{00000000-0005-0000-0000-00006E240000}"/>
    <cellStyle name="Style 36 11" xfId="9309" xr:uid="{00000000-0005-0000-0000-00006F240000}"/>
    <cellStyle name="Style 36 12" xfId="9310" xr:uid="{00000000-0005-0000-0000-000070240000}"/>
    <cellStyle name="Style 36 13" xfId="9311" xr:uid="{00000000-0005-0000-0000-000071240000}"/>
    <cellStyle name="Style 36 14" xfId="9312" xr:uid="{00000000-0005-0000-0000-000072240000}"/>
    <cellStyle name="Style 36 15" xfId="9313" xr:uid="{00000000-0005-0000-0000-000073240000}"/>
    <cellStyle name="Style 36 16" xfId="9314" xr:uid="{00000000-0005-0000-0000-000074240000}"/>
    <cellStyle name="Style 36 2" xfId="9315" xr:uid="{00000000-0005-0000-0000-000075240000}"/>
    <cellStyle name="Style 36 3" xfId="9316" xr:uid="{00000000-0005-0000-0000-000076240000}"/>
    <cellStyle name="Style 36 4" xfId="9317" xr:uid="{00000000-0005-0000-0000-000077240000}"/>
    <cellStyle name="Style 36 5" xfId="9318" xr:uid="{00000000-0005-0000-0000-000078240000}"/>
    <cellStyle name="Style 36 6" xfId="9319" xr:uid="{00000000-0005-0000-0000-000079240000}"/>
    <cellStyle name="Style 36 7" xfId="9320" xr:uid="{00000000-0005-0000-0000-00007A240000}"/>
    <cellStyle name="Style 36 8" xfId="9321" xr:uid="{00000000-0005-0000-0000-00007B240000}"/>
    <cellStyle name="Style 36 9" xfId="9322" xr:uid="{00000000-0005-0000-0000-00007C240000}"/>
    <cellStyle name="Style 39" xfId="9323" xr:uid="{00000000-0005-0000-0000-00007D240000}"/>
    <cellStyle name="Style 39 10" xfId="9324" xr:uid="{00000000-0005-0000-0000-00007E240000}"/>
    <cellStyle name="Style 39 11" xfId="9325" xr:uid="{00000000-0005-0000-0000-00007F240000}"/>
    <cellStyle name="Style 39 12" xfId="9326" xr:uid="{00000000-0005-0000-0000-000080240000}"/>
    <cellStyle name="Style 39 13" xfId="9327" xr:uid="{00000000-0005-0000-0000-000081240000}"/>
    <cellStyle name="Style 39 14" xfId="9328" xr:uid="{00000000-0005-0000-0000-000082240000}"/>
    <cellStyle name="Style 39 15" xfId="9329" xr:uid="{00000000-0005-0000-0000-000083240000}"/>
    <cellStyle name="Style 39 16" xfId="9330" xr:uid="{00000000-0005-0000-0000-000084240000}"/>
    <cellStyle name="Style 39 17" xfId="9331" xr:uid="{00000000-0005-0000-0000-000085240000}"/>
    <cellStyle name="Style 39 2" xfId="9332" xr:uid="{00000000-0005-0000-0000-000086240000}"/>
    <cellStyle name="Style 39 3" xfId="9333" xr:uid="{00000000-0005-0000-0000-000087240000}"/>
    <cellStyle name="Style 39 4" xfId="9334" xr:uid="{00000000-0005-0000-0000-000088240000}"/>
    <cellStyle name="Style 39 5" xfId="9335" xr:uid="{00000000-0005-0000-0000-000089240000}"/>
    <cellStyle name="Style 39 6" xfId="9336" xr:uid="{00000000-0005-0000-0000-00008A240000}"/>
    <cellStyle name="Style 39 7" xfId="9337" xr:uid="{00000000-0005-0000-0000-00008B240000}"/>
    <cellStyle name="Style 39 8" xfId="9338" xr:uid="{00000000-0005-0000-0000-00008C240000}"/>
    <cellStyle name="Style 39 9" xfId="9339" xr:uid="{00000000-0005-0000-0000-00008D240000}"/>
    <cellStyle name="SubRoutine" xfId="9340" xr:uid="{00000000-0005-0000-0000-00008E240000}"/>
    <cellStyle name="Table  - Style5" xfId="9341" xr:uid="{00000000-0005-0000-0000-00008F240000}"/>
    <cellStyle name="Table  - Style6" xfId="9342" xr:uid="{00000000-0005-0000-0000-000090240000}"/>
    <cellStyle name="Text B &amp; U" xfId="9343" xr:uid="{00000000-0005-0000-0000-000091240000}"/>
    <cellStyle name="Text STD 1" xfId="9344" xr:uid="{00000000-0005-0000-0000-000092240000}"/>
    <cellStyle name="Text STD 2" xfId="9345" xr:uid="{00000000-0005-0000-0000-000093240000}"/>
    <cellStyle name="Text STD 3" xfId="9346" xr:uid="{00000000-0005-0000-0000-000094240000}"/>
    <cellStyle name="Text Under 0" xfId="9347" xr:uid="{00000000-0005-0000-0000-000095240000}"/>
    <cellStyle name="Text Under 1" xfId="9348" xr:uid="{00000000-0005-0000-0000-000096240000}"/>
    <cellStyle name="Text Wrap" xfId="9349" xr:uid="{00000000-0005-0000-0000-000097240000}"/>
    <cellStyle name="TextNormal" xfId="9350" xr:uid="{00000000-0005-0000-0000-000098240000}"/>
    <cellStyle name="þ(Î'_x000c_ïþ÷_x000c_âþÖ_x0006__x0002_Þ”_x0013__x0007__x0001__x0001_" xfId="9351" xr:uid="{00000000-0005-0000-0000-000099240000}"/>
    <cellStyle name="Title  - Style1" xfId="9352" xr:uid="{00000000-0005-0000-0000-00009A240000}"/>
    <cellStyle name="Title  - Style6" xfId="9353" xr:uid="{00000000-0005-0000-0000-00009B240000}"/>
    <cellStyle name="Title 2" xfId="9354" xr:uid="{00000000-0005-0000-0000-00009C240000}"/>
    <cellStyle name="Title 3" xfId="9355" xr:uid="{00000000-0005-0000-0000-00009D240000}"/>
    <cellStyle name="Title 4" xfId="9356" xr:uid="{00000000-0005-0000-0000-00009E240000}"/>
    <cellStyle name="Title 5" xfId="9357" xr:uid="{00000000-0005-0000-0000-00009F240000}"/>
    <cellStyle name="Title: Worksheet" xfId="9358" xr:uid="{00000000-0005-0000-0000-0000A0240000}"/>
    <cellStyle name="Total 2" xfId="9359" xr:uid="{00000000-0005-0000-0000-0000A1240000}"/>
    <cellStyle name="Total 3" xfId="9360" xr:uid="{00000000-0005-0000-0000-0000A2240000}"/>
    <cellStyle name="Total 4" xfId="9361" xr:uid="{00000000-0005-0000-0000-0000A3240000}"/>
    <cellStyle name="Total 5" xfId="9362" xr:uid="{00000000-0005-0000-0000-0000A4240000}"/>
    <cellStyle name="Total 6" xfId="9363" xr:uid="{00000000-0005-0000-0000-0000A5240000}"/>
    <cellStyle name="Total 7" xfId="9364" xr:uid="{00000000-0005-0000-0000-0000A6240000}"/>
    <cellStyle name="TotCol - Style5" xfId="9365" xr:uid="{00000000-0005-0000-0000-0000A7240000}"/>
    <cellStyle name="TotCol - Style7" xfId="9366" xr:uid="{00000000-0005-0000-0000-0000A8240000}"/>
    <cellStyle name="TotRow - Style4" xfId="9367" xr:uid="{00000000-0005-0000-0000-0000A9240000}"/>
    <cellStyle name="TotRow - Style8" xfId="9368" xr:uid="{00000000-0005-0000-0000-0000AA240000}"/>
    <cellStyle name="Undefined" xfId="9369" xr:uid="{00000000-0005-0000-0000-0000AB240000}"/>
    <cellStyle name="UnDERLINED" xfId="9370" xr:uid="{00000000-0005-0000-0000-0000AC240000}"/>
    <cellStyle name="Warning Text 2" xfId="9371" xr:uid="{00000000-0005-0000-0000-0000AD240000}"/>
    <cellStyle name="Warning Text 3" xfId="9372" xr:uid="{00000000-0005-0000-0000-0000AE240000}"/>
    <cellStyle name="Warning Text 4" xfId="9373" xr:uid="{00000000-0005-0000-0000-0000AF240000}"/>
    <cellStyle name="Warning Text 5" xfId="9374" xr:uid="{00000000-0005-0000-0000-0000B0240000}"/>
    <cellStyle name="Warning Text 6" xfId="9375" xr:uid="{00000000-0005-0000-0000-0000B1240000}"/>
  </cellStyles>
  <dxfs count="3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'AEB-1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Summary'!$I$7:$I$9</c:f>
              <c:numCache>
                <c:formatCode>0.00%</c:formatCode>
                <c:ptCount val="3"/>
                <c:pt idx="0">
                  <c:v>8.8061477034828625E-2</c:v>
                </c:pt>
                <c:pt idx="1">
                  <c:v>9.4390767097316475E-2</c:v>
                </c:pt>
                <c:pt idx="2">
                  <c:v>0.10053754618209519</c:v>
                </c:pt>
              </c:numCache>
            </c:numRef>
          </c:xVal>
          <c:yVal>
            <c:numRef>
              <c:f>'AEB-1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A-4290-80EB-60F15B3CDAB1}"/>
            </c:ext>
          </c:extLst>
        </c:ser>
        <c:ser>
          <c:idx val="2"/>
          <c:order val="1"/>
          <c:tx>
            <c:strRef>
              <c:f>'AEB-1 Summary'!$H$10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Summary'!$I$10:$I$12</c:f>
              <c:numCache>
                <c:formatCode>0.00%</c:formatCode>
                <c:ptCount val="3"/>
                <c:pt idx="0">
                  <c:v>8.7394293349688901E-2</c:v>
                </c:pt>
                <c:pt idx="1">
                  <c:v>9.5208122795572114E-2</c:v>
                </c:pt>
                <c:pt idx="2">
                  <c:v>0.10071790562594081</c:v>
                </c:pt>
              </c:numCache>
            </c:numRef>
          </c:xVal>
          <c:yVal>
            <c:numRef>
              <c:f>'AEB-1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AC-4FB2-9669-7F466351FAF4}"/>
            </c:ext>
          </c:extLst>
        </c:ser>
        <c:ser>
          <c:idx val="6"/>
          <c:order val="2"/>
          <c:tx>
            <c:strRef>
              <c:f>'AEB-1 Summary'!$H$13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Summary'!$I$13:$I$14</c:f>
              <c:numCache>
                <c:formatCode>0.00%</c:formatCode>
                <c:ptCount val="2"/>
                <c:pt idx="0">
                  <c:v>9.6003602208788036E-2</c:v>
                </c:pt>
                <c:pt idx="1">
                  <c:v>0.11803790121052148</c:v>
                </c:pt>
              </c:numCache>
            </c:numRef>
          </c:xVal>
          <c:yVal>
            <c:numRef>
              <c:f>'AEB-1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A-4290-80EB-60F15B3CDAB1}"/>
            </c:ext>
          </c:extLst>
        </c:ser>
        <c:ser>
          <c:idx val="7"/>
          <c:order val="3"/>
          <c:tx>
            <c:strRef>
              <c:f>'AEB-1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Summary'!$I$15:$I$16</c:f>
              <c:numCache>
                <c:formatCode>0.00%</c:formatCode>
                <c:ptCount val="2"/>
                <c:pt idx="0">
                  <c:v>0.10434301450048916</c:v>
                </c:pt>
                <c:pt idx="1">
                  <c:v>0.12086873875178927</c:v>
                </c:pt>
              </c:numCache>
            </c:numRef>
          </c:xVal>
          <c:yVal>
            <c:numRef>
              <c:f>'AEB-1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A-4290-80EB-60F15B3CDAB1}"/>
            </c:ext>
          </c:extLst>
        </c:ser>
        <c:ser>
          <c:idx val="3"/>
          <c:order val="4"/>
          <c:tx>
            <c:strRef>
              <c:f>'AEB-1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Summary'!$I$17:$I$18</c:f>
              <c:numCache>
                <c:formatCode>0.00%</c:formatCode>
                <c:ptCount val="2"/>
                <c:pt idx="0">
                  <c:v>9.4938320615158223E-2</c:v>
                </c:pt>
                <c:pt idx="1">
                  <c:v>0.10169084413894325</c:v>
                </c:pt>
              </c:numCache>
            </c:numRef>
          </c:xVal>
          <c:yVal>
            <c:numRef>
              <c:f>'AEB-1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A-4290-80EB-60F15B3CDAB1}"/>
            </c:ext>
          </c:extLst>
        </c:ser>
        <c:ser>
          <c:idx val="0"/>
          <c:order val="5"/>
          <c:tx>
            <c:strRef>
              <c:f>'AEB-1 Summary'!$H$19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A-4290-80EB-60F15B3CDAB1}"/>
              </c:ext>
            </c:extLst>
          </c:dPt>
          <c:xVal>
            <c:numRef>
              <c:f>'AEB-1 Summary'!$I$19:$I$20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'AEB-1 Summary'!$J$19:$J$20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6A-4290-80EB-60F15B3CDAB1}"/>
            </c:ext>
          </c:extLst>
        </c:ser>
        <c:ser>
          <c:idx val="5"/>
          <c:order val="6"/>
          <c:tx>
            <c:strRef>
              <c:f>'AEB-1 Summary'!$H$21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6A-4290-80EB-60F15B3CDAB1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6A-4290-80EB-60F15B3CDAB1}"/>
              </c:ext>
            </c:extLst>
          </c:dPt>
          <c:xVal>
            <c:numRef>
              <c:f>'AEB-1 Summary'!$I$21:$I$22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'AEB-1 Summary'!$J$21:$J$22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6A-4290-80EB-60F15B3CDAB1}"/>
            </c:ext>
          </c:extLst>
        </c:ser>
        <c:ser>
          <c:idx val="4"/>
          <c:order val="7"/>
          <c:tx>
            <c:strRef>
              <c:f>'AEB-1 Summary'!$H$23</c:f>
              <c:strCache>
                <c:ptCount val="1"/>
                <c:pt idx="0">
                  <c:v>Recommended ROE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'AEB-1 Summary'!$I$23:$I$24</c:f>
              <c:numCache>
                <c:formatCode>0.00%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'AEB-1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D-408A-9C2B-AD250C33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'AEB-7 Risk Premium'!$D$6:$D$124</c:f>
              <c:numCache>
                <c:formatCode>0.00%</c:formatCode>
                <c:ptCount val="119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</c:numCache>
            </c:numRef>
          </c:xVal>
          <c:yVal>
            <c:numRef>
              <c:f>'AEB-7 Risk Premium'!$E$6:$E$124</c:f>
              <c:numCache>
                <c:formatCode>0.00%</c:formatCode>
                <c:ptCount val="119"/>
                <c:pt idx="0">
                  <c:v>4.5789375000000007E-2</c:v>
                </c:pt>
                <c:pt idx="1">
                  <c:v>3.9340625000000032E-2</c:v>
                </c:pt>
                <c:pt idx="2">
                  <c:v>4.585803846153845E-2</c:v>
                </c:pt>
                <c:pt idx="3">
                  <c:v>4.622196969696972E-2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3.2814871794871817E-2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5.4304843749999984E-2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6.2123878787878756E-2</c:v>
                </c:pt>
                <c:pt idx="76">
                  <c:v>5.533286979166669E-2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7.0159169230769217E-2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6.1796477272727315E-2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6.9419743589743593E-2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6.9802800000000012E-2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7.0893654945054951E-2</c:v>
                </c:pt>
                <c:pt idx="104">
                  <c:v>6.6649364102564099E-2</c:v>
                </c:pt>
                <c:pt idx="105">
                  <c:v>6.6611369230769241E-2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6.7938899999999969E-2</c:v>
                </c:pt>
                <c:pt idx="110">
                  <c:v>7.2444681818181811E-2</c:v>
                </c:pt>
                <c:pt idx="111">
                  <c:v>7.6336606060606063E-2</c:v>
                </c:pt>
                <c:pt idx="112">
                  <c:v>7.8305391208791222E-2</c:v>
                </c:pt>
                <c:pt idx="113">
                  <c:v>8.1993153846153841E-2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4541163010175E-2"/>
          <c:y val="5.8141175527902919E-2"/>
          <c:w val="0.88840530800238771"/>
          <c:h val="0.83998329754235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'AEB-8 CapEx 2'!$E$32</c:f>
              <c:strCache>
                <c:ptCount val="1"/>
                <c:pt idx="0">
                  <c:v>2022-2026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62-4CCC-88C8-C2278197A8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62-4CCC-88C8-C2278197A8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62-4CCC-88C8-C2278197A8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62-4CCC-88C8-C2278197A8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62-4CCC-88C8-C2278197A842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3B-4612-93C0-0862F4B2D2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62-4CCC-88C8-C2278197A8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62-4CCC-88C8-C2278197A8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62-4CCC-88C8-C2278197A8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62-4CCC-88C8-C2278197A842}"/>
              </c:ext>
            </c:extLst>
          </c:dPt>
          <c:dLbls>
            <c:dLbl>
              <c:idx val="1"/>
              <c:layout>
                <c:manualLayout>
                  <c:x val="-6.1293887418814256E-3"/>
                  <c:y val="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2-4CCC-88C8-C2278197A842}"/>
                </c:ext>
              </c:extLst>
            </c:dLbl>
            <c:dLbl>
              <c:idx val="2"/>
              <c:layout>
                <c:manualLayout>
                  <c:x val="-4.5970415564110688E-3"/>
                  <c:y val="-6.17276819782787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2-4CCC-88C8-C2278197A842}"/>
                </c:ext>
              </c:extLst>
            </c:dLbl>
            <c:dLbl>
              <c:idx val="14"/>
              <c:layout>
                <c:manualLayout>
                  <c:x val="3.06469437094071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2-4CCC-88C8-C2278197A84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'AEB-8 CapEx 2'!$D$33:$D$48</c:f>
              <c:strCache>
                <c:ptCount val="16"/>
                <c:pt idx="0">
                  <c:v>ALE</c:v>
                </c:pt>
                <c:pt idx="1">
                  <c:v>OTTR</c:v>
                </c:pt>
                <c:pt idx="2">
                  <c:v>POR</c:v>
                </c:pt>
                <c:pt idx="3">
                  <c:v>SO</c:v>
                </c:pt>
                <c:pt idx="4">
                  <c:v>NWE</c:v>
                </c:pt>
                <c:pt idx="5">
                  <c:v>AVA</c:v>
                </c:pt>
                <c:pt idx="6">
                  <c:v>MGEE</c:v>
                </c:pt>
                <c:pt idx="7">
                  <c:v>ETR</c:v>
                </c:pt>
                <c:pt idx="8">
                  <c:v>IDA</c:v>
                </c:pt>
                <c:pt idx="9">
                  <c:v>Evergy Metro</c:v>
                </c:pt>
                <c:pt idx="10">
                  <c:v>LNT</c:v>
                </c:pt>
                <c:pt idx="11">
                  <c:v>XEL</c:v>
                </c:pt>
                <c:pt idx="12">
                  <c:v>DUK</c:v>
                </c:pt>
                <c:pt idx="13">
                  <c:v>AEE</c:v>
                </c:pt>
                <c:pt idx="14">
                  <c:v>AEP</c:v>
                </c:pt>
                <c:pt idx="15">
                  <c:v>NEE</c:v>
                </c:pt>
              </c:strCache>
            </c:strRef>
          </c:cat>
          <c:val>
            <c:numRef>
              <c:f>'AEB-8 CapEx 2'!$E$33:$E$48</c:f>
              <c:numCache>
                <c:formatCode>0.00%</c:formatCode>
                <c:ptCount val="16"/>
                <c:pt idx="0">
                  <c:v>0.23612057924310031</c:v>
                </c:pt>
                <c:pt idx="1">
                  <c:v>0.3667654808959156</c:v>
                </c:pt>
                <c:pt idx="2">
                  <c:v>0.37370506698501132</c:v>
                </c:pt>
                <c:pt idx="3">
                  <c:v>0.38489769952301617</c:v>
                </c:pt>
                <c:pt idx="4">
                  <c:v>0.41700316986008201</c:v>
                </c:pt>
                <c:pt idx="5">
                  <c:v>0.43332799102492181</c:v>
                </c:pt>
                <c:pt idx="6">
                  <c:v>0.47054594777890796</c:v>
                </c:pt>
                <c:pt idx="7">
                  <c:v>0.49797184258615812</c:v>
                </c:pt>
                <c:pt idx="8">
                  <c:v>0.49866174753158515</c:v>
                </c:pt>
                <c:pt idx="9">
                  <c:v>0.53815867158550135</c:v>
                </c:pt>
                <c:pt idx="10">
                  <c:v>0.5432216099330357</c:v>
                </c:pt>
                <c:pt idx="11">
                  <c:v>0.5483445867287543</c:v>
                </c:pt>
                <c:pt idx="12">
                  <c:v>0.57074694236856394</c:v>
                </c:pt>
                <c:pt idx="13">
                  <c:v>0.64094965867124254</c:v>
                </c:pt>
                <c:pt idx="14">
                  <c:v>0.65350067290538638</c:v>
                </c:pt>
                <c:pt idx="15">
                  <c:v>0.94053298911800265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33344"/>
        <c:axId val="23905561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'AEB-8 CapEx 2'!$C$59:$C$60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'AEB-8 CapEx 2'!$D$59:$D$60</c:f>
              <c:numCache>
                <c:formatCode>0.00%</c:formatCode>
                <c:ptCount val="2"/>
                <c:pt idx="0">
                  <c:v>0.49797184258615812</c:v>
                </c:pt>
                <c:pt idx="1">
                  <c:v>0.49797184258615812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58944"/>
        <c:axId val="239057152"/>
      </c:scatterChart>
      <c:catAx>
        <c:axId val="239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239055616"/>
        <c:crosses val="autoZero"/>
        <c:auto val="1"/>
        <c:lblAlgn val="ctr"/>
        <c:lblOffset val="100"/>
        <c:noMultiLvlLbl val="0"/>
      </c:catAx>
      <c:valAx>
        <c:axId val="239055616"/>
        <c:scaling>
          <c:orientation val="minMax"/>
          <c:max val="1.1500000000000001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9033344"/>
        <c:crosses val="autoZero"/>
        <c:crossBetween val="between"/>
        <c:majorUnit val="0.1"/>
      </c:valAx>
      <c:valAx>
        <c:axId val="239057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239058944"/>
        <c:crosses val="max"/>
        <c:crossBetween val="midCat"/>
      </c:valAx>
      <c:valAx>
        <c:axId val="239058944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239057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2</xdr:row>
      <xdr:rowOff>166688</xdr:rowOff>
    </xdr:from>
    <xdr:to>
      <xdr:col>24</xdr:col>
      <xdr:colOff>77973</xdr:colOff>
      <xdr:row>34</xdr:row>
      <xdr:rowOff>131944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0.57228</cdr:x>
      <cdr:y>0.45203</cdr:y>
    </cdr:from>
    <cdr:to>
      <cdr:x>0.69566</cdr:x>
      <cdr:y>0.48529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018609" y="3211329"/>
          <a:ext cx="1081986" cy="2362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0.20145</cdr:x>
      <cdr:y>0.73222</cdr:y>
    </cdr:from>
    <cdr:to>
      <cdr:x>0.34692</cdr:x>
      <cdr:y>0.76568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1766664" y="4513169"/>
          <a:ext cx="1275704" cy="206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0.61844</cdr:x>
      <cdr:y>0.59597</cdr:y>
    </cdr:from>
    <cdr:to>
      <cdr:x>0.74878</cdr:x>
      <cdr:y>0.62499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423454" y="4233929"/>
          <a:ext cx="1143021" cy="2061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0.34892</cdr:x>
      <cdr:y>0.46755</cdr:y>
    </cdr:from>
    <cdr:to>
      <cdr:x>0.44125</cdr:x>
      <cdr:y>0.46859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59882" y="3321574"/>
          <a:ext cx="809650" cy="74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0.3452</cdr:x>
      <cdr:y>0.3867</cdr:y>
    </cdr:from>
    <cdr:to>
      <cdr:x>0.4495</cdr:x>
      <cdr:y>0.44974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3027212" y="2747183"/>
          <a:ext cx="914663" cy="447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0.25612</cdr:x>
      <cdr:y>0.55675</cdr:y>
    </cdr:from>
    <cdr:to>
      <cdr:x>0.3625</cdr:x>
      <cdr:y>0.60434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AE7EDD91-9718-463C-9D40-09DA466BA011}"/>
            </a:ext>
          </a:extLst>
        </cdr:cNvPr>
        <cdr:cNvCxnSpPr>
          <a:stCxn xmlns:a="http://schemas.openxmlformats.org/drawingml/2006/main" id="11" idx="2"/>
        </cdr:cNvCxnSpPr>
      </cdr:nvCxnSpPr>
      <cdr:spPr>
        <a:xfrm xmlns:a="http://schemas.openxmlformats.org/drawingml/2006/main">
          <a:off x="2246010" y="3955288"/>
          <a:ext cx="932960" cy="33810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0.16871</cdr:x>
      <cdr:y>0.53004</cdr:y>
    </cdr:from>
    <cdr:to>
      <cdr:x>0.34352</cdr:x>
      <cdr:y>0.55675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32630066-06FD-440A-8727-B99DB5724228}"/>
            </a:ext>
          </a:extLst>
        </cdr:cNvPr>
        <cdr:cNvSpPr txBox="1"/>
      </cdr:nvSpPr>
      <cdr:spPr>
        <a:xfrm xmlns:a="http://schemas.openxmlformats.org/drawingml/2006/main">
          <a:off x="1479550" y="3765550"/>
          <a:ext cx="1532957" cy="1897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 baseline="0"/>
            <a:t>Recommended ROE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570312</xdr:colOff>
      <xdr:row>4</xdr:row>
      <xdr:rowOff>95250</xdr:rowOff>
    </xdr:from>
    <xdr:to>
      <xdr:col>8</xdr:col>
      <xdr:colOff>95250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99E37-7A31-4260-A9C0-B417BC0E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420119</xdr:colOff>
      <xdr:row>11</xdr:row>
      <xdr:rowOff>103416</xdr:rowOff>
    </xdr:from>
    <xdr:to>
      <xdr:col>2</xdr:col>
      <xdr:colOff>2057400</xdr:colOff>
      <xdr:row>13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703012B-4E87-4BCC-8D95-84B173777E7C}"/>
            </a:ext>
          </a:extLst>
        </xdr:cNvPr>
        <xdr:cNvSpPr txBox="1"/>
      </xdr:nvSpPr>
      <xdr:spPr>
        <a:xfrm>
          <a:off x="1963169" y="1884591"/>
          <a:ext cx="1637281" cy="2490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/>
            <a:t>Proxy Group Median  49.80%</a:t>
          </a:r>
        </a:p>
      </xdr:txBody>
    </xdr:sp>
    <xdr:clientData/>
  </xdr:twoCellAnchor>
  <xdr:twoCellAnchor>
    <xdr:from>
      <xdr:col>2</xdr:col>
      <xdr:colOff>923925</xdr:colOff>
      <xdr:row>13</xdr:row>
      <xdr:rowOff>19050</xdr:rowOff>
    </xdr:from>
    <xdr:to>
      <xdr:col>2</xdr:col>
      <xdr:colOff>1247775</xdr:colOff>
      <xdr:row>16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EEC3AAC-8EE5-41F9-BB6E-084FC0D5D516}"/>
            </a:ext>
          </a:extLst>
        </xdr:cNvPr>
        <xdr:cNvCxnSpPr/>
      </xdr:nvCxnSpPr>
      <xdr:spPr>
        <a:xfrm flipH="1">
          <a:off x="2466975" y="2124075"/>
          <a:ext cx="32385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Documents%20and%20Settings\jlm8149\Local%20Settings\Temporary%20Internet%20Files\OLK5C\Cost%20of%20Capital%20estimated%2012-31-04%20(1-24-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W\Profiles\kms7245\Local%20Settings\Temporary%20Internet%20Files\OLK8D\Cost%20of%20Capital%20estimated%2012-31-03%20Preliminary%20(1-21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57"/>
  <sheetViews>
    <sheetView showGridLines="0" zoomScale="80" zoomScaleNormal="80" zoomScaleSheetLayoutView="85" zoomScalePageLayoutView="85" workbookViewId="0">
      <selection activeCell="G32" sqref="G32"/>
    </sheetView>
  </sheetViews>
  <sheetFormatPr defaultColWidth="9" defaultRowHeight="13.5"/>
  <cols>
    <col min="1" max="1" width="9.1328125" style="91" customWidth="1"/>
    <col min="2" max="2" width="28.86328125" style="91" customWidth="1"/>
    <col min="3" max="3" width="15.265625" style="91" customWidth="1"/>
    <col min="4" max="4" width="15.59765625" style="91" customWidth="1"/>
    <col min="5" max="5" width="17.73046875" style="91" customWidth="1"/>
    <col min="6" max="6" width="9.1328125" style="91" customWidth="1"/>
    <col min="7" max="7" width="14.265625" style="91" customWidth="1"/>
    <col min="8" max="8" width="9" style="91"/>
    <col min="9" max="11" width="10.59765625" style="91" customWidth="1"/>
    <col min="12" max="16384" width="9" style="91"/>
  </cols>
  <sheetData>
    <row r="1" spans="2:11" s="81" customFormat="1">
      <c r="B1" s="80"/>
      <c r="C1" s="80"/>
      <c r="D1" s="80"/>
      <c r="E1" s="80"/>
      <c r="G1" s="160"/>
      <c r="H1" s="160"/>
      <c r="I1" s="160"/>
      <c r="J1" s="160"/>
      <c r="K1" s="160"/>
    </row>
    <row r="2" spans="2:11" s="81" customFormat="1" ht="12.75" customHeight="1">
      <c r="B2" s="487" t="s">
        <v>1053</v>
      </c>
      <c r="C2" s="487"/>
      <c r="D2" s="487"/>
      <c r="E2" s="487"/>
      <c r="G2" s="160"/>
      <c r="H2" s="160"/>
      <c r="I2" s="92"/>
      <c r="J2" s="92"/>
      <c r="K2" s="92"/>
    </row>
    <row r="3" spans="2:11" s="81" customFormat="1" ht="13.9" thickBot="1">
      <c r="B3" s="80"/>
      <c r="C3" s="80"/>
      <c r="D3" s="80"/>
      <c r="E3" s="80"/>
      <c r="G3" s="160"/>
      <c r="H3" s="160"/>
      <c r="I3" s="161"/>
      <c r="J3" s="93"/>
      <c r="K3" s="162"/>
    </row>
    <row r="4" spans="2:11" s="84" customFormat="1" ht="13.9">
      <c r="B4" s="488" t="s">
        <v>1676</v>
      </c>
      <c r="C4" s="489"/>
      <c r="D4" s="489"/>
      <c r="E4" s="490"/>
      <c r="F4" s="83"/>
      <c r="G4" s="92"/>
      <c r="H4" s="92"/>
      <c r="I4" s="161"/>
      <c r="J4" s="93"/>
      <c r="K4" s="162"/>
    </row>
    <row r="5" spans="2:11" s="84" customFormat="1" ht="13.9">
      <c r="B5" s="146"/>
      <c r="C5" s="85" t="s">
        <v>1292</v>
      </c>
      <c r="D5" s="85" t="s">
        <v>853</v>
      </c>
      <c r="E5" s="147" t="s">
        <v>1293</v>
      </c>
      <c r="G5" s="161"/>
      <c r="H5" s="161"/>
      <c r="I5" s="161"/>
      <c r="J5" s="93"/>
      <c r="K5" s="162"/>
    </row>
    <row r="6" spans="2:11" s="84" customFormat="1">
      <c r="B6" s="148" t="s">
        <v>855</v>
      </c>
      <c r="C6" s="87">
        <f>'AEB-3 Constant DCF'!K23</f>
        <v>8.8304210067923702E-2</v>
      </c>
      <c r="D6" s="87">
        <f>'AEB-3 Constant DCF'!L23</f>
        <v>9.5788022693625685E-2</v>
      </c>
      <c r="E6" s="149">
        <f>'AEB-3 Constant DCF'!M23</f>
        <v>0.10030810323943223</v>
      </c>
      <c r="G6" s="164"/>
      <c r="H6" s="165"/>
      <c r="I6" s="166" t="s">
        <v>871</v>
      </c>
      <c r="J6" s="166" t="s">
        <v>854</v>
      </c>
      <c r="K6" s="162"/>
    </row>
    <row r="7" spans="2:11" s="84" customFormat="1">
      <c r="B7" s="148" t="s">
        <v>856</v>
      </c>
      <c r="C7" s="87">
        <f>'AEB-3 Constant DCF'!K60</f>
        <v>8.777116589424952E-2</v>
      </c>
      <c r="D7" s="87">
        <f>'AEB-3 Constant DCF'!L60</f>
        <v>9.3605073663998617E-2</v>
      </c>
      <c r="E7" s="149">
        <f>'AEB-3 Constant DCF'!M60</f>
        <v>0.10032376068639499</v>
      </c>
      <c r="G7" s="164"/>
      <c r="H7" s="165" t="s">
        <v>1312</v>
      </c>
      <c r="I7" s="167">
        <f>C9</f>
        <v>8.8061477034828625E-2</v>
      </c>
      <c r="J7" s="166">
        <v>5</v>
      </c>
      <c r="K7" s="163"/>
    </row>
    <row r="8" spans="2:11" s="84" customFormat="1" ht="13.9" thickBot="1">
      <c r="B8" s="150" t="s">
        <v>857</v>
      </c>
      <c r="C8" s="87">
        <f>'AEB-3 Constant DCF'!K97</f>
        <v>8.8109055142312653E-2</v>
      </c>
      <c r="D8" s="87">
        <f>'AEB-3 Constant DCF'!L97</f>
        <v>9.3779204934325122E-2</v>
      </c>
      <c r="E8" s="149">
        <f>'AEB-3 Constant DCF'!M97</f>
        <v>0.10098077462045833</v>
      </c>
      <c r="G8" s="164"/>
      <c r="H8" s="165"/>
      <c r="I8" s="167">
        <f>D9</f>
        <v>9.4390767097316475E-2</v>
      </c>
      <c r="J8" s="166">
        <v>5</v>
      </c>
      <c r="K8" s="163"/>
    </row>
    <row r="9" spans="2:11" s="84" customFormat="1" ht="13.9" thickBot="1">
      <c r="B9" s="151" t="s">
        <v>858</v>
      </c>
      <c r="C9" s="89">
        <f>AVERAGE(C6:C8)</f>
        <v>8.8061477034828625E-2</v>
      </c>
      <c r="D9" s="89">
        <f>AVERAGE(D6:D8)</f>
        <v>9.4390767097316475E-2</v>
      </c>
      <c r="E9" s="152">
        <f>AVERAGE(E6:E8)</f>
        <v>0.10053754618209519</v>
      </c>
      <c r="G9" s="164"/>
      <c r="H9" s="165"/>
      <c r="I9" s="167">
        <f>E9</f>
        <v>0.10053754618209519</v>
      </c>
      <c r="J9" s="166">
        <v>5</v>
      </c>
      <c r="K9" s="163"/>
    </row>
    <row r="10" spans="2:11" s="84" customFormat="1" ht="13.9">
      <c r="B10" s="488" t="s">
        <v>1675</v>
      </c>
      <c r="C10" s="489"/>
      <c r="D10" s="489"/>
      <c r="E10" s="490"/>
      <c r="G10" s="164"/>
      <c r="H10" s="165" t="s">
        <v>1313</v>
      </c>
      <c r="I10" s="167">
        <f>C15</f>
        <v>8.7394293349688901E-2</v>
      </c>
      <c r="J10" s="166">
        <v>4</v>
      </c>
      <c r="K10" s="163"/>
    </row>
    <row r="11" spans="2:11" s="84" customFormat="1" ht="13.9">
      <c r="B11" s="146"/>
      <c r="C11" s="85" t="s">
        <v>1310</v>
      </c>
      <c r="D11" s="85" t="s">
        <v>718</v>
      </c>
      <c r="E11" s="147" t="s">
        <v>1311</v>
      </c>
      <c r="G11" s="164"/>
      <c r="H11" s="165"/>
      <c r="I11" s="167">
        <f>D15</f>
        <v>9.5208122795572114E-2</v>
      </c>
      <c r="J11" s="166">
        <v>4</v>
      </c>
      <c r="K11" s="163"/>
    </row>
    <row r="12" spans="2:11" s="84" customFormat="1">
      <c r="B12" s="148" t="s">
        <v>855</v>
      </c>
      <c r="C12" s="87">
        <f>'AEB-3 Constant DCF'!O22</f>
        <v>8.6573750067360469E-2</v>
      </c>
      <c r="D12" s="87">
        <f>'AEB-3 Constant DCF'!P22</f>
        <v>9.4876701263903782E-2</v>
      </c>
      <c r="E12" s="149">
        <f>'AEB-3 Constant DCF'!Q22</f>
        <v>0.10032409443266191</v>
      </c>
      <c r="G12" s="164"/>
      <c r="H12" s="165"/>
      <c r="I12" s="167">
        <f>E15</f>
        <v>0.10071790562594081</v>
      </c>
      <c r="J12" s="166">
        <v>4</v>
      </c>
      <c r="K12" s="163"/>
    </row>
    <row r="13" spans="2:11" s="84" customFormat="1">
      <c r="B13" s="148" t="s">
        <v>856</v>
      </c>
      <c r="C13" s="87">
        <f>'AEB-3 Constant DCF'!O59</f>
        <v>8.6677719260344704E-2</v>
      </c>
      <c r="D13" s="87">
        <f>'AEB-3 Constant DCF'!P59</f>
        <v>9.4981781644357235E-2</v>
      </c>
      <c r="E13" s="149">
        <f>'AEB-3 Constant DCF'!Q59</f>
        <v>0.10050221361044219</v>
      </c>
      <c r="G13" s="164"/>
      <c r="H13" s="168" t="s">
        <v>860</v>
      </c>
      <c r="I13" s="169">
        <f>MIN(C18:E20)</f>
        <v>9.6003602208788036E-2</v>
      </c>
      <c r="J13" s="164">
        <v>3</v>
      </c>
      <c r="K13" s="163"/>
    </row>
    <row r="14" spans="2:11" s="84" customFormat="1" ht="13.9" thickBot="1">
      <c r="B14" s="150" t="s">
        <v>857</v>
      </c>
      <c r="C14" s="87">
        <f>'AEB-3 Constant DCF'!O96</f>
        <v>8.8931410721361501E-2</v>
      </c>
      <c r="D14" s="87">
        <f>'AEB-3 Constant DCF'!P96</f>
        <v>9.5765885478455298E-2</v>
      </c>
      <c r="E14" s="149">
        <f>'AEB-3 Constant DCF'!Q96</f>
        <v>0.10132740883471834</v>
      </c>
      <c r="G14" s="164"/>
      <c r="H14" s="168"/>
      <c r="I14" s="169">
        <f>MAX(C18:E20)</f>
        <v>0.11803790121052148</v>
      </c>
      <c r="J14" s="164">
        <v>3</v>
      </c>
      <c r="K14" s="163"/>
    </row>
    <row r="15" spans="2:11" s="84" customFormat="1" ht="13.9" thickBot="1">
      <c r="B15" s="151" t="s">
        <v>858</v>
      </c>
      <c r="C15" s="89">
        <f>AVERAGE(C12:C14)</f>
        <v>8.7394293349688901E-2</v>
      </c>
      <c r="D15" s="89">
        <f>AVERAGE(D12:D14)</f>
        <v>9.5208122795572114E-2</v>
      </c>
      <c r="E15" s="152">
        <f>AVERAGE(E12:E14)</f>
        <v>0.10071790562594081</v>
      </c>
      <c r="F15" s="83"/>
      <c r="G15" s="164"/>
      <c r="H15" s="168" t="s">
        <v>1277</v>
      </c>
      <c r="I15" s="169">
        <f>MIN(C23:E25)</f>
        <v>0.10434301450048916</v>
      </c>
      <c r="J15" s="164">
        <v>2</v>
      </c>
      <c r="K15" s="163"/>
    </row>
    <row r="16" spans="2:11" s="84" customFormat="1" ht="13.9">
      <c r="B16" s="484" t="s">
        <v>860</v>
      </c>
      <c r="C16" s="485"/>
      <c r="D16" s="485"/>
      <c r="E16" s="486"/>
      <c r="G16" s="164"/>
      <c r="H16" s="170"/>
      <c r="I16" s="169">
        <f>MAX(C23:E25)</f>
        <v>0.12086873875178927</v>
      </c>
      <c r="J16" s="164">
        <v>2</v>
      </c>
      <c r="K16" s="163"/>
    </row>
    <row r="17" spans="2:11" s="84" customFormat="1" ht="54">
      <c r="B17" s="146"/>
      <c r="C17" s="85" t="s">
        <v>1276</v>
      </c>
      <c r="D17" s="85" t="s">
        <v>862</v>
      </c>
      <c r="E17" s="147" t="s">
        <v>863</v>
      </c>
      <c r="G17" s="164"/>
      <c r="H17" s="171" t="s">
        <v>39</v>
      </c>
      <c r="I17" s="169">
        <f>C28</f>
        <v>9.4938320615158223E-2</v>
      </c>
      <c r="J17" s="164">
        <v>1</v>
      </c>
      <c r="K17" s="163"/>
    </row>
    <row r="18" spans="2:11" s="84" customFormat="1">
      <c r="B18" s="175" t="s">
        <v>1273</v>
      </c>
      <c r="C18" s="87">
        <f>'AEB-4 CAPM'!H24</f>
        <v>0.11615030121052146</v>
      </c>
      <c r="D18" s="87">
        <f>'AEB-4 CAPM'!H57</f>
        <v>0.11683790121052147</v>
      </c>
      <c r="E18" s="149">
        <f>'AEB-4 CAPM'!H90</f>
        <v>0.11803790121052148</v>
      </c>
      <c r="G18" s="164"/>
      <c r="H18" s="170"/>
      <c r="I18" s="169">
        <f>E28</f>
        <v>0.10169084413894325</v>
      </c>
      <c r="J18" s="164">
        <v>1</v>
      </c>
      <c r="K18" s="163"/>
    </row>
    <row r="19" spans="2:11" s="84" customFormat="1">
      <c r="B19" s="175" t="s">
        <v>1274</v>
      </c>
      <c r="C19" s="87">
        <f>'AEB-4 CAPM'!H123</f>
        <v>0.10756413137316488</v>
      </c>
      <c r="D19" s="87">
        <f>'AEB-4 CAPM'!H156</f>
        <v>0.10869862204388862</v>
      </c>
      <c r="E19" s="149">
        <f>'AEB-4 CAPM'!H189</f>
        <v>0.11067853595440123</v>
      </c>
      <c r="G19" s="164"/>
      <c r="H19" s="171" t="s">
        <v>1298</v>
      </c>
      <c r="I19" s="169">
        <v>9.9000000000000005E-2</v>
      </c>
      <c r="J19" s="164">
        <v>0</v>
      </c>
      <c r="K19" s="163"/>
    </row>
    <row r="20" spans="2:11" s="84" customFormat="1" ht="13.9" thickBot="1">
      <c r="B20" s="175" t="s">
        <v>1275</v>
      </c>
      <c r="C20" s="87">
        <f>'AEB-4 CAPM'!H222</f>
        <v>9.6003602208788036E-2</v>
      </c>
      <c r="D20" s="87">
        <f>'AEB-4 CAPM'!H255</f>
        <v>9.7739792208788048E-2</v>
      </c>
      <c r="E20" s="149">
        <f>'AEB-4 CAPM'!H288</f>
        <v>0.10076979220878804</v>
      </c>
      <c r="G20" s="164"/>
      <c r="H20" s="164"/>
      <c r="I20" s="169">
        <v>9.9000000000000005E-2</v>
      </c>
      <c r="J20" s="164">
        <v>7</v>
      </c>
      <c r="K20" s="163"/>
    </row>
    <row r="21" spans="2:11" s="84" customFormat="1" ht="13.9">
      <c r="B21" s="484" t="s">
        <v>1277</v>
      </c>
      <c r="C21" s="485"/>
      <c r="D21" s="485"/>
      <c r="E21" s="486"/>
      <c r="G21" s="164"/>
      <c r="H21" s="171" t="s">
        <v>1298</v>
      </c>
      <c r="I21" s="169">
        <v>0.105</v>
      </c>
      <c r="J21" s="164">
        <v>0</v>
      </c>
      <c r="K21" s="163"/>
    </row>
    <row r="22" spans="2:11" s="84" customFormat="1" ht="54">
      <c r="B22" s="146"/>
      <c r="C22" s="85" t="s">
        <v>1276</v>
      </c>
      <c r="D22" s="85" t="s">
        <v>862</v>
      </c>
      <c r="E22" s="147" t="s">
        <v>863</v>
      </c>
      <c r="G22" s="164"/>
      <c r="H22" s="164"/>
      <c r="I22" s="169">
        <v>0.105</v>
      </c>
      <c r="J22" s="164">
        <v>7</v>
      </c>
      <c r="K22" s="163"/>
    </row>
    <row r="23" spans="2:11" s="84" customFormat="1">
      <c r="B23" s="175" t="s">
        <v>1273</v>
      </c>
      <c r="C23" s="176">
        <f>'AEB-4 CAPM'!I24</f>
        <v>0.11945303875178928</v>
      </c>
      <c r="D23" s="176">
        <f>'AEB-4 CAPM'!I57</f>
        <v>0.11996873875178925</v>
      </c>
      <c r="E23" s="177">
        <f>'AEB-4 CAPM'!I90</f>
        <v>0.12086873875178927</v>
      </c>
      <c r="F23" s="171"/>
      <c r="G23" s="164"/>
      <c r="H23" s="171" t="s">
        <v>1320</v>
      </c>
      <c r="I23" s="169">
        <v>0.1</v>
      </c>
      <c r="J23" s="164">
        <v>0</v>
      </c>
      <c r="K23" s="94"/>
    </row>
    <row r="24" spans="2:11" s="84" customFormat="1">
      <c r="B24" s="175" t="s">
        <v>1274</v>
      </c>
      <c r="C24" s="176">
        <f>'AEB-4 CAPM'!I123</f>
        <v>0.1130134113737718</v>
      </c>
      <c r="D24" s="176">
        <f>'AEB-4 CAPM'!I156</f>
        <v>0.11386427937681461</v>
      </c>
      <c r="E24" s="177">
        <f>'AEB-4 CAPM'!I189</f>
        <v>0.11534921480969905</v>
      </c>
      <c r="F24" s="164"/>
      <c r="G24" s="164"/>
      <c r="H24" s="164"/>
      <c r="I24" s="169">
        <f>I23</f>
        <v>0.1</v>
      </c>
      <c r="J24" s="164">
        <v>7</v>
      </c>
      <c r="K24" s="94"/>
    </row>
    <row r="25" spans="2:11" s="84" customFormat="1" ht="13.9" thickBot="1">
      <c r="B25" s="175" t="s">
        <v>1275</v>
      </c>
      <c r="C25" s="176">
        <f>'AEB-4 CAPM'!I222</f>
        <v>0.10434301450048916</v>
      </c>
      <c r="D25" s="176">
        <f>'AEB-4 CAPM'!I255</f>
        <v>0.10564515700048918</v>
      </c>
      <c r="E25" s="177">
        <f>'AEB-4 CAPM'!I288</f>
        <v>0.10791765700048916</v>
      </c>
      <c r="F25" s="164"/>
      <c r="G25" s="164"/>
      <c r="H25" s="164"/>
      <c r="I25" s="164"/>
      <c r="J25" s="164"/>
      <c r="K25" s="94"/>
    </row>
    <row r="26" spans="2:11" s="84" customFormat="1" ht="13.9">
      <c r="B26" s="484" t="s">
        <v>861</v>
      </c>
      <c r="C26" s="485"/>
      <c r="D26" s="485"/>
      <c r="E26" s="486"/>
      <c r="G26" s="86"/>
      <c r="I26" s="90"/>
      <c r="J26" s="83"/>
      <c r="K26" s="94"/>
    </row>
    <row r="27" spans="2:11" s="84" customFormat="1" ht="54">
      <c r="B27" s="153"/>
      <c r="C27" s="85" t="s">
        <v>1276</v>
      </c>
      <c r="D27" s="85" t="s">
        <v>862</v>
      </c>
      <c r="E27" s="154" t="s">
        <v>863</v>
      </c>
      <c r="G27" s="86"/>
      <c r="H27" s="82"/>
      <c r="J27" s="83"/>
      <c r="K27" s="94"/>
    </row>
    <row r="28" spans="2:11" s="84" customFormat="1">
      <c r="B28" s="184" t="s">
        <v>864</v>
      </c>
      <c r="C28" s="176">
        <f>'AEB-7 Risk Premium'!L50</f>
        <v>9.4938320615158223E-2</v>
      </c>
      <c r="D28" s="176">
        <f>'AEB-7 Risk Premium'!L51</f>
        <v>9.7398076482372975E-2</v>
      </c>
      <c r="E28" s="185">
        <f>'AEB-7 Risk Premium'!L52</f>
        <v>0.10169084413894325</v>
      </c>
      <c r="G28" s="86"/>
      <c r="H28" s="82"/>
      <c r="J28" s="83"/>
      <c r="K28" s="94"/>
    </row>
    <row r="29" spans="2:11" s="84" customFormat="1" ht="13.9" thickBot="1">
      <c r="B29" s="150" t="s">
        <v>859</v>
      </c>
      <c r="C29" s="186"/>
      <c r="D29" s="187">
        <f>AVERAGE(C28:E28)</f>
        <v>9.8009080412158153E-2</v>
      </c>
      <c r="E29" s="188"/>
      <c r="G29" s="86"/>
      <c r="H29" s="86"/>
      <c r="K29" s="94"/>
    </row>
    <row r="30" spans="2:11" s="84" customFormat="1">
      <c r="B30" s="81"/>
      <c r="C30" s="81"/>
      <c r="D30" s="81"/>
      <c r="E30" s="81"/>
      <c r="G30" s="86"/>
      <c r="K30" s="94"/>
    </row>
    <row r="31" spans="2:11" s="84" customFormat="1">
      <c r="B31" s="81"/>
      <c r="C31" s="158"/>
      <c r="D31" s="158"/>
      <c r="E31" s="158"/>
      <c r="G31" s="86"/>
    </row>
    <row r="32" spans="2:11" s="84" customFormat="1" ht="13.9">
      <c r="B32" s="386" t="s">
        <v>22</v>
      </c>
      <c r="C32" s="80"/>
      <c r="D32" s="80"/>
      <c r="E32" s="80"/>
      <c r="G32" s="86"/>
    </row>
    <row r="33" spans="2:11" s="84" customFormat="1" ht="14.25" customHeight="1">
      <c r="B33" s="483" t="s">
        <v>1677</v>
      </c>
      <c r="C33" s="483"/>
      <c r="D33" s="483"/>
      <c r="E33" s="483"/>
      <c r="G33" s="86"/>
    </row>
    <row r="34" spans="2:11" s="84" customFormat="1" ht="15.75" customHeight="1">
      <c r="B34" s="483"/>
      <c r="C34" s="483"/>
      <c r="D34" s="483"/>
      <c r="E34" s="483"/>
      <c r="F34" s="83"/>
      <c r="G34" s="86"/>
    </row>
    <row r="35" spans="2:11" s="84" customFormat="1" ht="14.25" customHeight="1">
      <c r="B35" s="483"/>
      <c r="C35" s="483"/>
      <c r="D35" s="483"/>
      <c r="E35" s="483"/>
    </row>
    <row r="36" spans="2:11" s="84" customFormat="1" ht="14.25" customHeight="1">
      <c r="B36" s="483"/>
      <c r="C36" s="483"/>
      <c r="D36" s="483"/>
      <c r="E36" s="483"/>
    </row>
    <row r="37" spans="2:11" s="84" customFormat="1">
      <c r="B37" s="483"/>
      <c r="C37" s="483"/>
      <c r="D37" s="483"/>
      <c r="E37" s="483"/>
      <c r="H37" s="88"/>
    </row>
    <row r="38" spans="2:11" s="84" customFormat="1">
      <c r="B38" s="69"/>
      <c r="C38" s="69"/>
      <c r="D38" s="69"/>
      <c r="E38" s="69"/>
    </row>
    <row r="39" spans="2:11" s="84" customFormat="1">
      <c r="B39" s="69"/>
      <c r="C39" s="69"/>
      <c r="D39" s="69"/>
      <c r="E39" s="69"/>
    </row>
    <row r="40" spans="2:11" s="84" customFormat="1" ht="19.5" customHeight="1">
      <c r="B40" s="70"/>
      <c r="C40" s="157"/>
      <c r="D40" s="70"/>
      <c r="E40" s="70"/>
      <c r="G40" s="91"/>
      <c r="H40" s="81"/>
    </row>
    <row r="41" spans="2:11" s="84" customFormat="1" ht="19.5" customHeight="1">
      <c r="B41" s="70"/>
      <c r="C41" s="70"/>
      <c r="D41" s="70"/>
      <c r="E41" s="70"/>
      <c r="F41" s="83"/>
      <c r="G41" s="91"/>
      <c r="H41" s="81"/>
    </row>
    <row r="42" spans="2:11" s="84" customFormat="1">
      <c r="B42" s="70"/>
      <c r="C42" s="70"/>
      <c r="D42" s="70"/>
      <c r="E42" s="70"/>
      <c r="G42" s="91"/>
      <c r="H42" s="91"/>
      <c r="J42" s="91"/>
    </row>
    <row r="43" spans="2:11" s="84" customFormat="1">
      <c r="B43" s="71"/>
      <c r="C43" s="71"/>
      <c r="D43" s="71"/>
      <c r="E43" s="71"/>
      <c r="F43" s="92"/>
      <c r="G43" s="91"/>
      <c r="H43" s="91"/>
      <c r="J43" s="91"/>
    </row>
    <row r="44" spans="2:11" s="84" customFormat="1">
      <c r="B44" s="71"/>
      <c r="C44" s="71"/>
      <c r="D44" s="71"/>
      <c r="E44" s="71"/>
      <c r="F44" s="93"/>
      <c r="G44" s="91"/>
      <c r="H44" s="91"/>
      <c r="J44" s="91"/>
      <c r="K44" s="91"/>
    </row>
    <row r="45" spans="2:11" s="84" customFormat="1">
      <c r="B45" s="91"/>
      <c r="C45" s="91"/>
      <c r="D45" s="91"/>
      <c r="E45" s="91"/>
      <c r="F45" s="92"/>
      <c r="G45" s="91"/>
      <c r="H45" s="91"/>
      <c r="J45" s="91"/>
      <c r="K45" s="91"/>
    </row>
    <row r="46" spans="2:11" s="84" customFormat="1">
      <c r="B46" s="91"/>
      <c r="C46" s="91"/>
      <c r="D46" s="91"/>
      <c r="E46" s="91"/>
      <c r="F46" s="92"/>
      <c r="G46" s="91"/>
      <c r="H46" s="91"/>
      <c r="J46" s="91"/>
      <c r="K46" s="91"/>
    </row>
    <row r="47" spans="2:11" s="84" customFormat="1">
      <c r="B47" s="91"/>
      <c r="C47" s="91"/>
      <c r="D47" s="91"/>
      <c r="E47" s="91"/>
      <c r="G47" s="91"/>
      <c r="H47" s="91"/>
      <c r="I47" s="81"/>
      <c r="J47" s="91"/>
      <c r="K47" s="91"/>
    </row>
    <row r="48" spans="2:11" s="84" customFormat="1">
      <c r="B48" s="91"/>
      <c r="C48" s="91"/>
      <c r="D48" s="91"/>
      <c r="E48" s="91"/>
      <c r="F48" s="81"/>
      <c r="G48" s="91"/>
      <c r="H48" s="91"/>
      <c r="I48" s="81"/>
      <c r="J48" s="91"/>
      <c r="K48" s="91"/>
    </row>
    <row r="49" spans="1:11" s="84" customFormat="1" ht="19.5" customHeight="1">
      <c r="B49" s="91"/>
      <c r="C49" s="91"/>
      <c r="D49" s="91"/>
      <c r="E49" s="91"/>
      <c r="F49" s="81"/>
      <c r="G49" s="91"/>
      <c r="H49" s="91"/>
      <c r="I49" s="91"/>
      <c r="J49" s="91"/>
      <c r="K49" s="91"/>
    </row>
    <row r="50" spans="1:11" s="84" customFormat="1" ht="19.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1" s="81" customFormat="1" ht="19.5" customHeight="1">
      <c r="A51" s="84"/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s="81" customFormat="1" ht="12.75" customHeight="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12.75" customHeight="1">
      <c r="A53" s="81"/>
    </row>
    <row r="55" spans="1:11" ht="12.75" customHeight="1"/>
    <row r="57" spans="1:11" ht="12.75" customHeight="1"/>
  </sheetData>
  <mergeCells count="7">
    <mergeCell ref="B33:E37"/>
    <mergeCell ref="B26:E26"/>
    <mergeCell ref="B2:E2"/>
    <mergeCell ref="B21:E21"/>
    <mergeCell ref="B4:E4"/>
    <mergeCell ref="B16:E16"/>
    <mergeCell ref="B10:E10"/>
  </mergeCells>
  <printOptions horizontalCentered="1"/>
  <pageMargins left="0.7" right="0.7" top="1.25" bottom="0.75" header="0.3" footer="0.3"/>
  <pageSetup scale="96" orientation="portrait" useFirstPageNumber="1" r:id="rId1"/>
  <headerFooter>
    <oddHeader>&amp;LDRAFT- PRIVILEGED AND CONFIDENTIAL
PREPARED AT THE REQUEST OF COUNSEL
&amp;RSchedule AEB-1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53"/>
  <sheetViews>
    <sheetView zoomScale="90" zoomScaleNormal="90" zoomScaleSheetLayoutView="100" zoomScalePageLayoutView="90" workbookViewId="0">
      <selection activeCell="A50" sqref="A50"/>
    </sheetView>
  </sheetViews>
  <sheetFormatPr defaultColWidth="9.1328125" defaultRowHeight="12.75"/>
  <cols>
    <col min="1" max="1" width="35.59765625" style="23" customWidth="1"/>
    <col min="2" max="2" width="15.59765625" style="23" customWidth="1"/>
    <col min="3" max="3" width="9.86328125" style="23" bestFit="1" customWidth="1"/>
    <col min="4" max="5" width="15.59765625" style="23" customWidth="1"/>
    <col min="6" max="6" width="21.73046875" style="23" customWidth="1"/>
    <col min="7" max="7" width="15.59765625" style="23" customWidth="1"/>
    <col min="8" max="10" width="16.3984375" style="23" customWidth="1"/>
    <col min="11" max="11" width="15.73046875" style="23" customWidth="1"/>
    <col min="12" max="12" width="11.86328125" style="23" customWidth="1"/>
    <col min="13" max="13" width="9.1328125" style="23"/>
    <col min="14" max="14" width="22.265625" style="23" customWidth="1"/>
    <col min="15" max="16384" width="9.1328125" style="23"/>
  </cols>
  <sheetData>
    <row r="1" spans="1:13">
      <c r="A1" s="48"/>
      <c r="B1" s="48"/>
      <c r="C1" s="48"/>
      <c r="D1" s="48"/>
      <c r="E1" s="48"/>
      <c r="F1" s="48"/>
    </row>
    <row r="2" spans="1:13">
      <c r="A2" s="491" t="s">
        <v>1302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3">
      <c r="A3" s="48"/>
      <c r="B3" s="48"/>
      <c r="C3" s="48"/>
      <c r="D3" s="48"/>
      <c r="J3" s="48"/>
    </row>
    <row r="4" spans="1:13" ht="13.15" thickBot="1">
      <c r="A4" s="48"/>
      <c r="B4" s="48"/>
      <c r="C4" s="49" t="s">
        <v>0</v>
      </c>
      <c r="D4" s="49" t="s">
        <v>1</v>
      </c>
      <c r="E4" s="49" t="s">
        <v>2</v>
      </c>
      <c r="F4" s="159" t="s">
        <v>3</v>
      </c>
      <c r="G4" s="159" t="s">
        <v>4</v>
      </c>
      <c r="H4" s="159" t="s">
        <v>5</v>
      </c>
      <c r="I4" s="159" t="s">
        <v>6</v>
      </c>
      <c r="J4" s="96" t="s">
        <v>7</v>
      </c>
      <c r="K4" s="96" t="s">
        <v>8</v>
      </c>
      <c r="L4" s="55" t="s">
        <v>9</v>
      </c>
    </row>
    <row r="5" spans="1:13" ht="51">
      <c r="A5" s="190" t="s">
        <v>11</v>
      </c>
      <c r="B5" s="191" t="s">
        <v>12</v>
      </c>
      <c r="C5" s="191" t="s">
        <v>865</v>
      </c>
      <c r="D5" s="192" t="s">
        <v>866</v>
      </c>
      <c r="E5" s="192" t="s">
        <v>1048</v>
      </c>
      <c r="F5" s="193" t="s">
        <v>1049</v>
      </c>
      <c r="G5" s="192" t="s">
        <v>1050</v>
      </c>
      <c r="H5" s="192" t="s">
        <v>1071</v>
      </c>
      <c r="I5" s="192" t="s">
        <v>1074</v>
      </c>
      <c r="J5" s="194" t="s">
        <v>1072</v>
      </c>
      <c r="K5" s="192" t="s">
        <v>1073</v>
      </c>
      <c r="L5" s="194" t="s">
        <v>1063</v>
      </c>
    </row>
    <row r="6" spans="1:13">
      <c r="A6" s="33" t="s">
        <v>1022</v>
      </c>
      <c r="B6" s="46" t="s">
        <v>1023</v>
      </c>
      <c r="C6" s="58" t="s">
        <v>867</v>
      </c>
      <c r="D6" s="58" t="s">
        <v>1033</v>
      </c>
      <c r="E6" s="58" t="s">
        <v>867</v>
      </c>
      <c r="F6" s="58" t="s">
        <v>867</v>
      </c>
      <c r="G6" s="58" t="s">
        <v>867</v>
      </c>
      <c r="H6" s="195">
        <v>0.49917389890228747</v>
      </c>
      <c r="I6" s="195">
        <v>0.46423954220629221</v>
      </c>
      <c r="J6" s="196">
        <v>0.88656191635258275</v>
      </c>
      <c r="K6" s="196">
        <v>0.97380554336624348</v>
      </c>
      <c r="L6" s="58" t="s">
        <v>869</v>
      </c>
      <c r="M6" s="209"/>
    </row>
    <row r="7" spans="1:13">
      <c r="A7" s="8" t="s">
        <v>1024</v>
      </c>
      <c r="B7" s="47" t="s">
        <v>792</v>
      </c>
      <c r="C7" s="59" t="s">
        <v>867</v>
      </c>
      <c r="D7" s="59" t="s">
        <v>870</v>
      </c>
      <c r="E7" s="59" t="s">
        <v>867</v>
      </c>
      <c r="F7" s="59" t="s">
        <v>867</v>
      </c>
      <c r="G7" s="59" t="s">
        <v>867</v>
      </c>
      <c r="H7" s="60">
        <v>0.3226598384372128</v>
      </c>
      <c r="I7" s="60">
        <v>0.69071648268534658</v>
      </c>
      <c r="J7" s="50">
        <v>0.96257963019181469</v>
      </c>
      <c r="K7" s="50">
        <v>0.90754532799449172</v>
      </c>
      <c r="L7" s="59" t="s">
        <v>869</v>
      </c>
      <c r="M7" s="209"/>
    </row>
    <row r="8" spans="1:13">
      <c r="A8" s="8" t="s">
        <v>1025</v>
      </c>
      <c r="B8" s="47" t="s">
        <v>350</v>
      </c>
      <c r="C8" s="59" t="s">
        <v>867</v>
      </c>
      <c r="D8" s="59" t="s">
        <v>868</v>
      </c>
      <c r="E8" s="59" t="s">
        <v>867</v>
      </c>
      <c r="F8" s="59" t="s">
        <v>867</v>
      </c>
      <c r="G8" s="59" t="s">
        <v>867</v>
      </c>
      <c r="H8" s="60">
        <v>0.49970706205777637</v>
      </c>
      <c r="I8" s="60">
        <v>0.76859780473440453</v>
      </c>
      <c r="J8" s="50">
        <v>1</v>
      </c>
      <c r="K8" s="50">
        <v>0.86489916594978933</v>
      </c>
      <c r="L8" s="59" t="s">
        <v>869</v>
      </c>
      <c r="M8" s="209"/>
    </row>
    <row r="9" spans="1:13">
      <c r="A9" s="8" t="s">
        <v>1026</v>
      </c>
      <c r="B9" s="47" t="s">
        <v>19</v>
      </c>
      <c r="C9" s="59" t="s">
        <v>867</v>
      </c>
      <c r="D9" s="59" t="s">
        <v>870</v>
      </c>
      <c r="E9" s="59" t="s">
        <v>867</v>
      </c>
      <c r="F9" s="59" t="s">
        <v>867</v>
      </c>
      <c r="G9" s="59" t="s">
        <v>867</v>
      </c>
      <c r="H9" s="60">
        <v>0.51916436335255278</v>
      </c>
      <c r="I9" s="60">
        <v>0.53735916569731013</v>
      </c>
      <c r="J9" s="50">
        <v>0.97155640049142677</v>
      </c>
      <c r="K9" s="50">
        <v>1</v>
      </c>
      <c r="L9" s="59" t="s">
        <v>869</v>
      </c>
      <c r="M9" s="209"/>
    </row>
    <row r="10" spans="1:13">
      <c r="A10" s="8" t="s">
        <v>1064</v>
      </c>
      <c r="B10" s="47" t="s">
        <v>1075</v>
      </c>
      <c r="C10" s="59" t="s">
        <v>867</v>
      </c>
      <c r="D10" s="59" t="s">
        <v>1033</v>
      </c>
      <c r="E10" s="59" t="s">
        <v>867</v>
      </c>
      <c r="F10" s="59" t="s">
        <v>867</v>
      </c>
      <c r="G10" s="59" t="s">
        <v>867</v>
      </c>
      <c r="H10" s="60">
        <v>0.104120283168903</v>
      </c>
      <c r="I10" s="60">
        <v>0.59018611616214511</v>
      </c>
      <c r="J10" s="50">
        <v>1</v>
      </c>
      <c r="K10" s="50">
        <v>0.77520708004613537</v>
      </c>
      <c r="L10" s="59" t="s">
        <v>869</v>
      </c>
      <c r="M10" s="209"/>
    </row>
    <row r="11" spans="1:13">
      <c r="A11" s="8" t="s">
        <v>1031</v>
      </c>
      <c r="B11" s="47" t="s">
        <v>438</v>
      </c>
      <c r="C11" s="59" t="s">
        <v>867</v>
      </c>
      <c r="D11" s="59" t="s">
        <v>868</v>
      </c>
      <c r="E11" s="59" t="s">
        <v>867</v>
      </c>
      <c r="F11" s="59" t="s">
        <v>867</v>
      </c>
      <c r="G11" s="59" t="s">
        <v>867</v>
      </c>
      <c r="H11" s="60">
        <v>0.2795445269147756</v>
      </c>
      <c r="I11" s="60">
        <v>0.82704436859336594</v>
      </c>
      <c r="J11" s="50">
        <v>0.99363057324840776</v>
      </c>
      <c r="K11" s="50">
        <v>0.91262942103031319</v>
      </c>
      <c r="L11" s="59" t="s">
        <v>869</v>
      </c>
      <c r="M11" s="209"/>
    </row>
    <row r="12" spans="1:13">
      <c r="A12" s="8" t="s">
        <v>1065</v>
      </c>
      <c r="B12" s="47" t="s">
        <v>448</v>
      </c>
      <c r="C12" s="59" t="s">
        <v>867</v>
      </c>
      <c r="D12" s="59" t="s">
        <v>868</v>
      </c>
      <c r="E12" s="59" t="s">
        <v>867</v>
      </c>
      <c r="F12" s="59" t="s">
        <v>867</v>
      </c>
      <c r="G12" s="59" t="s">
        <v>867</v>
      </c>
      <c r="H12" s="60">
        <v>0.130656261060621</v>
      </c>
      <c r="I12" s="60">
        <v>0.66731096227119691</v>
      </c>
      <c r="J12" s="50">
        <v>1</v>
      </c>
      <c r="K12" s="50">
        <v>0.99087422593666374</v>
      </c>
      <c r="L12" s="59" t="s">
        <v>869</v>
      </c>
      <c r="M12" s="209"/>
    </row>
    <row r="13" spans="1:13">
      <c r="A13" s="8" t="s">
        <v>1066</v>
      </c>
      <c r="B13" s="47" t="s">
        <v>1076</v>
      </c>
      <c r="C13" s="59" t="s">
        <v>867</v>
      </c>
      <c r="D13" s="59" t="s">
        <v>1033</v>
      </c>
      <c r="E13" s="59" t="s">
        <v>867</v>
      </c>
      <c r="F13" s="59" t="s">
        <v>867</v>
      </c>
      <c r="G13" s="59" t="s">
        <v>867</v>
      </c>
      <c r="H13" s="60">
        <v>0.26434664523027213</v>
      </c>
      <c r="I13" s="60">
        <v>0.71930540153845912</v>
      </c>
      <c r="J13" s="50">
        <v>0.99657860122596897</v>
      </c>
      <c r="K13" s="50">
        <v>1</v>
      </c>
      <c r="L13" s="59" t="s">
        <v>869</v>
      </c>
      <c r="M13" s="209"/>
    </row>
    <row r="14" spans="1:13">
      <c r="A14" s="8" t="s">
        <v>1067</v>
      </c>
      <c r="B14" s="47" t="s">
        <v>1077</v>
      </c>
      <c r="C14" s="59" t="s">
        <v>867</v>
      </c>
      <c r="D14" s="59" t="s">
        <v>1079</v>
      </c>
      <c r="E14" s="59" t="s">
        <v>867</v>
      </c>
      <c r="F14" s="59" t="s">
        <v>867</v>
      </c>
      <c r="G14" s="59" t="s">
        <v>867</v>
      </c>
      <c r="H14" s="60">
        <v>0.383168601406225</v>
      </c>
      <c r="I14" s="60">
        <v>0.66911163752898795</v>
      </c>
      <c r="J14" s="50">
        <v>0.71131868783467034</v>
      </c>
      <c r="K14" s="50">
        <v>0.76009354966978637</v>
      </c>
      <c r="L14" s="59" t="s">
        <v>869</v>
      </c>
      <c r="M14" s="209"/>
    </row>
    <row r="15" spans="1:13">
      <c r="A15" s="8" t="s">
        <v>1291</v>
      </c>
      <c r="B15" s="47" t="s">
        <v>546</v>
      </c>
      <c r="C15" s="59" t="s">
        <v>867</v>
      </c>
      <c r="D15" s="59" t="s">
        <v>870</v>
      </c>
      <c r="E15" s="59" t="s">
        <v>867</v>
      </c>
      <c r="F15" s="59" t="s">
        <v>867</v>
      </c>
      <c r="G15" s="59" t="s">
        <v>867</v>
      </c>
      <c r="H15" s="60">
        <v>8.5605414719970352E-2</v>
      </c>
      <c r="I15" s="60">
        <v>0.97236043728409716</v>
      </c>
      <c r="J15" s="50">
        <v>0.75625442135204191</v>
      </c>
      <c r="K15" s="50">
        <v>1</v>
      </c>
      <c r="L15" s="59" t="s">
        <v>869</v>
      </c>
      <c r="M15" s="209"/>
    </row>
    <row r="16" spans="1:13">
      <c r="A16" s="8" t="s">
        <v>1027</v>
      </c>
      <c r="B16" s="47" t="s">
        <v>1028</v>
      </c>
      <c r="C16" s="59" t="s">
        <v>867</v>
      </c>
      <c r="D16" s="59" t="s">
        <v>1033</v>
      </c>
      <c r="E16" s="59" t="s">
        <v>867</v>
      </c>
      <c r="F16" s="59" t="s">
        <v>867</v>
      </c>
      <c r="G16" s="59" t="s">
        <v>867</v>
      </c>
      <c r="H16" s="60">
        <v>0.32541917173927443</v>
      </c>
      <c r="I16" s="60">
        <v>0.57891637036631638</v>
      </c>
      <c r="J16" s="50">
        <v>0.99748804705537031</v>
      </c>
      <c r="K16" s="50">
        <v>0.83435135977794361</v>
      </c>
      <c r="L16" s="59" t="s">
        <v>869</v>
      </c>
      <c r="M16" s="209"/>
    </row>
    <row r="17" spans="1:13">
      <c r="A17" s="8" t="s">
        <v>1029</v>
      </c>
      <c r="B17" s="47" t="s">
        <v>1030</v>
      </c>
      <c r="C17" s="59" t="s">
        <v>867</v>
      </c>
      <c r="D17" s="59" t="s">
        <v>1033</v>
      </c>
      <c r="E17" s="59" t="s">
        <v>867</v>
      </c>
      <c r="F17" s="59" t="s">
        <v>867</v>
      </c>
      <c r="G17" s="59" t="s">
        <v>867</v>
      </c>
      <c r="H17" s="60">
        <v>0.66950295776080626</v>
      </c>
      <c r="I17" s="60">
        <v>0.56262888255263011</v>
      </c>
      <c r="J17" s="50">
        <v>0.71137138709920233</v>
      </c>
      <c r="K17" s="50">
        <v>1</v>
      </c>
      <c r="L17" s="59" t="s">
        <v>869</v>
      </c>
      <c r="M17" s="209"/>
    </row>
    <row r="18" spans="1:13">
      <c r="A18" s="8" t="s">
        <v>1069</v>
      </c>
      <c r="B18" s="47" t="s">
        <v>1078</v>
      </c>
      <c r="C18" s="59" t="s">
        <v>867</v>
      </c>
      <c r="D18" s="59" t="s">
        <v>868</v>
      </c>
      <c r="E18" s="59" t="s">
        <v>867</v>
      </c>
      <c r="F18" s="59" t="s">
        <v>867</v>
      </c>
      <c r="G18" s="59" t="s">
        <v>867</v>
      </c>
      <c r="H18" s="60">
        <v>0.20814487207403468</v>
      </c>
      <c r="I18" s="60">
        <v>0.62405499826104027</v>
      </c>
      <c r="J18" s="50">
        <v>1</v>
      </c>
      <c r="K18" s="50">
        <v>1</v>
      </c>
      <c r="L18" s="59" t="s">
        <v>869</v>
      </c>
      <c r="M18" s="209"/>
    </row>
    <row r="19" spans="1:13">
      <c r="A19" s="8" t="s">
        <v>1070</v>
      </c>
      <c r="B19" s="47" t="s">
        <v>21</v>
      </c>
      <c r="C19" s="59" t="s">
        <v>867</v>
      </c>
      <c r="D19" s="59" t="s">
        <v>870</v>
      </c>
      <c r="E19" s="59" t="s">
        <v>867</v>
      </c>
      <c r="F19" s="59" t="s">
        <v>867</v>
      </c>
      <c r="G19" s="59" t="s">
        <v>867</v>
      </c>
      <c r="H19" s="60">
        <v>0.32576236455776753</v>
      </c>
      <c r="I19" s="60">
        <v>0.78450989991783027</v>
      </c>
      <c r="J19" s="50">
        <v>0.86978340805955889</v>
      </c>
      <c r="K19" s="50">
        <v>0.82213323925461868</v>
      </c>
      <c r="L19" s="59" t="s">
        <v>869</v>
      </c>
      <c r="M19" s="209"/>
    </row>
    <row r="20" spans="1:13" ht="13.15" thickBot="1">
      <c r="A20" s="34" t="s">
        <v>1032</v>
      </c>
      <c r="B20" s="61" t="s">
        <v>640</v>
      </c>
      <c r="C20" s="62" t="s">
        <v>867</v>
      </c>
      <c r="D20" s="62" t="s">
        <v>870</v>
      </c>
      <c r="E20" s="62" t="s">
        <v>867</v>
      </c>
      <c r="F20" s="62" t="s">
        <v>867</v>
      </c>
      <c r="G20" s="62" t="s">
        <v>867</v>
      </c>
      <c r="H20" s="63">
        <v>0.32850638613252736</v>
      </c>
      <c r="I20" s="63">
        <v>0.57425292219659263</v>
      </c>
      <c r="J20" s="51">
        <v>1</v>
      </c>
      <c r="K20" s="51">
        <v>0.86706526917746929</v>
      </c>
      <c r="L20" s="62" t="s">
        <v>869</v>
      </c>
      <c r="M20" s="209"/>
    </row>
    <row r="21" spans="1:13" ht="13.15" thickTop="1">
      <c r="A21" s="52"/>
      <c r="B21" s="53"/>
      <c r="C21" s="35"/>
      <c r="D21" s="35"/>
      <c r="E21" s="48"/>
      <c r="F21" s="48"/>
      <c r="G21" s="48"/>
      <c r="H21" s="48"/>
      <c r="I21" s="48"/>
      <c r="J21" s="35"/>
    </row>
    <row r="22" spans="1:1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3">
      <c r="A23" s="64" t="s">
        <v>22</v>
      </c>
      <c r="B23" s="48"/>
      <c r="C23" s="48"/>
      <c r="D23" s="48"/>
      <c r="E23" s="48"/>
      <c r="F23" s="48"/>
    </row>
    <row r="24" spans="1:13">
      <c r="A24" s="65" t="s">
        <v>23</v>
      </c>
      <c r="B24" s="48"/>
      <c r="C24" s="48"/>
      <c r="D24" s="48"/>
      <c r="E24" s="48"/>
      <c r="F24" s="48"/>
    </row>
    <row r="25" spans="1:13">
      <c r="A25" s="65" t="s">
        <v>1000</v>
      </c>
      <c r="B25" s="24"/>
      <c r="C25" s="24"/>
      <c r="D25" s="24"/>
      <c r="E25" s="24"/>
      <c r="F25" s="24"/>
      <c r="G25" s="24"/>
      <c r="H25" s="48"/>
      <c r="I25" s="48"/>
      <c r="J25" s="48"/>
      <c r="K25" s="48"/>
      <c r="L25" s="48"/>
    </row>
    <row r="26" spans="1:13">
      <c r="A26" s="65" t="s">
        <v>1047</v>
      </c>
      <c r="B26" s="24"/>
      <c r="C26" s="24"/>
      <c r="D26" s="24"/>
      <c r="E26" s="24"/>
      <c r="F26" s="8"/>
      <c r="G26" s="47"/>
      <c r="H26" s="47"/>
      <c r="I26" s="47"/>
      <c r="J26" s="47"/>
      <c r="K26" s="35"/>
      <c r="L26" s="48"/>
    </row>
    <row r="27" spans="1:13">
      <c r="A27" s="65" t="s">
        <v>1046</v>
      </c>
      <c r="B27" s="24"/>
      <c r="C27" s="24"/>
      <c r="D27" s="24"/>
      <c r="E27" s="24"/>
      <c r="F27" s="8"/>
      <c r="G27" s="47"/>
      <c r="H27" s="47"/>
      <c r="I27" s="47"/>
      <c r="J27" s="47"/>
      <c r="K27" s="35"/>
      <c r="L27" s="48"/>
    </row>
    <row r="28" spans="1:13">
      <c r="A28" s="72" t="s">
        <v>1314</v>
      </c>
      <c r="B28" s="24"/>
      <c r="C28" s="24"/>
      <c r="D28" s="24"/>
      <c r="E28" s="24"/>
      <c r="F28" s="8"/>
      <c r="G28" s="47"/>
      <c r="H28" s="47"/>
      <c r="I28" s="47"/>
      <c r="J28" s="47"/>
      <c r="K28" s="35"/>
      <c r="L28" s="48"/>
    </row>
    <row r="29" spans="1:13">
      <c r="A29" s="72" t="s">
        <v>1315</v>
      </c>
      <c r="B29" s="24"/>
      <c r="C29" s="24"/>
      <c r="D29" s="24"/>
      <c r="E29" s="24"/>
      <c r="F29" s="8"/>
      <c r="G29" s="47"/>
      <c r="H29" s="47"/>
      <c r="I29" s="47"/>
      <c r="J29" s="47"/>
      <c r="K29" s="35"/>
      <c r="L29" s="48"/>
    </row>
    <row r="30" spans="1:13">
      <c r="A30" s="72" t="s">
        <v>1316</v>
      </c>
      <c r="B30" s="24"/>
      <c r="C30" s="24"/>
      <c r="D30" s="24"/>
      <c r="E30" s="24"/>
      <c r="F30" s="8"/>
      <c r="G30" s="47"/>
      <c r="H30" s="47"/>
      <c r="I30" s="47"/>
      <c r="J30" s="47"/>
      <c r="K30" s="35"/>
      <c r="L30" s="48"/>
    </row>
    <row r="31" spans="1:13">
      <c r="A31" s="72" t="s">
        <v>1296</v>
      </c>
      <c r="B31" s="24"/>
      <c r="C31" s="24"/>
      <c r="D31" s="24"/>
      <c r="E31" s="24"/>
      <c r="F31" s="8"/>
      <c r="G31" s="47"/>
      <c r="H31" s="47"/>
      <c r="I31" s="47"/>
      <c r="J31" s="47"/>
      <c r="K31" s="35"/>
      <c r="L31" s="48"/>
    </row>
    <row r="32" spans="1:13">
      <c r="A32" s="72" t="s">
        <v>1297</v>
      </c>
      <c r="B32" s="24"/>
      <c r="C32" s="24"/>
      <c r="D32" s="24"/>
      <c r="E32" s="24"/>
      <c r="F32" s="8"/>
      <c r="G32" s="47"/>
      <c r="H32" s="47"/>
      <c r="I32" s="47"/>
      <c r="J32" s="47"/>
      <c r="K32" s="35"/>
      <c r="L32" s="48"/>
    </row>
    <row r="33" spans="1:12">
      <c r="A33" s="65" t="s">
        <v>1080</v>
      </c>
      <c r="B33" s="28"/>
      <c r="C33" s="28"/>
      <c r="D33" s="28"/>
      <c r="E33" s="24"/>
      <c r="F33" s="8"/>
      <c r="G33" s="47"/>
      <c r="H33" s="47"/>
      <c r="I33" s="47"/>
      <c r="J33" s="47"/>
      <c r="K33" s="35"/>
      <c r="L33" s="48"/>
    </row>
    <row r="34" spans="1:12">
      <c r="A34" s="28"/>
      <c r="B34" s="28"/>
      <c r="C34" s="28"/>
      <c r="D34" s="28"/>
      <c r="E34" s="24"/>
      <c r="F34" s="8"/>
      <c r="G34" s="47"/>
      <c r="H34" s="47"/>
      <c r="I34" s="47"/>
      <c r="J34" s="47"/>
      <c r="K34" s="35"/>
      <c r="L34" s="48"/>
    </row>
    <row r="35" spans="1:12">
      <c r="A35" s="28"/>
      <c r="B35" s="28"/>
      <c r="C35" s="28"/>
      <c r="D35" s="28"/>
      <c r="E35" s="24"/>
      <c r="F35" s="8"/>
      <c r="G35" s="47"/>
      <c r="H35" s="47"/>
      <c r="I35" s="47"/>
      <c r="J35" s="47"/>
      <c r="K35" s="35"/>
      <c r="L35" s="48"/>
    </row>
    <row r="36" spans="1:12">
      <c r="A36" s="28"/>
      <c r="B36" s="28"/>
      <c r="C36" s="28"/>
      <c r="D36" s="28"/>
      <c r="E36" s="24"/>
      <c r="F36" s="8"/>
      <c r="G36" s="47"/>
      <c r="H36" s="47"/>
      <c r="I36" s="47"/>
      <c r="J36" s="47"/>
      <c r="K36" s="35"/>
      <c r="L36" s="48"/>
    </row>
    <row r="37" spans="1:12">
      <c r="A37" s="28"/>
      <c r="B37" s="28"/>
      <c r="C37" s="28"/>
      <c r="D37" s="28"/>
      <c r="E37" s="24"/>
      <c r="F37" s="8"/>
      <c r="G37" s="47"/>
      <c r="H37" s="47"/>
      <c r="I37" s="47"/>
      <c r="J37" s="47"/>
      <c r="K37" s="35"/>
      <c r="L37" s="48"/>
    </row>
    <row r="38" spans="1:12">
      <c r="A38" s="28"/>
      <c r="B38" s="28"/>
      <c r="C38" s="28"/>
      <c r="D38" s="28"/>
      <c r="E38" s="24"/>
      <c r="F38" s="8"/>
      <c r="G38" s="47"/>
      <c r="H38" s="47"/>
      <c r="I38" s="47"/>
      <c r="J38" s="47"/>
      <c r="K38" s="35"/>
      <c r="L38" s="48"/>
    </row>
    <row r="39" spans="1:12">
      <c r="A39" s="28"/>
      <c r="B39" s="28"/>
      <c r="C39" s="28"/>
      <c r="D39" s="28"/>
      <c r="E39" s="24"/>
      <c r="F39" s="8"/>
      <c r="G39" s="47"/>
      <c r="H39" s="47"/>
      <c r="I39" s="47"/>
      <c r="J39" s="47"/>
      <c r="K39" s="35"/>
      <c r="L39" s="48"/>
    </row>
    <row r="40" spans="1:12">
      <c r="A40" s="28"/>
      <c r="B40" s="28"/>
      <c r="C40" s="28"/>
      <c r="D40" s="28"/>
      <c r="E40" s="24"/>
      <c r="F40" s="8"/>
      <c r="G40" s="47"/>
      <c r="H40" s="47"/>
      <c r="I40" s="47"/>
      <c r="J40" s="47"/>
      <c r="K40" s="35"/>
      <c r="L40" s="48"/>
    </row>
    <row r="41" spans="1:12">
      <c r="A41" s="24"/>
      <c r="B41" s="28"/>
      <c r="C41" s="28"/>
      <c r="D41" s="28"/>
      <c r="E41" s="24"/>
      <c r="F41" s="24"/>
      <c r="G41" s="24"/>
      <c r="H41" s="48"/>
      <c r="I41" s="48"/>
      <c r="J41" s="48"/>
      <c r="K41" s="48"/>
      <c r="L41" s="48"/>
    </row>
    <row r="42" spans="1:12">
      <c r="A42" s="24"/>
      <c r="B42" s="28"/>
      <c r="C42" s="28"/>
      <c r="D42" s="28"/>
      <c r="E42" s="24"/>
      <c r="F42" s="24"/>
      <c r="G42" s="24"/>
      <c r="H42" s="48"/>
      <c r="I42" s="48"/>
      <c r="J42" s="48"/>
      <c r="K42" s="48"/>
      <c r="L42" s="48"/>
    </row>
    <row r="43" spans="1:12">
      <c r="A43" s="48"/>
      <c r="E43" s="48"/>
      <c r="F43" s="48"/>
      <c r="G43" s="48"/>
      <c r="H43" s="48"/>
      <c r="I43" s="48"/>
      <c r="J43" s="48"/>
      <c r="K43" s="48"/>
      <c r="L43" s="48"/>
    </row>
    <row r="44" spans="1:12">
      <c r="A44" s="24"/>
      <c r="E44" s="48"/>
      <c r="F44" s="48"/>
      <c r="G44" s="48"/>
      <c r="H44" s="48"/>
      <c r="I44" s="48"/>
      <c r="J44" s="48"/>
      <c r="K44" s="48"/>
      <c r="L44" s="48"/>
    </row>
    <row r="45" spans="1:12">
      <c r="A45" s="24"/>
      <c r="E45" s="48"/>
      <c r="F45" s="48"/>
      <c r="G45" s="48"/>
      <c r="H45" s="48"/>
      <c r="I45" s="48"/>
      <c r="J45" s="48"/>
      <c r="K45" s="48"/>
      <c r="L45" s="48"/>
    </row>
    <row r="46" spans="1:12">
      <c r="A46" s="24"/>
    </row>
    <row r="47" spans="1:12">
      <c r="A47" s="48"/>
    </row>
    <row r="48" spans="1:12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</sheetData>
  <mergeCells count="1">
    <mergeCell ref="A2:L2"/>
  </mergeCells>
  <phoneticPr fontId="80" type="noConversion"/>
  <conditionalFormatting sqref="J26:J40 A6:B21">
    <cfRule type="expression" dxfId="31" priority="13">
      <formula>"(blank)"</formula>
    </cfRule>
  </conditionalFormatting>
  <conditionalFormatting sqref="J26:J40 A6:B21">
    <cfRule type="expression" dxfId="30" priority="14">
      <formula>#REF!</formula>
    </cfRule>
  </conditionalFormatting>
  <conditionalFormatting sqref="F26:F40">
    <cfRule type="expression" dxfId="29" priority="27">
      <formula>"(blank)"</formula>
    </cfRule>
  </conditionalFormatting>
  <conditionalFormatting sqref="F26:F40">
    <cfRule type="expression" dxfId="28" priority="28">
      <formula>#REF!</formula>
    </cfRule>
  </conditionalFormatting>
  <conditionalFormatting sqref="G26:G40">
    <cfRule type="expression" dxfId="27" priority="25">
      <formula>"(blank)"</formula>
    </cfRule>
  </conditionalFormatting>
  <conditionalFormatting sqref="G26:G40">
    <cfRule type="expression" dxfId="26" priority="26">
      <formula>#REF!</formula>
    </cfRule>
  </conditionalFormatting>
  <conditionalFormatting sqref="H26:I40">
    <cfRule type="expression" dxfId="25" priority="23">
      <formula>"(blank)"</formula>
    </cfRule>
  </conditionalFormatting>
  <conditionalFormatting sqref="H26:I40">
    <cfRule type="expression" dxfId="24" priority="2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  <headerFooter>
    <oddHeader>&amp;LDRAFT- PRIVILEGED AND CONFIDENTIAL
PREPARED AT THE REQUEST OF COUNSEL
&amp;RSchedule AEB-2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112"/>
  <sheetViews>
    <sheetView zoomScale="80" zoomScaleNormal="80" zoomScaleSheetLayoutView="70" zoomScalePageLayoutView="90" workbookViewId="0">
      <selection activeCell="H35" sqref="H35"/>
    </sheetView>
  </sheetViews>
  <sheetFormatPr defaultColWidth="9.1328125" defaultRowHeight="12.75"/>
  <cols>
    <col min="1" max="1" width="44" style="10" customWidth="1"/>
    <col min="2" max="2" width="8.59765625" style="4" customWidth="1"/>
    <col min="3" max="3" width="12.73046875" style="4" customWidth="1"/>
    <col min="4" max="13" width="10.59765625" style="4" customWidth="1"/>
    <col min="14" max="14" width="3" style="4" customWidth="1"/>
    <col min="15" max="16384" width="9.1328125" style="4"/>
  </cols>
  <sheetData>
    <row r="1" spans="1:17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>
      <c r="A2" s="493" t="s">
        <v>1352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493" t="s">
        <v>1317</v>
      </c>
      <c r="L3" s="493"/>
      <c r="M3" s="493"/>
      <c r="O3" s="492" t="s">
        <v>1307</v>
      </c>
      <c r="P3" s="492"/>
      <c r="Q3" s="492"/>
    </row>
    <row r="4" spans="1:17" ht="13.15" thickBot="1">
      <c r="A4" s="6"/>
      <c r="B4" s="6"/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O4" s="201" t="s">
        <v>787</v>
      </c>
      <c r="P4" s="201" t="s">
        <v>1308</v>
      </c>
      <c r="Q4" s="201" t="s">
        <v>1309</v>
      </c>
    </row>
    <row r="5" spans="1:17" ht="54" customHeight="1">
      <c r="A5" s="25" t="s">
        <v>11</v>
      </c>
      <c r="B5" s="22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18</v>
      </c>
      <c r="H5" s="18" t="s">
        <v>647</v>
      </c>
      <c r="I5" s="18" t="s">
        <v>17</v>
      </c>
      <c r="J5" s="18" t="s">
        <v>788</v>
      </c>
      <c r="K5" s="22" t="s">
        <v>789</v>
      </c>
      <c r="L5" s="18" t="s">
        <v>790</v>
      </c>
      <c r="M5" s="22" t="s">
        <v>791</v>
      </c>
      <c r="N5" s="22"/>
      <c r="O5" s="202" t="s">
        <v>789</v>
      </c>
      <c r="P5" s="203" t="s">
        <v>790</v>
      </c>
      <c r="Q5" s="202" t="s">
        <v>791</v>
      </c>
    </row>
    <row r="6" spans="1:1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0"/>
      <c r="O6" s="204"/>
      <c r="P6" s="204"/>
      <c r="Q6" s="204"/>
    </row>
    <row r="7" spans="1:17">
      <c r="A7" s="8" t="str">
        <f>'AEB-2 Proxy Selection'!A6</f>
        <v>ALLETE, Inc.</v>
      </c>
      <c r="B7" s="67" t="str">
        <f>'AEB-2 Proxy Selection'!B6</f>
        <v>ALE</v>
      </c>
      <c r="C7" s="68">
        <v>2.52</v>
      </c>
      <c r="D7" s="68">
        <v>64.39400000000002</v>
      </c>
      <c r="E7" s="40">
        <f>C7/D7</f>
        <v>3.913408081498275E-2</v>
      </c>
      <c r="F7" s="45">
        <f>IFERROR(E7*(1+0.5*J7),"")</f>
        <v>4.0221356026959018E-2</v>
      </c>
      <c r="G7" s="40">
        <v>0.05</v>
      </c>
      <c r="H7" s="40">
        <v>5.67E-2</v>
      </c>
      <c r="I7" s="40">
        <v>0.06</v>
      </c>
      <c r="J7" s="40">
        <f>AVERAGE(G7:I7)</f>
        <v>5.5566666666666674E-2</v>
      </c>
      <c r="K7" s="42">
        <f>$E7*(1+0.5*MIN($G7:$I7))+MIN($G7:$I7)</f>
        <v>9.0112432835357317E-2</v>
      </c>
      <c r="L7" s="40">
        <f>F7+J7</f>
        <v>9.5788022693625685E-2</v>
      </c>
      <c r="M7" s="40">
        <f>$E7*(1+0.5*MAX($G7:$I7))+MAX($G7:$I7)</f>
        <v>0.10030810323943223</v>
      </c>
      <c r="N7" s="10"/>
      <c r="O7" s="42">
        <f>IF(K7&lt;7%,"",K7)</f>
        <v>9.0112432835357317E-2</v>
      </c>
      <c r="P7" s="42">
        <f t="shared" ref="P7:Q7" si="0">IF(L7&lt;7%,"",L7)</f>
        <v>9.5788022693625685E-2</v>
      </c>
      <c r="Q7" s="42">
        <f t="shared" si="0"/>
        <v>0.10030810323943223</v>
      </c>
    </row>
    <row r="8" spans="1:17">
      <c r="A8" s="8" t="str">
        <f>'AEB-2 Proxy Selection'!A7</f>
        <v>Alliant Energy Corporation</v>
      </c>
      <c r="B8" s="67" t="str">
        <f>'AEB-2 Proxy Selection'!B7</f>
        <v>LNT</v>
      </c>
      <c r="C8" s="68">
        <v>1.61</v>
      </c>
      <c r="D8" s="68">
        <v>59.394666666666666</v>
      </c>
      <c r="E8" s="40">
        <f t="shared" ref="E8:E21" si="1">C8/D8</f>
        <v>2.7106810937008938E-2</v>
      </c>
      <c r="F8" s="45">
        <f t="shared" ref="F8:F21" si="2">IFERROR(E8*(1+0.5*J8),"")</f>
        <v>2.7883872850536527E-2</v>
      </c>
      <c r="G8" s="40">
        <v>5.5E-2</v>
      </c>
      <c r="H8" s="40">
        <v>5.8000000000000003E-2</v>
      </c>
      <c r="I8" s="40">
        <v>5.8999999999999997E-2</v>
      </c>
      <c r="J8" s="40">
        <f t="shared" ref="J8:J21" si="3">AVERAGE(G8:I8)</f>
        <v>5.7333333333333326E-2</v>
      </c>
      <c r="K8" s="42">
        <f t="shared" ref="K8:K21" si="4">$E8*(1+0.5*MIN($G8:$I8))+MIN($G8:$I8)</f>
        <v>8.2852248237776691E-2</v>
      </c>
      <c r="L8" s="40">
        <f t="shared" ref="L8:L21" si="5">F8+J8</f>
        <v>8.5217206183869854E-2</v>
      </c>
      <c r="M8" s="40">
        <f t="shared" ref="M8:M21" si="6">$E8*(1+0.5*MAX($G8:$I8))+MAX($G8:$I8)</f>
        <v>8.6906461859650702E-2</v>
      </c>
      <c r="N8" s="10"/>
      <c r="O8" s="42">
        <f t="shared" ref="O8:O21" si="7">IF(K8&lt;7%,"",K8)</f>
        <v>8.2852248237776691E-2</v>
      </c>
      <c r="P8" s="42">
        <f t="shared" ref="P8:P21" si="8">IF(L8&lt;7%,"",L8)</f>
        <v>8.5217206183869854E-2</v>
      </c>
      <c r="Q8" s="42">
        <f t="shared" ref="Q8:Q21" si="9">IF(M8&lt;7%,"",M8)</f>
        <v>8.6906461859650702E-2</v>
      </c>
    </row>
    <row r="9" spans="1:17">
      <c r="A9" s="8" t="str">
        <f>'AEB-2 Proxy Selection'!A8</f>
        <v>Ameren Corporation</v>
      </c>
      <c r="B9" s="67" t="str">
        <f>'AEB-2 Proxy Selection'!B8</f>
        <v>AEE</v>
      </c>
      <c r="C9" s="68">
        <v>2.2000000000000002</v>
      </c>
      <c r="D9" s="68">
        <v>85.937666666666686</v>
      </c>
      <c r="E9" s="40">
        <f t="shared" si="1"/>
        <v>2.5599950351611434E-2</v>
      </c>
      <c r="F9" s="45">
        <f t="shared" si="2"/>
        <v>2.6517281905877512E-2</v>
      </c>
      <c r="G9" s="40">
        <v>6.5000000000000002E-2</v>
      </c>
      <c r="H9" s="40">
        <v>7.6999999999999999E-2</v>
      </c>
      <c r="I9" s="40">
        <v>7.2999999999999995E-2</v>
      </c>
      <c r="J9" s="40">
        <f t="shared" si="3"/>
        <v>7.166666666666667E-2</v>
      </c>
      <c r="K9" s="42">
        <f t="shared" si="4"/>
        <v>9.143194873803881E-2</v>
      </c>
      <c r="L9" s="40">
        <f t="shared" si="5"/>
        <v>9.8183948572544186E-2</v>
      </c>
      <c r="M9" s="40">
        <f t="shared" si="6"/>
        <v>0.10358554844014847</v>
      </c>
      <c r="N9" s="10"/>
      <c r="O9" s="42">
        <f t="shared" si="7"/>
        <v>9.143194873803881E-2</v>
      </c>
      <c r="P9" s="42">
        <f t="shared" si="8"/>
        <v>9.8183948572544186E-2</v>
      </c>
      <c r="Q9" s="42">
        <f t="shared" si="9"/>
        <v>0.10358554844014847</v>
      </c>
    </row>
    <row r="10" spans="1:17">
      <c r="A10" s="8" t="str">
        <f>'AEB-2 Proxy Selection'!A9</f>
        <v>American Electric Power Company, Inc.</v>
      </c>
      <c r="B10" s="67" t="str">
        <f>'AEB-2 Proxy Selection'!B9</f>
        <v>AEP</v>
      </c>
      <c r="C10" s="68">
        <v>2.96</v>
      </c>
      <c r="D10" s="68">
        <v>87.049000000000007</v>
      </c>
      <c r="E10" s="40">
        <f t="shared" si="1"/>
        <v>3.4003836919436176E-2</v>
      </c>
      <c r="F10" s="45">
        <f t="shared" si="2"/>
        <v>3.5036986831171714E-2</v>
      </c>
      <c r="G10" s="40">
        <v>6.5000000000000002E-2</v>
      </c>
      <c r="H10" s="40">
        <v>6.0299999999999999E-2</v>
      </c>
      <c r="I10" s="40">
        <v>5.7000000000000002E-2</v>
      </c>
      <c r="J10" s="40">
        <f t="shared" si="3"/>
        <v>6.0766666666666663E-2</v>
      </c>
      <c r="K10" s="42">
        <f t="shared" si="4"/>
        <v>9.1972946271640099E-2</v>
      </c>
      <c r="L10" s="40">
        <f t="shared" si="5"/>
        <v>9.580365349783837E-2</v>
      </c>
      <c r="M10" s="40">
        <f t="shared" si="6"/>
        <v>0.10010896161931784</v>
      </c>
      <c r="N10" s="10"/>
      <c r="O10" s="42">
        <f t="shared" si="7"/>
        <v>9.1972946271640099E-2</v>
      </c>
      <c r="P10" s="42">
        <f t="shared" si="8"/>
        <v>9.580365349783837E-2</v>
      </c>
      <c r="Q10" s="42">
        <f t="shared" si="9"/>
        <v>0.10010896161931784</v>
      </c>
    </row>
    <row r="11" spans="1:17">
      <c r="A11" s="8" t="str">
        <f>'AEB-2 Proxy Selection'!A10</f>
        <v>Avista Corporation</v>
      </c>
      <c r="B11" s="67" t="str">
        <f>'AEB-2 Proxy Selection'!B10</f>
        <v>AVA</v>
      </c>
      <c r="C11" s="68">
        <v>1.69</v>
      </c>
      <c r="D11" s="68">
        <v>40.92766666666666</v>
      </c>
      <c r="E11" s="40">
        <f t="shared" si="1"/>
        <v>4.1292361320378231E-2</v>
      </c>
      <c r="F11" s="45">
        <f t="shared" si="2"/>
        <v>4.2276495931847249E-2</v>
      </c>
      <c r="G11" s="40">
        <v>0.03</v>
      </c>
      <c r="H11" s="40">
        <v>6.2E-2</v>
      </c>
      <c r="I11" s="40">
        <v>5.0999999999999997E-2</v>
      </c>
      <c r="J11" s="40">
        <f t="shared" si="3"/>
        <v>4.7666666666666663E-2</v>
      </c>
      <c r="K11" s="42">
        <f t="shared" si="4"/>
        <v>7.1911746740183899E-2</v>
      </c>
      <c r="L11" s="40">
        <f t="shared" si="5"/>
        <v>8.9943162598513912E-2</v>
      </c>
      <c r="M11" s="40">
        <f t="shared" si="6"/>
        <v>0.10457242452130995</v>
      </c>
      <c r="N11" s="10"/>
      <c r="O11" s="42">
        <f t="shared" si="7"/>
        <v>7.1911746740183899E-2</v>
      </c>
      <c r="P11" s="42">
        <f t="shared" si="8"/>
        <v>8.9943162598513912E-2</v>
      </c>
      <c r="Q11" s="42">
        <f t="shared" si="9"/>
        <v>0.10457242452130995</v>
      </c>
    </row>
    <row r="12" spans="1:17">
      <c r="A12" s="8" t="str">
        <f>'AEB-2 Proxy Selection'!A11</f>
        <v>Duke Energy Corporation</v>
      </c>
      <c r="B12" s="67" t="str">
        <f>'AEB-2 Proxy Selection'!B11</f>
        <v>DUK</v>
      </c>
      <c r="C12" s="68">
        <v>3.94</v>
      </c>
      <c r="D12" s="68">
        <v>102.54133333333333</v>
      </c>
      <c r="E12" s="40">
        <f t="shared" si="1"/>
        <v>3.8423530023665255E-2</v>
      </c>
      <c r="F12" s="45">
        <f t="shared" si="2"/>
        <v>3.9560226120198681E-2</v>
      </c>
      <c r="G12" s="40">
        <v>7.0000000000000007E-2</v>
      </c>
      <c r="H12" s="40">
        <v>5.45E-2</v>
      </c>
      <c r="I12" s="40">
        <v>5.2999999999999999E-2</v>
      </c>
      <c r="J12" s="40">
        <f t="shared" si="3"/>
        <v>5.9166666666666666E-2</v>
      </c>
      <c r="K12" s="42">
        <f t="shared" si="4"/>
        <v>9.2441753569292379E-2</v>
      </c>
      <c r="L12" s="40">
        <f t="shared" si="5"/>
        <v>9.8726892786865347E-2</v>
      </c>
      <c r="M12" s="40">
        <f t="shared" si="6"/>
        <v>0.10976835357449355</v>
      </c>
      <c r="N12" s="10"/>
      <c r="O12" s="42">
        <f t="shared" si="7"/>
        <v>9.2441753569292379E-2</v>
      </c>
      <c r="P12" s="42">
        <f t="shared" si="8"/>
        <v>9.8726892786865347E-2</v>
      </c>
      <c r="Q12" s="42">
        <f t="shared" si="9"/>
        <v>0.10976835357449355</v>
      </c>
    </row>
    <row r="13" spans="1:17">
      <c r="A13" s="8" t="str">
        <f>'AEB-2 Proxy Selection'!A12</f>
        <v>Entergy Corporation</v>
      </c>
      <c r="B13" s="67" t="str">
        <f>'AEB-2 Proxy Selection'!B12</f>
        <v>ETR</v>
      </c>
      <c r="C13" s="68">
        <v>3.8</v>
      </c>
      <c r="D13" s="68">
        <v>109.81733333333334</v>
      </c>
      <c r="E13" s="40">
        <f t="shared" si="1"/>
        <v>3.4602916358073402E-2</v>
      </c>
      <c r="F13" s="45">
        <f t="shared" si="2"/>
        <v>3.5058521423454704E-2</v>
      </c>
      <c r="G13" s="40">
        <v>0.03</v>
      </c>
      <c r="H13" s="40">
        <v>3.5000000000000003E-2</v>
      </c>
      <c r="I13" s="40">
        <v>1.4E-2</v>
      </c>
      <c r="J13" s="40">
        <f t="shared" si="3"/>
        <v>2.6333333333333334E-2</v>
      </c>
      <c r="K13" s="42">
        <f t="shared" si="4"/>
        <v>4.8845136772579907E-2</v>
      </c>
      <c r="L13" s="40">
        <f t="shared" si="5"/>
        <v>6.1391854756788038E-2</v>
      </c>
      <c r="M13" s="40">
        <f t="shared" si="6"/>
        <v>7.0208467394339696E-2</v>
      </c>
      <c r="N13" s="10"/>
      <c r="O13" s="42" t="str">
        <f t="shared" si="7"/>
        <v/>
      </c>
      <c r="P13" s="42" t="str">
        <f t="shared" si="8"/>
        <v/>
      </c>
      <c r="Q13" s="42">
        <f t="shared" si="9"/>
        <v>7.0208467394339696E-2</v>
      </c>
    </row>
    <row r="14" spans="1:17">
      <c r="A14" s="8" t="str">
        <f>'AEB-2 Proxy Selection'!A13</f>
        <v>IDACORP, Inc.</v>
      </c>
      <c r="B14" s="67" t="str">
        <f>'AEB-2 Proxy Selection'!B13</f>
        <v>IDA</v>
      </c>
      <c r="C14" s="68">
        <v>2.84</v>
      </c>
      <c r="D14" s="68">
        <v>105.31533333333333</v>
      </c>
      <c r="E14" s="40">
        <f t="shared" si="1"/>
        <v>2.6966633538642679E-2</v>
      </c>
      <c r="F14" s="45">
        <f t="shared" si="2"/>
        <v>2.7465516259107568E-2</v>
      </c>
      <c r="G14" s="40">
        <v>0.04</v>
      </c>
      <c r="H14" s="40">
        <v>3.2000000000000001E-2</v>
      </c>
      <c r="I14" s="40">
        <v>3.9E-2</v>
      </c>
      <c r="J14" s="40">
        <f t="shared" si="3"/>
        <v>3.7000000000000005E-2</v>
      </c>
      <c r="K14" s="42">
        <f t="shared" si="4"/>
        <v>5.9398099675260968E-2</v>
      </c>
      <c r="L14" s="40">
        <f t="shared" si="5"/>
        <v>6.4465516259107569E-2</v>
      </c>
      <c r="M14" s="40">
        <f t="shared" si="6"/>
        <v>6.7505966209415541E-2</v>
      </c>
      <c r="N14" s="10"/>
      <c r="O14" s="42" t="str">
        <f t="shared" si="7"/>
        <v/>
      </c>
      <c r="P14" s="42" t="str">
        <f t="shared" si="8"/>
        <v/>
      </c>
      <c r="Q14" s="42" t="str">
        <f t="shared" si="9"/>
        <v/>
      </c>
    </row>
    <row r="15" spans="1:17">
      <c r="A15" s="8" t="str">
        <f>'AEB-2 Proxy Selection'!A14</f>
        <v>MGE Energy, Inc.</v>
      </c>
      <c r="B15" s="67" t="str">
        <f>'AEB-2 Proxy Selection'!B14</f>
        <v>MGEE</v>
      </c>
      <c r="C15" s="68">
        <v>1.55</v>
      </c>
      <c r="D15" s="68">
        <v>78.721999999999994</v>
      </c>
      <c r="E15" s="40">
        <f t="shared" si="1"/>
        <v>1.968954040801809E-2</v>
      </c>
      <c r="F15" s="45">
        <f t="shared" si="2"/>
        <v>2.0237565949374595E-2</v>
      </c>
      <c r="G15" s="40">
        <v>5.5E-2</v>
      </c>
      <c r="H15" s="40">
        <v>5.6000000000000001E-2</v>
      </c>
      <c r="I15" s="40">
        <v>5.6000000000000001E-2</v>
      </c>
      <c r="J15" s="40">
        <f t="shared" si="3"/>
        <v>5.566666666666667E-2</v>
      </c>
      <c r="K15" s="42">
        <f t="shared" si="4"/>
        <v>7.5231002769238581E-2</v>
      </c>
      <c r="L15" s="40">
        <f t="shared" si="5"/>
        <v>7.5904232616041262E-2</v>
      </c>
      <c r="M15" s="40">
        <f t="shared" si="6"/>
        <v>7.6240847539442602E-2</v>
      </c>
      <c r="N15" s="10"/>
      <c r="O15" s="42">
        <f t="shared" si="7"/>
        <v>7.5231002769238581E-2</v>
      </c>
      <c r="P15" s="42">
        <f t="shared" si="8"/>
        <v>7.5904232616041262E-2</v>
      </c>
      <c r="Q15" s="42">
        <f t="shared" si="9"/>
        <v>7.6240847539442602E-2</v>
      </c>
    </row>
    <row r="16" spans="1:17">
      <c r="A16" s="8" t="str">
        <f>'AEB-2 Proxy Selection'!A15</f>
        <v>NextEra Energy, Inc.</v>
      </c>
      <c r="B16" s="67" t="str">
        <f>'AEB-2 Proxy Selection'!B15</f>
        <v>NEE</v>
      </c>
      <c r="C16" s="68">
        <v>1.54</v>
      </c>
      <c r="D16" s="68">
        <v>83.288666666666686</v>
      </c>
      <c r="E16" s="40">
        <f t="shared" si="1"/>
        <v>1.8489910592077351E-2</v>
      </c>
      <c r="F16" s="45">
        <f t="shared" si="2"/>
        <v>1.9311170787542121E-2</v>
      </c>
      <c r="G16" s="40">
        <v>0.105</v>
      </c>
      <c r="H16" s="40">
        <v>7.85E-2</v>
      </c>
      <c r="I16" s="40">
        <v>8.3000000000000004E-2</v>
      </c>
      <c r="J16" s="40">
        <f t="shared" si="3"/>
        <v>8.8833333333333334E-2</v>
      </c>
      <c r="K16" s="42">
        <f t="shared" si="4"/>
        <v>9.7715639582816385E-2</v>
      </c>
      <c r="L16" s="40">
        <f t="shared" si="5"/>
        <v>0.10814450412087545</v>
      </c>
      <c r="M16" s="40">
        <f t="shared" si="6"/>
        <v>0.12446063089816141</v>
      </c>
      <c r="N16" s="10"/>
      <c r="O16" s="42">
        <f t="shared" si="7"/>
        <v>9.7715639582816385E-2</v>
      </c>
      <c r="P16" s="42">
        <f t="shared" si="8"/>
        <v>0.10814450412087545</v>
      </c>
      <c r="Q16" s="42">
        <f t="shared" si="9"/>
        <v>0.12446063089816141</v>
      </c>
    </row>
    <row r="17" spans="1:17">
      <c r="A17" s="8" t="str">
        <f>'AEB-2 Proxy Selection'!A16</f>
        <v>NorthWestern Corporation</v>
      </c>
      <c r="B17" s="67" t="str">
        <f>'AEB-2 Proxy Selection'!B16</f>
        <v>NWE</v>
      </c>
      <c r="C17" s="68">
        <v>2.48</v>
      </c>
      <c r="D17" s="68">
        <v>62.041999999999994</v>
      </c>
      <c r="E17" s="40">
        <f t="shared" si="1"/>
        <v>3.9972921569259537E-2</v>
      </c>
      <c r="F17" s="45">
        <f t="shared" si="2"/>
        <v>4.0792366461429357E-2</v>
      </c>
      <c r="G17" s="40">
        <v>0.03</v>
      </c>
      <c r="H17" s="40">
        <v>4.4999999999999998E-2</v>
      </c>
      <c r="I17" s="40">
        <v>4.8000000000000001E-2</v>
      </c>
      <c r="J17" s="40">
        <f t="shared" si="3"/>
        <v>4.1000000000000002E-2</v>
      </c>
      <c r="K17" s="42">
        <f t="shared" si="4"/>
        <v>7.0572515392798435E-2</v>
      </c>
      <c r="L17" s="40">
        <f t="shared" si="5"/>
        <v>8.1792366461429358E-2</v>
      </c>
      <c r="M17" s="40">
        <f t="shared" si="6"/>
        <v>8.8932271686921777E-2</v>
      </c>
      <c r="N17" s="10"/>
      <c r="O17" s="42">
        <f t="shared" si="7"/>
        <v>7.0572515392798435E-2</v>
      </c>
      <c r="P17" s="42">
        <f t="shared" si="8"/>
        <v>8.1792366461429358E-2</v>
      </c>
      <c r="Q17" s="42">
        <f t="shared" si="9"/>
        <v>8.8932271686921777E-2</v>
      </c>
    </row>
    <row r="18" spans="1:17">
      <c r="A18" s="8" t="str">
        <f>'AEB-2 Proxy Selection'!A17</f>
        <v>Otter Tail Corporation</v>
      </c>
      <c r="B18" s="67" t="str">
        <f>'AEB-2 Proxy Selection'!B17</f>
        <v>OTTR</v>
      </c>
      <c r="C18" s="68">
        <v>1.56</v>
      </c>
      <c r="D18" s="68">
        <v>55.362000000000002</v>
      </c>
      <c r="E18" s="40">
        <f t="shared" si="1"/>
        <v>2.8178172753874499E-2</v>
      </c>
      <c r="F18" s="45">
        <f t="shared" si="2"/>
        <v>2.9150319713883169E-2</v>
      </c>
      <c r="G18" s="40">
        <v>7.0000000000000007E-2</v>
      </c>
      <c r="H18" s="40">
        <v>0.09</v>
      </c>
      <c r="I18" s="40">
        <v>4.7E-2</v>
      </c>
      <c r="J18" s="40">
        <f t="shared" si="3"/>
        <v>6.9000000000000006E-2</v>
      </c>
      <c r="K18" s="42">
        <f t="shared" si="4"/>
        <v>7.5840359813590552E-2</v>
      </c>
      <c r="L18" s="40">
        <f t="shared" si="5"/>
        <v>9.8150319713883175E-2</v>
      </c>
      <c r="M18" s="40">
        <f t="shared" si="6"/>
        <v>0.11944619052779884</v>
      </c>
      <c r="N18" s="10"/>
      <c r="O18" s="42">
        <f t="shared" si="7"/>
        <v>7.5840359813590552E-2</v>
      </c>
      <c r="P18" s="42">
        <f t="shared" si="8"/>
        <v>9.8150319713883175E-2</v>
      </c>
      <c r="Q18" s="42">
        <f t="shared" si="9"/>
        <v>0.11944619052779884</v>
      </c>
    </row>
    <row r="19" spans="1:17">
      <c r="A19" s="8" t="str">
        <f>'AEB-2 Proxy Selection'!A18</f>
        <v>Portland General Electric Company</v>
      </c>
      <c r="B19" s="67" t="str">
        <f>'AEB-2 Proxy Selection'!B18</f>
        <v>POR</v>
      </c>
      <c r="C19" s="68">
        <v>1.72</v>
      </c>
      <c r="D19" s="68">
        <v>50.02033333333334</v>
      </c>
      <c r="E19" s="40">
        <f t="shared" si="1"/>
        <v>3.4386016353349633E-2</v>
      </c>
      <c r="F19" s="45">
        <f t="shared" si="2"/>
        <v>3.5772919012934737E-2</v>
      </c>
      <c r="G19" s="40">
        <v>8.5000000000000006E-2</v>
      </c>
      <c r="H19" s="40">
        <v>7.0999999999999994E-2</v>
      </c>
      <c r="I19" s="40">
        <v>8.5999999999999993E-2</v>
      </c>
      <c r="J19" s="40">
        <f t="shared" si="3"/>
        <v>8.0666666666666664E-2</v>
      </c>
      <c r="K19" s="42">
        <f t="shared" si="4"/>
        <v>0.10660671993389353</v>
      </c>
      <c r="L19" s="40">
        <f t="shared" si="5"/>
        <v>0.1164395856796014</v>
      </c>
      <c r="M19" s="40">
        <f t="shared" si="6"/>
        <v>0.12186461505654365</v>
      </c>
      <c r="N19" s="10"/>
      <c r="O19" s="42">
        <f t="shared" si="7"/>
        <v>0.10660671993389353</v>
      </c>
      <c r="P19" s="42">
        <f t="shared" si="8"/>
        <v>0.1164395856796014</v>
      </c>
      <c r="Q19" s="42">
        <f t="shared" si="9"/>
        <v>0.12186461505654365</v>
      </c>
    </row>
    <row r="20" spans="1:17">
      <c r="A20" s="8" t="str">
        <f>'AEB-2 Proxy Selection'!A19</f>
        <v>Southern Company</v>
      </c>
      <c r="B20" s="67" t="str">
        <f>'AEB-2 Proxy Selection'!B19</f>
        <v>SO</v>
      </c>
      <c r="C20" s="68">
        <v>2.64</v>
      </c>
      <c r="D20" s="68">
        <v>65.227666666666664</v>
      </c>
      <c r="E20" s="40">
        <f t="shared" si="1"/>
        <v>4.0473623155818345E-2</v>
      </c>
      <c r="F20" s="45">
        <f t="shared" si="2"/>
        <v>4.1647358227337075E-2</v>
      </c>
      <c r="G20" s="40">
        <v>0.06</v>
      </c>
      <c r="H20" s="40">
        <v>6.5000000000000002E-2</v>
      </c>
      <c r="I20" s="40">
        <v>4.9000000000000002E-2</v>
      </c>
      <c r="J20" s="40">
        <f t="shared" si="3"/>
        <v>5.7999999999999996E-2</v>
      </c>
      <c r="K20" s="42">
        <f t="shared" si="4"/>
        <v>9.0465226923135897E-2</v>
      </c>
      <c r="L20" s="40">
        <f t="shared" si="5"/>
        <v>9.9647358227337071E-2</v>
      </c>
      <c r="M20" s="40">
        <f t="shared" si="6"/>
        <v>0.10678901590838244</v>
      </c>
      <c r="N20" s="10"/>
      <c r="O20" s="42">
        <f t="shared" si="7"/>
        <v>9.0465226923135897E-2</v>
      </c>
      <c r="P20" s="42">
        <f t="shared" si="8"/>
        <v>9.9647358227337071E-2</v>
      </c>
      <c r="Q20" s="42">
        <f t="shared" si="9"/>
        <v>0.10678901590838244</v>
      </c>
    </row>
    <row r="21" spans="1:17">
      <c r="A21" s="8" t="str">
        <f>'AEB-2 Proxy Selection'!A20</f>
        <v>Xcel Energy Inc.</v>
      </c>
      <c r="B21" s="67" t="str">
        <f>'AEB-2 Proxy Selection'!B20</f>
        <v>XEL</v>
      </c>
      <c r="C21" s="68">
        <v>1.83</v>
      </c>
      <c r="D21" s="68">
        <v>66.594333333333324</v>
      </c>
      <c r="E21" s="211">
        <f t="shared" si="1"/>
        <v>2.7479815599925926E-2</v>
      </c>
      <c r="F21" s="45">
        <f t="shared" si="2"/>
        <v>2.8322529944990321E-2</v>
      </c>
      <c r="G21" s="40">
        <v>0.06</v>
      </c>
      <c r="H21" s="40">
        <v>6.3E-2</v>
      </c>
      <c r="I21" s="40">
        <v>6.0999999999999999E-2</v>
      </c>
      <c r="J21" s="40">
        <f t="shared" si="3"/>
        <v>6.133333333333333E-2</v>
      </c>
      <c r="K21" s="42">
        <f t="shared" si="4"/>
        <v>8.8304210067923702E-2</v>
      </c>
      <c r="L21" s="40">
        <f t="shared" si="5"/>
        <v>8.9655863278323644E-2</v>
      </c>
      <c r="M21" s="40">
        <f t="shared" si="6"/>
        <v>9.1345429791323596E-2</v>
      </c>
      <c r="N21" s="10"/>
      <c r="O21" s="210">
        <f t="shared" si="7"/>
        <v>8.8304210067923702E-2</v>
      </c>
      <c r="P21" s="210">
        <f t="shared" si="8"/>
        <v>8.9655863278323644E-2</v>
      </c>
      <c r="Q21" s="210">
        <f t="shared" si="9"/>
        <v>9.1345429791323596E-2</v>
      </c>
    </row>
    <row r="22" spans="1:17">
      <c r="A22" s="41" t="s">
        <v>718</v>
      </c>
      <c r="B22" s="33"/>
      <c r="C22" s="33"/>
      <c r="D22" s="33"/>
      <c r="E22" s="205">
        <f t="shared" ref="E22:M22" si="10">AVERAGE(E7:E21)</f>
        <v>3.1720008046408149E-2</v>
      </c>
      <c r="F22" s="205">
        <f t="shared" si="10"/>
        <v>3.2616965829776287E-2</v>
      </c>
      <c r="G22" s="205">
        <f t="shared" si="10"/>
        <v>5.800000000000001E-2</v>
      </c>
      <c r="H22" s="205">
        <f t="shared" si="10"/>
        <v>6.0266666666666663E-2</v>
      </c>
      <c r="I22" s="205">
        <f t="shared" si="10"/>
        <v>5.5733333333333336E-2</v>
      </c>
      <c r="J22" s="205">
        <f t="shared" si="10"/>
        <v>5.8000000000000003E-2</v>
      </c>
      <c r="K22" s="205">
        <f t="shared" si="10"/>
        <v>8.2246799154901809E-2</v>
      </c>
      <c r="L22" s="205">
        <f t="shared" si="10"/>
        <v>9.0616965829776283E-2</v>
      </c>
      <c r="M22" s="205">
        <f t="shared" si="10"/>
        <v>9.813621921777882E-2</v>
      </c>
      <c r="N22" s="205"/>
      <c r="O22" s="205">
        <f>AVERAGE(O7:O21)</f>
        <v>8.6573750067360469E-2</v>
      </c>
      <c r="P22" s="205">
        <f>AVERAGE(P7:P21)</f>
        <v>9.4876701263903782E-2</v>
      </c>
      <c r="Q22" s="205">
        <f>AVERAGE(Q7:Q21)</f>
        <v>0.10032409443266191</v>
      </c>
    </row>
    <row r="23" spans="1:17">
      <c r="A23" s="206" t="s">
        <v>853</v>
      </c>
      <c r="B23" s="207"/>
      <c r="C23" s="207"/>
      <c r="D23" s="207"/>
      <c r="E23" s="208">
        <f t="shared" ref="E23:M23" si="11">MEDIAN(E7:E21)</f>
        <v>3.4003836919436176E-2</v>
      </c>
      <c r="F23" s="208">
        <f t="shared" si="11"/>
        <v>3.5036986831171714E-2</v>
      </c>
      <c r="G23" s="208">
        <f t="shared" si="11"/>
        <v>0.06</v>
      </c>
      <c r="H23" s="208">
        <f t="shared" si="11"/>
        <v>6.0299999999999999E-2</v>
      </c>
      <c r="I23" s="208">
        <f t="shared" si="11"/>
        <v>5.6000000000000001E-2</v>
      </c>
      <c r="J23" s="208">
        <f t="shared" si="11"/>
        <v>5.7999999999999996E-2</v>
      </c>
      <c r="K23" s="208">
        <f t="shared" si="11"/>
        <v>8.8304210067923702E-2</v>
      </c>
      <c r="L23" s="208">
        <f t="shared" si="11"/>
        <v>9.5788022693625685E-2</v>
      </c>
      <c r="M23" s="208">
        <f t="shared" si="11"/>
        <v>0.10030810323943223</v>
      </c>
      <c r="N23" s="208"/>
      <c r="O23" s="208">
        <f>MEDIAN(O7:O21)</f>
        <v>9.0112432835357317E-2</v>
      </c>
      <c r="P23" s="208">
        <f>MEDIAN(P7:P21)</f>
        <v>9.580365349783837E-2</v>
      </c>
      <c r="Q23" s="208">
        <f>MEDIAN(Q7:Q21)</f>
        <v>0.10194682583979035</v>
      </c>
    </row>
    <row r="24" spans="1:17">
      <c r="A24" s="41"/>
      <c r="B24" s="33"/>
      <c r="C24" s="8"/>
      <c r="D24" s="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>
      <c r="A25" s="21" t="s">
        <v>22</v>
      </c>
      <c r="B25" s="21"/>
      <c r="C25" s="6"/>
      <c r="D25" s="6"/>
      <c r="E25" s="6"/>
      <c r="F25" s="6"/>
      <c r="G25" s="6"/>
      <c r="H25" s="6"/>
      <c r="I25" s="6"/>
      <c r="J25" s="6"/>
      <c r="K25" s="32"/>
      <c r="L25" s="6"/>
      <c r="M25" s="6"/>
      <c r="N25" s="10"/>
      <c r="O25" s="37"/>
      <c r="P25" s="40"/>
      <c r="Q25" s="66"/>
    </row>
    <row r="26" spans="1:17">
      <c r="A26" s="6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32"/>
      <c r="L26" s="6"/>
      <c r="M26" s="6"/>
      <c r="N26" s="10"/>
      <c r="O26" s="37"/>
      <c r="P26" s="40"/>
      <c r="Q26" s="66"/>
    </row>
    <row r="27" spans="1:17">
      <c r="A27" s="6" t="s">
        <v>1318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36"/>
      <c r="P27" s="40"/>
    </row>
    <row r="28" spans="1:17">
      <c r="A28" s="6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O28" s="38"/>
      <c r="P28" s="40"/>
    </row>
    <row r="29" spans="1:17">
      <c r="A29" s="6" t="s">
        <v>648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O29" s="38"/>
      <c r="P29" s="40"/>
    </row>
    <row r="30" spans="1:17">
      <c r="A30" s="6" t="s">
        <v>649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O30" s="38"/>
      <c r="P30" s="40"/>
    </row>
    <row r="31" spans="1:17">
      <c r="A31" s="6" t="s">
        <v>650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38"/>
      <c r="P31" s="40"/>
    </row>
    <row r="32" spans="1:17">
      <c r="A32" s="6" t="s">
        <v>651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O32" s="38"/>
    </row>
    <row r="33" spans="1:17">
      <c r="A33" s="9" t="s">
        <v>652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O33" s="38"/>
    </row>
    <row r="34" spans="1:17">
      <c r="A34" s="6" t="s">
        <v>653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O34" s="39"/>
    </row>
    <row r="35" spans="1:17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39"/>
    </row>
    <row r="36" spans="1:17">
      <c r="A36" s="6" t="s">
        <v>654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39"/>
    </row>
    <row r="37" spans="1:17">
      <c r="A37" s="54" t="s">
        <v>1319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O37" s="39"/>
    </row>
    <row r="38" spans="1:17">
      <c r="O38" s="39"/>
    </row>
    <row r="39" spans="1:17">
      <c r="A39" s="493" t="s">
        <v>1353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</row>
    <row r="40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189"/>
      <c r="L40" s="189"/>
      <c r="M40" s="189"/>
      <c r="O40" s="492" t="s">
        <v>1307</v>
      </c>
      <c r="P40" s="492"/>
      <c r="Q40" s="492"/>
    </row>
    <row r="41" spans="1:17" ht="13.15" thickBot="1">
      <c r="A41" s="6"/>
      <c r="B41" s="6"/>
      <c r="C41" s="19">
        <v>1</v>
      </c>
      <c r="D41" s="19">
        <v>2</v>
      </c>
      <c r="E41" s="19">
        <v>3</v>
      </c>
      <c r="F41" s="19">
        <v>4</v>
      </c>
      <c r="G41" s="19">
        <v>5</v>
      </c>
      <c r="H41" s="19">
        <v>6</v>
      </c>
      <c r="I41" s="19">
        <v>7</v>
      </c>
      <c r="J41" s="19">
        <v>8</v>
      </c>
      <c r="K41" s="19">
        <v>9</v>
      </c>
      <c r="L41" s="19">
        <v>10</v>
      </c>
      <c r="M41" s="19">
        <v>11</v>
      </c>
      <c r="O41" s="201" t="s">
        <v>787</v>
      </c>
      <c r="P41" s="201" t="s">
        <v>1308</v>
      </c>
      <c r="Q41" s="201" t="s">
        <v>1309</v>
      </c>
    </row>
    <row r="42" spans="1:17" ht="51">
      <c r="A42" s="25" t="s">
        <v>11</v>
      </c>
      <c r="B42" s="29"/>
      <c r="C42" s="18" t="s">
        <v>13</v>
      </c>
      <c r="D42" s="18" t="s">
        <v>14</v>
      </c>
      <c r="E42" s="18" t="s">
        <v>15</v>
      </c>
      <c r="F42" s="18" t="s">
        <v>16</v>
      </c>
      <c r="G42" s="18" t="s">
        <v>18</v>
      </c>
      <c r="H42" s="18" t="s">
        <v>647</v>
      </c>
      <c r="I42" s="18" t="s">
        <v>17</v>
      </c>
      <c r="J42" s="18" t="s">
        <v>788</v>
      </c>
      <c r="K42" s="22" t="s">
        <v>789</v>
      </c>
      <c r="L42" s="18" t="s">
        <v>790</v>
      </c>
      <c r="M42" s="22" t="s">
        <v>791</v>
      </c>
      <c r="O42" s="202" t="s">
        <v>789</v>
      </c>
      <c r="P42" s="203" t="s">
        <v>790</v>
      </c>
      <c r="Q42" s="202" t="s">
        <v>791</v>
      </c>
    </row>
    <row r="43" spans="1:17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O43" s="204"/>
      <c r="P43" s="204"/>
      <c r="Q43" s="204"/>
    </row>
    <row r="44" spans="1:17">
      <c r="A44" s="8" t="str">
        <f t="shared" ref="A44:C58" si="12">A7</f>
        <v>ALLETE, Inc.</v>
      </c>
      <c r="B44" s="67" t="str">
        <f t="shared" si="12"/>
        <v>ALE</v>
      </c>
      <c r="C44" s="68">
        <f t="shared" si="12"/>
        <v>2.52</v>
      </c>
      <c r="D44" s="68">
        <v>68.089444444444453</v>
      </c>
      <c r="E44" s="40">
        <f>C44/D44</f>
        <v>3.7010141888528976E-2</v>
      </c>
      <c r="F44" s="45">
        <f>IFERROR(E44*(1+0.5*J44),"")</f>
        <v>3.8038406997331936E-2</v>
      </c>
      <c r="G44" s="40">
        <f t="shared" ref="G44:I58" si="13">G7</f>
        <v>0.05</v>
      </c>
      <c r="H44" s="40">
        <f t="shared" si="13"/>
        <v>5.67E-2</v>
      </c>
      <c r="I44" s="40">
        <f t="shared" si="13"/>
        <v>0.06</v>
      </c>
      <c r="J44" s="40">
        <f>AVERAGE(G44:I44)</f>
        <v>5.5566666666666674E-2</v>
      </c>
      <c r="K44" s="42">
        <f t="shared" ref="K44:K58" si="14">$E44*(1+0.5*MIN($G44:$I44))+MIN($G44:$I44)</f>
        <v>8.7935395435742192E-2</v>
      </c>
      <c r="L44" s="40">
        <f>F44+J44</f>
        <v>9.3605073663998617E-2</v>
      </c>
      <c r="M44" s="40">
        <f t="shared" ref="M44:M58" si="15">$E44*(1+0.5*MAX($G44:$I44))+MAX($G44:$I44)</f>
        <v>9.8120446145184836E-2</v>
      </c>
      <c r="O44" s="42">
        <f>IF(K44&lt;7%,"",K44)</f>
        <v>8.7935395435742192E-2</v>
      </c>
      <c r="P44" s="42">
        <f t="shared" ref="P44:Q44" si="16">IF(L44&lt;7%,"",L44)</f>
        <v>9.3605073663998617E-2</v>
      </c>
      <c r="Q44" s="42">
        <f t="shared" si="16"/>
        <v>9.8120446145184836E-2</v>
      </c>
    </row>
    <row r="45" spans="1:17">
      <c r="A45" s="8" t="str">
        <f t="shared" si="12"/>
        <v>Alliant Energy Corporation</v>
      </c>
      <c r="B45" s="67" t="str">
        <f t="shared" si="12"/>
        <v>LNT</v>
      </c>
      <c r="C45" s="68">
        <f t="shared" si="12"/>
        <v>1.61</v>
      </c>
      <c r="D45" s="68">
        <v>58.623777777777782</v>
      </c>
      <c r="E45" s="40">
        <f t="shared" ref="E45:E58" si="17">C45/D45</f>
        <v>2.7463259125042171E-2</v>
      </c>
      <c r="F45" s="45">
        <f t="shared" ref="F45:F58" si="18">IFERROR(E45*(1+0.5*J45),"")</f>
        <v>2.8250539219960045E-2</v>
      </c>
      <c r="G45" s="40">
        <f t="shared" si="13"/>
        <v>5.5E-2</v>
      </c>
      <c r="H45" s="40">
        <f t="shared" si="13"/>
        <v>5.8000000000000003E-2</v>
      </c>
      <c r="I45" s="40">
        <f t="shared" si="13"/>
        <v>5.8999999999999997E-2</v>
      </c>
      <c r="J45" s="40">
        <f t="shared" ref="J45:J58" si="19">AVERAGE(G45:I45)</f>
        <v>5.7333333333333326E-2</v>
      </c>
      <c r="K45" s="42">
        <f t="shared" si="14"/>
        <v>8.3218498750980835E-2</v>
      </c>
      <c r="L45" s="40">
        <f t="shared" ref="L45:L58" si="20">F45+J45</f>
        <v>8.5583872553293375E-2</v>
      </c>
      <c r="M45" s="40">
        <f t="shared" si="15"/>
        <v>8.7273425269230917E-2</v>
      </c>
      <c r="O45" s="42">
        <f t="shared" ref="O45:O58" si="21">IF(K45&lt;7%,"",K45)</f>
        <v>8.3218498750980835E-2</v>
      </c>
      <c r="P45" s="42">
        <f t="shared" ref="P45:P58" si="22">IF(L45&lt;7%,"",L45)</f>
        <v>8.5583872553293375E-2</v>
      </c>
      <c r="Q45" s="42">
        <f t="shared" ref="Q45:Q58" si="23">IF(M45&lt;7%,"",M45)</f>
        <v>8.7273425269230917E-2</v>
      </c>
    </row>
    <row r="46" spans="1:17">
      <c r="A46" s="8" t="str">
        <f t="shared" si="12"/>
        <v>Ameren Corporation</v>
      </c>
      <c r="B46" s="67" t="str">
        <f t="shared" si="12"/>
        <v>AEE</v>
      </c>
      <c r="C46" s="68">
        <f t="shared" si="12"/>
        <v>2.2000000000000002</v>
      </c>
      <c r="D46" s="68">
        <v>84.879333333333349</v>
      </c>
      <c r="E46" s="40">
        <f t="shared" si="17"/>
        <v>2.591914796691774E-2</v>
      </c>
      <c r="F46" s="45">
        <f t="shared" si="18"/>
        <v>2.6847917435732293E-2</v>
      </c>
      <c r="G46" s="40">
        <f t="shared" si="13"/>
        <v>6.5000000000000002E-2</v>
      </c>
      <c r="H46" s="40">
        <f t="shared" si="13"/>
        <v>7.6999999999999999E-2</v>
      </c>
      <c r="I46" s="40">
        <f t="shared" si="13"/>
        <v>7.2999999999999995E-2</v>
      </c>
      <c r="J46" s="40">
        <f t="shared" si="19"/>
        <v>7.166666666666667E-2</v>
      </c>
      <c r="K46" s="42">
        <f t="shared" si="14"/>
        <v>9.176152027584257E-2</v>
      </c>
      <c r="L46" s="40">
        <f t="shared" si="20"/>
        <v>9.8514584102398967E-2</v>
      </c>
      <c r="M46" s="40">
        <f t="shared" si="15"/>
        <v>0.10391703516364408</v>
      </c>
      <c r="O46" s="42">
        <f t="shared" si="21"/>
        <v>9.176152027584257E-2</v>
      </c>
      <c r="P46" s="42">
        <f t="shared" si="22"/>
        <v>9.8514584102398967E-2</v>
      </c>
      <c r="Q46" s="42">
        <f t="shared" si="23"/>
        <v>0.10391703516364408</v>
      </c>
    </row>
    <row r="47" spans="1:17">
      <c r="A47" s="8" t="str">
        <f t="shared" si="12"/>
        <v>American Electric Power Company, Inc.</v>
      </c>
      <c r="B47" s="67" t="str">
        <f t="shared" si="12"/>
        <v>AEP</v>
      </c>
      <c r="C47" s="68">
        <f t="shared" si="12"/>
        <v>2.96</v>
      </c>
      <c r="D47" s="68">
        <v>86.519666666666694</v>
      </c>
      <c r="E47" s="40">
        <f t="shared" si="17"/>
        <v>3.4211874756799023E-2</v>
      </c>
      <c r="F47" s="45">
        <f t="shared" si="18"/>
        <v>3.5251345551493105E-2</v>
      </c>
      <c r="G47" s="40">
        <f t="shared" si="13"/>
        <v>6.5000000000000002E-2</v>
      </c>
      <c r="H47" s="40">
        <f t="shared" si="13"/>
        <v>6.0299999999999999E-2</v>
      </c>
      <c r="I47" s="40">
        <f t="shared" si="13"/>
        <v>5.7000000000000002E-2</v>
      </c>
      <c r="J47" s="40">
        <f t="shared" si="19"/>
        <v>6.0766666666666663E-2</v>
      </c>
      <c r="K47" s="42">
        <f t="shared" si="14"/>
        <v>9.2186913187367797E-2</v>
      </c>
      <c r="L47" s="40">
        <f t="shared" si="20"/>
        <v>9.6018012218159768E-2</v>
      </c>
      <c r="M47" s="40">
        <f t="shared" si="15"/>
        <v>0.10032376068639499</v>
      </c>
      <c r="O47" s="42">
        <f t="shared" si="21"/>
        <v>9.2186913187367797E-2</v>
      </c>
      <c r="P47" s="42">
        <f t="shared" si="22"/>
        <v>9.6018012218159768E-2</v>
      </c>
      <c r="Q47" s="42">
        <f t="shared" si="23"/>
        <v>0.10032376068639499</v>
      </c>
    </row>
    <row r="48" spans="1:17">
      <c r="A48" s="8" t="str">
        <f t="shared" si="12"/>
        <v>Avista Corporation</v>
      </c>
      <c r="B48" s="67" t="str">
        <f t="shared" si="12"/>
        <v>AVA</v>
      </c>
      <c r="C48" s="68">
        <f t="shared" si="12"/>
        <v>1.69</v>
      </c>
      <c r="D48" s="68">
        <v>42.64</v>
      </c>
      <c r="E48" s="40">
        <f t="shared" si="17"/>
        <v>3.9634146341463415E-2</v>
      </c>
      <c r="F48" s="45">
        <f t="shared" si="18"/>
        <v>4.0578760162601625E-2</v>
      </c>
      <c r="G48" s="40">
        <f t="shared" si="13"/>
        <v>0.03</v>
      </c>
      <c r="H48" s="40">
        <f t="shared" si="13"/>
        <v>6.2E-2</v>
      </c>
      <c r="I48" s="40">
        <f t="shared" si="13"/>
        <v>5.0999999999999997E-2</v>
      </c>
      <c r="J48" s="40">
        <f t="shared" si="19"/>
        <v>4.7666666666666663E-2</v>
      </c>
      <c r="K48" s="42">
        <f t="shared" si="14"/>
        <v>7.0228658536585359E-2</v>
      </c>
      <c r="L48" s="40">
        <f t="shared" si="20"/>
        <v>8.8245426829268281E-2</v>
      </c>
      <c r="M48" s="40">
        <f t="shared" si="15"/>
        <v>0.10286280487804877</v>
      </c>
      <c r="O48" s="42">
        <f t="shared" si="21"/>
        <v>7.0228658536585359E-2</v>
      </c>
      <c r="P48" s="42">
        <f t="shared" si="22"/>
        <v>8.8245426829268281E-2</v>
      </c>
      <c r="Q48" s="42">
        <f t="shared" si="23"/>
        <v>0.10286280487804877</v>
      </c>
    </row>
    <row r="49" spans="1:17">
      <c r="A49" s="8" t="str">
        <f t="shared" si="12"/>
        <v>Duke Energy Corporation</v>
      </c>
      <c r="B49" s="67" t="str">
        <f t="shared" si="12"/>
        <v>DUK</v>
      </c>
      <c r="C49" s="68">
        <f t="shared" si="12"/>
        <v>3.94</v>
      </c>
      <c r="D49" s="68">
        <v>102.73133333333331</v>
      </c>
      <c r="E49" s="40">
        <f t="shared" si="17"/>
        <v>3.8352466303691837E-2</v>
      </c>
      <c r="F49" s="45">
        <f t="shared" si="18"/>
        <v>3.9487060098509386E-2</v>
      </c>
      <c r="G49" s="40">
        <f t="shared" si="13"/>
        <v>7.0000000000000007E-2</v>
      </c>
      <c r="H49" s="40">
        <f t="shared" si="13"/>
        <v>5.45E-2</v>
      </c>
      <c r="I49" s="40">
        <f t="shared" si="13"/>
        <v>5.2999999999999999E-2</v>
      </c>
      <c r="J49" s="40">
        <f t="shared" si="19"/>
        <v>5.9166666666666666E-2</v>
      </c>
      <c r="K49" s="42">
        <f t="shared" si="14"/>
        <v>9.2368806660739669E-2</v>
      </c>
      <c r="L49" s="40">
        <f t="shared" si="20"/>
        <v>9.8653726765176059E-2</v>
      </c>
      <c r="M49" s="40">
        <f t="shared" si="15"/>
        <v>0.10969480262432105</v>
      </c>
      <c r="O49" s="42">
        <f t="shared" si="21"/>
        <v>9.2368806660739669E-2</v>
      </c>
      <c r="P49" s="42">
        <f t="shared" si="22"/>
        <v>9.8653726765176059E-2</v>
      </c>
      <c r="Q49" s="42">
        <f t="shared" si="23"/>
        <v>0.10969480262432105</v>
      </c>
    </row>
    <row r="50" spans="1:17">
      <c r="A50" s="8" t="str">
        <f t="shared" si="12"/>
        <v>Entergy Corporation</v>
      </c>
      <c r="B50" s="67" t="str">
        <f t="shared" si="12"/>
        <v>ETR</v>
      </c>
      <c r="C50" s="68">
        <f t="shared" si="12"/>
        <v>3.8</v>
      </c>
      <c r="D50" s="68">
        <v>106.46233333333333</v>
      </c>
      <c r="E50" s="40">
        <f t="shared" si="17"/>
        <v>3.5693375121717538E-2</v>
      </c>
      <c r="F50" s="45">
        <f t="shared" si="18"/>
        <v>3.6163337894153491E-2</v>
      </c>
      <c r="G50" s="40">
        <f t="shared" si="13"/>
        <v>0.03</v>
      </c>
      <c r="H50" s="40">
        <f t="shared" si="13"/>
        <v>3.5000000000000003E-2</v>
      </c>
      <c r="I50" s="40">
        <f t="shared" si="13"/>
        <v>1.4E-2</v>
      </c>
      <c r="J50" s="40">
        <f t="shared" si="19"/>
        <v>2.6333333333333334E-2</v>
      </c>
      <c r="K50" s="42">
        <f t="shared" si="14"/>
        <v>4.9943228747569554E-2</v>
      </c>
      <c r="L50" s="40">
        <f t="shared" si="20"/>
        <v>6.2496671227486825E-2</v>
      </c>
      <c r="M50" s="40">
        <f t="shared" si="15"/>
        <v>7.1318009186347592E-2</v>
      </c>
      <c r="O50" s="42" t="str">
        <f t="shared" si="21"/>
        <v/>
      </c>
      <c r="P50" s="42" t="str">
        <f t="shared" si="22"/>
        <v/>
      </c>
      <c r="Q50" s="42">
        <f t="shared" si="23"/>
        <v>7.1318009186347592E-2</v>
      </c>
    </row>
    <row r="51" spans="1:17">
      <c r="A51" s="8" t="str">
        <f t="shared" si="12"/>
        <v>IDACORP, Inc.</v>
      </c>
      <c r="B51" s="67" t="str">
        <f t="shared" si="12"/>
        <v>IDA</v>
      </c>
      <c r="C51" s="68">
        <f t="shared" si="12"/>
        <v>2.84</v>
      </c>
      <c r="D51" s="68">
        <v>102.9534444444445</v>
      </c>
      <c r="E51" s="40">
        <f t="shared" si="17"/>
        <v>2.7585283963301628E-2</v>
      </c>
      <c r="F51" s="45">
        <f t="shared" si="18"/>
        <v>2.8095611716622709E-2</v>
      </c>
      <c r="G51" s="40">
        <f t="shared" si="13"/>
        <v>0.04</v>
      </c>
      <c r="H51" s="40">
        <f t="shared" si="13"/>
        <v>3.2000000000000001E-2</v>
      </c>
      <c r="I51" s="40">
        <f t="shared" si="13"/>
        <v>3.9E-2</v>
      </c>
      <c r="J51" s="40">
        <f t="shared" si="19"/>
        <v>3.7000000000000005E-2</v>
      </c>
      <c r="K51" s="42">
        <f t="shared" si="14"/>
        <v>6.002664850671445E-2</v>
      </c>
      <c r="L51" s="40">
        <f t="shared" si="20"/>
        <v>6.5095611716622717E-2</v>
      </c>
      <c r="M51" s="40">
        <f t="shared" si="15"/>
        <v>6.8136989642567661E-2</v>
      </c>
      <c r="O51" s="42" t="str">
        <f t="shared" si="21"/>
        <v/>
      </c>
      <c r="P51" s="42" t="str">
        <f t="shared" si="22"/>
        <v/>
      </c>
      <c r="Q51" s="42" t="str">
        <f t="shared" si="23"/>
        <v/>
      </c>
    </row>
    <row r="52" spans="1:17">
      <c r="A52" s="8" t="str">
        <f t="shared" si="12"/>
        <v>MGE Energy, Inc.</v>
      </c>
      <c r="B52" s="67" t="str">
        <f t="shared" si="12"/>
        <v>MGEE</v>
      </c>
      <c r="C52" s="68">
        <f t="shared" si="12"/>
        <v>1.55</v>
      </c>
      <c r="D52" s="68">
        <v>77.433888888888859</v>
      </c>
      <c r="E52" s="40">
        <f t="shared" si="17"/>
        <v>2.0017075498095158E-2</v>
      </c>
      <c r="F52" s="45">
        <f t="shared" si="18"/>
        <v>2.0574217432792141E-2</v>
      </c>
      <c r="G52" s="40">
        <f t="shared" si="13"/>
        <v>5.5E-2</v>
      </c>
      <c r="H52" s="40">
        <f t="shared" si="13"/>
        <v>5.6000000000000001E-2</v>
      </c>
      <c r="I52" s="40">
        <f t="shared" si="13"/>
        <v>5.6000000000000001E-2</v>
      </c>
      <c r="J52" s="40">
        <f t="shared" si="19"/>
        <v>5.566666666666667E-2</v>
      </c>
      <c r="K52" s="42">
        <f t="shared" si="14"/>
        <v>7.556754507429278E-2</v>
      </c>
      <c r="L52" s="40">
        <f t="shared" si="20"/>
        <v>7.6240884099458811E-2</v>
      </c>
      <c r="M52" s="40">
        <f t="shared" si="15"/>
        <v>7.6577553612041827E-2</v>
      </c>
      <c r="O52" s="42">
        <f t="shared" si="21"/>
        <v>7.556754507429278E-2</v>
      </c>
      <c r="P52" s="42">
        <f t="shared" si="22"/>
        <v>7.6240884099458811E-2</v>
      </c>
      <c r="Q52" s="42">
        <f t="shared" si="23"/>
        <v>7.6577553612041827E-2</v>
      </c>
    </row>
    <row r="53" spans="1:17">
      <c r="A53" s="8" t="str">
        <f t="shared" si="12"/>
        <v>NextEra Energy, Inc.</v>
      </c>
      <c r="B53" s="67" t="str">
        <f t="shared" si="12"/>
        <v>NEE</v>
      </c>
      <c r="C53" s="68">
        <f t="shared" si="12"/>
        <v>1.54</v>
      </c>
      <c r="D53" s="68">
        <v>78.524222222222221</v>
      </c>
      <c r="E53" s="40">
        <f t="shared" si="17"/>
        <v>1.9611782917655984E-2</v>
      </c>
      <c r="F53" s="45">
        <f t="shared" si="18"/>
        <v>2.0482872942248539E-2</v>
      </c>
      <c r="G53" s="40">
        <f t="shared" si="13"/>
        <v>0.105</v>
      </c>
      <c r="H53" s="40">
        <f t="shared" si="13"/>
        <v>7.85E-2</v>
      </c>
      <c r="I53" s="40">
        <f t="shared" si="13"/>
        <v>8.3000000000000004E-2</v>
      </c>
      <c r="J53" s="40">
        <f t="shared" si="19"/>
        <v>8.8833333333333334E-2</v>
      </c>
      <c r="K53" s="42">
        <f t="shared" si="14"/>
        <v>9.8881545397173976E-2</v>
      </c>
      <c r="L53" s="40">
        <f t="shared" si="20"/>
        <v>0.10931620627558188</v>
      </c>
      <c r="M53" s="40">
        <f t="shared" si="15"/>
        <v>0.12564140152083292</v>
      </c>
      <c r="O53" s="42">
        <f t="shared" si="21"/>
        <v>9.8881545397173976E-2</v>
      </c>
      <c r="P53" s="42">
        <f t="shared" si="22"/>
        <v>0.10931620627558188</v>
      </c>
      <c r="Q53" s="42">
        <f t="shared" si="23"/>
        <v>0.12564140152083292</v>
      </c>
    </row>
    <row r="54" spans="1:17">
      <c r="A54" s="8" t="str">
        <f t="shared" si="12"/>
        <v>NorthWestern Corporation</v>
      </c>
      <c r="B54" s="67" t="str">
        <f t="shared" si="12"/>
        <v>NWE</v>
      </c>
      <c r="C54" s="68">
        <f t="shared" si="12"/>
        <v>2.48</v>
      </c>
      <c r="D54" s="68">
        <v>62.330777777777783</v>
      </c>
      <c r="E54" s="40">
        <f t="shared" si="17"/>
        <v>3.9787727482588409E-2</v>
      </c>
      <c r="F54" s="45">
        <f t="shared" si="18"/>
        <v>4.0603375895981467E-2</v>
      </c>
      <c r="G54" s="40">
        <f t="shared" si="13"/>
        <v>0.03</v>
      </c>
      <c r="H54" s="40">
        <f t="shared" si="13"/>
        <v>4.4999999999999998E-2</v>
      </c>
      <c r="I54" s="40">
        <f t="shared" si="13"/>
        <v>4.8000000000000001E-2</v>
      </c>
      <c r="J54" s="40">
        <f t="shared" si="19"/>
        <v>4.1000000000000002E-2</v>
      </c>
      <c r="K54" s="42">
        <f t="shared" si="14"/>
        <v>7.038454339482722E-2</v>
      </c>
      <c r="L54" s="40">
        <f t="shared" si="20"/>
        <v>8.1603375895981461E-2</v>
      </c>
      <c r="M54" s="40">
        <f t="shared" si="15"/>
        <v>8.8742632942170524E-2</v>
      </c>
      <c r="O54" s="42">
        <f t="shared" si="21"/>
        <v>7.038454339482722E-2</v>
      </c>
      <c r="P54" s="42">
        <f t="shared" si="22"/>
        <v>8.1603375895981461E-2</v>
      </c>
      <c r="Q54" s="42">
        <f t="shared" si="23"/>
        <v>8.8742632942170524E-2</v>
      </c>
    </row>
    <row r="55" spans="1:17">
      <c r="A55" s="8" t="str">
        <f t="shared" si="12"/>
        <v>Otter Tail Corporation</v>
      </c>
      <c r="B55" s="67" t="str">
        <f t="shared" si="12"/>
        <v>OTTR</v>
      </c>
      <c r="C55" s="68">
        <f t="shared" si="12"/>
        <v>1.56</v>
      </c>
      <c r="D55" s="68">
        <v>51.744222222222248</v>
      </c>
      <c r="E55" s="40">
        <f t="shared" si="17"/>
        <v>3.0148293529282912E-2</v>
      </c>
      <c r="F55" s="45">
        <f t="shared" si="18"/>
        <v>3.1188409656043171E-2</v>
      </c>
      <c r="G55" s="40">
        <f t="shared" si="13"/>
        <v>7.0000000000000007E-2</v>
      </c>
      <c r="H55" s="40">
        <f t="shared" si="13"/>
        <v>0.09</v>
      </c>
      <c r="I55" s="40">
        <f t="shared" si="13"/>
        <v>4.7E-2</v>
      </c>
      <c r="J55" s="40">
        <f t="shared" si="19"/>
        <v>6.9000000000000006E-2</v>
      </c>
      <c r="K55" s="42">
        <f t="shared" si="14"/>
        <v>7.7856778427221066E-2</v>
      </c>
      <c r="L55" s="40">
        <f t="shared" si="20"/>
        <v>0.10018840965604317</v>
      </c>
      <c r="M55" s="40">
        <f t="shared" si="15"/>
        <v>0.12150496673810063</v>
      </c>
      <c r="O55" s="42">
        <f t="shared" si="21"/>
        <v>7.7856778427221066E-2</v>
      </c>
      <c r="P55" s="42">
        <f t="shared" si="22"/>
        <v>0.10018840965604317</v>
      </c>
      <c r="Q55" s="42">
        <f t="shared" si="23"/>
        <v>0.12150496673810063</v>
      </c>
    </row>
    <row r="56" spans="1:17">
      <c r="A56" s="8" t="str">
        <f t="shared" si="12"/>
        <v>Portland General Electric Company</v>
      </c>
      <c r="B56" s="67" t="str">
        <f t="shared" si="12"/>
        <v>POR</v>
      </c>
      <c r="C56" s="68">
        <f t="shared" si="12"/>
        <v>1.72</v>
      </c>
      <c r="D56" s="68">
        <v>48.961777777777783</v>
      </c>
      <c r="E56" s="40">
        <f t="shared" si="17"/>
        <v>3.5129443375331318E-2</v>
      </c>
      <c r="F56" s="45">
        <f t="shared" si="18"/>
        <v>3.6546330924803014E-2</v>
      </c>
      <c r="G56" s="40">
        <f t="shared" si="13"/>
        <v>8.5000000000000006E-2</v>
      </c>
      <c r="H56" s="40">
        <f t="shared" si="13"/>
        <v>7.0999999999999994E-2</v>
      </c>
      <c r="I56" s="40">
        <f t="shared" si="13"/>
        <v>8.5999999999999993E-2</v>
      </c>
      <c r="J56" s="40">
        <f t="shared" si="19"/>
        <v>8.0666666666666664E-2</v>
      </c>
      <c r="K56" s="42">
        <f t="shared" si="14"/>
        <v>0.10737653861515559</v>
      </c>
      <c r="L56" s="40">
        <f t="shared" si="20"/>
        <v>0.11721299759146968</v>
      </c>
      <c r="M56" s="40">
        <f t="shared" si="15"/>
        <v>0.12264000944047056</v>
      </c>
      <c r="O56" s="42">
        <f t="shared" si="21"/>
        <v>0.10737653861515559</v>
      </c>
      <c r="P56" s="42">
        <f t="shared" si="22"/>
        <v>0.11721299759146968</v>
      </c>
      <c r="Q56" s="42">
        <f t="shared" si="23"/>
        <v>0.12264000944047056</v>
      </c>
    </row>
    <row r="57" spans="1:17">
      <c r="A57" s="8" t="str">
        <f t="shared" si="12"/>
        <v>Southern Company</v>
      </c>
      <c r="B57" s="67" t="str">
        <f t="shared" si="12"/>
        <v>SO</v>
      </c>
      <c r="C57" s="68">
        <f t="shared" si="12"/>
        <v>2.64</v>
      </c>
      <c r="D57" s="68">
        <v>63.982111111111116</v>
      </c>
      <c r="E57" s="40">
        <f t="shared" si="17"/>
        <v>4.1261533171598308E-2</v>
      </c>
      <c r="F57" s="45">
        <f t="shared" si="18"/>
        <v>4.2458117633574655E-2</v>
      </c>
      <c r="G57" s="40">
        <f t="shared" si="13"/>
        <v>0.06</v>
      </c>
      <c r="H57" s="40">
        <f t="shared" si="13"/>
        <v>6.5000000000000002E-2</v>
      </c>
      <c r="I57" s="40">
        <f t="shared" si="13"/>
        <v>4.9000000000000002E-2</v>
      </c>
      <c r="J57" s="40">
        <f t="shared" si="19"/>
        <v>5.7999999999999996E-2</v>
      </c>
      <c r="K57" s="42">
        <f t="shared" si="14"/>
        <v>9.1272440734302462E-2</v>
      </c>
      <c r="L57" s="40">
        <f t="shared" si="20"/>
        <v>0.10045811763357465</v>
      </c>
      <c r="M57" s="40">
        <f t="shared" si="15"/>
        <v>0.10760253299967526</v>
      </c>
      <c r="O57" s="42">
        <f t="shared" si="21"/>
        <v>9.1272440734302462E-2</v>
      </c>
      <c r="P57" s="42">
        <f t="shared" si="22"/>
        <v>0.10045811763357465</v>
      </c>
      <c r="Q57" s="42">
        <f t="shared" si="23"/>
        <v>0.10760253299967526</v>
      </c>
    </row>
    <row r="58" spans="1:17" ht="13.15" customHeight="1">
      <c r="A58" s="8" t="str">
        <f t="shared" si="12"/>
        <v>Xcel Energy Inc.</v>
      </c>
      <c r="B58" s="67" t="str">
        <f t="shared" si="12"/>
        <v>XEL</v>
      </c>
      <c r="C58" s="68">
        <f t="shared" si="12"/>
        <v>1.83</v>
      </c>
      <c r="D58" s="68">
        <v>67.872555555555536</v>
      </c>
      <c r="E58" s="211">
        <f t="shared" si="17"/>
        <v>2.6962296984708277E-2</v>
      </c>
      <c r="F58" s="45">
        <f t="shared" si="18"/>
        <v>2.7789140758905997E-2</v>
      </c>
      <c r="G58" s="40">
        <f t="shared" si="13"/>
        <v>0.06</v>
      </c>
      <c r="H58" s="40">
        <f t="shared" si="13"/>
        <v>6.3E-2</v>
      </c>
      <c r="I58" s="40">
        <f t="shared" si="13"/>
        <v>6.0999999999999999E-2</v>
      </c>
      <c r="J58" s="40">
        <f t="shared" si="19"/>
        <v>6.133333333333333E-2</v>
      </c>
      <c r="K58" s="42">
        <f t="shared" si="14"/>
        <v>8.777116589424952E-2</v>
      </c>
      <c r="L58" s="40">
        <f t="shared" si="20"/>
        <v>8.9122474092239334E-2</v>
      </c>
      <c r="M58" s="40">
        <f t="shared" si="15"/>
        <v>9.0811609339726596E-2</v>
      </c>
      <c r="O58" s="210">
        <f t="shared" si="21"/>
        <v>8.777116589424952E-2</v>
      </c>
      <c r="P58" s="210">
        <f t="shared" si="22"/>
        <v>8.9122474092239334E-2</v>
      </c>
      <c r="Q58" s="210">
        <f t="shared" si="23"/>
        <v>9.0811609339726596E-2</v>
      </c>
    </row>
    <row r="59" spans="1:17">
      <c r="A59" s="41" t="s">
        <v>718</v>
      </c>
      <c r="B59" s="33"/>
      <c r="C59" s="33"/>
      <c r="D59" s="33"/>
      <c r="E59" s="205">
        <f t="shared" ref="E59:M59" si="24">AVERAGE(E44:E58)</f>
        <v>3.1919189895114844E-2</v>
      </c>
      <c r="F59" s="205">
        <f t="shared" si="24"/>
        <v>3.2823696288050236E-2</v>
      </c>
      <c r="G59" s="205">
        <f t="shared" si="24"/>
        <v>5.800000000000001E-2</v>
      </c>
      <c r="H59" s="205">
        <f t="shared" si="24"/>
        <v>6.0266666666666663E-2</v>
      </c>
      <c r="I59" s="205">
        <f t="shared" si="24"/>
        <v>5.5733333333333336E-2</v>
      </c>
      <c r="J59" s="205">
        <f t="shared" si="24"/>
        <v>5.8000000000000003E-2</v>
      </c>
      <c r="K59" s="205">
        <f t="shared" si="24"/>
        <v>8.2452015175917659E-2</v>
      </c>
      <c r="L59" s="205">
        <f t="shared" si="24"/>
        <v>9.0823696288050246E-2</v>
      </c>
      <c r="M59" s="205">
        <f t="shared" si="24"/>
        <v>9.8344532012583877E-2</v>
      </c>
      <c r="N59" s="205"/>
      <c r="O59" s="205">
        <f>AVERAGE(O44:O58)</f>
        <v>8.6677719260344704E-2</v>
      </c>
      <c r="P59" s="205">
        <f>AVERAGE(P44:P58)</f>
        <v>9.4981781644357235E-2</v>
      </c>
      <c r="Q59" s="205">
        <f>AVERAGE(Q44:Q58)</f>
        <v>0.10050221361044219</v>
      </c>
    </row>
    <row r="60" spans="1:17">
      <c r="A60" s="206" t="s">
        <v>853</v>
      </c>
      <c r="B60" s="207"/>
      <c r="C60" s="207"/>
      <c r="D60" s="207"/>
      <c r="E60" s="208">
        <f t="shared" ref="E60:M60" si="25">MEDIAN(E44:E58)</f>
        <v>3.4211874756799023E-2</v>
      </c>
      <c r="F60" s="208">
        <f t="shared" si="25"/>
        <v>3.5251345551493105E-2</v>
      </c>
      <c r="G60" s="208">
        <f t="shared" si="25"/>
        <v>0.06</v>
      </c>
      <c r="H60" s="208">
        <f t="shared" si="25"/>
        <v>6.0299999999999999E-2</v>
      </c>
      <c r="I60" s="208">
        <f t="shared" si="25"/>
        <v>5.6000000000000001E-2</v>
      </c>
      <c r="J60" s="208">
        <f t="shared" si="25"/>
        <v>5.7999999999999996E-2</v>
      </c>
      <c r="K60" s="208">
        <f t="shared" si="25"/>
        <v>8.777116589424952E-2</v>
      </c>
      <c r="L60" s="208">
        <f t="shared" si="25"/>
        <v>9.3605073663998617E-2</v>
      </c>
      <c r="M60" s="208">
        <f t="shared" si="25"/>
        <v>0.10032376068639499</v>
      </c>
      <c r="N60" s="208"/>
      <c r="O60" s="208">
        <f>MEDIAN(O44:O58)</f>
        <v>8.7935395435742192E-2</v>
      </c>
      <c r="P60" s="208">
        <f>MEDIAN(P44:P58)</f>
        <v>9.6018012218159768E-2</v>
      </c>
      <c r="Q60" s="208">
        <f>MEDIAN(Q44:Q58)</f>
        <v>0.10159328278222188</v>
      </c>
    </row>
    <row r="61" spans="1:17">
      <c r="A61" s="41"/>
      <c r="B61" s="33"/>
      <c r="C61" s="8"/>
      <c r="D61" s="8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>
      <c r="A62" s="21" t="s">
        <v>22</v>
      </c>
      <c r="B62" s="2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O62" s="36"/>
    </row>
    <row r="63" spans="1:17">
      <c r="A63" s="6" t="s">
        <v>23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O63" s="36"/>
    </row>
    <row r="64" spans="1:17">
      <c r="A64" s="6" t="str">
        <f>A27</f>
        <v>[2] Source: Bloomberg Professional, equals 30-day average as of September 30, 2021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O64" s="36"/>
    </row>
    <row r="65" spans="1:20">
      <c r="A65" s="6" t="s">
        <v>24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O65" s="36"/>
    </row>
    <row r="66" spans="1:20">
      <c r="A66" s="6" t="s">
        <v>648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O66" s="36"/>
    </row>
    <row r="67" spans="1:20">
      <c r="A67" s="6" t="s">
        <v>649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O67" s="36"/>
    </row>
    <row r="68" spans="1:20">
      <c r="A68" s="6" t="s">
        <v>650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O68" s="36"/>
    </row>
    <row r="69" spans="1:20">
      <c r="A69" s="54" t="s">
        <v>651</v>
      </c>
      <c r="B69" s="6"/>
      <c r="C69" s="6"/>
      <c r="D69" s="54"/>
      <c r="E69" s="6"/>
      <c r="F69" s="6"/>
      <c r="G69" s="6"/>
      <c r="H69" s="6"/>
      <c r="I69" s="6"/>
      <c r="J69" s="6"/>
      <c r="K69" s="6"/>
      <c r="L69" s="6"/>
      <c r="M69" s="6"/>
      <c r="O69" s="36"/>
    </row>
    <row r="70" spans="1:20">
      <c r="A70" s="9" t="s">
        <v>652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O70" s="36"/>
    </row>
    <row r="71" spans="1:20">
      <c r="A71" s="6" t="s">
        <v>653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36"/>
    </row>
    <row r="72" spans="1:20">
      <c r="A72" s="6" t="s">
        <v>25</v>
      </c>
      <c r="B72" s="6"/>
      <c r="C72" s="6"/>
      <c r="D72" s="6"/>
      <c r="E72" s="6"/>
      <c r="F72" s="6"/>
      <c r="G72" s="6"/>
      <c r="H72" s="8"/>
      <c r="I72" s="67"/>
      <c r="J72" s="68"/>
      <c r="K72" s="68"/>
      <c r="L72" s="40"/>
      <c r="M72" s="45"/>
      <c r="N72" s="42"/>
      <c r="O72" s="40"/>
      <c r="P72" s="40"/>
      <c r="Q72" s="40"/>
      <c r="R72" s="42"/>
      <c r="S72" s="42"/>
      <c r="T72" s="42"/>
    </row>
    <row r="73" spans="1:20">
      <c r="A73" s="6" t="s">
        <v>654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O73" s="36"/>
    </row>
    <row r="74" spans="1:20" s="10" customFormat="1">
      <c r="A74" s="54" t="s">
        <v>1319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O74" s="36"/>
      <c r="P74" s="4"/>
      <c r="Q74" s="4"/>
    </row>
    <row r="75" spans="1:20">
      <c r="O75" s="36"/>
    </row>
    <row r="76" spans="1:20">
      <c r="A76" s="493" t="s">
        <v>1354</v>
      </c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</row>
    <row r="77" spans="1:20">
      <c r="A77" s="6"/>
      <c r="B77" s="6"/>
      <c r="C77" s="6"/>
      <c r="D77" s="6"/>
      <c r="E77" s="6"/>
      <c r="F77" s="6"/>
      <c r="G77" s="6"/>
      <c r="H77" s="6"/>
      <c r="I77" s="6"/>
      <c r="J77" s="6"/>
      <c r="K77" s="189"/>
      <c r="L77" s="189"/>
      <c r="M77" s="189"/>
      <c r="N77" s="10"/>
      <c r="O77" s="492" t="s">
        <v>1307</v>
      </c>
      <c r="P77" s="492"/>
      <c r="Q77" s="492"/>
    </row>
    <row r="78" spans="1:20" ht="13.15" thickBot="1">
      <c r="A78" s="6"/>
      <c r="B78" s="6"/>
      <c r="C78" s="19">
        <v>1</v>
      </c>
      <c r="D78" s="19">
        <v>2</v>
      </c>
      <c r="E78" s="19">
        <v>3</v>
      </c>
      <c r="F78" s="19">
        <v>4</v>
      </c>
      <c r="G78" s="19">
        <v>5</v>
      </c>
      <c r="H78" s="19">
        <v>6</v>
      </c>
      <c r="I78" s="19">
        <v>7</v>
      </c>
      <c r="J78" s="19">
        <v>8</v>
      </c>
      <c r="K78" s="19">
        <v>9</v>
      </c>
      <c r="L78" s="19">
        <v>10</v>
      </c>
      <c r="M78" s="19">
        <v>11</v>
      </c>
      <c r="N78" s="10"/>
      <c r="O78" s="201" t="s">
        <v>787</v>
      </c>
      <c r="P78" s="201" t="s">
        <v>1308</v>
      </c>
      <c r="Q78" s="201" t="s">
        <v>1309</v>
      </c>
    </row>
    <row r="79" spans="1:20" ht="51">
      <c r="A79" s="25" t="s">
        <v>11</v>
      </c>
      <c r="B79" s="29"/>
      <c r="C79" s="18" t="s">
        <v>13</v>
      </c>
      <c r="D79" s="18" t="s">
        <v>14</v>
      </c>
      <c r="E79" s="18" t="s">
        <v>15</v>
      </c>
      <c r="F79" s="18" t="s">
        <v>16</v>
      </c>
      <c r="G79" s="18" t="s">
        <v>18</v>
      </c>
      <c r="H79" s="18" t="s">
        <v>647</v>
      </c>
      <c r="I79" s="18" t="s">
        <v>17</v>
      </c>
      <c r="J79" s="18" t="s">
        <v>788</v>
      </c>
      <c r="K79" s="22" t="s">
        <v>789</v>
      </c>
      <c r="L79" s="18" t="s">
        <v>790</v>
      </c>
      <c r="M79" s="22" t="s">
        <v>791</v>
      </c>
      <c r="N79" s="10"/>
      <c r="O79" s="202" t="s">
        <v>789</v>
      </c>
      <c r="P79" s="203" t="s">
        <v>790</v>
      </c>
      <c r="Q79" s="202" t="s">
        <v>791</v>
      </c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0"/>
      <c r="O80" s="204"/>
      <c r="P80" s="204"/>
      <c r="Q80" s="204"/>
    </row>
    <row r="81" spans="1:17">
      <c r="A81" s="8" t="str">
        <f t="shared" ref="A81:C95" si="26">A7</f>
        <v>ALLETE, Inc.</v>
      </c>
      <c r="B81" s="67" t="str">
        <f t="shared" si="26"/>
        <v>ALE</v>
      </c>
      <c r="C81" s="68">
        <f t="shared" si="26"/>
        <v>2.52</v>
      </c>
      <c r="D81" s="68">
        <v>67.779166666666669</v>
      </c>
      <c r="E81" s="40">
        <f>IFERROR(C81/D81,"")</f>
        <v>3.7179565992500156E-2</v>
      </c>
      <c r="F81" s="45">
        <f>IFERROR(E81*(1+0.5*J81),"")</f>
        <v>3.8212538267658448E-2</v>
      </c>
      <c r="G81" s="40">
        <f t="shared" ref="G81:I95" si="27">G7</f>
        <v>0.05</v>
      </c>
      <c r="H81" s="40">
        <f t="shared" si="27"/>
        <v>5.67E-2</v>
      </c>
      <c r="I81" s="40">
        <f t="shared" si="27"/>
        <v>0.06</v>
      </c>
      <c r="J81" s="40">
        <f t="shared" ref="J81" si="28">AVERAGE(G81:I81)</f>
        <v>5.5566666666666674E-2</v>
      </c>
      <c r="K81" s="42">
        <f t="shared" ref="K81:K95" si="29">$E81*(1+0.5*MIN($G81:$I81))+MIN($G81:$I81)</f>
        <v>8.8109055142312653E-2</v>
      </c>
      <c r="L81" s="40">
        <f t="shared" ref="L81" si="30">F81+J81</f>
        <v>9.3779204934325122E-2</v>
      </c>
      <c r="M81" s="40">
        <f t="shared" ref="M81:M95" si="31">$E81*(1+0.5*MAX($G81:$I81))+MAX($G81:$I81)</f>
        <v>9.8294952972275168E-2</v>
      </c>
      <c r="N81" s="10"/>
      <c r="O81" s="42">
        <f>IF(K81&lt;7%,"",K81)</f>
        <v>8.8109055142312653E-2</v>
      </c>
      <c r="P81" s="42">
        <f t="shared" ref="P81:Q81" si="32">IF(L81&lt;7%,"",L81)</f>
        <v>9.3779204934325122E-2</v>
      </c>
      <c r="Q81" s="42">
        <f t="shared" si="32"/>
        <v>9.8294952972275168E-2</v>
      </c>
    </row>
    <row r="82" spans="1:17">
      <c r="A82" s="8" t="str">
        <f t="shared" si="26"/>
        <v>Alliant Energy Corporation</v>
      </c>
      <c r="B82" s="67" t="str">
        <f t="shared" si="26"/>
        <v>LNT</v>
      </c>
      <c r="C82" s="68">
        <f t="shared" si="26"/>
        <v>1.61</v>
      </c>
      <c r="D82" s="68">
        <v>55.508944444444438</v>
      </c>
      <c r="E82" s="40">
        <f t="shared" ref="E82:E95" si="33">IFERROR(C82/D82,"")</f>
        <v>2.9004334636760248E-2</v>
      </c>
      <c r="F82" s="45">
        <f t="shared" ref="F82:F95" si="34">IFERROR(E82*(1+0.5*J82),"")</f>
        <v>2.9835792229680708E-2</v>
      </c>
      <c r="G82" s="40">
        <f t="shared" si="27"/>
        <v>5.5E-2</v>
      </c>
      <c r="H82" s="40">
        <f t="shared" si="27"/>
        <v>5.8000000000000003E-2</v>
      </c>
      <c r="I82" s="40">
        <f t="shared" si="27"/>
        <v>5.8999999999999997E-2</v>
      </c>
      <c r="J82" s="40">
        <f t="shared" ref="J82:J95" si="35">AVERAGE(G82:I82)</f>
        <v>5.7333333333333326E-2</v>
      </c>
      <c r="K82" s="42">
        <f t="shared" si="29"/>
        <v>8.4801953839271166E-2</v>
      </c>
      <c r="L82" s="40">
        <f t="shared" ref="L82:L95" si="36">F82+J82</f>
        <v>8.7169125563014038E-2</v>
      </c>
      <c r="M82" s="40">
        <f t="shared" si="31"/>
        <v>8.8859962508544679E-2</v>
      </c>
      <c r="N82" s="10"/>
      <c r="O82" s="42">
        <f t="shared" ref="O82:O95" si="37">IF(K82&lt;7%,"",K82)</f>
        <v>8.4801953839271166E-2</v>
      </c>
      <c r="P82" s="42">
        <f t="shared" ref="P82:P95" si="38">IF(L82&lt;7%,"",L82)</f>
        <v>8.7169125563014038E-2</v>
      </c>
      <c r="Q82" s="42">
        <f t="shared" ref="Q82:Q95" si="39">IF(M82&lt;7%,"",M82)</f>
        <v>8.8859962508544679E-2</v>
      </c>
    </row>
    <row r="83" spans="1:17">
      <c r="A83" s="8" t="str">
        <f t="shared" si="26"/>
        <v>Ameren Corporation</v>
      </c>
      <c r="B83" s="67" t="str">
        <f t="shared" si="26"/>
        <v>AEE</v>
      </c>
      <c r="C83" s="68">
        <f t="shared" si="26"/>
        <v>2.2000000000000002</v>
      </c>
      <c r="D83" s="68">
        <v>81.673888888888897</v>
      </c>
      <c r="E83" s="40">
        <f t="shared" si="33"/>
        <v>2.6936393380177264E-2</v>
      </c>
      <c r="F83" s="45">
        <f t="shared" si="34"/>
        <v>2.7901614142966952E-2</v>
      </c>
      <c r="G83" s="40">
        <f t="shared" si="27"/>
        <v>6.5000000000000002E-2</v>
      </c>
      <c r="H83" s="40">
        <f t="shared" si="27"/>
        <v>7.6999999999999999E-2</v>
      </c>
      <c r="I83" s="40">
        <f t="shared" si="27"/>
        <v>7.2999999999999995E-2</v>
      </c>
      <c r="J83" s="40">
        <f t="shared" si="35"/>
        <v>7.166666666666667E-2</v>
      </c>
      <c r="K83" s="42">
        <f t="shared" si="29"/>
        <v>9.2811826165033029E-2</v>
      </c>
      <c r="L83" s="40">
        <f t="shared" si="36"/>
        <v>9.9568280809633619E-2</v>
      </c>
      <c r="M83" s="40">
        <f t="shared" si="31"/>
        <v>0.10497344452531408</v>
      </c>
      <c r="N83" s="10"/>
      <c r="O83" s="42">
        <f t="shared" si="37"/>
        <v>9.2811826165033029E-2</v>
      </c>
      <c r="P83" s="42">
        <f t="shared" si="38"/>
        <v>9.9568280809633619E-2</v>
      </c>
      <c r="Q83" s="42">
        <f t="shared" si="39"/>
        <v>0.10497344452531408</v>
      </c>
    </row>
    <row r="84" spans="1:17">
      <c r="A84" s="8" t="str">
        <f t="shared" si="26"/>
        <v>American Electric Power Company, Inc.</v>
      </c>
      <c r="B84" s="67" t="str">
        <f t="shared" si="26"/>
        <v>AEP</v>
      </c>
      <c r="C84" s="68">
        <f t="shared" si="26"/>
        <v>2.96</v>
      </c>
      <c r="D84" s="68">
        <v>84.93980555555558</v>
      </c>
      <c r="E84" s="40">
        <f t="shared" si="33"/>
        <v>3.4848207864850683E-2</v>
      </c>
      <c r="F84" s="45">
        <f t="shared" si="34"/>
        <v>3.590701258047773E-2</v>
      </c>
      <c r="G84" s="40">
        <f t="shared" si="27"/>
        <v>6.5000000000000002E-2</v>
      </c>
      <c r="H84" s="40">
        <f t="shared" si="27"/>
        <v>6.0299999999999999E-2</v>
      </c>
      <c r="I84" s="40">
        <f t="shared" si="27"/>
        <v>5.7000000000000002E-2</v>
      </c>
      <c r="J84" s="40">
        <f t="shared" si="35"/>
        <v>6.0766666666666663E-2</v>
      </c>
      <c r="K84" s="42">
        <f t="shared" si="29"/>
        <v>9.2841381788998922E-2</v>
      </c>
      <c r="L84" s="40">
        <f t="shared" si="36"/>
        <v>9.6673679247144401E-2</v>
      </c>
      <c r="M84" s="40">
        <f t="shared" si="31"/>
        <v>0.10098077462045833</v>
      </c>
      <c r="N84" s="10"/>
      <c r="O84" s="42">
        <f t="shared" si="37"/>
        <v>9.2841381788998922E-2</v>
      </c>
      <c r="P84" s="42">
        <f t="shared" si="38"/>
        <v>9.6673679247144401E-2</v>
      </c>
      <c r="Q84" s="42">
        <f t="shared" si="39"/>
        <v>0.10098077462045833</v>
      </c>
    </row>
    <row r="85" spans="1:17">
      <c r="A85" s="8" t="str">
        <f t="shared" si="26"/>
        <v>Avista Corporation</v>
      </c>
      <c r="B85" s="67" t="str">
        <f t="shared" si="26"/>
        <v>AVA</v>
      </c>
      <c r="C85" s="68">
        <f t="shared" si="26"/>
        <v>1.69</v>
      </c>
      <c r="D85" s="68">
        <v>43.114944444444447</v>
      </c>
      <c r="E85" s="40">
        <f t="shared" si="33"/>
        <v>3.9197545579065775E-2</v>
      </c>
      <c r="F85" s="45">
        <f t="shared" si="34"/>
        <v>4.0131753748700177E-2</v>
      </c>
      <c r="G85" s="40">
        <f t="shared" si="27"/>
        <v>0.03</v>
      </c>
      <c r="H85" s="40">
        <f t="shared" si="27"/>
        <v>6.2E-2</v>
      </c>
      <c r="I85" s="40">
        <f t="shared" si="27"/>
        <v>5.0999999999999997E-2</v>
      </c>
      <c r="J85" s="40">
        <f t="shared" si="35"/>
        <v>4.7666666666666663E-2</v>
      </c>
      <c r="K85" s="42">
        <f t="shared" si="29"/>
        <v>6.9785508762751747E-2</v>
      </c>
      <c r="L85" s="40">
        <f t="shared" si="36"/>
        <v>8.779842041536684E-2</v>
      </c>
      <c r="M85" s="40">
        <f t="shared" si="31"/>
        <v>0.1024126694920168</v>
      </c>
      <c r="N85" s="10"/>
      <c r="O85" s="42" t="str">
        <f t="shared" si="37"/>
        <v/>
      </c>
      <c r="P85" s="42">
        <f t="shared" si="38"/>
        <v>8.779842041536684E-2</v>
      </c>
      <c r="Q85" s="42">
        <f t="shared" si="39"/>
        <v>0.1024126694920168</v>
      </c>
    </row>
    <row r="86" spans="1:17">
      <c r="A86" s="8" t="str">
        <f t="shared" si="26"/>
        <v>Duke Energy Corporation</v>
      </c>
      <c r="B86" s="67" t="str">
        <f t="shared" si="26"/>
        <v>DUK</v>
      </c>
      <c r="C86" s="68">
        <f t="shared" si="26"/>
        <v>3.94</v>
      </c>
      <c r="D86" s="68">
        <v>98.898333333333355</v>
      </c>
      <c r="E86" s="40">
        <f t="shared" si="33"/>
        <v>3.9838891791233413E-2</v>
      </c>
      <c r="F86" s="45">
        <f t="shared" si="34"/>
        <v>4.1017459006724065E-2</v>
      </c>
      <c r="G86" s="40">
        <f t="shared" si="27"/>
        <v>7.0000000000000007E-2</v>
      </c>
      <c r="H86" s="40">
        <f t="shared" si="27"/>
        <v>5.45E-2</v>
      </c>
      <c r="I86" s="40">
        <f t="shared" si="27"/>
        <v>5.2999999999999999E-2</v>
      </c>
      <c r="J86" s="40">
        <f t="shared" si="35"/>
        <v>5.9166666666666666E-2</v>
      </c>
      <c r="K86" s="42">
        <f t="shared" si="29"/>
        <v>9.3894622423701099E-2</v>
      </c>
      <c r="L86" s="40">
        <f t="shared" si="36"/>
        <v>0.10018412567339073</v>
      </c>
      <c r="M86" s="40">
        <f t="shared" si="31"/>
        <v>0.11123325300392659</v>
      </c>
      <c r="N86" s="10"/>
      <c r="O86" s="42">
        <f t="shared" si="37"/>
        <v>9.3894622423701099E-2</v>
      </c>
      <c r="P86" s="42">
        <f t="shared" si="38"/>
        <v>0.10018412567339073</v>
      </c>
      <c r="Q86" s="42">
        <f t="shared" si="39"/>
        <v>0.11123325300392659</v>
      </c>
    </row>
    <row r="87" spans="1:17">
      <c r="A87" s="8" t="str">
        <f t="shared" si="26"/>
        <v>Entergy Corporation</v>
      </c>
      <c r="B87" s="67" t="str">
        <f t="shared" si="26"/>
        <v>ETR</v>
      </c>
      <c r="C87" s="68">
        <f t="shared" si="26"/>
        <v>3.8</v>
      </c>
      <c r="D87" s="68">
        <v>102.73233333333336</v>
      </c>
      <c r="E87" s="40">
        <f t="shared" si="33"/>
        <v>3.6989328254330822E-2</v>
      </c>
      <c r="F87" s="45">
        <f t="shared" si="34"/>
        <v>3.7476354409679516E-2</v>
      </c>
      <c r="G87" s="40">
        <f t="shared" si="27"/>
        <v>0.03</v>
      </c>
      <c r="H87" s="40">
        <f t="shared" si="27"/>
        <v>3.5000000000000003E-2</v>
      </c>
      <c r="I87" s="40">
        <f t="shared" si="27"/>
        <v>1.4E-2</v>
      </c>
      <c r="J87" s="40">
        <f t="shared" si="35"/>
        <v>2.6333333333333334E-2</v>
      </c>
      <c r="K87" s="42">
        <f t="shared" si="29"/>
        <v>5.1248253552111135E-2</v>
      </c>
      <c r="L87" s="40">
        <f t="shared" si="36"/>
        <v>6.380968774301285E-2</v>
      </c>
      <c r="M87" s="40">
        <f t="shared" si="31"/>
        <v>7.2636641498781615E-2</v>
      </c>
      <c r="N87" s="10"/>
      <c r="O87" s="42" t="str">
        <f t="shared" si="37"/>
        <v/>
      </c>
      <c r="P87" s="42" t="str">
        <f t="shared" si="38"/>
        <v/>
      </c>
      <c r="Q87" s="42">
        <f t="shared" si="39"/>
        <v>7.2636641498781615E-2</v>
      </c>
    </row>
    <row r="88" spans="1:17">
      <c r="A88" s="8" t="str">
        <f t="shared" si="26"/>
        <v>IDACORP, Inc.</v>
      </c>
      <c r="B88" s="67" t="str">
        <f t="shared" si="26"/>
        <v>IDA</v>
      </c>
      <c r="C88" s="68">
        <f t="shared" si="26"/>
        <v>2.84</v>
      </c>
      <c r="D88" s="68">
        <v>99.217944444444484</v>
      </c>
      <c r="E88" s="40">
        <f t="shared" si="33"/>
        <v>2.8623854443892587E-2</v>
      </c>
      <c r="F88" s="45">
        <f t="shared" si="34"/>
        <v>2.9153395751104597E-2</v>
      </c>
      <c r="G88" s="40">
        <f t="shared" si="27"/>
        <v>0.04</v>
      </c>
      <c r="H88" s="40">
        <f t="shared" si="27"/>
        <v>3.2000000000000001E-2</v>
      </c>
      <c r="I88" s="40">
        <f t="shared" si="27"/>
        <v>3.9E-2</v>
      </c>
      <c r="J88" s="40">
        <f t="shared" si="35"/>
        <v>3.7000000000000005E-2</v>
      </c>
      <c r="K88" s="42">
        <f t="shared" si="29"/>
        <v>6.1081836114994868E-2</v>
      </c>
      <c r="L88" s="40">
        <f t="shared" si="36"/>
        <v>6.6153395751104599E-2</v>
      </c>
      <c r="M88" s="40">
        <f t="shared" si="31"/>
        <v>6.9196331532770439E-2</v>
      </c>
      <c r="N88" s="10"/>
      <c r="O88" s="42" t="str">
        <f t="shared" si="37"/>
        <v/>
      </c>
      <c r="P88" s="42" t="str">
        <f t="shared" si="38"/>
        <v/>
      </c>
      <c r="Q88" s="42" t="str">
        <f t="shared" si="39"/>
        <v/>
      </c>
    </row>
    <row r="89" spans="1:17">
      <c r="A89" s="8" t="str">
        <f t="shared" si="26"/>
        <v>MGE Energy, Inc.</v>
      </c>
      <c r="B89" s="67" t="str">
        <f t="shared" si="26"/>
        <v>MGEE</v>
      </c>
      <c r="C89" s="68">
        <f t="shared" si="26"/>
        <v>1.55</v>
      </c>
      <c r="D89" s="68">
        <v>73.713722222222174</v>
      </c>
      <c r="E89" s="40">
        <f t="shared" si="33"/>
        <v>2.1027292521292974E-2</v>
      </c>
      <c r="F89" s="45">
        <f t="shared" si="34"/>
        <v>2.161255216313563E-2</v>
      </c>
      <c r="G89" s="40">
        <f t="shared" si="27"/>
        <v>5.5E-2</v>
      </c>
      <c r="H89" s="40">
        <f t="shared" si="27"/>
        <v>5.6000000000000001E-2</v>
      </c>
      <c r="I89" s="40">
        <f t="shared" si="27"/>
        <v>5.6000000000000001E-2</v>
      </c>
      <c r="J89" s="40">
        <f t="shared" si="35"/>
        <v>5.566666666666667E-2</v>
      </c>
      <c r="K89" s="42">
        <f t="shared" si="29"/>
        <v>7.6605543065628529E-2</v>
      </c>
      <c r="L89" s="40">
        <f t="shared" si="36"/>
        <v>7.7279218829802293E-2</v>
      </c>
      <c r="M89" s="40">
        <f t="shared" si="31"/>
        <v>7.7616056711889175E-2</v>
      </c>
      <c r="N89" s="10"/>
      <c r="O89" s="42">
        <f t="shared" si="37"/>
        <v>7.6605543065628529E-2</v>
      </c>
      <c r="P89" s="42">
        <f t="shared" si="38"/>
        <v>7.7279218829802293E-2</v>
      </c>
      <c r="Q89" s="42">
        <f t="shared" si="39"/>
        <v>7.7616056711889175E-2</v>
      </c>
    </row>
    <row r="90" spans="1:17">
      <c r="A90" s="8" t="str">
        <f t="shared" si="26"/>
        <v>NextEra Energy, Inc.</v>
      </c>
      <c r="B90" s="67" t="str">
        <f t="shared" si="26"/>
        <v>NEE</v>
      </c>
      <c r="C90" s="68">
        <f t="shared" si="26"/>
        <v>1.54</v>
      </c>
      <c r="D90" s="68">
        <v>77.896166666666673</v>
      </c>
      <c r="E90" s="40">
        <f t="shared" si="33"/>
        <v>1.9769907376700178E-2</v>
      </c>
      <c r="F90" s="45">
        <f t="shared" si="34"/>
        <v>2.0648020762681945E-2</v>
      </c>
      <c r="G90" s="40">
        <f t="shared" si="27"/>
        <v>0.105</v>
      </c>
      <c r="H90" s="40">
        <f t="shared" si="27"/>
        <v>7.85E-2</v>
      </c>
      <c r="I90" s="40">
        <f t="shared" si="27"/>
        <v>8.3000000000000004E-2</v>
      </c>
      <c r="J90" s="40">
        <f t="shared" si="35"/>
        <v>8.8833333333333334E-2</v>
      </c>
      <c r="K90" s="42">
        <f t="shared" si="29"/>
        <v>9.9045876241235661E-2</v>
      </c>
      <c r="L90" s="40">
        <f t="shared" si="36"/>
        <v>0.10948135409601528</v>
      </c>
      <c r="M90" s="40">
        <f t="shared" si="31"/>
        <v>0.12580782751397693</v>
      </c>
      <c r="N90" s="10"/>
      <c r="O90" s="42">
        <f t="shared" si="37"/>
        <v>9.9045876241235661E-2</v>
      </c>
      <c r="P90" s="42">
        <f t="shared" si="38"/>
        <v>0.10948135409601528</v>
      </c>
      <c r="Q90" s="42">
        <f t="shared" si="39"/>
        <v>0.12580782751397693</v>
      </c>
    </row>
    <row r="91" spans="1:17">
      <c r="A91" s="8" t="str">
        <f t="shared" si="26"/>
        <v>NorthWestern Corporation</v>
      </c>
      <c r="B91" s="67" t="str">
        <f t="shared" si="26"/>
        <v>NWE</v>
      </c>
      <c r="C91" s="68">
        <f t="shared" si="26"/>
        <v>2.48</v>
      </c>
      <c r="D91" s="68">
        <v>62.35894444444444</v>
      </c>
      <c r="E91" s="40">
        <f t="shared" si="33"/>
        <v>3.9769755920250241E-2</v>
      </c>
      <c r="F91" s="45">
        <f t="shared" si="34"/>
        <v>4.0585035916615372E-2</v>
      </c>
      <c r="G91" s="40">
        <f t="shared" si="27"/>
        <v>0.03</v>
      </c>
      <c r="H91" s="40">
        <f t="shared" si="27"/>
        <v>4.4999999999999998E-2</v>
      </c>
      <c r="I91" s="40">
        <f t="shared" si="27"/>
        <v>4.8000000000000001E-2</v>
      </c>
      <c r="J91" s="40">
        <f t="shared" si="35"/>
        <v>4.1000000000000002E-2</v>
      </c>
      <c r="K91" s="42">
        <f t="shared" si="29"/>
        <v>7.0366302259053992E-2</v>
      </c>
      <c r="L91" s="40">
        <f t="shared" si="36"/>
        <v>8.1585035916615367E-2</v>
      </c>
      <c r="M91" s="40">
        <f t="shared" si="31"/>
        <v>8.8724230062336248E-2</v>
      </c>
      <c r="N91" s="10"/>
      <c r="O91" s="42">
        <f t="shared" si="37"/>
        <v>7.0366302259053992E-2</v>
      </c>
      <c r="P91" s="42">
        <f t="shared" si="38"/>
        <v>8.1585035916615367E-2</v>
      </c>
      <c r="Q91" s="42">
        <f t="shared" si="39"/>
        <v>8.8724230062336248E-2</v>
      </c>
    </row>
    <row r="92" spans="1:17">
      <c r="A92" s="8" t="str">
        <f t="shared" si="26"/>
        <v>Otter Tail Corporation</v>
      </c>
      <c r="B92" s="67" t="str">
        <f t="shared" si="26"/>
        <v>OTTR</v>
      </c>
      <c r="C92" s="68">
        <f t="shared" si="26"/>
        <v>1.56</v>
      </c>
      <c r="D92" s="68">
        <v>48.203194444444428</v>
      </c>
      <c r="E92" s="40">
        <f t="shared" si="33"/>
        <v>3.2363000377453099E-2</v>
      </c>
      <c r="F92" s="45">
        <f t="shared" si="34"/>
        <v>3.3479523890475232E-2</v>
      </c>
      <c r="G92" s="40">
        <f t="shared" si="27"/>
        <v>7.0000000000000007E-2</v>
      </c>
      <c r="H92" s="40">
        <f t="shared" si="27"/>
        <v>0.09</v>
      </c>
      <c r="I92" s="40">
        <f t="shared" si="27"/>
        <v>4.7E-2</v>
      </c>
      <c r="J92" s="40">
        <f t="shared" si="35"/>
        <v>6.9000000000000006E-2</v>
      </c>
      <c r="K92" s="42">
        <f t="shared" si="29"/>
        <v>8.0123530886323249E-2</v>
      </c>
      <c r="L92" s="40">
        <f t="shared" si="36"/>
        <v>0.10247952389047524</v>
      </c>
      <c r="M92" s="40">
        <f t="shared" si="31"/>
        <v>0.12381933539443848</v>
      </c>
      <c r="N92" s="10"/>
      <c r="O92" s="42">
        <f t="shared" si="37"/>
        <v>8.0123530886323249E-2</v>
      </c>
      <c r="P92" s="42">
        <f t="shared" si="38"/>
        <v>0.10247952389047524</v>
      </c>
      <c r="Q92" s="42">
        <f t="shared" si="39"/>
        <v>0.12381933539443848</v>
      </c>
    </row>
    <row r="93" spans="1:17">
      <c r="A93" s="8" t="str">
        <f t="shared" si="26"/>
        <v>Portland General Electric Company</v>
      </c>
      <c r="B93" s="67" t="str">
        <f t="shared" si="26"/>
        <v>POR</v>
      </c>
      <c r="C93" s="68">
        <f t="shared" si="26"/>
        <v>1.72</v>
      </c>
      <c r="D93" s="68">
        <v>47.626722222222241</v>
      </c>
      <c r="E93" s="40">
        <f t="shared" si="33"/>
        <v>3.6114179598054762E-2</v>
      </c>
      <c r="F93" s="45">
        <f t="shared" si="34"/>
        <v>3.7570784841842973E-2</v>
      </c>
      <c r="G93" s="40">
        <f t="shared" si="27"/>
        <v>8.5000000000000006E-2</v>
      </c>
      <c r="H93" s="40">
        <f t="shared" si="27"/>
        <v>7.0999999999999994E-2</v>
      </c>
      <c r="I93" s="40">
        <f t="shared" si="27"/>
        <v>8.5999999999999993E-2</v>
      </c>
      <c r="J93" s="40">
        <f t="shared" si="35"/>
        <v>8.0666666666666664E-2</v>
      </c>
      <c r="K93" s="42">
        <f t="shared" si="29"/>
        <v>0.1083962329737857</v>
      </c>
      <c r="L93" s="40">
        <f t="shared" si="36"/>
        <v>0.11823745150850964</v>
      </c>
      <c r="M93" s="40">
        <f t="shared" si="31"/>
        <v>0.12366708932077111</v>
      </c>
      <c r="N93" s="10"/>
      <c r="O93" s="42">
        <f t="shared" si="37"/>
        <v>0.1083962329737857</v>
      </c>
      <c r="P93" s="42">
        <f t="shared" si="38"/>
        <v>0.11823745150850964</v>
      </c>
      <c r="Q93" s="42">
        <f t="shared" si="39"/>
        <v>0.12366708932077111</v>
      </c>
    </row>
    <row r="94" spans="1:17">
      <c r="A94" s="8" t="str">
        <f t="shared" si="26"/>
        <v>Southern Company</v>
      </c>
      <c r="B94" s="67" t="str">
        <f t="shared" si="26"/>
        <v>SO</v>
      </c>
      <c r="C94" s="68">
        <f t="shared" si="26"/>
        <v>2.64</v>
      </c>
      <c r="D94" s="68">
        <v>62.883666666666691</v>
      </c>
      <c r="E94" s="40">
        <f t="shared" si="33"/>
        <v>4.1982284748026767E-2</v>
      </c>
      <c r="F94" s="45">
        <f t="shared" si="34"/>
        <v>4.3199771005719541E-2</v>
      </c>
      <c r="G94" s="40">
        <f t="shared" si="27"/>
        <v>0.06</v>
      </c>
      <c r="H94" s="40">
        <f t="shared" si="27"/>
        <v>6.5000000000000002E-2</v>
      </c>
      <c r="I94" s="40">
        <f t="shared" si="27"/>
        <v>4.9000000000000002E-2</v>
      </c>
      <c r="J94" s="40">
        <f t="shared" si="35"/>
        <v>5.7999999999999996E-2</v>
      </c>
      <c r="K94" s="42">
        <f t="shared" si="29"/>
        <v>9.2010850724353416E-2</v>
      </c>
      <c r="L94" s="40">
        <f t="shared" si="36"/>
        <v>0.10119977100571953</v>
      </c>
      <c r="M94" s="40">
        <f t="shared" si="31"/>
        <v>0.10834670900233764</v>
      </c>
      <c r="N94" s="10"/>
      <c r="O94" s="42">
        <f t="shared" si="37"/>
        <v>9.2010850724353416E-2</v>
      </c>
      <c r="P94" s="42">
        <f t="shared" si="38"/>
        <v>0.10119977100571953</v>
      </c>
      <c r="Q94" s="42">
        <f t="shared" si="39"/>
        <v>0.10834670900233764</v>
      </c>
    </row>
    <row r="95" spans="1:17">
      <c r="A95" s="8" t="str">
        <f t="shared" si="26"/>
        <v>Xcel Energy Inc.</v>
      </c>
      <c r="B95" s="67" t="str">
        <f t="shared" si="26"/>
        <v>XEL</v>
      </c>
      <c r="C95" s="68">
        <f t="shared" si="26"/>
        <v>1.83</v>
      </c>
      <c r="D95" s="68">
        <v>66.912194444444438</v>
      </c>
      <c r="E95" s="40">
        <f t="shared" si="33"/>
        <v>2.7349274899650833E-2</v>
      </c>
      <c r="F95" s="45">
        <f t="shared" si="34"/>
        <v>2.8187985996573458E-2</v>
      </c>
      <c r="G95" s="40">
        <f t="shared" si="27"/>
        <v>0.06</v>
      </c>
      <c r="H95" s="40">
        <f t="shared" si="27"/>
        <v>6.3E-2</v>
      </c>
      <c r="I95" s="40">
        <f t="shared" si="27"/>
        <v>6.0999999999999999E-2</v>
      </c>
      <c r="J95" s="40">
        <f t="shared" si="35"/>
        <v>6.133333333333333E-2</v>
      </c>
      <c r="K95" s="42">
        <f t="shared" si="29"/>
        <v>8.8169753146640356E-2</v>
      </c>
      <c r="L95" s="40">
        <f t="shared" si="36"/>
        <v>8.9521319329906784E-2</v>
      </c>
      <c r="M95" s="40">
        <f t="shared" si="31"/>
        <v>9.1210777058989834E-2</v>
      </c>
      <c r="N95" s="10"/>
      <c r="O95" s="210">
        <f t="shared" si="37"/>
        <v>8.8169753146640356E-2</v>
      </c>
      <c r="P95" s="210">
        <f t="shared" si="38"/>
        <v>8.9521319329906784E-2</v>
      </c>
      <c r="Q95" s="210">
        <f t="shared" si="39"/>
        <v>9.1210777058989834E-2</v>
      </c>
    </row>
    <row r="96" spans="1:17">
      <c r="A96" s="41" t="s">
        <v>718</v>
      </c>
      <c r="B96" s="33"/>
      <c r="C96" s="33"/>
      <c r="D96" s="33"/>
      <c r="E96" s="205">
        <f t="shared" ref="E96:M96" si="40">AVERAGE(E81:E95)</f>
        <v>3.2732921158949324E-2</v>
      </c>
      <c r="F96" s="205">
        <f t="shared" si="40"/>
        <v>3.3661306314269085E-2</v>
      </c>
      <c r="G96" s="205">
        <f t="shared" si="40"/>
        <v>5.800000000000001E-2</v>
      </c>
      <c r="H96" s="205">
        <f t="shared" si="40"/>
        <v>6.0266666666666663E-2</v>
      </c>
      <c r="I96" s="205">
        <f t="shared" si="40"/>
        <v>5.5733333333333336E-2</v>
      </c>
      <c r="J96" s="205">
        <f t="shared" si="40"/>
        <v>5.8000000000000003E-2</v>
      </c>
      <c r="K96" s="205">
        <f t="shared" si="40"/>
        <v>8.3286168472413033E-2</v>
      </c>
      <c r="L96" s="205">
        <f t="shared" si="40"/>
        <v>9.1661306314269081E-2</v>
      </c>
      <c r="M96" s="205">
        <f t="shared" si="40"/>
        <v>9.9185337014588482E-2</v>
      </c>
      <c r="N96" s="205"/>
      <c r="O96" s="205">
        <f>AVERAGE(O81:O95)</f>
        <v>8.8931410721361501E-2</v>
      </c>
      <c r="P96" s="205">
        <f>AVERAGE(P81:P95)</f>
        <v>9.5765885478455298E-2</v>
      </c>
      <c r="Q96" s="205">
        <f>AVERAGE(Q81:Q95)</f>
        <v>0.10132740883471834</v>
      </c>
    </row>
    <row r="97" spans="1:17">
      <c r="A97" s="206" t="s">
        <v>853</v>
      </c>
      <c r="B97" s="207"/>
      <c r="C97" s="207"/>
      <c r="D97" s="207"/>
      <c r="E97" s="208">
        <f t="shared" ref="E97:M97" si="41">MEDIAN(E81:E95)</f>
        <v>3.4848207864850683E-2</v>
      </c>
      <c r="F97" s="208">
        <f t="shared" si="41"/>
        <v>3.590701258047773E-2</v>
      </c>
      <c r="G97" s="208">
        <f t="shared" si="41"/>
        <v>0.06</v>
      </c>
      <c r="H97" s="208">
        <f t="shared" si="41"/>
        <v>6.0299999999999999E-2</v>
      </c>
      <c r="I97" s="208">
        <f t="shared" si="41"/>
        <v>5.6000000000000001E-2</v>
      </c>
      <c r="J97" s="208">
        <f t="shared" si="41"/>
        <v>5.7999999999999996E-2</v>
      </c>
      <c r="K97" s="208">
        <f t="shared" si="41"/>
        <v>8.8109055142312653E-2</v>
      </c>
      <c r="L97" s="208">
        <f t="shared" si="41"/>
        <v>9.3779204934325122E-2</v>
      </c>
      <c r="M97" s="208">
        <f t="shared" si="41"/>
        <v>0.10098077462045833</v>
      </c>
      <c r="N97" s="208"/>
      <c r="O97" s="208">
        <f t="shared" ref="O97:Q97" si="42">MEDIAN(O81:O95)</f>
        <v>9.0090301935496886E-2</v>
      </c>
      <c r="P97" s="208">
        <f t="shared" si="42"/>
        <v>9.6673679247144401E-2</v>
      </c>
      <c r="Q97" s="208">
        <f t="shared" si="42"/>
        <v>0.10169672205623756</v>
      </c>
    </row>
    <row r="98" spans="1:17">
      <c r="A98" s="41"/>
      <c r="B98" s="33"/>
      <c r="C98" s="8"/>
      <c r="D98" s="8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>
      <c r="A99" s="21" t="s">
        <v>22</v>
      </c>
      <c r="B99" s="20"/>
      <c r="C99" s="6"/>
      <c r="D99" s="6"/>
      <c r="E99" s="5"/>
      <c r="F99" s="5"/>
      <c r="G99" s="5"/>
      <c r="H99" s="5"/>
      <c r="I99" s="5"/>
      <c r="J99" s="5"/>
      <c r="K99" s="5"/>
      <c r="L99" s="5"/>
      <c r="M99" s="5"/>
    </row>
    <row r="100" spans="1:17">
      <c r="A100" s="6" t="s">
        <v>23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7">
      <c r="A101" s="6" t="str">
        <f>A27</f>
        <v>[2] Source: Bloomberg Professional, equals 30-day average as of September 30, 2021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7">
      <c r="A102" s="6" t="s">
        <v>24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7">
      <c r="A103" s="6" t="s">
        <v>648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7">
      <c r="A104" s="6" t="s">
        <v>649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7">
      <c r="A105" s="6" t="s">
        <v>650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7">
      <c r="A106" s="6" t="s">
        <v>651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7">
      <c r="A107" s="9" t="s">
        <v>652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7">
      <c r="A108" s="6" t="s">
        <v>653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7">
      <c r="A109" s="6" t="s">
        <v>25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7">
      <c r="A110" s="6" t="s">
        <v>654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7">
      <c r="A111" s="54" t="s">
        <v>1319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</sheetData>
  <mergeCells count="7">
    <mergeCell ref="O77:Q77"/>
    <mergeCell ref="O40:Q40"/>
    <mergeCell ref="O3:Q3"/>
    <mergeCell ref="A2:Q2"/>
    <mergeCell ref="A39:Q39"/>
    <mergeCell ref="A76:Q76"/>
    <mergeCell ref="K3:M3"/>
  </mergeCells>
  <conditionalFormatting sqref="A7:B21 A44:B58 A81:B95">
    <cfRule type="expression" dxfId="23" priority="23">
      <formula>"(blank)"</formula>
    </cfRule>
  </conditionalFormatting>
  <conditionalFormatting sqref="A7:B21 A44:B58 A81:B95">
    <cfRule type="expression" dxfId="22" priority="24">
      <formula>#REF!</formula>
    </cfRule>
  </conditionalFormatting>
  <conditionalFormatting sqref="H72">
    <cfRule type="expression" dxfId="21" priority="3">
      <formula>"(blank)"</formula>
    </cfRule>
  </conditionalFormatting>
  <conditionalFormatting sqref="H72">
    <cfRule type="expression" dxfId="20" priority="4">
      <formula>#REF!</formula>
    </cfRule>
  </conditionalFormatting>
  <conditionalFormatting sqref="I72">
    <cfRule type="expression" dxfId="19" priority="1">
      <formula>"(blank)"</formula>
    </cfRule>
  </conditionalFormatting>
  <conditionalFormatting sqref="I72">
    <cfRule type="expression" dxfId="18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headerFooter>
    <oddHeader>&amp;LDRAFT- PRIVILEGED AND CONFIDENTIAL
PREPARED AT THE REQUEST OF COUNSEL
&amp;RSchedule AEB-3
Page &amp;P of 3</oddHeader>
  </headerFooter>
  <rowBreaks count="2" manualBreakCount="2">
    <brk id="37" max="16" man="1"/>
    <brk id="7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79F7-0FD1-4B25-B76A-1836E1CAA26B}">
  <sheetPr codeName="Sheet1"/>
  <dimension ref="B2:I296"/>
  <sheetViews>
    <sheetView zoomScaleNormal="100" zoomScaleSheetLayoutView="100" zoomScalePageLayoutView="90" workbookViewId="0">
      <selection activeCell="G308" sqref="G308"/>
    </sheetView>
  </sheetViews>
  <sheetFormatPr defaultRowHeight="12.75"/>
  <cols>
    <col min="1" max="1" width="5.73046875" customWidth="1"/>
    <col min="2" max="2" width="36" customWidth="1"/>
    <col min="4" max="4" width="20.3984375" customWidth="1"/>
    <col min="5" max="5" width="9.265625" bestFit="1" customWidth="1"/>
    <col min="7" max="7" width="9.3984375" customWidth="1"/>
    <col min="12" max="12" width="15.86328125" customWidth="1"/>
  </cols>
  <sheetData>
    <row r="2" spans="2:9" ht="13.15" customHeight="1">
      <c r="B2" s="494" t="s">
        <v>1081</v>
      </c>
      <c r="C2" s="494"/>
      <c r="D2" s="494"/>
      <c r="E2" s="494"/>
      <c r="F2" s="494"/>
      <c r="G2" s="494"/>
      <c r="H2" s="494"/>
      <c r="I2" s="494"/>
    </row>
    <row r="3" spans="2:9">
      <c r="B3" s="97"/>
      <c r="C3" s="97"/>
      <c r="D3" s="97"/>
      <c r="E3" s="97"/>
      <c r="F3" s="97"/>
      <c r="G3" s="97"/>
      <c r="H3" s="97"/>
    </row>
    <row r="4" spans="2:9">
      <c r="B4" s="495" t="s">
        <v>1082</v>
      </c>
      <c r="C4" s="495"/>
      <c r="D4" s="495"/>
      <c r="E4" s="495"/>
      <c r="F4" s="495"/>
      <c r="G4" s="495"/>
      <c r="H4" s="495"/>
      <c r="I4" s="495"/>
    </row>
    <row r="5" spans="2:9">
      <c r="B5" s="494" t="s">
        <v>1327</v>
      </c>
      <c r="C5" s="494"/>
      <c r="D5" s="494"/>
      <c r="E5" s="494"/>
      <c r="F5" s="494"/>
      <c r="G5" s="494"/>
      <c r="H5" s="494"/>
      <c r="I5" s="494"/>
    </row>
    <row r="6" spans="2:9">
      <c r="B6" s="97"/>
      <c r="C6" s="97"/>
      <c r="D6" s="97"/>
      <c r="E6" s="97"/>
      <c r="F6" s="97"/>
      <c r="G6" s="97"/>
      <c r="H6" s="97"/>
    </row>
    <row r="7" spans="2:9" ht="13.15" thickBot="1">
      <c r="B7" s="97"/>
      <c r="C7" s="97"/>
      <c r="D7" s="98" t="s">
        <v>0</v>
      </c>
      <c r="E7" s="98" t="s">
        <v>1</v>
      </c>
      <c r="F7" s="98" t="s">
        <v>2</v>
      </c>
      <c r="G7" s="98" t="s">
        <v>3</v>
      </c>
      <c r="H7" s="98" t="s">
        <v>4</v>
      </c>
      <c r="I7" s="98" t="s">
        <v>5</v>
      </c>
    </row>
    <row r="8" spans="2:9" ht="52.5" customHeight="1">
      <c r="B8" s="99" t="s">
        <v>11</v>
      </c>
      <c r="C8" s="99" t="s">
        <v>12</v>
      </c>
      <c r="D8" s="100" t="s">
        <v>1083</v>
      </c>
      <c r="E8" s="101" t="s">
        <v>1084</v>
      </c>
      <c r="F8" s="101" t="s">
        <v>1085</v>
      </c>
      <c r="G8" s="101" t="s">
        <v>1086</v>
      </c>
      <c r="H8" s="102" t="s">
        <v>1087</v>
      </c>
      <c r="I8" s="102" t="s">
        <v>1088</v>
      </c>
    </row>
    <row r="9" spans="2:9">
      <c r="B9" t="str">
        <f>'AEB-2 Proxy Selection'!A6</f>
        <v>ALLETE, Inc.</v>
      </c>
      <c r="C9" s="110" t="str">
        <f>'AEB-2 Proxy Selection'!B6</f>
        <v>ALE</v>
      </c>
      <c r="D9" s="104">
        <v>1.9270000000000002E-2</v>
      </c>
      <c r="E9" s="105">
        <v>0.9</v>
      </c>
      <c r="F9" s="103">
        <f>'AEB-6 Market Return'!B8</f>
        <v>0.1293612513755926</v>
      </c>
      <c r="G9" s="103">
        <f>F9-D9</f>
        <v>0.11009125137559259</v>
      </c>
      <c r="H9" s="103">
        <f>IFERROR(G9*E9+D9, "")</f>
        <v>0.11835212623803334</v>
      </c>
      <c r="I9" s="103">
        <f>IFERROR((0.25*G9)+(0.75*E9*G9)+D9, "")</f>
        <v>0.12110440752242316</v>
      </c>
    </row>
    <row r="10" spans="2:9">
      <c r="B10" t="str">
        <f>'AEB-2 Proxy Selection'!A7</f>
        <v>Alliant Energy Corporation</v>
      </c>
      <c r="C10" s="110" t="str">
        <f>'AEB-2 Proxy Selection'!B7</f>
        <v>LNT</v>
      </c>
      <c r="D10" s="103">
        <f>D9</f>
        <v>1.9270000000000002E-2</v>
      </c>
      <c r="E10" s="105">
        <v>0.85</v>
      </c>
      <c r="F10" s="103">
        <f>F9</f>
        <v>0.1293612513755926</v>
      </c>
      <c r="G10" s="103">
        <f t="shared" ref="G10:G15" si="0">F10-D10</f>
        <v>0.11009125137559259</v>
      </c>
      <c r="H10" s="103">
        <f t="shared" ref="H10:H23" si="1">IFERROR(G10*E10+D10, "")</f>
        <v>0.11284756366925369</v>
      </c>
      <c r="I10" s="103">
        <f t="shared" ref="I10:I23" si="2">IFERROR((0.25*G10)+(0.75*E10*G10)+D10, "")</f>
        <v>0.11697598559583841</v>
      </c>
    </row>
    <row r="11" spans="2:9">
      <c r="B11" t="str">
        <f>'AEB-2 Proxy Selection'!A8</f>
        <v>Ameren Corporation</v>
      </c>
      <c r="C11" s="110" t="str">
        <f>'AEB-2 Proxy Selection'!B8</f>
        <v>AEE</v>
      </c>
      <c r="D11" s="103">
        <f t="shared" ref="D11:D23" si="3">D10</f>
        <v>1.9270000000000002E-2</v>
      </c>
      <c r="E11" s="105">
        <v>0.85</v>
      </c>
      <c r="F11" s="103">
        <f t="shared" ref="F11:F23" si="4">F10</f>
        <v>0.1293612513755926</v>
      </c>
      <c r="G11" s="103">
        <f t="shared" si="0"/>
        <v>0.11009125137559259</v>
      </c>
      <c r="H11" s="103">
        <f t="shared" si="1"/>
        <v>0.11284756366925369</v>
      </c>
      <c r="I11" s="103">
        <f t="shared" si="2"/>
        <v>0.11697598559583841</v>
      </c>
    </row>
    <row r="12" spans="2:9">
      <c r="B12" t="str">
        <f>'AEB-2 Proxy Selection'!A9</f>
        <v>American Electric Power Company, Inc.</v>
      </c>
      <c r="C12" s="110" t="str">
        <f>'AEB-2 Proxy Selection'!B9</f>
        <v>AEP</v>
      </c>
      <c r="D12" s="103">
        <f t="shared" si="3"/>
        <v>1.9270000000000002E-2</v>
      </c>
      <c r="E12" s="105">
        <v>0.75</v>
      </c>
      <c r="F12" s="103">
        <f t="shared" si="4"/>
        <v>0.1293612513755926</v>
      </c>
      <c r="G12" s="103">
        <f t="shared" si="0"/>
        <v>0.11009125137559259</v>
      </c>
      <c r="H12" s="103">
        <f t="shared" si="1"/>
        <v>0.10183843853169444</v>
      </c>
      <c r="I12" s="103">
        <f t="shared" si="2"/>
        <v>0.10871914174266897</v>
      </c>
    </row>
    <row r="13" spans="2:9">
      <c r="B13" t="str">
        <f>'AEB-2 Proxy Selection'!A10</f>
        <v>Avista Corporation</v>
      </c>
      <c r="C13" s="110" t="str">
        <f>'AEB-2 Proxy Selection'!B10</f>
        <v>AVA</v>
      </c>
      <c r="D13" s="103">
        <f t="shared" si="3"/>
        <v>1.9270000000000002E-2</v>
      </c>
      <c r="E13" s="105">
        <v>0.95</v>
      </c>
      <c r="F13" s="103">
        <f t="shared" si="4"/>
        <v>0.1293612513755926</v>
      </c>
      <c r="G13" s="103">
        <f t="shared" si="0"/>
        <v>0.11009125137559259</v>
      </c>
      <c r="H13" s="103">
        <f t="shared" si="1"/>
        <v>0.12385668880681294</v>
      </c>
      <c r="I13" s="103">
        <f t="shared" si="2"/>
        <v>0.12523282944900788</v>
      </c>
    </row>
    <row r="14" spans="2:9">
      <c r="B14" t="str">
        <f>'AEB-2 Proxy Selection'!A11</f>
        <v>Duke Energy Corporation</v>
      </c>
      <c r="C14" s="110" t="str">
        <f>'AEB-2 Proxy Selection'!B11</f>
        <v>DUK</v>
      </c>
      <c r="D14" s="103">
        <f t="shared" si="3"/>
        <v>1.9270000000000002E-2</v>
      </c>
      <c r="E14" s="105">
        <v>0.9</v>
      </c>
      <c r="F14" s="103">
        <f t="shared" si="4"/>
        <v>0.1293612513755926</v>
      </c>
      <c r="G14" s="103">
        <f t="shared" si="0"/>
        <v>0.11009125137559259</v>
      </c>
      <c r="H14" s="103">
        <f t="shared" si="1"/>
        <v>0.11835212623803334</v>
      </c>
      <c r="I14" s="103">
        <f t="shared" si="2"/>
        <v>0.12110440752242316</v>
      </c>
    </row>
    <row r="15" spans="2:9">
      <c r="B15" t="str">
        <f>'AEB-2 Proxy Selection'!A12</f>
        <v>Entergy Corporation</v>
      </c>
      <c r="C15" s="110" t="str">
        <f>'AEB-2 Proxy Selection'!B12</f>
        <v>ETR</v>
      </c>
      <c r="D15" s="103">
        <f t="shared" si="3"/>
        <v>1.9270000000000002E-2</v>
      </c>
      <c r="E15" s="105">
        <v>0.95</v>
      </c>
      <c r="F15" s="103">
        <f t="shared" si="4"/>
        <v>0.1293612513755926</v>
      </c>
      <c r="G15" s="103">
        <f t="shared" si="0"/>
        <v>0.11009125137559259</v>
      </c>
      <c r="H15" s="103">
        <f t="shared" si="1"/>
        <v>0.12385668880681294</v>
      </c>
      <c r="I15" s="103">
        <f t="shared" si="2"/>
        <v>0.12523282944900788</v>
      </c>
    </row>
    <row r="16" spans="2:9">
      <c r="B16" t="str">
        <f>'AEB-2 Proxy Selection'!A13</f>
        <v>IDACORP, Inc.</v>
      </c>
      <c r="C16" s="110" t="str">
        <f>'AEB-2 Proxy Selection'!B13</f>
        <v>IDA</v>
      </c>
      <c r="D16" s="103">
        <f t="shared" si="3"/>
        <v>1.9270000000000002E-2</v>
      </c>
      <c r="E16" s="105">
        <v>0.85</v>
      </c>
      <c r="F16" s="103">
        <f t="shared" si="4"/>
        <v>0.1293612513755926</v>
      </c>
      <c r="G16" s="103">
        <f t="shared" ref="G16:G23" si="5">F16-D16</f>
        <v>0.11009125137559259</v>
      </c>
      <c r="H16" s="103">
        <f t="shared" si="1"/>
        <v>0.11284756366925369</v>
      </c>
      <c r="I16" s="103">
        <f t="shared" si="2"/>
        <v>0.11697598559583841</v>
      </c>
    </row>
    <row r="17" spans="2:9">
      <c r="B17" t="str">
        <f>'AEB-2 Proxy Selection'!A14</f>
        <v>MGE Energy, Inc.</v>
      </c>
      <c r="C17" s="110" t="str">
        <f>'AEB-2 Proxy Selection'!B14</f>
        <v>MGEE</v>
      </c>
      <c r="D17" s="103">
        <f t="shared" si="3"/>
        <v>1.9270000000000002E-2</v>
      </c>
      <c r="E17" s="105">
        <v>0.75</v>
      </c>
      <c r="F17" s="103">
        <f t="shared" si="4"/>
        <v>0.1293612513755926</v>
      </c>
      <c r="G17" s="103">
        <f t="shared" si="5"/>
        <v>0.11009125137559259</v>
      </c>
      <c r="H17" s="103">
        <f t="shared" si="1"/>
        <v>0.10183843853169444</v>
      </c>
      <c r="I17" s="103">
        <f t="shared" si="2"/>
        <v>0.10871914174266897</v>
      </c>
    </row>
    <row r="18" spans="2:9">
      <c r="B18" t="str">
        <f>'AEB-2 Proxy Selection'!A15</f>
        <v>NextEra Energy, Inc.</v>
      </c>
      <c r="C18" s="110" t="str">
        <f>'AEB-2 Proxy Selection'!B15</f>
        <v>NEE</v>
      </c>
      <c r="D18" s="103">
        <f t="shared" si="3"/>
        <v>1.9270000000000002E-2</v>
      </c>
      <c r="E18" s="105">
        <v>0.95</v>
      </c>
      <c r="F18" s="103">
        <f t="shared" si="4"/>
        <v>0.1293612513755926</v>
      </c>
      <c r="G18" s="103">
        <f t="shared" si="5"/>
        <v>0.11009125137559259</v>
      </c>
      <c r="H18" s="103">
        <f t="shared" si="1"/>
        <v>0.12385668880681294</v>
      </c>
      <c r="I18" s="103">
        <f t="shared" si="2"/>
        <v>0.12523282944900788</v>
      </c>
    </row>
    <row r="19" spans="2:9">
      <c r="B19" t="str">
        <f>'AEB-2 Proxy Selection'!A16</f>
        <v>NorthWestern Corporation</v>
      </c>
      <c r="C19" s="110" t="str">
        <f>'AEB-2 Proxy Selection'!B16</f>
        <v>NWE</v>
      </c>
      <c r="D19" s="103">
        <f t="shared" si="3"/>
        <v>1.9270000000000002E-2</v>
      </c>
      <c r="E19" s="105">
        <v>0.95</v>
      </c>
      <c r="F19" s="103">
        <f t="shared" si="4"/>
        <v>0.1293612513755926</v>
      </c>
      <c r="G19" s="103">
        <f t="shared" si="5"/>
        <v>0.11009125137559259</v>
      </c>
      <c r="H19" s="103">
        <f t="shared" si="1"/>
        <v>0.12385668880681294</v>
      </c>
      <c r="I19" s="103">
        <f t="shared" si="2"/>
        <v>0.12523282944900788</v>
      </c>
    </row>
    <row r="20" spans="2:9">
      <c r="B20" t="str">
        <f>'AEB-2 Proxy Selection'!A17</f>
        <v>Otter Tail Corporation</v>
      </c>
      <c r="C20" s="110" t="str">
        <f>'AEB-2 Proxy Selection'!B17</f>
        <v>OTTR</v>
      </c>
      <c r="D20" s="103">
        <f t="shared" si="3"/>
        <v>1.9270000000000002E-2</v>
      </c>
      <c r="E20" s="105">
        <v>0.9</v>
      </c>
      <c r="F20" s="103">
        <f t="shared" si="4"/>
        <v>0.1293612513755926</v>
      </c>
      <c r="G20" s="103">
        <f t="shared" si="5"/>
        <v>0.11009125137559259</v>
      </c>
      <c r="H20" s="103">
        <f t="shared" si="1"/>
        <v>0.11835212623803334</v>
      </c>
      <c r="I20" s="103">
        <f t="shared" si="2"/>
        <v>0.12110440752242316</v>
      </c>
    </row>
    <row r="21" spans="2:9">
      <c r="B21" t="str">
        <f>'AEB-2 Proxy Selection'!A18</f>
        <v>Portland General Electric Company</v>
      </c>
      <c r="C21" s="110" t="str">
        <f>'AEB-2 Proxy Selection'!B18</f>
        <v>POR</v>
      </c>
      <c r="D21" s="103">
        <f>D20</f>
        <v>1.9270000000000002E-2</v>
      </c>
      <c r="E21" s="105">
        <v>0.9</v>
      </c>
      <c r="F21" s="103">
        <f>F20</f>
        <v>0.1293612513755926</v>
      </c>
      <c r="G21" s="103">
        <f t="shared" si="5"/>
        <v>0.11009125137559259</v>
      </c>
      <c r="H21" s="103">
        <f t="shared" si="1"/>
        <v>0.11835212623803334</v>
      </c>
      <c r="I21" s="103">
        <f t="shared" si="2"/>
        <v>0.12110440752242316</v>
      </c>
    </row>
    <row r="22" spans="2:9">
      <c r="B22" t="str">
        <f>'AEB-2 Proxy Selection'!A19</f>
        <v>Southern Company</v>
      </c>
      <c r="C22" s="110" t="str">
        <f>'AEB-2 Proxy Selection'!B19</f>
        <v>SO</v>
      </c>
      <c r="D22" s="103">
        <f t="shared" si="3"/>
        <v>1.9270000000000002E-2</v>
      </c>
      <c r="E22" s="105">
        <v>0.95</v>
      </c>
      <c r="F22" s="103">
        <f t="shared" si="4"/>
        <v>0.1293612513755926</v>
      </c>
      <c r="G22" s="103">
        <f t="shared" si="5"/>
        <v>0.11009125137559259</v>
      </c>
      <c r="H22" s="103">
        <f t="shared" si="1"/>
        <v>0.12385668880681294</v>
      </c>
      <c r="I22" s="103">
        <f t="shared" si="2"/>
        <v>0.12523282944900788</v>
      </c>
    </row>
    <row r="23" spans="2:9">
      <c r="B23" t="str">
        <f>'AEB-2 Proxy Selection'!A20</f>
        <v>Xcel Energy Inc.</v>
      </c>
      <c r="C23" s="110" t="str">
        <f>'AEB-2 Proxy Selection'!B20</f>
        <v>XEL</v>
      </c>
      <c r="D23" s="103">
        <f t="shared" si="3"/>
        <v>1.9270000000000002E-2</v>
      </c>
      <c r="E23" s="105">
        <v>0.8</v>
      </c>
      <c r="F23" s="103">
        <f t="shared" si="4"/>
        <v>0.1293612513755926</v>
      </c>
      <c r="G23" s="103">
        <f t="shared" si="5"/>
        <v>0.11009125137559259</v>
      </c>
      <c r="H23" s="103">
        <f t="shared" si="1"/>
        <v>0.10734300110047407</v>
      </c>
      <c r="I23" s="103">
        <f t="shared" si="2"/>
        <v>0.11284756366925372</v>
      </c>
    </row>
    <row r="24" spans="2:9" ht="13.15" thickBot="1">
      <c r="B24" s="106" t="s">
        <v>718</v>
      </c>
      <c r="C24" s="106"/>
      <c r="D24" s="106"/>
      <c r="E24" s="106"/>
      <c r="F24" s="106"/>
      <c r="G24" s="106"/>
      <c r="H24" s="107">
        <f>AVERAGE(H9:H23)</f>
        <v>0.11615030121052146</v>
      </c>
      <c r="I24" s="107">
        <f>AVERAGE(I9:I23)</f>
        <v>0.11945303875178928</v>
      </c>
    </row>
    <row r="26" spans="2:9">
      <c r="B26" s="108" t="s">
        <v>22</v>
      </c>
    </row>
    <row r="27" spans="2:9">
      <c r="B27" s="109" t="s">
        <v>1328</v>
      </c>
    </row>
    <row r="28" spans="2:9">
      <c r="B28" s="109" t="s">
        <v>1089</v>
      </c>
    </row>
    <row r="29" spans="2:9">
      <c r="B29" s="111" t="s">
        <v>1329</v>
      </c>
    </row>
    <row r="30" spans="2:9">
      <c r="B30" s="97" t="s">
        <v>1090</v>
      </c>
    </row>
    <row r="31" spans="2:9">
      <c r="B31" s="97" t="s">
        <v>1091</v>
      </c>
    </row>
    <row r="32" spans="2:9">
      <c r="B32" s="97" t="s">
        <v>1092</v>
      </c>
    </row>
    <row r="35" spans="2:9" ht="13.15" customHeight="1">
      <c r="B35" s="494" t="s">
        <v>1093</v>
      </c>
      <c r="C35" s="494"/>
      <c r="D35" s="494"/>
      <c r="E35" s="494"/>
      <c r="F35" s="494"/>
      <c r="G35" s="494"/>
      <c r="H35" s="494"/>
      <c r="I35" s="494"/>
    </row>
    <row r="36" spans="2:9">
      <c r="B36" s="97"/>
      <c r="C36" s="97"/>
      <c r="D36" s="97"/>
      <c r="E36" s="97"/>
      <c r="F36" s="97"/>
      <c r="G36" s="97"/>
      <c r="H36" s="97"/>
    </row>
    <row r="37" spans="2:9">
      <c r="B37" s="495" t="s">
        <v>1082</v>
      </c>
      <c r="C37" s="495"/>
      <c r="D37" s="495"/>
      <c r="E37" s="495"/>
      <c r="F37" s="495"/>
      <c r="G37" s="495"/>
      <c r="H37" s="495"/>
      <c r="I37" s="495"/>
    </row>
    <row r="38" spans="2:9">
      <c r="B38" s="494" t="s">
        <v>1327</v>
      </c>
      <c r="C38" s="494"/>
      <c r="D38" s="494"/>
      <c r="E38" s="494"/>
      <c r="F38" s="494"/>
      <c r="G38" s="494"/>
      <c r="H38" s="494"/>
      <c r="I38" s="494"/>
    </row>
    <row r="40" spans="2:9" ht="13.15" thickBot="1">
      <c r="B40" s="97"/>
      <c r="C40" s="97"/>
      <c r="D40" s="98" t="s">
        <v>0</v>
      </c>
      <c r="E40" s="98" t="s">
        <v>1</v>
      </c>
      <c r="F40" s="98" t="s">
        <v>2</v>
      </c>
      <c r="G40" s="98" t="s">
        <v>3</v>
      </c>
      <c r="H40" s="98" t="s">
        <v>4</v>
      </c>
      <c r="I40" s="98" t="s">
        <v>5</v>
      </c>
    </row>
    <row r="41" spans="2:9" ht="51">
      <c r="B41" s="99" t="s">
        <v>11</v>
      </c>
      <c r="C41" s="99" t="s">
        <v>12</v>
      </c>
      <c r="D41" s="100" t="s">
        <v>1330</v>
      </c>
      <c r="E41" s="101" t="s">
        <v>1084</v>
      </c>
      <c r="F41" s="101" t="s">
        <v>1085</v>
      </c>
      <c r="G41" s="101" t="s">
        <v>1086</v>
      </c>
      <c r="H41" s="102" t="s">
        <v>1087</v>
      </c>
      <c r="I41" s="102" t="s">
        <v>1088</v>
      </c>
    </row>
    <row r="42" spans="2:9">
      <c r="B42" t="str">
        <f t="shared" ref="B42:C56" si="6">B9</f>
        <v>ALLETE, Inc.</v>
      </c>
      <c r="C42" t="str">
        <f t="shared" si="6"/>
        <v>ALE</v>
      </c>
      <c r="D42" s="103">
        <f>AVERAGE(2.3%,2.4%,2.5%,2.6%,2.7%)</f>
        <v>2.5000000000000001E-2</v>
      </c>
      <c r="E42" s="105">
        <f t="shared" ref="E42:F56" si="7">E9</f>
        <v>0.9</v>
      </c>
      <c r="F42" s="103">
        <f t="shared" si="7"/>
        <v>0.1293612513755926</v>
      </c>
      <c r="G42" s="103">
        <f>F42-D42</f>
        <v>0.1043612513755926</v>
      </c>
      <c r="H42" s="103">
        <f>IFERROR(G42*E42+D42,"")</f>
        <v>0.11892512623803334</v>
      </c>
      <c r="I42" s="172">
        <f>IFERROR((0.25*G42)+(0.75*E42*G42)+D42,"")</f>
        <v>0.12153415752242316</v>
      </c>
    </row>
    <row r="43" spans="2:9">
      <c r="B43" t="str">
        <f t="shared" si="6"/>
        <v>Alliant Energy Corporation</v>
      </c>
      <c r="C43" t="str">
        <f t="shared" si="6"/>
        <v>LNT</v>
      </c>
      <c r="D43" s="103">
        <f>D42</f>
        <v>2.5000000000000001E-2</v>
      </c>
      <c r="E43" s="105">
        <f t="shared" si="7"/>
        <v>0.85</v>
      </c>
      <c r="F43" s="103">
        <f t="shared" si="7"/>
        <v>0.1293612513755926</v>
      </c>
      <c r="G43" s="103">
        <f t="shared" ref="G43:G56" si="8">F43-D43</f>
        <v>0.1043612513755926</v>
      </c>
      <c r="H43" s="103">
        <f t="shared" ref="H43:H56" si="9">IFERROR(G43*E43+D43,"")</f>
        <v>0.11370706366925371</v>
      </c>
      <c r="I43" s="173">
        <f t="shared" ref="I43:I56" si="10">IFERROR((0.25*G43)+(0.75*E43*G43)+D43,"")</f>
        <v>0.11762061059583842</v>
      </c>
    </row>
    <row r="44" spans="2:9">
      <c r="B44" t="str">
        <f t="shared" si="6"/>
        <v>Ameren Corporation</v>
      </c>
      <c r="C44" t="str">
        <f t="shared" si="6"/>
        <v>AEE</v>
      </c>
      <c r="D44" s="103">
        <f t="shared" ref="D44:D56" si="11">D43</f>
        <v>2.5000000000000001E-2</v>
      </c>
      <c r="E44" s="105">
        <f t="shared" si="7"/>
        <v>0.85</v>
      </c>
      <c r="F44" s="103">
        <f t="shared" si="7"/>
        <v>0.1293612513755926</v>
      </c>
      <c r="G44" s="103">
        <f t="shared" si="8"/>
        <v>0.1043612513755926</v>
      </c>
      <c r="H44" s="103">
        <f t="shared" si="9"/>
        <v>0.11370706366925371</v>
      </c>
      <c r="I44" s="173">
        <f t="shared" si="10"/>
        <v>0.11762061059583842</v>
      </c>
    </row>
    <row r="45" spans="2:9">
      <c r="B45" t="str">
        <f t="shared" si="6"/>
        <v>American Electric Power Company, Inc.</v>
      </c>
      <c r="C45" t="str">
        <f t="shared" si="6"/>
        <v>AEP</v>
      </c>
      <c r="D45" s="103">
        <f t="shared" si="11"/>
        <v>2.5000000000000001E-2</v>
      </c>
      <c r="E45" s="105">
        <f t="shared" si="7"/>
        <v>0.75</v>
      </c>
      <c r="F45" s="103">
        <f t="shared" si="7"/>
        <v>0.1293612513755926</v>
      </c>
      <c r="G45" s="103">
        <f t="shared" si="8"/>
        <v>0.1043612513755926</v>
      </c>
      <c r="H45" s="103">
        <f t="shared" si="9"/>
        <v>0.10327093853169445</v>
      </c>
      <c r="I45" s="173">
        <f t="shared" si="10"/>
        <v>0.10979351674266899</v>
      </c>
    </row>
    <row r="46" spans="2:9">
      <c r="B46" t="str">
        <f t="shared" si="6"/>
        <v>Avista Corporation</v>
      </c>
      <c r="C46" t="str">
        <f t="shared" si="6"/>
        <v>AVA</v>
      </c>
      <c r="D46" s="103">
        <f t="shared" si="11"/>
        <v>2.5000000000000001E-2</v>
      </c>
      <c r="E46" s="105">
        <f t="shared" si="7"/>
        <v>0.95</v>
      </c>
      <c r="F46" s="103">
        <f t="shared" si="7"/>
        <v>0.1293612513755926</v>
      </c>
      <c r="G46" s="103">
        <f t="shared" si="8"/>
        <v>0.1043612513755926</v>
      </c>
      <c r="H46" s="103">
        <f t="shared" si="9"/>
        <v>0.12414318880681297</v>
      </c>
      <c r="I46" s="173">
        <f t="shared" si="10"/>
        <v>0.12544770444900788</v>
      </c>
    </row>
    <row r="47" spans="2:9">
      <c r="B47" t="str">
        <f t="shared" si="6"/>
        <v>Duke Energy Corporation</v>
      </c>
      <c r="C47" t="str">
        <f t="shared" si="6"/>
        <v>DUK</v>
      </c>
      <c r="D47" s="103">
        <f t="shared" si="11"/>
        <v>2.5000000000000001E-2</v>
      </c>
      <c r="E47" s="105">
        <f t="shared" si="7"/>
        <v>0.9</v>
      </c>
      <c r="F47" s="103">
        <f t="shared" si="7"/>
        <v>0.1293612513755926</v>
      </c>
      <c r="G47" s="103">
        <f t="shared" si="8"/>
        <v>0.1043612513755926</v>
      </c>
      <c r="H47" s="103">
        <f t="shared" si="9"/>
        <v>0.11892512623803334</v>
      </c>
      <c r="I47" s="173">
        <f t="shared" si="10"/>
        <v>0.12153415752242316</v>
      </c>
    </row>
    <row r="48" spans="2:9">
      <c r="B48" t="str">
        <f t="shared" si="6"/>
        <v>Entergy Corporation</v>
      </c>
      <c r="C48" t="str">
        <f t="shared" si="6"/>
        <v>ETR</v>
      </c>
      <c r="D48" s="103">
        <f t="shared" si="11"/>
        <v>2.5000000000000001E-2</v>
      </c>
      <c r="E48" s="105">
        <f t="shared" si="7"/>
        <v>0.95</v>
      </c>
      <c r="F48" s="103">
        <f t="shared" si="7"/>
        <v>0.1293612513755926</v>
      </c>
      <c r="G48" s="103">
        <f t="shared" si="8"/>
        <v>0.1043612513755926</v>
      </c>
      <c r="H48" s="103">
        <f t="shared" si="9"/>
        <v>0.12414318880681297</v>
      </c>
      <c r="I48" s="173">
        <f t="shared" si="10"/>
        <v>0.12544770444900788</v>
      </c>
    </row>
    <row r="49" spans="2:9">
      <c r="B49" t="str">
        <f t="shared" si="6"/>
        <v>IDACORP, Inc.</v>
      </c>
      <c r="C49" t="str">
        <f t="shared" si="6"/>
        <v>IDA</v>
      </c>
      <c r="D49" s="103">
        <f t="shared" si="11"/>
        <v>2.5000000000000001E-2</v>
      </c>
      <c r="E49" s="105">
        <f t="shared" si="7"/>
        <v>0.85</v>
      </c>
      <c r="F49" s="103">
        <f t="shared" si="7"/>
        <v>0.1293612513755926</v>
      </c>
      <c r="G49" s="103">
        <f t="shared" si="8"/>
        <v>0.1043612513755926</v>
      </c>
      <c r="H49" s="103">
        <f t="shared" si="9"/>
        <v>0.11370706366925371</v>
      </c>
      <c r="I49" s="173">
        <f t="shared" si="10"/>
        <v>0.11762061059583842</v>
      </c>
    </row>
    <row r="50" spans="2:9">
      <c r="B50" t="str">
        <f t="shared" si="6"/>
        <v>MGE Energy, Inc.</v>
      </c>
      <c r="C50" t="str">
        <f t="shared" si="6"/>
        <v>MGEE</v>
      </c>
      <c r="D50" s="103">
        <f t="shared" si="11"/>
        <v>2.5000000000000001E-2</v>
      </c>
      <c r="E50" s="105">
        <f t="shared" si="7"/>
        <v>0.75</v>
      </c>
      <c r="F50" s="103">
        <f t="shared" si="7"/>
        <v>0.1293612513755926</v>
      </c>
      <c r="G50" s="103">
        <f t="shared" si="8"/>
        <v>0.1043612513755926</v>
      </c>
      <c r="H50" s="103">
        <f t="shared" si="9"/>
        <v>0.10327093853169445</v>
      </c>
      <c r="I50" s="173">
        <f t="shared" si="10"/>
        <v>0.10979351674266899</v>
      </c>
    </row>
    <row r="51" spans="2:9">
      <c r="B51" t="str">
        <f t="shared" si="6"/>
        <v>NextEra Energy, Inc.</v>
      </c>
      <c r="C51" t="str">
        <f t="shared" si="6"/>
        <v>NEE</v>
      </c>
      <c r="D51" s="103">
        <f t="shared" si="11"/>
        <v>2.5000000000000001E-2</v>
      </c>
      <c r="E51" s="105">
        <f t="shared" si="7"/>
        <v>0.95</v>
      </c>
      <c r="F51" s="103">
        <f t="shared" si="7"/>
        <v>0.1293612513755926</v>
      </c>
      <c r="G51" s="103">
        <f t="shared" si="8"/>
        <v>0.1043612513755926</v>
      </c>
      <c r="H51" s="103">
        <f t="shared" si="9"/>
        <v>0.12414318880681297</v>
      </c>
      <c r="I51" s="173">
        <f t="shared" si="10"/>
        <v>0.12544770444900788</v>
      </c>
    </row>
    <row r="52" spans="2:9">
      <c r="B52" t="str">
        <f t="shared" si="6"/>
        <v>NorthWestern Corporation</v>
      </c>
      <c r="C52" t="str">
        <f t="shared" si="6"/>
        <v>NWE</v>
      </c>
      <c r="D52" s="103">
        <f t="shared" si="11"/>
        <v>2.5000000000000001E-2</v>
      </c>
      <c r="E52" s="105">
        <f t="shared" si="7"/>
        <v>0.95</v>
      </c>
      <c r="F52" s="103">
        <f t="shared" si="7"/>
        <v>0.1293612513755926</v>
      </c>
      <c r="G52" s="103">
        <f t="shared" si="8"/>
        <v>0.1043612513755926</v>
      </c>
      <c r="H52" s="103">
        <f t="shared" si="9"/>
        <v>0.12414318880681297</v>
      </c>
      <c r="I52" s="173">
        <f t="shared" si="10"/>
        <v>0.12544770444900788</v>
      </c>
    </row>
    <row r="53" spans="2:9">
      <c r="B53" t="str">
        <f t="shared" si="6"/>
        <v>Otter Tail Corporation</v>
      </c>
      <c r="C53" t="str">
        <f t="shared" si="6"/>
        <v>OTTR</v>
      </c>
      <c r="D53" s="103">
        <f t="shared" si="11"/>
        <v>2.5000000000000001E-2</v>
      </c>
      <c r="E53" s="105">
        <f t="shared" si="7"/>
        <v>0.9</v>
      </c>
      <c r="F53" s="103">
        <f t="shared" si="7"/>
        <v>0.1293612513755926</v>
      </c>
      <c r="G53" s="103">
        <f t="shared" si="8"/>
        <v>0.1043612513755926</v>
      </c>
      <c r="H53" s="103">
        <f t="shared" si="9"/>
        <v>0.11892512623803334</v>
      </c>
      <c r="I53" s="173">
        <f t="shared" si="10"/>
        <v>0.12153415752242316</v>
      </c>
    </row>
    <row r="54" spans="2:9">
      <c r="B54" t="str">
        <f t="shared" si="6"/>
        <v>Portland General Electric Company</v>
      </c>
      <c r="C54" t="str">
        <f t="shared" si="6"/>
        <v>POR</v>
      </c>
      <c r="D54" s="103">
        <f>D53</f>
        <v>2.5000000000000001E-2</v>
      </c>
      <c r="E54" s="105">
        <f t="shared" si="7"/>
        <v>0.9</v>
      </c>
      <c r="F54" s="103">
        <f t="shared" si="7"/>
        <v>0.1293612513755926</v>
      </c>
      <c r="G54" s="103">
        <f t="shared" si="8"/>
        <v>0.1043612513755926</v>
      </c>
      <c r="H54" s="103">
        <f t="shared" si="9"/>
        <v>0.11892512623803334</v>
      </c>
      <c r="I54" s="173">
        <f t="shared" si="10"/>
        <v>0.12153415752242316</v>
      </c>
    </row>
    <row r="55" spans="2:9">
      <c r="B55" t="str">
        <f t="shared" si="6"/>
        <v>Southern Company</v>
      </c>
      <c r="C55" t="str">
        <f t="shared" si="6"/>
        <v>SO</v>
      </c>
      <c r="D55" s="103">
        <f t="shared" si="11"/>
        <v>2.5000000000000001E-2</v>
      </c>
      <c r="E55" s="105">
        <f t="shared" si="7"/>
        <v>0.95</v>
      </c>
      <c r="F55" s="103">
        <f t="shared" si="7"/>
        <v>0.1293612513755926</v>
      </c>
      <c r="G55" s="103">
        <f t="shared" si="8"/>
        <v>0.1043612513755926</v>
      </c>
      <c r="H55" s="103">
        <f t="shared" si="9"/>
        <v>0.12414318880681297</v>
      </c>
      <c r="I55" s="173">
        <f t="shared" si="10"/>
        <v>0.12544770444900788</v>
      </c>
    </row>
    <row r="56" spans="2:9">
      <c r="B56" t="str">
        <f t="shared" si="6"/>
        <v>Xcel Energy Inc.</v>
      </c>
      <c r="C56" t="str">
        <f t="shared" si="6"/>
        <v>XEL</v>
      </c>
      <c r="D56" s="103">
        <f t="shared" si="11"/>
        <v>2.5000000000000001E-2</v>
      </c>
      <c r="E56" s="105">
        <f t="shared" si="7"/>
        <v>0.8</v>
      </c>
      <c r="F56" s="103">
        <f t="shared" si="7"/>
        <v>0.1293612513755926</v>
      </c>
      <c r="G56" s="103">
        <f t="shared" si="8"/>
        <v>0.1043612513755926</v>
      </c>
      <c r="H56" s="103">
        <f t="shared" si="9"/>
        <v>0.10848900110047408</v>
      </c>
      <c r="I56" s="174">
        <f t="shared" si="10"/>
        <v>0.11370706366925373</v>
      </c>
    </row>
    <row r="57" spans="2:9" ht="13.15" thickBot="1">
      <c r="B57" s="106" t="s">
        <v>718</v>
      </c>
      <c r="C57" s="106"/>
      <c r="D57" s="106"/>
      <c r="E57" s="106"/>
      <c r="F57" s="106"/>
      <c r="G57" s="106"/>
      <c r="H57" s="107">
        <f>AVERAGE(H42:H56)</f>
        <v>0.11683790121052147</v>
      </c>
      <c r="I57" s="107">
        <f>AVERAGE(I42:I56)</f>
        <v>0.11996873875178925</v>
      </c>
    </row>
    <row r="59" spans="2:9">
      <c r="B59" s="108" t="s">
        <v>22</v>
      </c>
    </row>
    <row r="60" spans="2:9">
      <c r="B60" s="109" t="s">
        <v>1331</v>
      </c>
    </row>
    <row r="61" spans="2:9">
      <c r="B61" s="109" t="s">
        <v>1094</v>
      </c>
    </row>
    <row r="62" spans="2:9">
      <c r="B62" s="109" t="str">
        <f>B29</f>
        <v>[3] Source: Schedule AEB-6</v>
      </c>
    </row>
    <row r="63" spans="2:9">
      <c r="B63" s="97" t="s">
        <v>1090</v>
      </c>
    </row>
    <row r="64" spans="2:9">
      <c r="B64" s="97" t="s">
        <v>1091</v>
      </c>
    </row>
    <row r="65" spans="2:9">
      <c r="B65" s="97" t="s">
        <v>1092</v>
      </c>
    </row>
    <row r="68" spans="2:9" ht="13.15" customHeight="1">
      <c r="B68" s="494" t="s">
        <v>1095</v>
      </c>
      <c r="C68" s="494"/>
      <c r="D68" s="494"/>
      <c r="E68" s="494"/>
      <c r="F68" s="494"/>
      <c r="G68" s="494"/>
      <c r="H68" s="494"/>
      <c r="I68" s="494"/>
    </row>
    <row r="69" spans="2:9">
      <c r="B69" s="97"/>
      <c r="C69" s="97"/>
      <c r="D69" s="97"/>
      <c r="E69" s="97"/>
      <c r="F69" s="97"/>
      <c r="G69" s="97"/>
      <c r="H69" s="97"/>
    </row>
    <row r="70" spans="2:9">
      <c r="B70" s="495" t="s">
        <v>1082</v>
      </c>
      <c r="C70" s="495"/>
      <c r="D70" s="495"/>
      <c r="E70" s="495"/>
      <c r="F70" s="495"/>
      <c r="G70" s="495"/>
      <c r="H70" s="495"/>
      <c r="I70" s="495"/>
    </row>
    <row r="71" spans="2:9">
      <c r="B71" s="494" t="s">
        <v>1327</v>
      </c>
      <c r="C71" s="494"/>
      <c r="D71" s="494"/>
      <c r="E71" s="494"/>
      <c r="F71" s="494"/>
      <c r="G71" s="494"/>
      <c r="H71" s="494"/>
      <c r="I71" s="494"/>
    </row>
    <row r="72" spans="2:9">
      <c r="B72" s="97"/>
      <c r="C72" s="97"/>
      <c r="D72" s="97"/>
      <c r="E72" s="97"/>
      <c r="F72" s="97"/>
      <c r="G72" s="97"/>
      <c r="H72" s="97"/>
    </row>
    <row r="73" spans="2:9" ht="13.15" thickBot="1">
      <c r="B73" s="97"/>
      <c r="C73" s="97"/>
      <c r="D73" s="98" t="s">
        <v>0</v>
      </c>
      <c r="E73" s="98" t="s">
        <v>1</v>
      </c>
      <c r="F73" s="98" t="s">
        <v>2</v>
      </c>
      <c r="G73" s="98" t="s">
        <v>3</v>
      </c>
      <c r="H73" s="98" t="s">
        <v>4</v>
      </c>
      <c r="I73" s="98" t="s">
        <v>5</v>
      </c>
    </row>
    <row r="74" spans="2:9" ht="51">
      <c r="B74" s="99" t="s">
        <v>11</v>
      </c>
      <c r="C74" s="99" t="s">
        <v>12</v>
      </c>
      <c r="D74" s="100" t="s">
        <v>1096</v>
      </c>
      <c r="E74" s="101" t="s">
        <v>1084</v>
      </c>
      <c r="F74" s="101" t="s">
        <v>1085</v>
      </c>
      <c r="G74" s="101" t="s">
        <v>1086</v>
      </c>
      <c r="H74" s="102" t="s">
        <v>1087</v>
      </c>
      <c r="I74" s="102" t="s">
        <v>1088</v>
      </c>
    </row>
    <row r="75" spans="2:9">
      <c r="B75" t="str">
        <f t="shared" ref="B75:C89" si="12">B9</f>
        <v>ALLETE, Inc.</v>
      </c>
      <c r="C75" t="str">
        <f t="shared" si="12"/>
        <v>ALE</v>
      </c>
      <c r="D75" s="103">
        <v>3.5000000000000003E-2</v>
      </c>
      <c r="E75" s="105">
        <f t="shared" ref="E75:F89" si="13">E9</f>
        <v>0.9</v>
      </c>
      <c r="F75" s="103">
        <f t="shared" si="13"/>
        <v>0.1293612513755926</v>
      </c>
      <c r="G75" s="103">
        <f>F75-D75</f>
        <v>9.4361251375592592E-2</v>
      </c>
      <c r="H75" s="103">
        <f>IFERROR(G75*E75+D75,"")</f>
        <v>0.11992512623803334</v>
      </c>
      <c r="I75" s="172">
        <f>IFERROR((0.25*G75)+(0.75*E75*G75)+D75,"")</f>
        <v>0.12228415752242315</v>
      </c>
    </row>
    <row r="76" spans="2:9">
      <c r="B76" t="str">
        <f t="shared" si="12"/>
        <v>Alliant Energy Corporation</v>
      </c>
      <c r="C76" t="str">
        <f t="shared" si="12"/>
        <v>LNT</v>
      </c>
      <c r="D76" s="103">
        <f>D75</f>
        <v>3.5000000000000003E-2</v>
      </c>
      <c r="E76" s="105">
        <f t="shared" si="13"/>
        <v>0.85</v>
      </c>
      <c r="F76" s="103">
        <f t="shared" si="13"/>
        <v>0.1293612513755926</v>
      </c>
      <c r="G76" s="103">
        <f t="shared" ref="G76:G89" si="14">F76-D76</f>
        <v>9.4361251375592592E-2</v>
      </c>
      <c r="H76" s="103">
        <f t="shared" ref="H76:H89" si="15">IFERROR(G76*E76+D76,"")</f>
        <v>0.11520706366925371</v>
      </c>
      <c r="I76" s="173">
        <f t="shared" ref="I76:I89" si="16">IFERROR((0.25*G76)+(0.75*E76*G76)+D76,"")</f>
        <v>0.11874561059583842</v>
      </c>
    </row>
    <row r="77" spans="2:9">
      <c r="B77" t="str">
        <f t="shared" si="12"/>
        <v>Ameren Corporation</v>
      </c>
      <c r="C77" t="str">
        <f t="shared" si="12"/>
        <v>AEE</v>
      </c>
      <c r="D77" s="103">
        <f t="shared" ref="D77:D89" si="17">D76</f>
        <v>3.5000000000000003E-2</v>
      </c>
      <c r="E77" s="105">
        <f t="shared" si="13"/>
        <v>0.85</v>
      </c>
      <c r="F77" s="103">
        <f t="shared" si="13"/>
        <v>0.1293612513755926</v>
      </c>
      <c r="G77" s="103">
        <f t="shared" si="14"/>
        <v>9.4361251375592592E-2</v>
      </c>
      <c r="H77" s="103">
        <f t="shared" si="15"/>
        <v>0.11520706366925371</v>
      </c>
      <c r="I77" s="173">
        <f t="shared" si="16"/>
        <v>0.11874561059583842</v>
      </c>
    </row>
    <row r="78" spans="2:9">
      <c r="B78" t="str">
        <f t="shared" si="12"/>
        <v>American Electric Power Company, Inc.</v>
      </c>
      <c r="C78" t="str">
        <f t="shared" si="12"/>
        <v>AEP</v>
      </c>
      <c r="D78" s="103">
        <f t="shared" si="17"/>
        <v>3.5000000000000003E-2</v>
      </c>
      <c r="E78" s="105">
        <f t="shared" si="13"/>
        <v>0.75</v>
      </c>
      <c r="F78" s="103">
        <f t="shared" si="13"/>
        <v>0.1293612513755926</v>
      </c>
      <c r="G78" s="103">
        <f t="shared" si="14"/>
        <v>9.4361251375592592E-2</v>
      </c>
      <c r="H78" s="103">
        <f t="shared" si="15"/>
        <v>0.10577093853169445</v>
      </c>
      <c r="I78" s="173">
        <f t="shared" si="16"/>
        <v>0.11166851674266898</v>
      </c>
    </row>
    <row r="79" spans="2:9">
      <c r="B79" t="str">
        <f t="shared" si="12"/>
        <v>Avista Corporation</v>
      </c>
      <c r="C79" t="str">
        <f t="shared" si="12"/>
        <v>AVA</v>
      </c>
      <c r="D79" s="103">
        <f t="shared" si="17"/>
        <v>3.5000000000000003E-2</v>
      </c>
      <c r="E79" s="105">
        <f t="shared" si="13"/>
        <v>0.95</v>
      </c>
      <c r="F79" s="103">
        <f t="shared" si="13"/>
        <v>0.1293612513755926</v>
      </c>
      <c r="G79" s="103">
        <f t="shared" si="14"/>
        <v>9.4361251375592592E-2</v>
      </c>
      <c r="H79" s="103">
        <f t="shared" si="15"/>
        <v>0.12464318880681297</v>
      </c>
      <c r="I79" s="173">
        <f t="shared" si="16"/>
        <v>0.12582270444900787</v>
      </c>
    </row>
    <row r="80" spans="2:9">
      <c r="B80" t="str">
        <f t="shared" si="12"/>
        <v>Duke Energy Corporation</v>
      </c>
      <c r="C80" t="str">
        <f t="shared" si="12"/>
        <v>DUK</v>
      </c>
      <c r="D80" s="103">
        <f t="shared" si="17"/>
        <v>3.5000000000000003E-2</v>
      </c>
      <c r="E80" s="105">
        <f t="shared" si="13"/>
        <v>0.9</v>
      </c>
      <c r="F80" s="103">
        <f t="shared" si="13"/>
        <v>0.1293612513755926</v>
      </c>
      <c r="G80" s="103">
        <f t="shared" si="14"/>
        <v>9.4361251375592592E-2</v>
      </c>
      <c r="H80" s="103">
        <f t="shared" si="15"/>
        <v>0.11992512623803334</v>
      </c>
      <c r="I80" s="173">
        <f t="shared" si="16"/>
        <v>0.12228415752242315</v>
      </c>
    </row>
    <row r="81" spans="2:9">
      <c r="B81" t="str">
        <f t="shared" si="12"/>
        <v>Entergy Corporation</v>
      </c>
      <c r="C81" t="str">
        <f t="shared" si="12"/>
        <v>ETR</v>
      </c>
      <c r="D81" s="103">
        <f t="shared" si="17"/>
        <v>3.5000000000000003E-2</v>
      </c>
      <c r="E81" s="105">
        <f t="shared" si="13"/>
        <v>0.95</v>
      </c>
      <c r="F81" s="103">
        <f t="shared" si="13"/>
        <v>0.1293612513755926</v>
      </c>
      <c r="G81" s="103">
        <f t="shared" si="14"/>
        <v>9.4361251375592592E-2</v>
      </c>
      <c r="H81" s="103">
        <f t="shared" si="15"/>
        <v>0.12464318880681297</v>
      </c>
      <c r="I81" s="173">
        <f t="shared" si="16"/>
        <v>0.12582270444900787</v>
      </c>
    </row>
    <row r="82" spans="2:9">
      <c r="B82" t="str">
        <f t="shared" si="12"/>
        <v>IDACORP, Inc.</v>
      </c>
      <c r="C82" t="str">
        <f t="shared" si="12"/>
        <v>IDA</v>
      </c>
      <c r="D82" s="103">
        <f t="shared" si="17"/>
        <v>3.5000000000000003E-2</v>
      </c>
      <c r="E82" s="105">
        <f t="shared" si="13"/>
        <v>0.85</v>
      </c>
      <c r="F82" s="103">
        <f t="shared" si="13"/>
        <v>0.1293612513755926</v>
      </c>
      <c r="G82" s="103">
        <f t="shared" si="14"/>
        <v>9.4361251375592592E-2</v>
      </c>
      <c r="H82" s="103">
        <f t="shared" si="15"/>
        <v>0.11520706366925371</v>
      </c>
      <c r="I82" s="173">
        <f t="shared" si="16"/>
        <v>0.11874561059583842</v>
      </c>
    </row>
    <row r="83" spans="2:9">
      <c r="B83" t="str">
        <f t="shared" si="12"/>
        <v>MGE Energy, Inc.</v>
      </c>
      <c r="C83" t="str">
        <f t="shared" si="12"/>
        <v>MGEE</v>
      </c>
      <c r="D83" s="103">
        <f t="shared" si="17"/>
        <v>3.5000000000000003E-2</v>
      </c>
      <c r="E83" s="105">
        <f t="shared" si="13"/>
        <v>0.75</v>
      </c>
      <c r="F83" s="103">
        <f t="shared" si="13"/>
        <v>0.1293612513755926</v>
      </c>
      <c r="G83" s="103">
        <f t="shared" si="14"/>
        <v>9.4361251375592592E-2</v>
      </c>
      <c r="H83" s="103">
        <f t="shared" si="15"/>
        <v>0.10577093853169445</v>
      </c>
      <c r="I83" s="173">
        <f t="shared" si="16"/>
        <v>0.11166851674266898</v>
      </c>
    </row>
    <row r="84" spans="2:9">
      <c r="B84" t="str">
        <f t="shared" si="12"/>
        <v>NextEra Energy, Inc.</v>
      </c>
      <c r="C84" t="str">
        <f t="shared" si="12"/>
        <v>NEE</v>
      </c>
      <c r="D84" s="103">
        <f t="shared" si="17"/>
        <v>3.5000000000000003E-2</v>
      </c>
      <c r="E84" s="105">
        <f t="shared" si="13"/>
        <v>0.95</v>
      </c>
      <c r="F84" s="103">
        <f t="shared" si="13"/>
        <v>0.1293612513755926</v>
      </c>
      <c r="G84" s="103">
        <f t="shared" si="14"/>
        <v>9.4361251375592592E-2</v>
      </c>
      <c r="H84" s="103">
        <f t="shared" si="15"/>
        <v>0.12464318880681297</v>
      </c>
      <c r="I84" s="173">
        <f t="shared" si="16"/>
        <v>0.12582270444900787</v>
      </c>
    </row>
    <row r="85" spans="2:9">
      <c r="B85" t="str">
        <f t="shared" si="12"/>
        <v>NorthWestern Corporation</v>
      </c>
      <c r="C85" t="str">
        <f t="shared" si="12"/>
        <v>NWE</v>
      </c>
      <c r="D85" s="103">
        <f t="shared" si="17"/>
        <v>3.5000000000000003E-2</v>
      </c>
      <c r="E85" s="105">
        <f t="shared" si="13"/>
        <v>0.95</v>
      </c>
      <c r="F85" s="103">
        <f t="shared" si="13"/>
        <v>0.1293612513755926</v>
      </c>
      <c r="G85" s="103">
        <f t="shared" si="14"/>
        <v>9.4361251375592592E-2</v>
      </c>
      <c r="H85" s="103">
        <f t="shared" si="15"/>
        <v>0.12464318880681297</v>
      </c>
      <c r="I85" s="173">
        <f t="shared" si="16"/>
        <v>0.12582270444900787</v>
      </c>
    </row>
    <row r="86" spans="2:9">
      <c r="B86" t="str">
        <f t="shared" si="12"/>
        <v>Otter Tail Corporation</v>
      </c>
      <c r="C86" t="str">
        <f t="shared" si="12"/>
        <v>OTTR</v>
      </c>
      <c r="D86" s="103">
        <f t="shared" si="17"/>
        <v>3.5000000000000003E-2</v>
      </c>
      <c r="E86" s="105">
        <f t="shared" si="13"/>
        <v>0.9</v>
      </c>
      <c r="F86" s="103">
        <f t="shared" si="13"/>
        <v>0.1293612513755926</v>
      </c>
      <c r="G86" s="103">
        <f t="shared" si="14"/>
        <v>9.4361251375592592E-2</v>
      </c>
      <c r="H86" s="103">
        <f t="shared" si="15"/>
        <v>0.11992512623803334</v>
      </c>
      <c r="I86" s="173">
        <f t="shared" si="16"/>
        <v>0.12228415752242315</v>
      </c>
    </row>
    <row r="87" spans="2:9">
      <c r="B87" t="str">
        <f t="shared" si="12"/>
        <v>Portland General Electric Company</v>
      </c>
      <c r="C87" t="str">
        <f t="shared" si="12"/>
        <v>POR</v>
      </c>
      <c r="D87" s="103">
        <f>D86</f>
        <v>3.5000000000000003E-2</v>
      </c>
      <c r="E87" s="105">
        <f t="shared" si="13"/>
        <v>0.9</v>
      </c>
      <c r="F87" s="103">
        <f t="shared" si="13"/>
        <v>0.1293612513755926</v>
      </c>
      <c r="G87" s="103">
        <f t="shared" si="14"/>
        <v>9.4361251375592592E-2</v>
      </c>
      <c r="H87" s="103">
        <f t="shared" si="15"/>
        <v>0.11992512623803334</v>
      </c>
      <c r="I87" s="173">
        <f t="shared" si="16"/>
        <v>0.12228415752242315</v>
      </c>
    </row>
    <row r="88" spans="2:9">
      <c r="B88" t="str">
        <f t="shared" si="12"/>
        <v>Southern Company</v>
      </c>
      <c r="C88" t="str">
        <f t="shared" si="12"/>
        <v>SO</v>
      </c>
      <c r="D88" s="103">
        <f t="shared" si="17"/>
        <v>3.5000000000000003E-2</v>
      </c>
      <c r="E88" s="105">
        <f t="shared" si="13"/>
        <v>0.95</v>
      </c>
      <c r="F88" s="103">
        <f t="shared" si="13"/>
        <v>0.1293612513755926</v>
      </c>
      <c r="G88" s="103">
        <f t="shared" si="14"/>
        <v>9.4361251375592592E-2</v>
      </c>
      <c r="H88" s="103">
        <f t="shared" si="15"/>
        <v>0.12464318880681297</v>
      </c>
      <c r="I88" s="173">
        <f t="shared" si="16"/>
        <v>0.12582270444900787</v>
      </c>
    </row>
    <row r="89" spans="2:9">
      <c r="B89" t="str">
        <f t="shared" si="12"/>
        <v>Xcel Energy Inc.</v>
      </c>
      <c r="C89" t="str">
        <f t="shared" si="12"/>
        <v>XEL</v>
      </c>
      <c r="D89" s="103">
        <f t="shared" si="17"/>
        <v>3.5000000000000003E-2</v>
      </c>
      <c r="E89" s="105">
        <f t="shared" si="13"/>
        <v>0.8</v>
      </c>
      <c r="F89" s="103">
        <f t="shared" si="13"/>
        <v>0.1293612513755926</v>
      </c>
      <c r="G89" s="103">
        <f t="shared" si="14"/>
        <v>9.4361251375592592E-2</v>
      </c>
      <c r="H89" s="103">
        <f t="shared" si="15"/>
        <v>0.11048900110047408</v>
      </c>
      <c r="I89" s="174">
        <f t="shared" si="16"/>
        <v>0.11520706366925371</v>
      </c>
    </row>
    <row r="90" spans="2:9" ht="13.15" thickBot="1">
      <c r="B90" s="106" t="s">
        <v>718</v>
      </c>
      <c r="C90" s="106"/>
      <c r="D90" s="106"/>
      <c r="E90" s="106"/>
      <c r="F90" s="106"/>
      <c r="G90" s="106"/>
      <c r="H90" s="107">
        <f>AVERAGE(H75:H89)</f>
        <v>0.11803790121052148</v>
      </c>
      <c r="I90" s="107">
        <f>AVERAGE(I75:I89)</f>
        <v>0.12086873875178927</v>
      </c>
    </row>
    <row r="92" spans="2:9">
      <c r="B92" s="108" t="s">
        <v>22</v>
      </c>
    </row>
    <row r="93" spans="2:9">
      <c r="B93" s="97" t="s">
        <v>1097</v>
      </c>
    </row>
    <row r="94" spans="2:9">
      <c r="B94" s="109" t="s">
        <v>1094</v>
      </c>
    </row>
    <row r="95" spans="2:9">
      <c r="B95" s="109" t="str">
        <f>B29</f>
        <v>[3] Source: Schedule AEB-6</v>
      </c>
    </row>
    <row r="96" spans="2:9">
      <c r="B96" s="97" t="s">
        <v>1090</v>
      </c>
    </row>
    <row r="97" spans="2:9">
      <c r="B97" s="97" t="s">
        <v>1091</v>
      </c>
    </row>
    <row r="98" spans="2:9">
      <c r="B98" t="s">
        <v>1092</v>
      </c>
    </row>
    <row r="101" spans="2:9" ht="13.15" customHeight="1">
      <c r="B101" s="494" t="s">
        <v>1098</v>
      </c>
      <c r="C101" s="494"/>
      <c r="D101" s="494"/>
      <c r="E101" s="494"/>
      <c r="F101" s="494"/>
      <c r="G101" s="494"/>
      <c r="H101" s="494"/>
      <c r="I101" s="494"/>
    </row>
    <row r="102" spans="2:9">
      <c r="B102" s="97"/>
      <c r="C102" s="97"/>
      <c r="D102" s="97"/>
      <c r="E102" s="97"/>
      <c r="F102" s="97"/>
      <c r="G102" s="97"/>
      <c r="H102" s="97"/>
    </row>
    <row r="103" spans="2:9">
      <c r="B103" s="495" t="s">
        <v>1082</v>
      </c>
      <c r="C103" s="495"/>
      <c r="D103" s="495"/>
      <c r="E103" s="495"/>
      <c r="F103" s="495"/>
      <c r="G103" s="495"/>
      <c r="H103" s="495"/>
      <c r="I103" s="495"/>
    </row>
    <row r="104" spans="2:9">
      <c r="B104" s="494" t="s">
        <v>1327</v>
      </c>
      <c r="C104" s="494"/>
      <c r="D104" s="494"/>
      <c r="E104" s="494"/>
      <c r="F104" s="494"/>
      <c r="G104" s="494"/>
      <c r="H104" s="494"/>
      <c r="I104" s="494"/>
    </row>
    <row r="105" spans="2:9">
      <c r="B105" s="97"/>
      <c r="C105" s="97"/>
      <c r="D105" s="97"/>
      <c r="E105" s="97"/>
      <c r="F105" s="97"/>
      <c r="G105" s="97"/>
      <c r="H105" s="97"/>
    </row>
    <row r="106" spans="2:9" ht="13.15" thickBot="1">
      <c r="B106" s="97"/>
      <c r="C106" s="97"/>
      <c r="D106" s="98" t="s">
        <v>0</v>
      </c>
      <c r="E106" s="98" t="s">
        <v>1</v>
      </c>
      <c r="F106" s="98" t="s">
        <v>2</v>
      </c>
      <c r="G106" s="98" t="s">
        <v>3</v>
      </c>
      <c r="H106" s="98" t="s">
        <v>4</v>
      </c>
      <c r="I106" s="98" t="s">
        <v>5</v>
      </c>
    </row>
    <row r="107" spans="2:9" ht="51">
      <c r="B107" s="99" t="s">
        <v>11</v>
      </c>
      <c r="C107" s="99" t="s">
        <v>12</v>
      </c>
      <c r="D107" s="100" t="s">
        <v>1083</v>
      </c>
      <c r="E107" s="101" t="s">
        <v>1084</v>
      </c>
      <c r="F107" s="101" t="s">
        <v>1085</v>
      </c>
      <c r="G107" s="101" t="s">
        <v>1086</v>
      </c>
      <c r="H107" s="102" t="s">
        <v>1087</v>
      </c>
      <c r="I107" s="102" t="s">
        <v>1088</v>
      </c>
    </row>
    <row r="108" spans="2:9">
      <c r="B108" t="str">
        <f t="shared" ref="B108:D122" si="18">B9</f>
        <v>ALLETE, Inc.</v>
      </c>
      <c r="C108" s="110" t="str">
        <f t="shared" si="18"/>
        <v>ALE</v>
      </c>
      <c r="D108" s="103">
        <f t="shared" si="18"/>
        <v>1.9270000000000002E-2</v>
      </c>
      <c r="E108" s="105">
        <v>0.84632684739817232</v>
      </c>
      <c r="F108" s="103">
        <f t="shared" ref="F108:F122" si="19">F9</f>
        <v>0.1293612513755926</v>
      </c>
      <c r="G108" s="103">
        <f>F108-D108</f>
        <v>0.11009125137559259</v>
      </c>
      <c r="H108" s="103">
        <f>IFERROR(G108*E108+D108,"")</f>
        <v>0.11244318170282497</v>
      </c>
      <c r="I108" s="172">
        <f>IFERROR((0.25*G108)+(0.75*E108*G108)+D108,"")</f>
        <v>0.11667269912101688</v>
      </c>
    </row>
    <row r="109" spans="2:9">
      <c r="B109" t="str">
        <f t="shared" si="18"/>
        <v>Alliant Energy Corporation</v>
      </c>
      <c r="C109" s="110" t="str">
        <f t="shared" si="18"/>
        <v>LNT</v>
      </c>
      <c r="D109" s="103">
        <f t="shared" si="18"/>
        <v>1.9270000000000002E-2</v>
      </c>
      <c r="E109" s="105">
        <v>0.79996727424421954</v>
      </c>
      <c r="F109" s="103">
        <f t="shared" si="19"/>
        <v>0.1293612513755926</v>
      </c>
      <c r="G109" s="103">
        <f t="shared" ref="G109:G122" si="20">F109-D109</f>
        <v>0.11009125137559259</v>
      </c>
      <c r="H109" s="103">
        <f t="shared" ref="H109:H122" si="21">IFERROR(G109*E109+D109,"")</f>
        <v>0.10733939828106798</v>
      </c>
      <c r="I109" s="173">
        <f t="shared" ref="I109:I122" si="22">IFERROR((0.25*G109)+(0.75*E109*G109)+D109,"")</f>
        <v>0.11284486155469914</v>
      </c>
    </row>
    <row r="110" spans="2:9">
      <c r="B110" t="str">
        <f t="shared" si="18"/>
        <v>Ameren Corporation</v>
      </c>
      <c r="C110" s="110" t="str">
        <f t="shared" si="18"/>
        <v>AEE</v>
      </c>
      <c r="D110" s="103">
        <f t="shared" si="18"/>
        <v>1.9270000000000002E-2</v>
      </c>
      <c r="E110" s="105">
        <v>0.75417410793983897</v>
      </c>
      <c r="F110" s="103">
        <f t="shared" si="19"/>
        <v>0.1293612513755926</v>
      </c>
      <c r="G110" s="103">
        <f t="shared" si="20"/>
        <v>0.11009125137559259</v>
      </c>
      <c r="H110" s="103">
        <f t="shared" si="21"/>
        <v>0.10229797129816812</v>
      </c>
      <c r="I110" s="173">
        <f t="shared" si="22"/>
        <v>0.10906379131752422</v>
      </c>
    </row>
    <row r="111" spans="2:9">
      <c r="B111" t="str">
        <f t="shared" si="18"/>
        <v>American Electric Power Company, Inc.</v>
      </c>
      <c r="C111" s="110" t="str">
        <f t="shared" si="18"/>
        <v>AEP</v>
      </c>
      <c r="D111" s="103">
        <f t="shared" si="18"/>
        <v>1.9270000000000002E-2</v>
      </c>
      <c r="E111" s="105">
        <v>0.78569989230583237</v>
      </c>
      <c r="F111" s="103">
        <f t="shared" si="19"/>
        <v>0.1293612513755926</v>
      </c>
      <c r="G111" s="103">
        <f t="shared" si="20"/>
        <v>0.11009125137559259</v>
      </c>
      <c r="H111" s="103">
        <f t="shared" si="21"/>
        <v>0.10576868434961742</v>
      </c>
      <c r="I111" s="173">
        <f t="shared" si="22"/>
        <v>0.1116668261061112</v>
      </c>
    </row>
    <row r="112" spans="2:9">
      <c r="B112" t="str">
        <f t="shared" si="18"/>
        <v>Avista Corporation</v>
      </c>
      <c r="C112" s="110" t="str">
        <f t="shared" si="18"/>
        <v>AVA</v>
      </c>
      <c r="D112" s="103">
        <f t="shared" si="18"/>
        <v>1.9270000000000002E-2</v>
      </c>
      <c r="E112" s="105">
        <v>0.78799335930553993</v>
      </c>
      <c r="F112" s="103">
        <f t="shared" si="19"/>
        <v>0.1293612513755926</v>
      </c>
      <c r="G112" s="103">
        <f t="shared" si="20"/>
        <v>0.11009125137559259</v>
      </c>
      <c r="H112" s="103">
        <f t="shared" si="21"/>
        <v>0.10602117500160385</v>
      </c>
      <c r="I112" s="173">
        <f t="shared" si="22"/>
        <v>0.11185619409510103</v>
      </c>
    </row>
    <row r="113" spans="2:9">
      <c r="B113" t="str">
        <f t="shared" si="18"/>
        <v>Duke Energy Corporation</v>
      </c>
      <c r="C113" s="110" t="str">
        <f t="shared" si="18"/>
        <v>DUK</v>
      </c>
      <c r="D113" s="103">
        <f t="shared" si="18"/>
        <v>1.9270000000000002E-2</v>
      </c>
      <c r="E113" s="105">
        <v>0.72802927150842545</v>
      </c>
      <c r="F113" s="103">
        <f t="shared" si="19"/>
        <v>0.1293612513755926</v>
      </c>
      <c r="G113" s="103">
        <f t="shared" si="20"/>
        <v>0.11009125137559259</v>
      </c>
      <c r="H113" s="103">
        <f t="shared" si="21"/>
        <v>9.9419653538423608E-2</v>
      </c>
      <c r="I113" s="173">
        <f t="shared" si="22"/>
        <v>0.10690505299771585</v>
      </c>
    </row>
    <row r="114" spans="2:9">
      <c r="B114" t="str">
        <f t="shared" si="18"/>
        <v>Entergy Corporation</v>
      </c>
      <c r="C114" s="110" t="str">
        <f t="shared" si="18"/>
        <v>ETR</v>
      </c>
      <c r="D114" s="103">
        <f t="shared" si="18"/>
        <v>1.9270000000000002E-2</v>
      </c>
      <c r="E114" s="105">
        <v>0.85947977046206314</v>
      </c>
      <c r="F114" s="103">
        <f t="shared" si="19"/>
        <v>0.1293612513755926</v>
      </c>
      <c r="G114" s="103">
        <f t="shared" si="20"/>
        <v>0.11009125137559259</v>
      </c>
      <c r="H114" s="103">
        <f t="shared" si="21"/>
        <v>0.1138912034621756</v>
      </c>
      <c r="I114" s="173">
        <f t="shared" si="22"/>
        <v>0.11775871544052985</v>
      </c>
    </row>
    <row r="115" spans="2:9">
      <c r="B115" t="str">
        <f t="shared" si="18"/>
        <v>IDACORP, Inc.</v>
      </c>
      <c r="C115" s="110" t="str">
        <f t="shared" si="18"/>
        <v>IDA</v>
      </c>
      <c r="D115" s="103">
        <f t="shared" si="18"/>
        <v>1.9270000000000002E-2</v>
      </c>
      <c r="E115" s="105">
        <v>0.83704375342047732</v>
      </c>
      <c r="F115" s="103">
        <f t="shared" si="19"/>
        <v>0.1293612513755926</v>
      </c>
      <c r="G115" s="103">
        <f t="shared" si="20"/>
        <v>0.11009125137559259</v>
      </c>
      <c r="H115" s="103">
        <f t="shared" si="21"/>
        <v>0.11142119427018332</v>
      </c>
      <c r="I115" s="173">
        <f t="shared" si="22"/>
        <v>0.11590620854653563</v>
      </c>
    </row>
    <row r="116" spans="2:9">
      <c r="B116" t="str">
        <f t="shared" si="18"/>
        <v>MGE Energy, Inc.</v>
      </c>
      <c r="C116" s="110" t="str">
        <f t="shared" si="18"/>
        <v>MGEE</v>
      </c>
      <c r="D116" s="103">
        <f t="shared" si="18"/>
        <v>1.9270000000000002E-2</v>
      </c>
      <c r="E116" s="105">
        <v>0.69845551457542077</v>
      </c>
      <c r="F116" s="103">
        <f t="shared" si="19"/>
        <v>0.1293612513755926</v>
      </c>
      <c r="G116" s="103">
        <f t="shared" si="20"/>
        <v>0.11009125137559259</v>
      </c>
      <c r="H116" s="103">
        <f t="shared" si="21"/>
        <v>9.6163841629791524E-2</v>
      </c>
      <c r="I116" s="173">
        <f t="shared" si="22"/>
        <v>0.1044631940662418</v>
      </c>
    </row>
    <row r="117" spans="2:9">
      <c r="B117" t="str">
        <f t="shared" si="18"/>
        <v>NextEra Energy, Inc.</v>
      </c>
      <c r="C117" s="110" t="str">
        <f t="shared" si="18"/>
        <v>NEE</v>
      </c>
      <c r="D117" s="103">
        <f t="shared" si="18"/>
        <v>1.9270000000000002E-2</v>
      </c>
      <c r="E117" s="105">
        <v>0.78541347282656826</v>
      </c>
      <c r="F117" s="103">
        <f t="shared" si="19"/>
        <v>0.1293612513755926</v>
      </c>
      <c r="G117" s="103">
        <f t="shared" si="20"/>
        <v>0.11009125137559259</v>
      </c>
      <c r="H117" s="103">
        <f t="shared" si="21"/>
        <v>0.1057371520707269</v>
      </c>
      <c r="I117" s="173">
        <f t="shared" si="22"/>
        <v>0.11164317689694331</v>
      </c>
    </row>
    <row r="118" spans="2:9">
      <c r="B118" t="str">
        <f t="shared" si="18"/>
        <v>NorthWestern Corporation</v>
      </c>
      <c r="C118" s="110" t="str">
        <f t="shared" si="18"/>
        <v>NWE</v>
      </c>
      <c r="D118" s="103">
        <f t="shared" si="18"/>
        <v>1.9270000000000002E-2</v>
      </c>
      <c r="E118" s="105">
        <v>0.92509180289954052</v>
      </c>
      <c r="F118" s="103">
        <f t="shared" si="19"/>
        <v>0.1293612513755926</v>
      </c>
      <c r="G118" s="103">
        <f t="shared" si="20"/>
        <v>0.11009125137559259</v>
      </c>
      <c r="H118" s="103">
        <f t="shared" si="21"/>
        <v>0.12111451421851346</v>
      </c>
      <c r="I118" s="173">
        <f t="shared" si="22"/>
        <v>0.12317619850778325</v>
      </c>
    </row>
    <row r="119" spans="2:9">
      <c r="B119" t="str">
        <f t="shared" si="18"/>
        <v>Otter Tail Corporation</v>
      </c>
      <c r="C119" s="110" t="str">
        <f t="shared" si="18"/>
        <v>OTTR</v>
      </c>
      <c r="D119" s="103">
        <f t="shared" si="18"/>
        <v>1.9270000000000002E-2</v>
      </c>
      <c r="E119" s="105">
        <v>0.88577665029363195</v>
      </c>
      <c r="F119" s="103">
        <f t="shared" si="19"/>
        <v>0.1293612513755926</v>
      </c>
      <c r="G119" s="103">
        <f t="shared" si="20"/>
        <v>0.11009125137559259</v>
      </c>
      <c r="H119" s="103">
        <f t="shared" si="21"/>
        <v>0.1167862598701066</v>
      </c>
      <c r="I119" s="173">
        <f t="shared" si="22"/>
        <v>0.11993000774647811</v>
      </c>
    </row>
    <row r="120" spans="2:9">
      <c r="B120" t="str">
        <f t="shared" si="18"/>
        <v>Portland General Electric Company</v>
      </c>
      <c r="C120" s="110" t="str">
        <f t="shared" si="18"/>
        <v>POR</v>
      </c>
      <c r="D120" s="103">
        <f t="shared" si="18"/>
        <v>1.9270000000000002E-2</v>
      </c>
      <c r="E120" s="105">
        <v>0.81244453851862075</v>
      </c>
      <c r="F120" s="103">
        <f t="shared" si="19"/>
        <v>0.1293612513755926</v>
      </c>
      <c r="G120" s="103">
        <f t="shared" si="20"/>
        <v>0.11009125137559259</v>
      </c>
      <c r="H120" s="103">
        <f t="shared" si="21"/>
        <v>0.10871303591878079</v>
      </c>
      <c r="I120" s="173">
        <f t="shared" si="22"/>
        <v>0.11387508978298375</v>
      </c>
    </row>
    <row r="121" spans="2:9">
      <c r="B121" t="str">
        <f t="shared" si="18"/>
        <v>Southern Company</v>
      </c>
      <c r="C121" s="110" t="str">
        <f t="shared" si="18"/>
        <v>SO</v>
      </c>
      <c r="D121" s="103">
        <f t="shared" si="18"/>
        <v>1.9270000000000002E-2</v>
      </c>
      <c r="E121" s="105">
        <v>0.78155316143566411</v>
      </c>
      <c r="F121" s="103">
        <f t="shared" si="19"/>
        <v>0.1293612513755926</v>
      </c>
      <c r="G121" s="103">
        <f t="shared" si="20"/>
        <v>0.11009125137559259</v>
      </c>
      <c r="H121" s="103">
        <f t="shared" si="21"/>
        <v>0.1053121655590028</v>
      </c>
      <c r="I121" s="173">
        <f t="shared" si="22"/>
        <v>0.11132443701315026</v>
      </c>
    </row>
    <row r="122" spans="2:9">
      <c r="B122" t="str">
        <f t="shared" si="18"/>
        <v>Xcel Energy Inc.</v>
      </c>
      <c r="C122" s="110" t="str">
        <f t="shared" si="18"/>
        <v>XEL</v>
      </c>
      <c r="D122" s="103">
        <f t="shared" si="18"/>
        <v>1.9270000000000002E-2</v>
      </c>
      <c r="E122" s="105">
        <v>0.74267971709705749</v>
      </c>
      <c r="F122" s="103">
        <f t="shared" si="19"/>
        <v>0.1293612513755926</v>
      </c>
      <c r="G122" s="103">
        <f t="shared" si="20"/>
        <v>0.11009125137559259</v>
      </c>
      <c r="H122" s="103">
        <f t="shared" si="21"/>
        <v>0.10103253942648616</v>
      </c>
      <c r="I122" s="174">
        <f t="shared" si="22"/>
        <v>0.10811471741376275</v>
      </c>
    </row>
    <row r="123" spans="2:9" ht="13.15" thickBot="1">
      <c r="B123" s="106" t="s">
        <v>718</v>
      </c>
      <c r="C123" s="106"/>
      <c r="D123" s="106"/>
      <c r="E123" s="106"/>
      <c r="F123" s="106"/>
      <c r="G123" s="106"/>
      <c r="H123" s="107">
        <f>AVERAGE(H108:H122)</f>
        <v>0.10756413137316488</v>
      </c>
      <c r="I123" s="107">
        <f>AVERAGE(I108:I122)</f>
        <v>0.1130134113737718</v>
      </c>
    </row>
    <row r="125" spans="2:9">
      <c r="B125" s="108" t="s">
        <v>22</v>
      </c>
    </row>
    <row r="126" spans="2:9">
      <c r="B126" s="97" t="str">
        <f>B27</f>
        <v>[1] Source: Bloomberg Professional, as of September 30, 2021</v>
      </c>
    </row>
    <row r="127" spans="2:9">
      <c r="B127" s="109" t="s">
        <v>1099</v>
      </c>
    </row>
    <row r="128" spans="2:9">
      <c r="B128" s="109" t="str">
        <f>B29</f>
        <v>[3] Source: Schedule AEB-6</v>
      </c>
    </row>
    <row r="129" spans="2:9">
      <c r="B129" s="97" t="s">
        <v>1090</v>
      </c>
    </row>
    <row r="130" spans="2:9">
      <c r="B130" s="97" t="s">
        <v>1091</v>
      </c>
    </row>
    <row r="131" spans="2:9">
      <c r="B131" t="s">
        <v>1092</v>
      </c>
    </row>
    <row r="134" spans="2:9" ht="13.15" customHeight="1">
      <c r="B134" s="494" t="s">
        <v>1100</v>
      </c>
      <c r="C134" s="494"/>
      <c r="D134" s="494"/>
      <c r="E134" s="494"/>
      <c r="F134" s="494"/>
      <c r="G134" s="494"/>
      <c r="H134" s="494"/>
      <c r="I134" s="494"/>
    </row>
    <row r="135" spans="2:9">
      <c r="B135" s="97"/>
      <c r="C135" s="97"/>
      <c r="D135" s="97"/>
      <c r="E135" s="97"/>
      <c r="F135" s="97"/>
      <c r="G135" s="97"/>
      <c r="H135" s="97"/>
    </row>
    <row r="136" spans="2:9">
      <c r="B136" s="495" t="s">
        <v>1082</v>
      </c>
      <c r="C136" s="495"/>
      <c r="D136" s="495"/>
      <c r="E136" s="495"/>
      <c r="F136" s="495"/>
      <c r="G136" s="495"/>
      <c r="H136" s="495"/>
      <c r="I136" s="495"/>
    </row>
    <row r="137" spans="2:9">
      <c r="B137" s="494" t="s">
        <v>1327</v>
      </c>
      <c r="C137" s="494"/>
      <c r="D137" s="494"/>
      <c r="E137" s="494"/>
      <c r="F137" s="494"/>
      <c r="G137" s="494"/>
      <c r="H137" s="494"/>
      <c r="I137" s="494"/>
    </row>
    <row r="138" spans="2:9">
      <c r="B138" s="97"/>
      <c r="C138" s="97"/>
      <c r="D138" s="97"/>
      <c r="E138" s="97"/>
      <c r="F138" s="97"/>
      <c r="G138" s="97"/>
      <c r="H138" s="97"/>
    </row>
    <row r="139" spans="2:9" ht="13.15" thickBot="1">
      <c r="B139" s="97"/>
      <c r="C139" s="97"/>
      <c r="D139" s="98" t="s">
        <v>0</v>
      </c>
      <c r="E139" s="98" t="s">
        <v>1</v>
      </c>
      <c r="F139" s="98" t="s">
        <v>2</v>
      </c>
      <c r="G139" s="98" t="s">
        <v>3</v>
      </c>
      <c r="H139" s="98" t="s">
        <v>4</v>
      </c>
      <c r="I139" s="98" t="s">
        <v>5</v>
      </c>
    </row>
    <row r="140" spans="2:9" ht="51">
      <c r="B140" s="99" t="s">
        <v>11</v>
      </c>
      <c r="C140" s="99" t="s">
        <v>12</v>
      </c>
      <c r="D140" s="100" t="str">
        <f t="shared" ref="D140:D155" si="23">D41</f>
        <v>Near-term projected 30-year U.S. Treasury bond yield 
(Q1 2022 - Q1 2023)</v>
      </c>
      <c r="E140" s="101" t="s">
        <v>1084</v>
      </c>
      <c r="F140" s="101" t="s">
        <v>1085</v>
      </c>
      <c r="G140" s="101" t="s">
        <v>1086</v>
      </c>
      <c r="H140" s="102" t="s">
        <v>1087</v>
      </c>
      <c r="I140" s="102" t="s">
        <v>1088</v>
      </c>
    </row>
    <row r="141" spans="2:9">
      <c r="B141" t="str">
        <f t="shared" ref="B141:C155" si="24">B9</f>
        <v>ALLETE, Inc.</v>
      </c>
      <c r="C141" t="str">
        <f t="shared" si="24"/>
        <v>ALE</v>
      </c>
      <c r="D141" s="103">
        <f t="shared" si="23"/>
        <v>2.5000000000000001E-2</v>
      </c>
      <c r="E141" s="105">
        <f t="shared" ref="E141:E155" si="25">E108</f>
        <v>0.84632684739817232</v>
      </c>
      <c r="F141" s="103">
        <f t="shared" ref="F141:F155" si="26">F9</f>
        <v>0.1293612513755926</v>
      </c>
      <c r="G141" s="103">
        <f>F141-D141</f>
        <v>0.1043612513755926</v>
      </c>
      <c r="H141" s="103">
        <f>IFERROR(G141*E141+D141,"")</f>
        <v>0.11332372886723346</v>
      </c>
      <c r="I141" s="172">
        <f>IFERROR((0.25*G141)+(0.75*E141*G141)+D141,"")</f>
        <v>0.11733310949432324</v>
      </c>
    </row>
    <row r="142" spans="2:9">
      <c r="B142" t="str">
        <f t="shared" si="24"/>
        <v>Alliant Energy Corporation</v>
      </c>
      <c r="C142" t="str">
        <f t="shared" si="24"/>
        <v>LNT</v>
      </c>
      <c r="D142" s="103">
        <f t="shared" si="23"/>
        <v>2.5000000000000001E-2</v>
      </c>
      <c r="E142" s="105">
        <f t="shared" si="25"/>
        <v>0.79996727424421954</v>
      </c>
      <c r="F142" s="103">
        <f t="shared" si="26"/>
        <v>0.1293612513755926</v>
      </c>
      <c r="G142" s="103">
        <f t="shared" ref="G142:G155" si="27">F142-D142</f>
        <v>0.1043612513755926</v>
      </c>
      <c r="H142" s="103">
        <f t="shared" ref="H142:H155" si="28">IFERROR(G142*E142+D142,"")</f>
        <v>0.10848558579964862</v>
      </c>
      <c r="I142" s="173">
        <f t="shared" ref="I142:I155" si="29">IFERROR((0.25*G142)+(0.75*E142*G142)+D142,"")</f>
        <v>0.11370450219363462</v>
      </c>
    </row>
    <row r="143" spans="2:9">
      <c r="B143" t="str">
        <f t="shared" si="24"/>
        <v>Ameren Corporation</v>
      </c>
      <c r="C143" t="str">
        <f t="shared" si="24"/>
        <v>AEE</v>
      </c>
      <c r="D143" s="103">
        <f t="shared" si="23"/>
        <v>2.5000000000000001E-2</v>
      </c>
      <c r="E143" s="105">
        <f t="shared" si="25"/>
        <v>0.75417410793983897</v>
      </c>
      <c r="F143" s="103">
        <f t="shared" si="26"/>
        <v>0.1293612513755926</v>
      </c>
      <c r="G143" s="103">
        <f t="shared" si="27"/>
        <v>0.1043612513755926</v>
      </c>
      <c r="H143" s="103">
        <f t="shared" si="28"/>
        <v>0.10370655365967285</v>
      </c>
      <c r="I143" s="173">
        <f t="shared" si="29"/>
        <v>0.11012022808865277</v>
      </c>
    </row>
    <row r="144" spans="2:9">
      <c r="B144" t="str">
        <f t="shared" si="24"/>
        <v>American Electric Power Company, Inc.</v>
      </c>
      <c r="C144" t="str">
        <f t="shared" si="24"/>
        <v>AEP</v>
      </c>
      <c r="D144" s="103">
        <f t="shared" si="23"/>
        <v>2.5000000000000001E-2</v>
      </c>
      <c r="E144" s="105">
        <f t="shared" si="25"/>
        <v>0.78569989230583237</v>
      </c>
      <c r="F144" s="103">
        <f t="shared" si="26"/>
        <v>0.1293612513755926</v>
      </c>
      <c r="G144" s="103">
        <f t="shared" si="27"/>
        <v>0.1043612513755926</v>
      </c>
      <c r="H144" s="103">
        <f t="shared" si="28"/>
        <v>0.10699662396670501</v>
      </c>
      <c r="I144" s="173">
        <f t="shared" si="29"/>
        <v>0.1125877808189269</v>
      </c>
    </row>
    <row r="145" spans="2:9">
      <c r="B145" t="str">
        <f t="shared" si="24"/>
        <v>Avista Corporation</v>
      </c>
      <c r="C145" t="str">
        <f t="shared" si="24"/>
        <v>AVA</v>
      </c>
      <c r="D145" s="103">
        <f t="shared" si="23"/>
        <v>2.5000000000000001E-2</v>
      </c>
      <c r="E145" s="105">
        <f t="shared" si="25"/>
        <v>0.78799335930553993</v>
      </c>
      <c r="F145" s="103">
        <f t="shared" si="26"/>
        <v>0.1293612513755926</v>
      </c>
      <c r="G145" s="103">
        <f t="shared" si="27"/>
        <v>0.1043612513755926</v>
      </c>
      <c r="H145" s="103">
        <f t="shared" si="28"/>
        <v>0.10723597305278312</v>
      </c>
      <c r="I145" s="173">
        <f t="shared" si="29"/>
        <v>0.11276729263348548</v>
      </c>
    </row>
    <row r="146" spans="2:9">
      <c r="B146" t="str">
        <f t="shared" si="24"/>
        <v>Duke Energy Corporation</v>
      </c>
      <c r="C146" t="str">
        <f t="shared" si="24"/>
        <v>DUK</v>
      </c>
      <c r="D146" s="103">
        <f t="shared" si="23"/>
        <v>2.5000000000000001E-2</v>
      </c>
      <c r="E146" s="105">
        <f t="shared" si="25"/>
        <v>0.72802927150842545</v>
      </c>
      <c r="F146" s="103">
        <f t="shared" si="26"/>
        <v>0.1293612513755926</v>
      </c>
      <c r="G146" s="103">
        <f t="shared" si="27"/>
        <v>0.1043612513755926</v>
      </c>
      <c r="H146" s="103">
        <f t="shared" si="28"/>
        <v>0.10097804581268036</v>
      </c>
      <c r="I146" s="173">
        <f t="shared" si="29"/>
        <v>0.1080738472034084</v>
      </c>
    </row>
    <row r="147" spans="2:9">
      <c r="B147" t="str">
        <f t="shared" si="24"/>
        <v>Entergy Corporation</v>
      </c>
      <c r="C147" t="str">
        <f t="shared" si="24"/>
        <v>ETR</v>
      </c>
      <c r="D147" s="103">
        <f t="shared" si="23"/>
        <v>2.5000000000000001E-2</v>
      </c>
      <c r="E147" s="105">
        <f t="shared" si="25"/>
        <v>0.85947977046206314</v>
      </c>
      <c r="F147" s="103">
        <f t="shared" si="26"/>
        <v>0.1293612513755926</v>
      </c>
      <c r="G147" s="103">
        <f t="shared" si="27"/>
        <v>0.1043612513755926</v>
      </c>
      <c r="H147" s="103">
        <f t="shared" si="28"/>
        <v>0.11469638437742799</v>
      </c>
      <c r="I147" s="173">
        <f t="shared" si="29"/>
        <v>0.11836260112696914</v>
      </c>
    </row>
    <row r="148" spans="2:9">
      <c r="B148" t="str">
        <f t="shared" si="24"/>
        <v>IDACORP, Inc.</v>
      </c>
      <c r="C148" t="str">
        <f t="shared" si="24"/>
        <v>IDA</v>
      </c>
      <c r="D148" s="103">
        <f t="shared" si="23"/>
        <v>2.5000000000000001E-2</v>
      </c>
      <c r="E148" s="105">
        <f t="shared" si="25"/>
        <v>0.83704375342047732</v>
      </c>
      <c r="F148" s="103">
        <f t="shared" si="26"/>
        <v>0.1293612513755926</v>
      </c>
      <c r="G148" s="103">
        <f t="shared" si="27"/>
        <v>0.1043612513755926</v>
      </c>
      <c r="H148" s="103">
        <f t="shared" si="28"/>
        <v>0.11235493356308399</v>
      </c>
      <c r="I148" s="173">
        <f t="shared" si="29"/>
        <v>0.11660651301621114</v>
      </c>
    </row>
    <row r="149" spans="2:9">
      <c r="B149" t="str">
        <f t="shared" si="24"/>
        <v>MGE Energy, Inc.</v>
      </c>
      <c r="C149" t="str">
        <f t="shared" si="24"/>
        <v>MGEE</v>
      </c>
      <c r="D149" s="103">
        <f t="shared" si="23"/>
        <v>2.5000000000000001E-2</v>
      </c>
      <c r="E149" s="105">
        <f t="shared" si="25"/>
        <v>0.69845551457542077</v>
      </c>
      <c r="F149" s="103">
        <f t="shared" si="26"/>
        <v>0.1293612513755926</v>
      </c>
      <c r="G149" s="103">
        <f t="shared" si="27"/>
        <v>0.1043612513755926</v>
      </c>
      <c r="H149" s="103">
        <f t="shared" si="28"/>
        <v>9.7891691531274361E-2</v>
      </c>
      <c r="I149" s="173">
        <f t="shared" si="29"/>
        <v>0.10575908149235394</v>
      </c>
    </row>
    <row r="150" spans="2:9">
      <c r="B150" t="str">
        <f t="shared" si="24"/>
        <v>NextEra Energy, Inc.</v>
      </c>
      <c r="C150" t="str">
        <f t="shared" si="24"/>
        <v>NEE</v>
      </c>
      <c r="D150" s="103">
        <f t="shared" si="23"/>
        <v>2.5000000000000001E-2</v>
      </c>
      <c r="E150" s="105">
        <f t="shared" si="25"/>
        <v>0.78541347282656826</v>
      </c>
      <c r="F150" s="103">
        <f t="shared" si="26"/>
        <v>0.1293612513755926</v>
      </c>
      <c r="G150" s="103">
        <f t="shared" si="27"/>
        <v>0.1043612513755926</v>
      </c>
      <c r="H150" s="103">
        <f t="shared" si="28"/>
        <v>0.10696673287143066</v>
      </c>
      <c r="I150" s="173">
        <f t="shared" si="29"/>
        <v>0.11256536249747115</v>
      </c>
    </row>
    <row r="151" spans="2:9">
      <c r="B151" t="str">
        <f t="shared" si="24"/>
        <v>NorthWestern Corporation</v>
      </c>
      <c r="C151" t="str">
        <f t="shared" si="24"/>
        <v>NWE</v>
      </c>
      <c r="D151" s="103">
        <f t="shared" si="23"/>
        <v>2.5000000000000001E-2</v>
      </c>
      <c r="E151" s="105">
        <f t="shared" si="25"/>
        <v>0.92509180289954052</v>
      </c>
      <c r="F151" s="103">
        <f t="shared" si="26"/>
        <v>0.1293612513755926</v>
      </c>
      <c r="G151" s="103">
        <f t="shared" si="27"/>
        <v>0.1043612513755926</v>
      </c>
      <c r="H151" s="103">
        <f t="shared" si="28"/>
        <v>0.12154373818789913</v>
      </c>
      <c r="I151" s="173">
        <f t="shared" si="29"/>
        <v>0.12349811648482248</v>
      </c>
    </row>
    <row r="152" spans="2:9">
      <c r="B152" t="str">
        <f t="shared" si="24"/>
        <v>Otter Tail Corporation</v>
      </c>
      <c r="C152" t="str">
        <f t="shared" si="24"/>
        <v>OTTR</v>
      </c>
      <c r="D152" s="103">
        <f t="shared" si="23"/>
        <v>2.5000000000000001E-2</v>
      </c>
      <c r="E152" s="105">
        <f t="shared" si="25"/>
        <v>0.88577665029363195</v>
      </c>
      <c r="F152" s="103">
        <f t="shared" si="26"/>
        <v>0.1293612513755926</v>
      </c>
      <c r="G152" s="103">
        <f t="shared" si="27"/>
        <v>0.1043612513755926</v>
      </c>
      <c r="H152" s="103">
        <f t="shared" si="28"/>
        <v>0.11744075966392412</v>
      </c>
      <c r="I152" s="173">
        <f t="shared" si="29"/>
        <v>0.12042088259184122</v>
      </c>
    </row>
    <row r="153" spans="2:9">
      <c r="B153" t="str">
        <f t="shared" si="24"/>
        <v>Portland General Electric Company</v>
      </c>
      <c r="C153" t="str">
        <f t="shared" si="24"/>
        <v>POR</v>
      </c>
      <c r="D153" s="103">
        <f t="shared" si="23"/>
        <v>2.5000000000000001E-2</v>
      </c>
      <c r="E153" s="105">
        <f t="shared" si="25"/>
        <v>0.81244453851862075</v>
      </c>
      <c r="F153" s="103">
        <f t="shared" si="26"/>
        <v>0.1293612513755926</v>
      </c>
      <c r="G153" s="103">
        <f t="shared" si="27"/>
        <v>0.1043612513755926</v>
      </c>
      <c r="H153" s="103">
        <f t="shared" si="28"/>
        <v>0.1097877287130691</v>
      </c>
      <c r="I153" s="173">
        <f t="shared" si="29"/>
        <v>0.11468110937869996</v>
      </c>
    </row>
    <row r="154" spans="2:9">
      <c r="B154" t="str">
        <f t="shared" si="24"/>
        <v>Southern Company</v>
      </c>
      <c r="C154" t="str">
        <f t="shared" si="24"/>
        <v>SO</v>
      </c>
      <c r="D154" s="103">
        <f t="shared" si="23"/>
        <v>2.5000000000000001E-2</v>
      </c>
      <c r="E154" s="105">
        <f t="shared" si="25"/>
        <v>0.78155316143566411</v>
      </c>
      <c r="F154" s="103">
        <f t="shared" si="26"/>
        <v>0.1293612513755926</v>
      </c>
      <c r="G154" s="103">
        <f t="shared" si="27"/>
        <v>0.1043612513755926</v>
      </c>
      <c r="H154" s="103">
        <f t="shared" si="28"/>
        <v>0.10656386594397646</v>
      </c>
      <c r="I154" s="173">
        <f t="shared" si="29"/>
        <v>0.11226321230188049</v>
      </c>
    </row>
    <row r="155" spans="2:9">
      <c r="B155" t="str">
        <f t="shared" si="24"/>
        <v>Xcel Energy Inc.</v>
      </c>
      <c r="C155" t="str">
        <f t="shared" si="24"/>
        <v>XEL</v>
      </c>
      <c r="D155" s="103">
        <f t="shared" si="23"/>
        <v>2.5000000000000001E-2</v>
      </c>
      <c r="E155" s="105">
        <f t="shared" si="25"/>
        <v>0.74267971709705749</v>
      </c>
      <c r="F155" s="103">
        <f t="shared" si="26"/>
        <v>0.1293612513755926</v>
      </c>
      <c r="G155" s="103">
        <f t="shared" si="27"/>
        <v>0.1043612513755926</v>
      </c>
      <c r="H155" s="103">
        <f t="shared" si="28"/>
        <v>0.10250698464752001</v>
      </c>
      <c r="I155" s="174">
        <f t="shared" si="29"/>
        <v>0.10922055132953815</v>
      </c>
    </row>
    <row r="156" spans="2:9" ht="13.15" thickBot="1">
      <c r="B156" s="106" t="s">
        <v>718</v>
      </c>
      <c r="C156" s="106"/>
      <c r="D156" s="106"/>
      <c r="E156" s="106"/>
      <c r="F156" s="106"/>
      <c r="G156" s="106"/>
      <c r="H156" s="107">
        <f>AVERAGE(H141:H155)</f>
        <v>0.10869862204388862</v>
      </c>
      <c r="I156" s="107">
        <f>AVERAGE(I141:I155)</f>
        <v>0.11386427937681461</v>
      </c>
    </row>
    <row r="158" spans="2:9">
      <c r="B158" s="108" t="s">
        <v>22</v>
      </c>
    </row>
    <row r="159" spans="2:9">
      <c r="B159" s="97" t="str">
        <f>B60</f>
        <v>[1] Source: Blue Chip Financial Forecasts, Vol. 40, No. 10, October 1, 2021, at 2</v>
      </c>
    </row>
    <row r="160" spans="2:9">
      <c r="B160" s="97" t="str">
        <f>B127</f>
        <v>[2] Source: Bloomberg Professional, based on 10-year weekly returns</v>
      </c>
    </row>
    <row r="161" spans="2:9">
      <c r="B161" s="109" t="str">
        <f>B29</f>
        <v>[3] Source: Schedule AEB-6</v>
      </c>
    </row>
    <row r="162" spans="2:9">
      <c r="B162" s="97" t="s">
        <v>1090</v>
      </c>
    </row>
    <row r="163" spans="2:9">
      <c r="B163" s="97" t="s">
        <v>1091</v>
      </c>
    </row>
    <row r="164" spans="2:9">
      <c r="B164" t="s">
        <v>1092</v>
      </c>
    </row>
    <row r="167" spans="2:9" ht="13.15" customHeight="1">
      <c r="B167" s="494" t="s">
        <v>1101</v>
      </c>
      <c r="C167" s="494"/>
      <c r="D167" s="494"/>
      <c r="E167" s="494"/>
      <c r="F167" s="494"/>
      <c r="G167" s="494"/>
      <c r="H167" s="494"/>
      <c r="I167" s="494"/>
    </row>
    <row r="168" spans="2:9">
      <c r="B168" s="97"/>
      <c r="C168" s="97"/>
      <c r="D168" s="97"/>
      <c r="E168" s="97"/>
      <c r="F168" s="97"/>
      <c r="G168" s="97"/>
      <c r="H168" s="97"/>
    </row>
    <row r="169" spans="2:9">
      <c r="B169" s="495" t="s">
        <v>1082</v>
      </c>
      <c r="C169" s="495"/>
      <c r="D169" s="495"/>
      <c r="E169" s="495"/>
      <c r="F169" s="495"/>
      <c r="G169" s="495"/>
      <c r="H169" s="495"/>
      <c r="I169" s="495"/>
    </row>
    <row r="170" spans="2:9">
      <c r="B170" s="494" t="s">
        <v>1327</v>
      </c>
      <c r="C170" s="494"/>
      <c r="D170" s="494"/>
      <c r="E170" s="494"/>
      <c r="F170" s="494"/>
      <c r="G170" s="494"/>
      <c r="H170" s="494"/>
      <c r="I170" s="494"/>
    </row>
    <row r="171" spans="2:9">
      <c r="B171" s="97"/>
      <c r="C171" s="97"/>
      <c r="D171" s="97"/>
      <c r="E171" s="97"/>
      <c r="F171" s="97"/>
      <c r="G171" s="97"/>
      <c r="H171" s="97"/>
    </row>
    <row r="172" spans="2:9" ht="13.15" thickBot="1">
      <c r="B172" s="97"/>
      <c r="C172" s="97"/>
      <c r="D172" s="98" t="s">
        <v>0</v>
      </c>
      <c r="E172" s="98" t="s">
        <v>1</v>
      </c>
      <c r="F172" s="98" t="s">
        <v>2</v>
      </c>
      <c r="G172" s="98" t="s">
        <v>3</v>
      </c>
      <c r="H172" s="98" t="s">
        <v>4</v>
      </c>
      <c r="I172" s="98" t="s">
        <v>5</v>
      </c>
    </row>
    <row r="173" spans="2:9" ht="51">
      <c r="B173" s="99" t="s">
        <v>11</v>
      </c>
      <c r="C173" s="99" t="s">
        <v>12</v>
      </c>
      <c r="D173" s="100" t="str">
        <f t="shared" ref="D173:D188" si="30">D74</f>
        <v>Projected 30-year U.S. Treasury bond yield 
(2023 - 2027)</v>
      </c>
      <c r="E173" s="101" t="s">
        <v>1084</v>
      </c>
      <c r="F173" s="101" t="s">
        <v>1085</v>
      </c>
      <c r="G173" s="101" t="s">
        <v>1086</v>
      </c>
      <c r="H173" s="102" t="s">
        <v>1087</v>
      </c>
      <c r="I173" s="102" t="s">
        <v>1088</v>
      </c>
    </row>
    <row r="174" spans="2:9">
      <c r="B174" t="str">
        <f t="shared" ref="B174:C188" si="31">B9</f>
        <v>ALLETE, Inc.</v>
      </c>
      <c r="C174" t="str">
        <f t="shared" si="31"/>
        <v>ALE</v>
      </c>
      <c r="D174" s="103">
        <f t="shared" si="30"/>
        <v>3.5000000000000003E-2</v>
      </c>
      <c r="E174" s="105">
        <f t="shared" ref="E174:E188" si="32">E108</f>
        <v>0.84632684739817232</v>
      </c>
      <c r="F174" s="103">
        <f t="shared" ref="F174:F188" si="33">F9</f>
        <v>0.1293612513755926</v>
      </c>
      <c r="G174" s="103">
        <f>F174-D174</f>
        <v>9.4361251375592592E-2</v>
      </c>
      <c r="H174" s="103">
        <f>IFERROR(G174*E174+D174,"")</f>
        <v>0.11486046039325173</v>
      </c>
      <c r="I174" s="172">
        <f>IFERROR((0.25*G174)+(0.75*E174*G174)+D174,"")</f>
        <v>0.11848565813883694</v>
      </c>
    </row>
    <row r="175" spans="2:9">
      <c r="B175" t="str">
        <f t="shared" si="31"/>
        <v>Alliant Energy Corporation</v>
      </c>
      <c r="C175" t="str">
        <f t="shared" si="31"/>
        <v>LNT</v>
      </c>
      <c r="D175" s="103">
        <f t="shared" si="30"/>
        <v>3.5000000000000003E-2</v>
      </c>
      <c r="E175" s="105">
        <f t="shared" si="32"/>
        <v>0.79996727424421954</v>
      </c>
      <c r="F175" s="103">
        <f t="shared" si="33"/>
        <v>0.1293612513755926</v>
      </c>
      <c r="G175" s="103">
        <f t="shared" ref="G175:G188" si="34">F175-D175</f>
        <v>9.4361251375592592E-2</v>
      </c>
      <c r="H175" s="103">
        <f t="shared" ref="H175:H188" si="35">IFERROR(G175*E175+D175,"")</f>
        <v>0.11048591305720643</v>
      </c>
      <c r="I175" s="173">
        <f t="shared" ref="I175:I188" si="36">IFERROR((0.25*G175)+(0.75*E175*G175)+D175,"")</f>
        <v>0.11520474763680297</v>
      </c>
    </row>
    <row r="176" spans="2:9">
      <c r="B176" t="str">
        <f t="shared" si="31"/>
        <v>Ameren Corporation</v>
      </c>
      <c r="C176" t="str">
        <f t="shared" si="31"/>
        <v>AEE</v>
      </c>
      <c r="D176" s="103">
        <f t="shared" si="30"/>
        <v>3.5000000000000003E-2</v>
      </c>
      <c r="E176" s="105">
        <f t="shared" si="32"/>
        <v>0.75417410793983897</v>
      </c>
      <c r="F176" s="103">
        <f t="shared" si="33"/>
        <v>0.1293612513755926</v>
      </c>
      <c r="G176" s="103">
        <f t="shared" si="34"/>
        <v>9.4361251375592592E-2</v>
      </c>
      <c r="H176" s="103">
        <f t="shared" si="35"/>
        <v>0.10616481258027445</v>
      </c>
      <c r="I176" s="173">
        <f t="shared" si="36"/>
        <v>0.11196392227910398</v>
      </c>
    </row>
    <row r="177" spans="2:9">
      <c r="B177" t="str">
        <f t="shared" si="31"/>
        <v>American Electric Power Company, Inc.</v>
      </c>
      <c r="C177" t="str">
        <f t="shared" si="31"/>
        <v>AEP</v>
      </c>
      <c r="D177" s="103">
        <f t="shared" si="30"/>
        <v>3.5000000000000003E-2</v>
      </c>
      <c r="E177" s="105">
        <f t="shared" si="32"/>
        <v>0.78569989230583237</v>
      </c>
      <c r="F177" s="103">
        <f t="shared" si="33"/>
        <v>0.1293612513755926</v>
      </c>
      <c r="G177" s="103">
        <f t="shared" si="34"/>
        <v>9.4361251375592592E-2</v>
      </c>
      <c r="H177" s="103">
        <f t="shared" si="35"/>
        <v>0.10913962504364667</v>
      </c>
      <c r="I177" s="173">
        <f t="shared" si="36"/>
        <v>0.11419503162663316</v>
      </c>
    </row>
    <row r="178" spans="2:9">
      <c r="B178" t="str">
        <f t="shared" si="31"/>
        <v>Avista Corporation</v>
      </c>
      <c r="C178" t="str">
        <f t="shared" si="31"/>
        <v>AVA</v>
      </c>
      <c r="D178" s="103">
        <f t="shared" si="30"/>
        <v>3.5000000000000003E-2</v>
      </c>
      <c r="E178" s="105">
        <f t="shared" si="32"/>
        <v>0.78799335930553993</v>
      </c>
      <c r="F178" s="103">
        <f t="shared" si="33"/>
        <v>0.1293612513755926</v>
      </c>
      <c r="G178" s="103">
        <f t="shared" si="34"/>
        <v>9.4361251375592592E-2</v>
      </c>
      <c r="H178" s="103">
        <f t="shared" si="35"/>
        <v>0.10935603945972772</v>
      </c>
      <c r="I178" s="173">
        <f t="shared" si="36"/>
        <v>0.11435734243869393</v>
      </c>
    </row>
    <row r="179" spans="2:9">
      <c r="B179" t="str">
        <f t="shared" si="31"/>
        <v>Duke Energy Corporation</v>
      </c>
      <c r="C179" t="str">
        <f t="shared" si="31"/>
        <v>DUK</v>
      </c>
      <c r="D179" s="103">
        <f t="shared" si="30"/>
        <v>3.5000000000000003E-2</v>
      </c>
      <c r="E179" s="105">
        <f t="shared" si="32"/>
        <v>0.72802927150842545</v>
      </c>
      <c r="F179" s="103">
        <f t="shared" si="33"/>
        <v>0.1293612513755926</v>
      </c>
      <c r="G179" s="103">
        <f t="shared" si="34"/>
        <v>9.4361251375592592E-2</v>
      </c>
      <c r="H179" s="103">
        <f t="shared" si="35"/>
        <v>0.10369775309759609</v>
      </c>
      <c r="I179" s="173">
        <f t="shared" si="36"/>
        <v>0.11011362766709522</v>
      </c>
    </row>
    <row r="180" spans="2:9">
      <c r="B180" t="str">
        <f t="shared" si="31"/>
        <v>Entergy Corporation</v>
      </c>
      <c r="C180" t="str">
        <f t="shared" si="31"/>
        <v>ETR</v>
      </c>
      <c r="D180" s="103">
        <f t="shared" si="30"/>
        <v>3.5000000000000003E-2</v>
      </c>
      <c r="E180" s="105">
        <f t="shared" si="32"/>
        <v>0.85947977046206314</v>
      </c>
      <c r="F180" s="103">
        <f t="shared" si="33"/>
        <v>0.1293612513755926</v>
      </c>
      <c r="G180" s="103">
        <f t="shared" si="34"/>
        <v>9.4361251375592592E-2</v>
      </c>
      <c r="H180" s="103">
        <f t="shared" si="35"/>
        <v>0.11610158667280736</v>
      </c>
      <c r="I180" s="173">
        <f t="shared" si="36"/>
        <v>0.11941650284850366</v>
      </c>
    </row>
    <row r="181" spans="2:9">
      <c r="B181" t="str">
        <f t="shared" si="31"/>
        <v>IDACORP, Inc.</v>
      </c>
      <c r="C181" t="str">
        <f t="shared" si="31"/>
        <v>IDA</v>
      </c>
      <c r="D181" s="103">
        <f t="shared" si="30"/>
        <v>3.5000000000000003E-2</v>
      </c>
      <c r="E181" s="105">
        <f t="shared" si="32"/>
        <v>0.83704375342047732</v>
      </c>
      <c r="F181" s="103">
        <f t="shared" si="33"/>
        <v>0.1293612513755926</v>
      </c>
      <c r="G181" s="103">
        <f t="shared" si="34"/>
        <v>9.4361251375592592E-2</v>
      </c>
      <c r="H181" s="103">
        <f t="shared" si="35"/>
        <v>0.11398449602887921</v>
      </c>
      <c r="I181" s="173">
        <f t="shared" si="36"/>
        <v>0.11782868486555755</v>
      </c>
    </row>
    <row r="182" spans="2:9">
      <c r="B182" t="str">
        <f t="shared" si="31"/>
        <v>MGE Energy, Inc.</v>
      </c>
      <c r="C182" t="str">
        <f t="shared" si="31"/>
        <v>MGEE</v>
      </c>
      <c r="D182" s="103">
        <f t="shared" si="30"/>
        <v>3.5000000000000003E-2</v>
      </c>
      <c r="E182" s="105">
        <f t="shared" si="32"/>
        <v>0.69845551457542077</v>
      </c>
      <c r="F182" s="103">
        <f t="shared" si="33"/>
        <v>0.1293612513755926</v>
      </c>
      <c r="G182" s="103">
        <f t="shared" si="34"/>
        <v>9.4361251375592592E-2</v>
      </c>
      <c r="H182" s="103">
        <f t="shared" si="35"/>
        <v>0.10090713638552015</v>
      </c>
      <c r="I182" s="173">
        <f t="shared" si="36"/>
        <v>0.10802066513303826</v>
      </c>
    </row>
    <row r="183" spans="2:9">
      <c r="B183" t="str">
        <f t="shared" si="31"/>
        <v>NextEra Energy, Inc.</v>
      </c>
      <c r="C183" t="str">
        <f t="shared" si="31"/>
        <v>NEE</v>
      </c>
      <c r="D183" s="103">
        <f t="shared" si="30"/>
        <v>3.5000000000000003E-2</v>
      </c>
      <c r="E183" s="105">
        <f t="shared" si="32"/>
        <v>0.78541347282656826</v>
      </c>
      <c r="F183" s="103">
        <f t="shared" si="33"/>
        <v>0.1293612513755926</v>
      </c>
      <c r="G183" s="103">
        <f t="shared" si="34"/>
        <v>9.4361251375592592E-2</v>
      </c>
      <c r="H183" s="103">
        <f t="shared" si="35"/>
        <v>0.10911259814316497</v>
      </c>
      <c r="I183" s="173">
        <f t="shared" si="36"/>
        <v>0.11417476145127188</v>
      </c>
    </row>
    <row r="184" spans="2:9">
      <c r="B184" t="str">
        <f t="shared" si="31"/>
        <v>NorthWestern Corporation</v>
      </c>
      <c r="C184" t="str">
        <f t="shared" si="31"/>
        <v>NWE</v>
      </c>
      <c r="D184" s="103">
        <f t="shared" si="30"/>
        <v>3.5000000000000003E-2</v>
      </c>
      <c r="E184" s="105">
        <f t="shared" si="32"/>
        <v>0.92509180289954052</v>
      </c>
      <c r="F184" s="103">
        <f t="shared" si="33"/>
        <v>0.1293612513755926</v>
      </c>
      <c r="G184" s="103">
        <f t="shared" si="34"/>
        <v>9.4361251375592592E-2</v>
      </c>
      <c r="H184" s="103">
        <f t="shared" si="35"/>
        <v>0.12229282015890371</v>
      </c>
      <c r="I184" s="173">
        <f t="shared" si="36"/>
        <v>0.12405992796307592</v>
      </c>
    </row>
    <row r="185" spans="2:9">
      <c r="B185" t="str">
        <f t="shared" si="31"/>
        <v>Otter Tail Corporation</v>
      </c>
      <c r="C185" t="str">
        <f t="shared" si="31"/>
        <v>OTTR</v>
      </c>
      <c r="D185" s="103">
        <f t="shared" si="30"/>
        <v>3.5000000000000003E-2</v>
      </c>
      <c r="E185" s="105">
        <f t="shared" si="32"/>
        <v>0.88577665029363195</v>
      </c>
      <c r="F185" s="103">
        <f t="shared" si="33"/>
        <v>0.1293612513755926</v>
      </c>
      <c r="G185" s="103">
        <f t="shared" si="34"/>
        <v>9.4361251375592592E-2</v>
      </c>
      <c r="H185" s="103">
        <f t="shared" si="35"/>
        <v>0.11858299316098778</v>
      </c>
      <c r="I185" s="173">
        <f t="shared" si="36"/>
        <v>0.12127755771463898</v>
      </c>
    </row>
    <row r="186" spans="2:9">
      <c r="B186" t="str">
        <f t="shared" si="31"/>
        <v>Portland General Electric Company</v>
      </c>
      <c r="C186" t="str">
        <f t="shared" si="31"/>
        <v>POR</v>
      </c>
      <c r="D186" s="103">
        <f t="shared" si="30"/>
        <v>3.5000000000000003E-2</v>
      </c>
      <c r="E186" s="105">
        <f t="shared" si="32"/>
        <v>0.81244453851862075</v>
      </c>
      <c r="F186" s="103">
        <f t="shared" si="33"/>
        <v>0.1293612513755926</v>
      </c>
      <c r="G186" s="103">
        <f t="shared" si="34"/>
        <v>9.4361251375592592E-2</v>
      </c>
      <c r="H186" s="103">
        <f t="shared" si="35"/>
        <v>0.11166328332788289</v>
      </c>
      <c r="I186" s="173">
        <f t="shared" si="36"/>
        <v>0.11608777533981032</v>
      </c>
    </row>
    <row r="187" spans="2:9">
      <c r="B187" t="str">
        <f t="shared" si="31"/>
        <v>Southern Company</v>
      </c>
      <c r="C187" t="str">
        <f t="shared" si="31"/>
        <v>SO</v>
      </c>
      <c r="D187" s="103">
        <f t="shared" si="30"/>
        <v>3.5000000000000003E-2</v>
      </c>
      <c r="E187" s="105">
        <f t="shared" si="32"/>
        <v>0.78155316143566411</v>
      </c>
      <c r="F187" s="103">
        <f t="shared" si="33"/>
        <v>0.1293612513755926</v>
      </c>
      <c r="G187" s="103">
        <f t="shared" si="34"/>
        <v>9.4361251375592592E-2</v>
      </c>
      <c r="H187" s="103">
        <f t="shared" si="35"/>
        <v>0.10874833432961981</v>
      </c>
      <c r="I187" s="173">
        <f t="shared" si="36"/>
        <v>0.113901563591113</v>
      </c>
    </row>
    <row r="188" spans="2:9">
      <c r="B188" t="str">
        <f t="shared" si="31"/>
        <v>Xcel Energy Inc.</v>
      </c>
      <c r="C188" t="str">
        <f t="shared" si="31"/>
        <v>XEL</v>
      </c>
      <c r="D188" s="103">
        <f t="shared" si="30"/>
        <v>3.5000000000000003E-2</v>
      </c>
      <c r="E188" s="105">
        <f t="shared" si="32"/>
        <v>0.74267971709705749</v>
      </c>
      <c r="F188" s="103">
        <f t="shared" si="33"/>
        <v>0.1293612513755926</v>
      </c>
      <c r="G188" s="103">
        <f t="shared" si="34"/>
        <v>9.4361251375592592E-2</v>
      </c>
      <c r="H188" s="103">
        <f t="shared" si="35"/>
        <v>0.10508018747654943</v>
      </c>
      <c r="I188" s="174">
        <f t="shared" si="36"/>
        <v>0.11115045345131022</v>
      </c>
    </row>
    <row r="189" spans="2:9" ht="13.15" thickBot="1">
      <c r="B189" s="106" t="s">
        <v>718</v>
      </c>
      <c r="C189" s="106"/>
      <c r="D189" s="106"/>
      <c r="E189" s="106"/>
      <c r="F189" s="106"/>
      <c r="G189" s="106"/>
      <c r="H189" s="107">
        <f>AVERAGE(H174:H188)</f>
        <v>0.11067853595440123</v>
      </c>
      <c r="I189" s="107">
        <f>AVERAGE(I174:I188)</f>
        <v>0.11534921480969905</v>
      </c>
    </row>
    <row r="191" spans="2:9">
      <c r="B191" s="108" t="s">
        <v>22</v>
      </c>
    </row>
    <row r="192" spans="2:9">
      <c r="B192" s="97" t="str">
        <f>B93</f>
        <v>[1] Source: Blue Chip Financial Forecasts, Vol. 40, No. 6, June 1, 2021, at 14</v>
      </c>
    </row>
    <row r="193" spans="2:9">
      <c r="B193" s="97" t="str">
        <f>B127</f>
        <v>[2] Source: Bloomberg Professional, based on 10-year weekly returns</v>
      </c>
    </row>
    <row r="194" spans="2:9">
      <c r="B194" s="109" t="str">
        <f>B29</f>
        <v>[3] Source: Schedule AEB-6</v>
      </c>
    </row>
    <row r="195" spans="2:9">
      <c r="B195" s="97" t="s">
        <v>1090</v>
      </c>
    </row>
    <row r="196" spans="2:9">
      <c r="B196" s="97" t="s">
        <v>1091</v>
      </c>
    </row>
    <row r="197" spans="2:9">
      <c r="B197" t="s">
        <v>1092</v>
      </c>
    </row>
    <row r="200" spans="2:9" ht="13.15" customHeight="1">
      <c r="B200" s="494" t="s">
        <v>1270</v>
      </c>
      <c r="C200" s="494"/>
      <c r="D200" s="494"/>
      <c r="E200" s="494"/>
      <c r="F200" s="494"/>
      <c r="G200" s="494"/>
      <c r="H200" s="494"/>
      <c r="I200" s="494"/>
    </row>
    <row r="201" spans="2:9">
      <c r="B201" s="97"/>
      <c r="C201" s="97"/>
      <c r="D201" s="97"/>
      <c r="E201" s="97"/>
      <c r="F201" s="97"/>
      <c r="G201" s="97"/>
      <c r="H201" s="97"/>
    </row>
    <row r="202" spans="2:9">
      <c r="B202" s="495" t="s">
        <v>1082</v>
      </c>
      <c r="C202" s="495"/>
      <c r="D202" s="495"/>
      <c r="E202" s="495"/>
      <c r="F202" s="495"/>
      <c r="G202" s="495"/>
      <c r="H202" s="495"/>
      <c r="I202" s="495"/>
    </row>
    <row r="203" spans="2:9">
      <c r="B203" s="494" t="s">
        <v>1327</v>
      </c>
      <c r="C203" s="494"/>
      <c r="D203" s="494"/>
      <c r="E203" s="494"/>
      <c r="F203" s="494"/>
      <c r="G203" s="494"/>
      <c r="H203" s="494"/>
      <c r="I203" s="494"/>
    </row>
    <row r="204" spans="2:9">
      <c r="B204" s="97"/>
      <c r="C204" s="97"/>
      <c r="D204" s="97"/>
      <c r="E204" s="97"/>
      <c r="F204" s="97"/>
      <c r="G204" s="97"/>
      <c r="H204" s="97"/>
    </row>
    <row r="205" spans="2:9" ht="13.15" thickBot="1">
      <c r="B205" s="97"/>
      <c r="C205" s="97"/>
      <c r="D205" s="98" t="s">
        <v>0</v>
      </c>
      <c r="E205" s="98" t="s">
        <v>1</v>
      </c>
      <c r="F205" s="98" t="s">
        <v>2</v>
      </c>
      <c r="G205" s="98" t="s">
        <v>3</v>
      </c>
      <c r="H205" s="98" t="s">
        <v>4</v>
      </c>
      <c r="I205" s="98" t="s">
        <v>5</v>
      </c>
    </row>
    <row r="206" spans="2:9" ht="51">
      <c r="B206" s="99" t="s">
        <v>11</v>
      </c>
      <c r="C206" s="99" t="s">
        <v>12</v>
      </c>
      <c r="D206" s="100" t="s">
        <v>1083</v>
      </c>
      <c r="E206" s="101" t="s">
        <v>1084</v>
      </c>
      <c r="F206" s="101" t="s">
        <v>1085</v>
      </c>
      <c r="G206" s="101" t="s">
        <v>1086</v>
      </c>
      <c r="H206" s="102" t="s">
        <v>1087</v>
      </c>
      <c r="I206" s="102" t="s">
        <v>1088</v>
      </c>
    </row>
    <row r="207" spans="2:9">
      <c r="B207" t="str">
        <f t="shared" ref="B207:D221" si="37">B108</f>
        <v>ALLETE, Inc.</v>
      </c>
      <c r="C207" s="110" t="str">
        <f t="shared" si="37"/>
        <v>ALE</v>
      </c>
      <c r="D207" s="103">
        <f t="shared" si="37"/>
        <v>1.9270000000000002E-2</v>
      </c>
      <c r="E207" s="105">
        <f>VLOOKUP(C207,'AEB-5 CAPM LT Beta'!B7:M21,12,FALSE)</f>
        <v>0.745</v>
      </c>
      <c r="F207" s="103">
        <f t="shared" ref="F207:F221" si="38">F108</f>
        <v>0.1293612513755926</v>
      </c>
      <c r="G207" s="103">
        <f>F207-D207</f>
        <v>0.11009125137559259</v>
      </c>
      <c r="H207" s="103">
        <f>IFERROR(G207*E207+D207,"")</f>
        <v>0.10128798227481647</v>
      </c>
      <c r="I207" s="172">
        <f>IFERROR((0.25*G207)+(0.75*E207*G207)+D207,"")</f>
        <v>0.1083062995500105</v>
      </c>
    </row>
    <row r="208" spans="2:9">
      <c r="B208" t="str">
        <f t="shared" si="37"/>
        <v>Alliant Energy Corporation</v>
      </c>
      <c r="C208" s="110" t="str">
        <f t="shared" si="37"/>
        <v>LNT</v>
      </c>
      <c r="D208" s="103">
        <f t="shared" si="37"/>
        <v>1.9270000000000002E-2</v>
      </c>
      <c r="E208" s="105">
        <f>VLOOKUP(C208,'AEB-5 CAPM LT Beta'!B8:M22,12,FALSE)</f>
        <v>0.72499999999999987</v>
      </c>
      <c r="F208" s="103">
        <f t="shared" si="38"/>
        <v>0.1293612513755926</v>
      </c>
      <c r="G208" s="103">
        <f t="shared" ref="G208:G221" si="39">F208-D208</f>
        <v>0.11009125137559259</v>
      </c>
      <c r="H208" s="103">
        <f t="shared" ref="H208:H221" si="40">IFERROR(G208*E208+D208,"")</f>
        <v>9.9086157247304602E-2</v>
      </c>
      <c r="I208" s="173">
        <f t="shared" ref="I208:I221" si="41">IFERROR((0.25*G208)+(0.75*E208*G208)+D208,"")</f>
        <v>0.10665493077937663</v>
      </c>
    </row>
    <row r="209" spans="2:9">
      <c r="B209" t="str">
        <f t="shared" si="37"/>
        <v>Ameren Corporation</v>
      </c>
      <c r="C209" s="110" t="str">
        <f t="shared" si="37"/>
        <v>AEE</v>
      </c>
      <c r="D209" s="103">
        <f t="shared" si="37"/>
        <v>1.9270000000000002E-2</v>
      </c>
      <c r="E209" s="105">
        <f>VLOOKUP(C209,'AEB-5 CAPM LT Beta'!B9:M23,12,FALSE)</f>
        <v>0.72</v>
      </c>
      <c r="F209" s="103">
        <f t="shared" si="38"/>
        <v>0.1293612513755926</v>
      </c>
      <c r="G209" s="103">
        <f t="shared" si="39"/>
        <v>0.11009125137559259</v>
      </c>
      <c r="H209" s="103">
        <f t="shared" si="40"/>
        <v>9.8535700990426661E-2</v>
      </c>
      <c r="I209" s="173">
        <f t="shared" si="41"/>
        <v>0.10624208858671816</v>
      </c>
    </row>
    <row r="210" spans="2:9">
      <c r="B210" t="str">
        <f t="shared" si="37"/>
        <v>American Electric Power Company, Inc.</v>
      </c>
      <c r="C210" s="110" t="str">
        <f t="shared" si="37"/>
        <v>AEP</v>
      </c>
      <c r="D210" s="103">
        <f t="shared" si="37"/>
        <v>1.9270000000000002E-2</v>
      </c>
      <c r="E210" s="105">
        <f>VLOOKUP(C210,'AEB-5 CAPM LT Beta'!B10:M24,12,FALSE)</f>
        <v>0.66</v>
      </c>
      <c r="F210" s="103">
        <f t="shared" si="38"/>
        <v>0.1293612513755926</v>
      </c>
      <c r="G210" s="103">
        <f t="shared" si="39"/>
        <v>0.11009125137559259</v>
      </c>
      <c r="H210" s="103">
        <f t="shared" si="40"/>
        <v>9.19302259078911E-2</v>
      </c>
      <c r="I210" s="173">
        <f t="shared" si="41"/>
        <v>0.10128798227481647</v>
      </c>
    </row>
    <row r="211" spans="2:9">
      <c r="B211" t="str">
        <f t="shared" si="37"/>
        <v>Avista Corporation</v>
      </c>
      <c r="C211" s="110" t="str">
        <f t="shared" si="37"/>
        <v>AVA</v>
      </c>
      <c r="D211" s="103">
        <f t="shared" si="37"/>
        <v>1.9270000000000002E-2</v>
      </c>
      <c r="E211" s="105">
        <f>VLOOKUP(C211,'AEB-5 CAPM LT Beta'!B11:M25,12,FALSE)</f>
        <v>0.73</v>
      </c>
      <c r="F211" s="103">
        <f t="shared" si="38"/>
        <v>0.1293612513755926</v>
      </c>
      <c r="G211" s="103">
        <f t="shared" si="39"/>
        <v>0.11009125137559259</v>
      </c>
      <c r="H211" s="103">
        <f t="shared" si="40"/>
        <v>9.9636613504182597E-2</v>
      </c>
      <c r="I211" s="173">
        <f t="shared" si="41"/>
        <v>0.1070677729720351</v>
      </c>
    </row>
    <row r="212" spans="2:9">
      <c r="B212" t="str">
        <f t="shared" si="37"/>
        <v>Duke Energy Corporation</v>
      </c>
      <c r="C212" s="110" t="str">
        <f t="shared" si="37"/>
        <v>DUK</v>
      </c>
      <c r="D212" s="103">
        <f t="shared" si="37"/>
        <v>1.9270000000000002E-2</v>
      </c>
      <c r="E212" s="105">
        <f>VLOOKUP(C212,'AEB-5 CAPM LT Beta'!B12:M26,12,FALSE)</f>
        <v>0.61999999999999988</v>
      </c>
      <c r="F212" s="103">
        <f t="shared" si="38"/>
        <v>0.1293612513755926</v>
      </c>
      <c r="G212" s="103">
        <f t="shared" si="39"/>
        <v>0.11009125137559259</v>
      </c>
      <c r="H212" s="103">
        <f t="shared" si="40"/>
        <v>8.7526575852867383E-2</v>
      </c>
      <c r="I212" s="173">
        <f t="shared" si="41"/>
        <v>9.7985244733548693E-2</v>
      </c>
    </row>
    <row r="213" spans="2:9">
      <c r="B213" t="str">
        <f t="shared" si="37"/>
        <v>Entergy Corporation</v>
      </c>
      <c r="C213" s="110" t="str">
        <f t="shared" si="37"/>
        <v>ETR</v>
      </c>
      <c r="D213" s="103">
        <f t="shared" si="37"/>
        <v>1.9270000000000002E-2</v>
      </c>
      <c r="E213" s="105">
        <f>VLOOKUP(C213,'AEB-5 CAPM LT Beta'!B13:M27,12,FALSE)</f>
        <v>0.69500000000000006</v>
      </c>
      <c r="F213" s="103">
        <f t="shared" si="38"/>
        <v>0.1293612513755926</v>
      </c>
      <c r="G213" s="103">
        <f t="shared" si="39"/>
        <v>0.11009125137559259</v>
      </c>
      <c r="H213" s="103">
        <f t="shared" si="40"/>
        <v>9.5783419706036849E-2</v>
      </c>
      <c r="I213" s="173">
        <f t="shared" si="41"/>
        <v>0.10417787762342579</v>
      </c>
    </row>
    <row r="214" spans="2:9">
      <c r="B214" t="str">
        <f t="shared" si="37"/>
        <v>IDACORP, Inc.</v>
      </c>
      <c r="C214" s="110" t="str">
        <f t="shared" si="37"/>
        <v>IDA</v>
      </c>
      <c r="D214" s="103">
        <f t="shared" si="37"/>
        <v>1.9270000000000002E-2</v>
      </c>
      <c r="E214" s="105">
        <f>VLOOKUP(C214,'AEB-5 CAPM LT Beta'!B14:M29,12,FALSE)</f>
        <v>0.70999999999999985</v>
      </c>
      <c r="F214" s="103">
        <f t="shared" si="38"/>
        <v>0.1293612513755926</v>
      </c>
      <c r="G214" s="103">
        <f t="shared" si="39"/>
        <v>0.11009125137559259</v>
      </c>
      <c r="H214" s="103">
        <f t="shared" si="40"/>
        <v>9.7434788476670725E-2</v>
      </c>
      <c r="I214" s="173">
        <f t="shared" si="41"/>
        <v>0.10541640420140119</v>
      </c>
    </row>
    <row r="215" spans="2:9">
      <c r="B215" t="str">
        <f t="shared" si="37"/>
        <v>MGE Energy, Inc.</v>
      </c>
      <c r="C215" s="110" t="str">
        <f t="shared" si="37"/>
        <v>MGEE</v>
      </c>
      <c r="D215" s="103">
        <f t="shared" si="37"/>
        <v>1.9270000000000002E-2</v>
      </c>
      <c r="E215" s="105">
        <f>VLOOKUP(C215,'AEB-5 CAPM LT Beta'!B15:M30,12,FALSE)</f>
        <v>0.65999999999999992</v>
      </c>
      <c r="F215" s="103">
        <f t="shared" si="38"/>
        <v>0.1293612513755926</v>
      </c>
      <c r="G215" s="103">
        <f t="shared" si="39"/>
        <v>0.11009125137559259</v>
      </c>
      <c r="H215" s="103">
        <f t="shared" si="40"/>
        <v>9.19302259078911E-2</v>
      </c>
      <c r="I215" s="173">
        <f t="shared" si="41"/>
        <v>0.10128798227481647</v>
      </c>
    </row>
    <row r="216" spans="2:9">
      <c r="B216" t="str">
        <f t="shared" si="37"/>
        <v>NextEra Energy, Inc.</v>
      </c>
      <c r="C216" s="110" t="str">
        <f t="shared" si="37"/>
        <v>NEE</v>
      </c>
      <c r="D216" s="103">
        <f t="shared" si="37"/>
        <v>1.9270000000000002E-2</v>
      </c>
      <c r="E216" s="105">
        <f>VLOOKUP(C216,'AEB-5 CAPM LT Beta'!B16:M31,12,FALSE)</f>
        <v>0.69000000000000006</v>
      </c>
      <c r="F216" s="103">
        <f t="shared" si="38"/>
        <v>0.1293612513755926</v>
      </c>
      <c r="G216" s="103">
        <f t="shared" si="39"/>
        <v>0.11009125137559259</v>
      </c>
      <c r="H216" s="103">
        <f t="shared" si="40"/>
        <v>9.5232963449158881E-2</v>
      </c>
      <c r="I216" s="173">
        <f t="shared" si="41"/>
        <v>0.10376503543076732</v>
      </c>
    </row>
    <row r="217" spans="2:9">
      <c r="B217" t="str">
        <f t="shared" si="37"/>
        <v>NorthWestern Corporation</v>
      </c>
      <c r="C217" s="110" t="str">
        <f t="shared" si="37"/>
        <v>NWE</v>
      </c>
      <c r="D217" s="103">
        <f t="shared" si="37"/>
        <v>1.9270000000000002E-2</v>
      </c>
      <c r="E217" s="105">
        <f>VLOOKUP(C217,'AEB-5 CAPM LT Beta'!B17:M32,12,FALSE)</f>
        <v>0.7</v>
      </c>
      <c r="F217" s="103">
        <f t="shared" si="38"/>
        <v>0.1293612513755926</v>
      </c>
      <c r="G217" s="103">
        <f t="shared" si="39"/>
        <v>0.11009125137559259</v>
      </c>
      <c r="H217" s="103">
        <f t="shared" si="40"/>
        <v>9.6333875962914817E-2</v>
      </c>
      <c r="I217" s="173">
        <f t="shared" si="41"/>
        <v>0.10459071981608425</v>
      </c>
    </row>
    <row r="218" spans="2:9">
      <c r="B218" t="str">
        <f t="shared" si="37"/>
        <v>Otter Tail Corporation</v>
      </c>
      <c r="C218" s="110" t="str">
        <f t="shared" si="37"/>
        <v>OTTR</v>
      </c>
      <c r="D218" s="103">
        <f t="shared" si="37"/>
        <v>1.9270000000000002E-2</v>
      </c>
      <c r="E218" s="105">
        <f>VLOOKUP(C218,'AEB-5 CAPM LT Beta'!B18:M34,12,FALSE)</f>
        <v>0.85500000000000009</v>
      </c>
      <c r="F218" s="103">
        <f t="shared" si="38"/>
        <v>0.1293612513755926</v>
      </c>
      <c r="G218" s="103">
        <f t="shared" si="39"/>
        <v>0.11009125137559259</v>
      </c>
      <c r="H218" s="103">
        <f t="shared" si="40"/>
        <v>0.11339801992613166</v>
      </c>
      <c r="I218" s="173">
        <f t="shared" si="41"/>
        <v>0.11738882778849691</v>
      </c>
    </row>
    <row r="219" spans="2:9">
      <c r="B219" t="str">
        <f t="shared" si="37"/>
        <v>Portland General Electric Company</v>
      </c>
      <c r="C219" s="110" t="str">
        <f t="shared" si="37"/>
        <v>POR</v>
      </c>
      <c r="D219" s="103">
        <f t="shared" si="37"/>
        <v>1.9270000000000002E-2</v>
      </c>
      <c r="E219" s="105">
        <f>VLOOKUP(C219,'AEB-5 CAPM LT Beta'!B19:M36,12,FALSE)</f>
        <v>0.72999999999999987</v>
      </c>
      <c r="F219" s="103">
        <f t="shared" si="38"/>
        <v>0.1293612513755926</v>
      </c>
      <c r="G219" s="103">
        <f t="shared" si="39"/>
        <v>0.11009125137559259</v>
      </c>
      <c r="H219" s="103">
        <f t="shared" si="40"/>
        <v>9.963661350418257E-2</v>
      </c>
      <c r="I219" s="173">
        <f t="shared" si="41"/>
        <v>0.10706777297203507</v>
      </c>
    </row>
    <row r="220" spans="2:9">
      <c r="B220" t="str">
        <f t="shared" si="37"/>
        <v>Southern Company</v>
      </c>
      <c r="C220" s="110" t="str">
        <f t="shared" si="37"/>
        <v>SO</v>
      </c>
      <c r="D220" s="103">
        <f t="shared" si="37"/>
        <v>1.9270000000000002E-2</v>
      </c>
      <c r="E220" s="105">
        <f>VLOOKUP(C220,'AEB-5 CAPM LT Beta'!B20:M37,12,FALSE)</f>
        <v>0.58000000000000007</v>
      </c>
      <c r="F220" s="103">
        <f t="shared" si="38"/>
        <v>0.1293612513755926</v>
      </c>
      <c r="G220" s="103">
        <f t="shared" si="39"/>
        <v>0.11009125137559259</v>
      </c>
      <c r="H220" s="103">
        <f t="shared" si="40"/>
        <v>8.3122925797843722E-2</v>
      </c>
      <c r="I220" s="173">
        <f t="shared" si="41"/>
        <v>9.468250719228094E-2</v>
      </c>
    </row>
    <row r="221" spans="2:9">
      <c r="B221" t="str">
        <f t="shared" si="37"/>
        <v>Xcel Energy Inc.</v>
      </c>
      <c r="C221" s="110" t="str">
        <f t="shared" si="37"/>
        <v>XEL</v>
      </c>
      <c r="D221" s="103">
        <f t="shared" si="37"/>
        <v>1.9270000000000002E-2</v>
      </c>
      <c r="E221" s="105">
        <f>VLOOKUP(C221,'AEB-5 CAPM LT Beta'!B21:M38,12,FALSE)</f>
        <v>0.63500000000000001</v>
      </c>
      <c r="F221" s="103">
        <f t="shared" si="38"/>
        <v>0.1293612513755926</v>
      </c>
      <c r="G221" s="103">
        <f t="shared" si="39"/>
        <v>0.11009125137559259</v>
      </c>
      <c r="H221" s="103">
        <f t="shared" si="40"/>
        <v>8.9177944623501287E-2</v>
      </c>
      <c r="I221" s="174">
        <f t="shared" si="41"/>
        <v>9.9223771311524128E-2</v>
      </c>
    </row>
    <row r="222" spans="2:9" ht="13.15" thickBot="1">
      <c r="B222" s="106" t="s">
        <v>718</v>
      </c>
      <c r="C222" s="106"/>
      <c r="D222" s="106"/>
      <c r="E222" s="106"/>
      <c r="F222" s="106"/>
      <c r="G222" s="106"/>
      <c r="H222" s="107">
        <f>AVERAGE(H207:H221)</f>
        <v>9.6003602208788036E-2</v>
      </c>
      <c r="I222" s="107">
        <f>AVERAGE(I207:I221)</f>
        <v>0.10434301450048916</v>
      </c>
    </row>
    <row r="224" spans="2:9">
      <c r="B224" s="108" t="s">
        <v>22</v>
      </c>
    </row>
    <row r="225" spans="2:9">
      <c r="B225" s="97" t="str">
        <f>B126</f>
        <v>[1] Source: Bloomberg Professional, as of September 30, 2021</v>
      </c>
    </row>
    <row r="226" spans="2:9">
      <c r="B226" s="109" t="s">
        <v>1332</v>
      </c>
    </row>
    <row r="227" spans="2:9">
      <c r="B227" s="109" t="str">
        <f>B128</f>
        <v>[3] Source: Schedule AEB-6</v>
      </c>
    </row>
    <row r="228" spans="2:9">
      <c r="B228" s="97" t="s">
        <v>1090</v>
      </c>
    </row>
    <row r="229" spans="2:9">
      <c r="B229" s="97" t="s">
        <v>1091</v>
      </c>
    </row>
    <row r="230" spans="2:9">
      <c r="B230" t="s">
        <v>1092</v>
      </c>
    </row>
    <row r="233" spans="2:9" ht="13.15" customHeight="1">
      <c r="B233" s="494" t="s">
        <v>1271</v>
      </c>
      <c r="C233" s="494"/>
      <c r="D233" s="494"/>
      <c r="E233" s="494"/>
      <c r="F233" s="494"/>
      <c r="G233" s="494"/>
      <c r="H233" s="494"/>
      <c r="I233" s="494"/>
    </row>
    <row r="234" spans="2:9">
      <c r="B234" s="97"/>
      <c r="C234" s="97"/>
      <c r="D234" s="97"/>
      <c r="E234" s="97"/>
      <c r="F234" s="97"/>
      <c r="G234" s="97"/>
      <c r="H234" s="97"/>
    </row>
    <row r="235" spans="2:9">
      <c r="B235" s="495" t="s">
        <v>1082</v>
      </c>
      <c r="C235" s="495"/>
      <c r="D235" s="495"/>
      <c r="E235" s="495"/>
      <c r="F235" s="495"/>
      <c r="G235" s="495"/>
      <c r="H235" s="495"/>
      <c r="I235" s="495"/>
    </row>
    <row r="236" spans="2:9">
      <c r="B236" s="494" t="s">
        <v>1327</v>
      </c>
      <c r="C236" s="494"/>
      <c r="D236" s="494"/>
      <c r="E236" s="494"/>
      <c r="F236" s="494"/>
      <c r="G236" s="494"/>
      <c r="H236" s="494"/>
      <c r="I236" s="494"/>
    </row>
    <row r="237" spans="2:9">
      <c r="B237" s="97"/>
      <c r="C237" s="97"/>
      <c r="D237" s="97"/>
      <c r="E237" s="97"/>
      <c r="F237" s="97"/>
      <c r="G237" s="97"/>
      <c r="H237" s="97"/>
    </row>
    <row r="238" spans="2:9" ht="13.15" thickBot="1">
      <c r="B238" s="97"/>
      <c r="C238" s="97"/>
      <c r="D238" s="98" t="s">
        <v>0</v>
      </c>
      <c r="E238" s="98" t="s">
        <v>1</v>
      </c>
      <c r="F238" s="98" t="s">
        <v>2</v>
      </c>
      <c r="G238" s="98" t="s">
        <v>3</v>
      </c>
      <c r="H238" s="98" t="s">
        <v>4</v>
      </c>
      <c r="I238" s="98" t="s">
        <v>5</v>
      </c>
    </row>
    <row r="239" spans="2:9" ht="51">
      <c r="B239" s="99" t="s">
        <v>11</v>
      </c>
      <c r="C239" s="99" t="s">
        <v>12</v>
      </c>
      <c r="D239" s="100" t="str">
        <f t="shared" ref="D239:D254" si="42">D140</f>
        <v>Near-term projected 30-year U.S. Treasury bond yield 
(Q1 2022 - Q1 2023)</v>
      </c>
      <c r="E239" s="101" t="s">
        <v>1084</v>
      </c>
      <c r="F239" s="101" t="s">
        <v>1085</v>
      </c>
      <c r="G239" s="101" t="s">
        <v>1086</v>
      </c>
      <c r="H239" s="102" t="s">
        <v>1087</v>
      </c>
      <c r="I239" s="102" t="s">
        <v>1088</v>
      </c>
    </row>
    <row r="240" spans="2:9">
      <c r="B240" t="str">
        <f t="shared" ref="B240:C254" si="43">B108</f>
        <v>ALLETE, Inc.</v>
      </c>
      <c r="C240" t="str">
        <f t="shared" si="43"/>
        <v>ALE</v>
      </c>
      <c r="D240" s="103">
        <f t="shared" si="42"/>
        <v>2.5000000000000001E-2</v>
      </c>
      <c r="E240" s="121">
        <f t="shared" ref="E240:E254" si="44">E207</f>
        <v>0.745</v>
      </c>
      <c r="F240" s="103">
        <f t="shared" ref="F240:F254" si="45">F108</f>
        <v>0.1293612513755926</v>
      </c>
      <c r="G240" s="103">
        <f>F240-D240</f>
        <v>0.1043612513755926</v>
      </c>
      <c r="H240" s="103">
        <f>IFERROR(G240*E240+D240,"")</f>
        <v>0.1027491322748165</v>
      </c>
      <c r="I240" s="172">
        <f>IFERROR((0.25*G240)+(0.75*E240*G240)+D240,"")</f>
        <v>0.10940216205001052</v>
      </c>
    </row>
    <row r="241" spans="2:9">
      <c r="B241" t="str">
        <f t="shared" si="43"/>
        <v>Alliant Energy Corporation</v>
      </c>
      <c r="C241" t="str">
        <f t="shared" si="43"/>
        <v>LNT</v>
      </c>
      <c r="D241" s="103">
        <f t="shared" si="42"/>
        <v>2.5000000000000001E-2</v>
      </c>
      <c r="E241" s="122">
        <f t="shared" si="44"/>
        <v>0.72499999999999987</v>
      </c>
      <c r="F241" s="103">
        <f t="shared" si="45"/>
        <v>0.1293612513755926</v>
      </c>
      <c r="G241" s="103">
        <f t="shared" ref="G241:G254" si="46">F241-D241</f>
        <v>0.1043612513755926</v>
      </c>
      <c r="H241" s="103">
        <f t="shared" ref="H241:H254" si="47">IFERROR(G241*E241+D241,"")</f>
        <v>0.10066190724730462</v>
      </c>
      <c r="I241" s="173">
        <f t="shared" ref="I241:I254" si="48">IFERROR((0.25*G241)+(0.75*E241*G241)+D241,"")</f>
        <v>0.10783674327937662</v>
      </c>
    </row>
    <row r="242" spans="2:9">
      <c r="B242" t="str">
        <f t="shared" si="43"/>
        <v>Ameren Corporation</v>
      </c>
      <c r="C242" t="str">
        <f t="shared" si="43"/>
        <v>AEE</v>
      </c>
      <c r="D242" s="103">
        <f t="shared" si="42"/>
        <v>2.5000000000000001E-2</v>
      </c>
      <c r="E242" s="122">
        <f t="shared" si="44"/>
        <v>0.72</v>
      </c>
      <c r="F242" s="103">
        <f t="shared" si="45"/>
        <v>0.1293612513755926</v>
      </c>
      <c r="G242" s="103">
        <f t="shared" si="46"/>
        <v>0.1043612513755926</v>
      </c>
      <c r="H242" s="103">
        <f t="shared" si="47"/>
        <v>0.10014010099042667</v>
      </c>
      <c r="I242" s="173">
        <f t="shared" si="48"/>
        <v>0.10744538858671815</v>
      </c>
    </row>
    <row r="243" spans="2:9">
      <c r="B243" t="str">
        <f t="shared" si="43"/>
        <v>American Electric Power Company, Inc.</v>
      </c>
      <c r="C243" t="str">
        <f t="shared" si="43"/>
        <v>AEP</v>
      </c>
      <c r="D243" s="103">
        <f t="shared" si="42"/>
        <v>2.5000000000000001E-2</v>
      </c>
      <c r="E243" s="122">
        <f t="shared" si="44"/>
        <v>0.66</v>
      </c>
      <c r="F243" s="103">
        <f t="shared" si="45"/>
        <v>0.1293612513755926</v>
      </c>
      <c r="G243" s="103">
        <f t="shared" si="46"/>
        <v>0.1043612513755926</v>
      </c>
      <c r="H243" s="103">
        <f t="shared" si="47"/>
        <v>9.3878425907891111E-2</v>
      </c>
      <c r="I243" s="173">
        <f t="shared" si="48"/>
        <v>0.1027491322748165</v>
      </c>
    </row>
    <row r="244" spans="2:9">
      <c r="B244" t="str">
        <f t="shared" si="43"/>
        <v>Avista Corporation</v>
      </c>
      <c r="C244" t="str">
        <f t="shared" si="43"/>
        <v>AVA</v>
      </c>
      <c r="D244" s="103">
        <f t="shared" si="42"/>
        <v>2.5000000000000001E-2</v>
      </c>
      <c r="E244" s="122">
        <f t="shared" si="44"/>
        <v>0.73</v>
      </c>
      <c r="F244" s="103">
        <f t="shared" si="45"/>
        <v>0.1293612513755926</v>
      </c>
      <c r="G244" s="103">
        <f t="shared" si="46"/>
        <v>0.1043612513755926</v>
      </c>
      <c r="H244" s="103">
        <f t="shared" si="47"/>
        <v>0.10118371350418259</v>
      </c>
      <c r="I244" s="173">
        <f t="shared" si="48"/>
        <v>0.10822809797203509</v>
      </c>
    </row>
    <row r="245" spans="2:9">
      <c r="B245" t="str">
        <f t="shared" si="43"/>
        <v>Duke Energy Corporation</v>
      </c>
      <c r="C245" t="str">
        <f t="shared" si="43"/>
        <v>DUK</v>
      </c>
      <c r="D245" s="103">
        <f t="shared" si="42"/>
        <v>2.5000000000000001E-2</v>
      </c>
      <c r="E245" s="122">
        <f t="shared" si="44"/>
        <v>0.61999999999999988</v>
      </c>
      <c r="F245" s="103">
        <f t="shared" si="45"/>
        <v>0.1293612513755926</v>
      </c>
      <c r="G245" s="103">
        <f t="shared" si="46"/>
        <v>0.1043612513755926</v>
      </c>
      <c r="H245" s="103">
        <f t="shared" si="47"/>
        <v>8.9703975852867407E-2</v>
      </c>
      <c r="I245" s="173">
        <f t="shared" si="48"/>
        <v>9.961829473354869E-2</v>
      </c>
    </row>
    <row r="246" spans="2:9">
      <c r="B246" t="str">
        <f t="shared" si="43"/>
        <v>Entergy Corporation</v>
      </c>
      <c r="C246" t="str">
        <f t="shared" si="43"/>
        <v>ETR</v>
      </c>
      <c r="D246" s="103">
        <f t="shared" si="42"/>
        <v>2.5000000000000001E-2</v>
      </c>
      <c r="E246" s="122">
        <f t="shared" si="44"/>
        <v>0.69500000000000006</v>
      </c>
      <c r="F246" s="103">
        <f t="shared" si="45"/>
        <v>0.1293612513755926</v>
      </c>
      <c r="G246" s="103">
        <f t="shared" si="46"/>
        <v>0.1043612513755926</v>
      </c>
      <c r="H246" s="103">
        <f t="shared" si="47"/>
        <v>9.7531069706036866E-2</v>
      </c>
      <c r="I246" s="173">
        <f t="shared" si="48"/>
        <v>0.10548861512342578</v>
      </c>
    </row>
    <row r="247" spans="2:9">
      <c r="B247" t="str">
        <f t="shared" si="43"/>
        <v>IDACORP, Inc.</v>
      </c>
      <c r="C247" t="str">
        <f t="shared" si="43"/>
        <v>IDA</v>
      </c>
      <c r="D247" s="103">
        <f t="shared" si="42"/>
        <v>2.5000000000000001E-2</v>
      </c>
      <c r="E247" s="122">
        <f t="shared" si="44"/>
        <v>0.70999999999999985</v>
      </c>
      <c r="F247" s="103">
        <f t="shared" si="45"/>
        <v>0.1293612513755926</v>
      </c>
      <c r="G247" s="103">
        <f t="shared" si="46"/>
        <v>0.1043612513755926</v>
      </c>
      <c r="H247" s="103">
        <f t="shared" si="47"/>
        <v>9.9096488476670741E-2</v>
      </c>
      <c r="I247" s="173">
        <f t="shared" si="48"/>
        <v>0.10666267920140118</v>
      </c>
    </row>
    <row r="248" spans="2:9">
      <c r="B248" t="str">
        <f t="shared" si="43"/>
        <v>MGE Energy, Inc.</v>
      </c>
      <c r="C248" t="str">
        <f t="shared" si="43"/>
        <v>MGEE</v>
      </c>
      <c r="D248" s="103">
        <f t="shared" si="42"/>
        <v>2.5000000000000001E-2</v>
      </c>
      <c r="E248" s="122">
        <f t="shared" si="44"/>
        <v>0.65999999999999992</v>
      </c>
      <c r="F248" s="103">
        <f t="shared" si="45"/>
        <v>0.1293612513755926</v>
      </c>
      <c r="G248" s="103">
        <f t="shared" si="46"/>
        <v>0.1043612513755926</v>
      </c>
      <c r="H248" s="103">
        <f t="shared" si="47"/>
        <v>9.3878425907891111E-2</v>
      </c>
      <c r="I248" s="173">
        <f t="shared" si="48"/>
        <v>0.10274913227481647</v>
      </c>
    </row>
    <row r="249" spans="2:9">
      <c r="B249" t="str">
        <f t="shared" si="43"/>
        <v>NextEra Energy, Inc.</v>
      </c>
      <c r="C249" t="str">
        <f t="shared" si="43"/>
        <v>NEE</v>
      </c>
      <c r="D249" s="103">
        <f t="shared" si="42"/>
        <v>2.5000000000000001E-2</v>
      </c>
      <c r="E249" s="122">
        <f t="shared" si="44"/>
        <v>0.69000000000000006</v>
      </c>
      <c r="F249" s="103">
        <f t="shared" si="45"/>
        <v>0.1293612513755926</v>
      </c>
      <c r="G249" s="103">
        <f t="shared" si="46"/>
        <v>0.1043612513755926</v>
      </c>
      <c r="H249" s="103">
        <f t="shared" si="47"/>
        <v>9.7009263449158889E-2</v>
      </c>
      <c r="I249" s="173">
        <f t="shared" si="48"/>
        <v>0.10509726043076734</v>
      </c>
    </row>
    <row r="250" spans="2:9">
      <c r="B250" t="str">
        <f t="shared" si="43"/>
        <v>NorthWestern Corporation</v>
      </c>
      <c r="C250" t="str">
        <f t="shared" si="43"/>
        <v>NWE</v>
      </c>
      <c r="D250" s="103">
        <f t="shared" si="42"/>
        <v>2.5000000000000001E-2</v>
      </c>
      <c r="E250" s="122">
        <f t="shared" si="44"/>
        <v>0.7</v>
      </c>
      <c r="F250" s="103">
        <f t="shared" si="45"/>
        <v>0.1293612513755926</v>
      </c>
      <c r="G250" s="103">
        <f t="shared" si="46"/>
        <v>0.1043612513755926</v>
      </c>
      <c r="H250" s="103">
        <f t="shared" si="47"/>
        <v>9.8052875962914815E-2</v>
      </c>
      <c r="I250" s="173">
        <f t="shared" si="48"/>
        <v>0.10587996981608425</v>
      </c>
    </row>
    <row r="251" spans="2:9">
      <c r="B251" t="str">
        <f t="shared" si="43"/>
        <v>Otter Tail Corporation</v>
      </c>
      <c r="C251" t="str">
        <f t="shared" si="43"/>
        <v>OTTR</v>
      </c>
      <c r="D251" s="103">
        <f t="shared" si="42"/>
        <v>2.5000000000000001E-2</v>
      </c>
      <c r="E251" s="122">
        <f t="shared" si="44"/>
        <v>0.85500000000000009</v>
      </c>
      <c r="F251" s="103">
        <f t="shared" si="45"/>
        <v>0.1293612513755926</v>
      </c>
      <c r="G251" s="103">
        <f t="shared" si="46"/>
        <v>0.1043612513755926</v>
      </c>
      <c r="H251" s="103">
        <f t="shared" si="47"/>
        <v>0.11422886992613168</v>
      </c>
      <c r="I251" s="173">
        <f t="shared" si="48"/>
        <v>0.11801196528849692</v>
      </c>
    </row>
    <row r="252" spans="2:9">
      <c r="B252" t="str">
        <f t="shared" si="43"/>
        <v>Portland General Electric Company</v>
      </c>
      <c r="C252" t="str">
        <f t="shared" si="43"/>
        <v>POR</v>
      </c>
      <c r="D252" s="103">
        <f t="shared" si="42"/>
        <v>2.5000000000000001E-2</v>
      </c>
      <c r="E252" s="122">
        <f t="shared" si="44"/>
        <v>0.72999999999999987</v>
      </c>
      <c r="F252" s="103">
        <f t="shared" si="45"/>
        <v>0.1293612513755926</v>
      </c>
      <c r="G252" s="103">
        <f t="shared" si="46"/>
        <v>0.1043612513755926</v>
      </c>
      <c r="H252" s="103">
        <f t="shared" si="47"/>
        <v>0.10118371350418259</v>
      </c>
      <c r="I252" s="173">
        <f t="shared" si="48"/>
        <v>0.10822809797203509</v>
      </c>
    </row>
    <row r="253" spans="2:9">
      <c r="B253" t="str">
        <f t="shared" si="43"/>
        <v>Southern Company</v>
      </c>
      <c r="C253" t="str">
        <f t="shared" si="43"/>
        <v>SO</v>
      </c>
      <c r="D253" s="103">
        <f t="shared" si="42"/>
        <v>2.5000000000000001E-2</v>
      </c>
      <c r="E253" s="122">
        <f t="shared" si="44"/>
        <v>0.58000000000000007</v>
      </c>
      <c r="F253" s="103">
        <f t="shared" si="45"/>
        <v>0.1293612513755926</v>
      </c>
      <c r="G253" s="103">
        <f t="shared" si="46"/>
        <v>0.1043612513755926</v>
      </c>
      <c r="H253" s="103">
        <f t="shared" si="47"/>
        <v>8.5529525797843717E-2</v>
      </c>
      <c r="I253" s="173">
        <f t="shared" si="48"/>
        <v>9.648745719228094E-2</v>
      </c>
    </row>
    <row r="254" spans="2:9">
      <c r="B254" t="str">
        <f t="shared" si="43"/>
        <v>Xcel Energy Inc.</v>
      </c>
      <c r="C254" t="str">
        <f t="shared" si="43"/>
        <v>XEL</v>
      </c>
      <c r="D254" s="103">
        <f t="shared" si="42"/>
        <v>2.5000000000000001E-2</v>
      </c>
      <c r="E254" s="123">
        <f t="shared" si="44"/>
        <v>0.63500000000000001</v>
      </c>
      <c r="F254" s="103">
        <f t="shared" si="45"/>
        <v>0.1293612513755926</v>
      </c>
      <c r="G254" s="103">
        <f t="shared" si="46"/>
        <v>0.1043612513755926</v>
      </c>
      <c r="H254" s="103">
        <f t="shared" si="47"/>
        <v>9.126939462350131E-2</v>
      </c>
      <c r="I254" s="174">
        <f t="shared" si="48"/>
        <v>0.10079235881152412</v>
      </c>
    </row>
    <row r="255" spans="2:9" ht="13.15" thickBot="1">
      <c r="B255" s="106" t="s">
        <v>718</v>
      </c>
      <c r="C255" s="106"/>
      <c r="D255" s="106"/>
      <c r="E255" s="106"/>
      <c r="F255" s="106"/>
      <c r="G255" s="106"/>
      <c r="H255" s="107">
        <f>AVERAGE(H240:H254)</f>
        <v>9.7739792208788048E-2</v>
      </c>
      <c r="I255" s="107">
        <f>AVERAGE(I240:I254)</f>
        <v>0.10564515700048918</v>
      </c>
    </row>
    <row r="257" spans="2:9">
      <c r="B257" s="108" t="s">
        <v>22</v>
      </c>
    </row>
    <row r="258" spans="2:9">
      <c r="B258" s="97" t="str">
        <f>B159</f>
        <v>[1] Source: Blue Chip Financial Forecasts, Vol. 40, No. 10, October 1, 2021, at 2</v>
      </c>
    </row>
    <row r="259" spans="2:9">
      <c r="B259" s="97" t="str">
        <f>B226</f>
        <v>[2] Source: Schedule AEB-5</v>
      </c>
    </row>
    <row r="260" spans="2:9">
      <c r="B260" s="109" t="str">
        <f>B128</f>
        <v>[3] Source: Schedule AEB-6</v>
      </c>
    </row>
    <row r="261" spans="2:9">
      <c r="B261" s="97" t="s">
        <v>1090</v>
      </c>
    </row>
    <row r="262" spans="2:9">
      <c r="B262" s="97" t="s">
        <v>1091</v>
      </c>
    </row>
    <row r="263" spans="2:9">
      <c r="B263" t="s">
        <v>1092</v>
      </c>
    </row>
    <row r="266" spans="2:9" ht="13.15" customHeight="1">
      <c r="B266" s="494" t="s">
        <v>1272</v>
      </c>
      <c r="C266" s="494"/>
      <c r="D266" s="494"/>
      <c r="E266" s="494"/>
      <c r="F266" s="494"/>
      <c r="G266" s="494"/>
      <c r="H266" s="494"/>
      <c r="I266" s="494"/>
    </row>
    <row r="267" spans="2:9">
      <c r="B267" s="97"/>
      <c r="C267" s="97"/>
      <c r="D267" s="97"/>
      <c r="E267" s="97"/>
      <c r="F267" s="97"/>
      <c r="G267" s="97"/>
      <c r="H267" s="97"/>
    </row>
    <row r="268" spans="2:9">
      <c r="B268" s="495" t="s">
        <v>1082</v>
      </c>
      <c r="C268" s="495"/>
      <c r="D268" s="495"/>
      <c r="E268" s="495"/>
      <c r="F268" s="495"/>
      <c r="G268" s="495"/>
      <c r="H268" s="495"/>
      <c r="I268" s="495"/>
    </row>
    <row r="269" spans="2:9">
      <c r="B269" s="494" t="s">
        <v>1327</v>
      </c>
      <c r="C269" s="494"/>
      <c r="D269" s="494"/>
      <c r="E269" s="494"/>
      <c r="F269" s="494"/>
      <c r="G269" s="494"/>
      <c r="H269" s="494"/>
      <c r="I269" s="494"/>
    </row>
    <row r="270" spans="2:9">
      <c r="B270" s="97"/>
      <c r="C270" s="97"/>
      <c r="D270" s="97"/>
      <c r="E270" s="97"/>
      <c r="F270" s="97"/>
      <c r="G270" s="97"/>
      <c r="H270" s="97"/>
    </row>
    <row r="271" spans="2:9" ht="13.15" thickBot="1">
      <c r="B271" s="97"/>
      <c r="C271" s="97"/>
      <c r="D271" s="98" t="s">
        <v>0</v>
      </c>
      <c r="E271" s="98" t="s">
        <v>1</v>
      </c>
      <c r="F271" s="98" t="s">
        <v>2</v>
      </c>
      <c r="G271" s="98" t="s">
        <v>3</v>
      </c>
      <c r="H271" s="98" t="s">
        <v>4</v>
      </c>
      <c r="I271" s="98" t="s">
        <v>5</v>
      </c>
    </row>
    <row r="272" spans="2:9" ht="51">
      <c r="B272" s="99" t="s">
        <v>11</v>
      </c>
      <c r="C272" s="99" t="s">
        <v>12</v>
      </c>
      <c r="D272" s="100" t="str">
        <f t="shared" ref="D272:D283" si="49">D173</f>
        <v>Projected 30-year U.S. Treasury bond yield 
(2023 - 2027)</v>
      </c>
      <c r="E272" s="101" t="s">
        <v>1084</v>
      </c>
      <c r="F272" s="101" t="s">
        <v>1085</v>
      </c>
      <c r="G272" s="101" t="s">
        <v>1086</v>
      </c>
      <c r="H272" s="102" t="s">
        <v>1087</v>
      </c>
      <c r="I272" s="102" t="s">
        <v>1088</v>
      </c>
    </row>
    <row r="273" spans="2:9">
      <c r="B273" t="str">
        <f t="shared" ref="B273:C284" si="50">B108</f>
        <v>ALLETE, Inc.</v>
      </c>
      <c r="C273" t="str">
        <f t="shared" si="50"/>
        <v>ALE</v>
      </c>
      <c r="D273" s="103">
        <f t="shared" si="49"/>
        <v>3.5000000000000003E-2</v>
      </c>
      <c r="E273" s="105">
        <f t="shared" ref="E273:E287" si="51">E240</f>
        <v>0.745</v>
      </c>
      <c r="F273" s="103">
        <f t="shared" ref="F273:F287" si="52">F108</f>
        <v>0.1293612513755926</v>
      </c>
      <c r="G273" s="103">
        <f>F273-D273</f>
        <v>9.4361251375592592E-2</v>
      </c>
      <c r="H273" s="103">
        <f>IFERROR(G273*E273+D273,"")</f>
        <v>0.10529913227481648</v>
      </c>
      <c r="I273" s="172">
        <f>IFERROR((0.25*G273)+(0.75*E273*G273)+D273,"")</f>
        <v>0.1113146620500105</v>
      </c>
    </row>
    <row r="274" spans="2:9">
      <c r="B274" t="str">
        <f t="shared" si="50"/>
        <v>Alliant Energy Corporation</v>
      </c>
      <c r="C274" t="str">
        <f t="shared" si="50"/>
        <v>LNT</v>
      </c>
      <c r="D274" s="103">
        <f t="shared" si="49"/>
        <v>3.5000000000000003E-2</v>
      </c>
      <c r="E274" s="105">
        <f t="shared" si="51"/>
        <v>0.72499999999999987</v>
      </c>
      <c r="F274" s="103">
        <f t="shared" si="52"/>
        <v>0.1293612513755926</v>
      </c>
      <c r="G274" s="103">
        <f t="shared" ref="G274:G287" si="53">F274-D274</f>
        <v>9.4361251375592592E-2</v>
      </c>
      <c r="H274" s="103">
        <f t="shared" ref="H274:H287" si="54">IFERROR(G274*E274+D274,"")</f>
        <v>0.10341190724730462</v>
      </c>
      <c r="I274" s="173">
        <f t="shared" ref="I274:I287" si="55">IFERROR((0.25*G274)+(0.75*E274*G274)+D274,"")</f>
        <v>0.10989924327937661</v>
      </c>
    </row>
    <row r="275" spans="2:9">
      <c r="B275" t="str">
        <f t="shared" si="50"/>
        <v>Ameren Corporation</v>
      </c>
      <c r="C275" t="str">
        <f t="shared" si="50"/>
        <v>AEE</v>
      </c>
      <c r="D275" s="103">
        <f t="shared" si="49"/>
        <v>3.5000000000000003E-2</v>
      </c>
      <c r="E275" s="105">
        <f t="shared" si="51"/>
        <v>0.72</v>
      </c>
      <c r="F275" s="103">
        <f t="shared" si="52"/>
        <v>0.1293612513755926</v>
      </c>
      <c r="G275" s="103">
        <f t="shared" si="53"/>
        <v>9.4361251375592592E-2</v>
      </c>
      <c r="H275" s="103">
        <f t="shared" si="54"/>
        <v>0.10294010099042666</v>
      </c>
      <c r="I275" s="173">
        <f t="shared" si="55"/>
        <v>0.10954538858671815</v>
      </c>
    </row>
    <row r="276" spans="2:9">
      <c r="B276" t="str">
        <f t="shared" si="50"/>
        <v>American Electric Power Company, Inc.</v>
      </c>
      <c r="C276" t="str">
        <f t="shared" si="50"/>
        <v>AEP</v>
      </c>
      <c r="D276" s="103">
        <f t="shared" si="49"/>
        <v>3.5000000000000003E-2</v>
      </c>
      <c r="E276" s="105">
        <f t="shared" si="51"/>
        <v>0.66</v>
      </c>
      <c r="F276" s="103">
        <f t="shared" si="52"/>
        <v>0.1293612513755926</v>
      </c>
      <c r="G276" s="103">
        <f t="shared" si="53"/>
        <v>9.4361251375592592E-2</v>
      </c>
      <c r="H276" s="103">
        <f t="shared" si="54"/>
        <v>9.7278425907891125E-2</v>
      </c>
      <c r="I276" s="173">
        <f t="shared" si="55"/>
        <v>0.10529913227481649</v>
      </c>
    </row>
    <row r="277" spans="2:9">
      <c r="B277" t="str">
        <f t="shared" si="50"/>
        <v>Avista Corporation</v>
      </c>
      <c r="C277" t="str">
        <f t="shared" si="50"/>
        <v>AVA</v>
      </c>
      <c r="D277" s="103">
        <f t="shared" si="49"/>
        <v>3.5000000000000003E-2</v>
      </c>
      <c r="E277" s="105">
        <f t="shared" si="51"/>
        <v>0.73</v>
      </c>
      <c r="F277" s="103">
        <f t="shared" si="52"/>
        <v>0.1293612513755926</v>
      </c>
      <c r="G277" s="103">
        <f t="shared" si="53"/>
        <v>9.4361251375592592E-2</v>
      </c>
      <c r="H277" s="103">
        <f t="shared" si="54"/>
        <v>0.10388371350418259</v>
      </c>
      <c r="I277" s="173">
        <f t="shared" si="55"/>
        <v>0.11025309797203509</v>
      </c>
    </row>
    <row r="278" spans="2:9">
      <c r="B278" t="str">
        <f t="shared" si="50"/>
        <v>Duke Energy Corporation</v>
      </c>
      <c r="C278" t="str">
        <f t="shared" si="50"/>
        <v>DUK</v>
      </c>
      <c r="D278" s="103">
        <f t="shared" si="49"/>
        <v>3.5000000000000003E-2</v>
      </c>
      <c r="E278" s="105">
        <f t="shared" si="51"/>
        <v>0.61999999999999988</v>
      </c>
      <c r="F278" s="103">
        <f t="shared" si="52"/>
        <v>0.1293612513755926</v>
      </c>
      <c r="G278" s="103">
        <f t="shared" si="53"/>
        <v>9.4361251375592592E-2</v>
      </c>
      <c r="H278" s="103">
        <f t="shared" si="54"/>
        <v>9.3503975852867405E-2</v>
      </c>
      <c r="I278" s="173">
        <f t="shared" si="55"/>
        <v>0.1024682947335487</v>
      </c>
    </row>
    <row r="279" spans="2:9">
      <c r="B279" t="str">
        <f t="shared" si="50"/>
        <v>Entergy Corporation</v>
      </c>
      <c r="C279" t="str">
        <f t="shared" si="50"/>
        <v>ETR</v>
      </c>
      <c r="D279" s="103">
        <f t="shared" si="49"/>
        <v>3.5000000000000003E-2</v>
      </c>
      <c r="E279" s="105">
        <f t="shared" si="51"/>
        <v>0.69500000000000006</v>
      </c>
      <c r="F279" s="103">
        <f t="shared" si="52"/>
        <v>0.1293612513755926</v>
      </c>
      <c r="G279" s="103">
        <f t="shared" si="53"/>
        <v>9.4361251375592592E-2</v>
      </c>
      <c r="H279" s="103">
        <f t="shared" si="54"/>
        <v>0.10058106970603686</v>
      </c>
      <c r="I279" s="173">
        <f t="shared" si="55"/>
        <v>0.10777611512342579</v>
      </c>
    </row>
    <row r="280" spans="2:9">
      <c r="B280" t="str">
        <f t="shared" si="50"/>
        <v>IDACORP, Inc.</v>
      </c>
      <c r="C280" t="str">
        <f t="shared" si="50"/>
        <v>IDA</v>
      </c>
      <c r="D280" s="103">
        <f t="shared" si="49"/>
        <v>3.5000000000000003E-2</v>
      </c>
      <c r="E280" s="105">
        <f t="shared" si="51"/>
        <v>0.70999999999999985</v>
      </c>
      <c r="F280" s="103">
        <f t="shared" si="52"/>
        <v>0.1293612513755926</v>
      </c>
      <c r="G280" s="103">
        <f t="shared" si="53"/>
        <v>9.4361251375592592E-2</v>
      </c>
      <c r="H280" s="103">
        <f t="shared" si="54"/>
        <v>0.10199648847667073</v>
      </c>
      <c r="I280" s="173">
        <f t="shared" si="55"/>
        <v>0.10883767920140119</v>
      </c>
    </row>
    <row r="281" spans="2:9">
      <c r="B281" t="str">
        <f t="shared" si="50"/>
        <v>MGE Energy, Inc.</v>
      </c>
      <c r="C281" t="str">
        <f t="shared" si="50"/>
        <v>MGEE</v>
      </c>
      <c r="D281" s="103">
        <f t="shared" si="49"/>
        <v>3.5000000000000003E-2</v>
      </c>
      <c r="E281" s="105">
        <f t="shared" si="51"/>
        <v>0.65999999999999992</v>
      </c>
      <c r="F281" s="103">
        <f t="shared" si="52"/>
        <v>0.1293612513755926</v>
      </c>
      <c r="G281" s="103">
        <f t="shared" si="53"/>
        <v>9.4361251375592592E-2</v>
      </c>
      <c r="H281" s="103">
        <f t="shared" si="54"/>
        <v>9.7278425907891097E-2</v>
      </c>
      <c r="I281" s="173">
        <f t="shared" si="55"/>
        <v>0.10529913227481648</v>
      </c>
    </row>
    <row r="282" spans="2:9">
      <c r="B282" t="str">
        <f t="shared" si="50"/>
        <v>NextEra Energy, Inc.</v>
      </c>
      <c r="C282" t="str">
        <f t="shared" si="50"/>
        <v>NEE</v>
      </c>
      <c r="D282" s="103">
        <f t="shared" si="49"/>
        <v>3.5000000000000003E-2</v>
      </c>
      <c r="E282" s="105">
        <f t="shared" si="51"/>
        <v>0.69000000000000006</v>
      </c>
      <c r="F282" s="103">
        <f t="shared" si="52"/>
        <v>0.1293612513755926</v>
      </c>
      <c r="G282" s="103">
        <f t="shared" si="53"/>
        <v>9.4361251375592592E-2</v>
      </c>
      <c r="H282" s="103">
        <f t="shared" si="54"/>
        <v>0.10010926344915889</v>
      </c>
      <c r="I282" s="173">
        <f t="shared" si="55"/>
        <v>0.10742226043076733</v>
      </c>
    </row>
    <row r="283" spans="2:9">
      <c r="B283" t="str">
        <f t="shared" si="50"/>
        <v>NorthWestern Corporation</v>
      </c>
      <c r="C283" t="str">
        <f t="shared" si="50"/>
        <v>NWE</v>
      </c>
      <c r="D283" s="103">
        <f t="shared" si="49"/>
        <v>3.5000000000000003E-2</v>
      </c>
      <c r="E283" s="105">
        <f t="shared" si="51"/>
        <v>0.7</v>
      </c>
      <c r="F283" s="103">
        <f t="shared" si="52"/>
        <v>0.1293612513755926</v>
      </c>
      <c r="G283" s="103">
        <f t="shared" si="53"/>
        <v>9.4361251375592592E-2</v>
      </c>
      <c r="H283" s="103">
        <f t="shared" si="54"/>
        <v>0.10105287596291482</v>
      </c>
      <c r="I283" s="173">
        <f t="shared" si="55"/>
        <v>0.10812996981608425</v>
      </c>
    </row>
    <row r="284" spans="2:9">
      <c r="B284" t="str">
        <f t="shared" si="50"/>
        <v>Otter Tail Corporation</v>
      </c>
      <c r="C284" t="str">
        <f t="shared" si="50"/>
        <v>OTTR</v>
      </c>
      <c r="D284" s="103">
        <f>D283</f>
        <v>3.5000000000000003E-2</v>
      </c>
      <c r="E284" s="105">
        <f t="shared" si="51"/>
        <v>0.85500000000000009</v>
      </c>
      <c r="F284" s="103">
        <f t="shared" si="52"/>
        <v>0.1293612513755926</v>
      </c>
      <c r="G284" s="103">
        <f t="shared" si="53"/>
        <v>9.4361251375592592E-2</v>
      </c>
      <c r="H284" s="103">
        <f t="shared" si="54"/>
        <v>0.11567886992613167</v>
      </c>
      <c r="I284" s="173">
        <f t="shared" si="55"/>
        <v>0.11909946528849691</v>
      </c>
    </row>
    <row r="285" spans="2:9">
      <c r="B285" t="str">
        <f t="shared" ref="B285:C285" si="56">B120</f>
        <v>Portland General Electric Company</v>
      </c>
      <c r="C285" t="str">
        <f t="shared" si="56"/>
        <v>POR</v>
      </c>
      <c r="D285" s="103">
        <f>D284</f>
        <v>3.5000000000000003E-2</v>
      </c>
      <c r="E285" s="105">
        <f t="shared" si="51"/>
        <v>0.72999999999999987</v>
      </c>
      <c r="F285" s="103">
        <f t="shared" si="52"/>
        <v>0.1293612513755926</v>
      </c>
      <c r="G285" s="103">
        <f t="shared" si="53"/>
        <v>9.4361251375592592E-2</v>
      </c>
      <c r="H285" s="103">
        <f t="shared" si="54"/>
        <v>0.10388371350418259</v>
      </c>
      <c r="I285" s="173">
        <f t="shared" si="55"/>
        <v>0.11025309797203509</v>
      </c>
    </row>
    <row r="286" spans="2:9">
      <c r="B286" t="str">
        <f t="shared" ref="B286:C286" si="57">B121</f>
        <v>Southern Company</v>
      </c>
      <c r="C286" t="str">
        <f t="shared" si="57"/>
        <v>SO</v>
      </c>
      <c r="D286" s="103">
        <f t="shared" ref="D286:D287" si="58">D285</f>
        <v>3.5000000000000003E-2</v>
      </c>
      <c r="E286" s="105">
        <f t="shared" si="51"/>
        <v>0.58000000000000007</v>
      </c>
      <c r="F286" s="103">
        <f t="shared" si="52"/>
        <v>0.1293612513755926</v>
      </c>
      <c r="G286" s="103">
        <f t="shared" si="53"/>
        <v>9.4361251375592592E-2</v>
      </c>
      <c r="H286" s="103">
        <f t="shared" si="54"/>
        <v>8.9729525797843712E-2</v>
      </c>
      <c r="I286" s="173">
        <f t="shared" si="55"/>
        <v>9.9637457192280926E-2</v>
      </c>
    </row>
    <row r="287" spans="2:9">
      <c r="B287" t="str">
        <f t="shared" ref="B287:C287" si="59">B122</f>
        <v>Xcel Energy Inc.</v>
      </c>
      <c r="C287" t="str">
        <f t="shared" si="59"/>
        <v>XEL</v>
      </c>
      <c r="D287" s="103">
        <f t="shared" si="58"/>
        <v>3.5000000000000003E-2</v>
      </c>
      <c r="E287" s="105">
        <f t="shared" si="51"/>
        <v>0.63500000000000001</v>
      </c>
      <c r="F287" s="103">
        <f t="shared" si="52"/>
        <v>0.1293612513755926</v>
      </c>
      <c r="G287" s="103">
        <f t="shared" si="53"/>
        <v>9.4361251375592592E-2</v>
      </c>
      <c r="H287" s="103">
        <f t="shared" si="54"/>
        <v>9.4919394623501296E-2</v>
      </c>
      <c r="I287" s="174">
        <f t="shared" si="55"/>
        <v>0.10352985881152413</v>
      </c>
    </row>
    <row r="288" spans="2:9" ht="13.15" thickBot="1">
      <c r="B288" s="106" t="s">
        <v>718</v>
      </c>
      <c r="C288" s="106"/>
      <c r="D288" s="106"/>
      <c r="E288" s="106"/>
      <c r="F288" s="106"/>
      <c r="G288" s="106"/>
      <c r="H288" s="107">
        <f>AVERAGE(H273:H287)</f>
        <v>0.10076979220878804</v>
      </c>
      <c r="I288" s="107">
        <f>AVERAGE(I273:I287)</f>
        <v>0.10791765700048916</v>
      </c>
    </row>
    <row r="290" spans="2:2">
      <c r="B290" s="108" t="s">
        <v>22</v>
      </c>
    </row>
    <row r="291" spans="2:2">
      <c r="B291" s="97" t="str">
        <f>B192</f>
        <v>[1] Source: Blue Chip Financial Forecasts, Vol. 40, No. 6, June 1, 2021, at 14</v>
      </c>
    </row>
    <row r="292" spans="2:2">
      <c r="B292" s="97" t="str">
        <f>B226</f>
        <v>[2] Source: Schedule AEB-5</v>
      </c>
    </row>
    <row r="293" spans="2:2">
      <c r="B293" s="109" t="str">
        <f>B128</f>
        <v>[3] Source: Schedule AEB-6</v>
      </c>
    </row>
    <row r="294" spans="2:2">
      <c r="B294" s="97" t="s">
        <v>1090</v>
      </c>
    </row>
    <row r="295" spans="2:2">
      <c r="B295" s="97" t="s">
        <v>1091</v>
      </c>
    </row>
    <row r="296" spans="2:2">
      <c r="B296" t="s">
        <v>1092</v>
      </c>
    </row>
  </sheetData>
  <mergeCells count="27">
    <mergeCell ref="B136:I136"/>
    <mergeCell ref="B134:I134"/>
    <mergeCell ref="B103:I103"/>
    <mergeCell ref="B101:I101"/>
    <mergeCell ref="B68:I68"/>
    <mergeCell ref="B70:I70"/>
    <mergeCell ref="B71:I71"/>
    <mergeCell ref="B104:I104"/>
    <mergeCell ref="B137:I137"/>
    <mergeCell ref="B170:I170"/>
    <mergeCell ref="B203:I203"/>
    <mergeCell ref="B202:I202"/>
    <mergeCell ref="B269:I269"/>
    <mergeCell ref="B268:I268"/>
    <mergeCell ref="B169:I169"/>
    <mergeCell ref="B167:I167"/>
    <mergeCell ref="B200:I200"/>
    <mergeCell ref="B233:I233"/>
    <mergeCell ref="B266:I266"/>
    <mergeCell ref="B235:I235"/>
    <mergeCell ref="B236:I236"/>
    <mergeCell ref="B2:I2"/>
    <mergeCell ref="B38:I38"/>
    <mergeCell ref="B5:I5"/>
    <mergeCell ref="B4:I4"/>
    <mergeCell ref="B37:I37"/>
    <mergeCell ref="B35:I35"/>
  </mergeCells>
  <pageMargins left="0.7" right="0.7" top="0.75" bottom="0.75" header="0.3" footer="0.3"/>
  <pageSetup scale="72" orientation="portrait" useFirstPageNumber="1" r:id="rId1"/>
  <headerFooter>
    <oddHeader>&amp;LDRAFT- PRIVILEGED AND CONFIDENTIAL
PREPARED AT THE REQUEST OF COUNSEL
&amp;RSchedule AEB-4
Page &amp;P of 5</oddHeader>
  </headerFooter>
  <rowBreaks count="4" manualBreakCount="4">
    <brk id="66" max="16383" man="1"/>
    <brk id="132" max="16383" man="1"/>
    <brk id="198" max="16383" man="1"/>
    <brk id="264" max="16383" man="1"/>
  </rowBreaks>
  <ignoredErrors>
    <ignoredError sqref="D43:D48 D76:D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D6DD-97D0-4805-9CF2-A27BDC04EAD6}">
  <sheetPr codeName="Sheet2"/>
  <dimension ref="A2:M35"/>
  <sheetViews>
    <sheetView zoomScaleNormal="100" zoomScaleSheetLayoutView="80" workbookViewId="0">
      <selection activeCell="H32" sqref="H32"/>
    </sheetView>
  </sheetViews>
  <sheetFormatPr defaultRowHeight="12.75"/>
  <cols>
    <col min="1" max="1" width="31.265625" customWidth="1"/>
    <col min="3" max="3" width="11.265625" customWidth="1"/>
    <col min="4" max="4" width="12.3984375" customWidth="1"/>
    <col min="5" max="5" width="11.3984375" customWidth="1"/>
    <col min="6" max="11" width="11.59765625" customWidth="1"/>
    <col min="12" max="12" width="12.1328125" customWidth="1"/>
  </cols>
  <sheetData>
    <row r="2" spans="1:13">
      <c r="A2" s="492" t="s">
        <v>1269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4" spans="1:13" ht="13.15" thickBot="1">
      <c r="A4" s="116"/>
      <c r="B4" s="116"/>
      <c r="C4" s="117" t="s">
        <v>0</v>
      </c>
      <c r="D4" s="117" t="s">
        <v>1</v>
      </c>
      <c r="E4" s="117" t="s">
        <v>2</v>
      </c>
      <c r="F4" s="117" t="s">
        <v>3</v>
      </c>
      <c r="G4" s="117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</row>
    <row r="5" spans="1:13" ht="13.15" thickBot="1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45"/>
    </row>
    <row r="6" spans="1:13">
      <c r="A6" s="56" t="s">
        <v>11</v>
      </c>
      <c r="B6" s="57" t="s">
        <v>12</v>
      </c>
      <c r="C6" s="112">
        <v>40908</v>
      </c>
      <c r="D6" s="112">
        <v>41274</v>
      </c>
      <c r="E6" s="112">
        <v>41639</v>
      </c>
      <c r="F6" s="112">
        <v>42004</v>
      </c>
      <c r="G6" s="112">
        <v>42369</v>
      </c>
      <c r="H6" s="112">
        <v>42735</v>
      </c>
      <c r="I6" s="113">
        <v>43100</v>
      </c>
      <c r="J6" s="112">
        <v>43465</v>
      </c>
      <c r="K6" s="113">
        <v>43830</v>
      </c>
      <c r="L6" s="112">
        <v>44196</v>
      </c>
      <c r="M6" s="112" t="s">
        <v>1054</v>
      </c>
    </row>
    <row r="7" spans="1:13">
      <c r="A7" s="33" t="s">
        <v>1022</v>
      </c>
      <c r="B7" s="46" t="s">
        <v>1023</v>
      </c>
      <c r="C7" s="105">
        <v>0.7</v>
      </c>
      <c r="D7" s="105">
        <v>0.7</v>
      </c>
      <c r="E7" s="105">
        <v>0.75</v>
      </c>
      <c r="F7" s="105">
        <v>0.8</v>
      </c>
      <c r="G7" s="105">
        <v>0.8</v>
      </c>
      <c r="H7" s="105">
        <v>0.75</v>
      </c>
      <c r="I7" s="105">
        <v>0.8</v>
      </c>
      <c r="J7" s="105">
        <v>0.65</v>
      </c>
      <c r="K7" s="105">
        <v>0.65</v>
      </c>
      <c r="L7" s="105">
        <v>0.85</v>
      </c>
      <c r="M7" s="124">
        <f>AVERAGE(C7:L7)</f>
        <v>0.745</v>
      </c>
    </row>
    <row r="8" spans="1:13">
      <c r="A8" s="8" t="s">
        <v>1024</v>
      </c>
      <c r="B8" s="47" t="s">
        <v>792</v>
      </c>
      <c r="C8" s="105">
        <v>0.75</v>
      </c>
      <c r="D8" s="105">
        <v>0.7</v>
      </c>
      <c r="E8" s="105">
        <v>0.75</v>
      </c>
      <c r="F8" s="105">
        <v>0.8</v>
      </c>
      <c r="G8" s="105">
        <v>0.8</v>
      </c>
      <c r="H8" s="105">
        <v>0.7</v>
      </c>
      <c r="I8" s="105">
        <v>0.7</v>
      </c>
      <c r="J8" s="105">
        <v>0.6</v>
      </c>
      <c r="K8" s="105">
        <v>0.6</v>
      </c>
      <c r="L8" s="105">
        <v>0.85</v>
      </c>
      <c r="M8" s="124">
        <f t="shared" ref="M8:M21" si="0">AVERAGE(C8:L8)</f>
        <v>0.72499999999999987</v>
      </c>
    </row>
    <row r="9" spans="1:13">
      <c r="A9" s="8" t="s">
        <v>1025</v>
      </c>
      <c r="B9" s="47" t="s">
        <v>350</v>
      </c>
      <c r="C9" s="105">
        <v>0.8</v>
      </c>
      <c r="D9" s="105">
        <v>0.8</v>
      </c>
      <c r="E9" s="105">
        <v>0.8</v>
      </c>
      <c r="F9" s="105">
        <v>0.75</v>
      </c>
      <c r="G9" s="105">
        <v>0.75</v>
      </c>
      <c r="H9" s="105">
        <v>0.65</v>
      </c>
      <c r="I9" s="105">
        <v>0.7</v>
      </c>
      <c r="J9" s="105">
        <v>0.55000000000000004</v>
      </c>
      <c r="K9" s="105">
        <v>0.55000000000000004</v>
      </c>
      <c r="L9" s="105">
        <v>0.85</v>
      </c>
      <c r="M9" s="124">
        <f t="shared" si="0"/>
        <v>0.72</v>
      </c>
    </row>
    <row r="10" spans="1:13">
      <c r="A10" s="8" t="s">
        <v>1026</v>
      </c>
      <c r="B10" s="47" t="s">
        <v>19</v>
      </c>
      <c r="C10" s="105">
        <v>0.7</v>
      </c>
      <c r="D10" s="105">
        <v>0.65</v>
      </c>
      <c r="E10" s="105">
        <v>0.7</v>
      </c>
      <c r="F10" s="105">
        <v>0.7</v>
      </c>
      <c r="G10" s="105">
        <v>0.7</v>
      </c>
      <c r="H10" s="105">
        <v>0.65</v>
      </c>
      <c r="I10" s="105">
        <v>0.65</v>
      </c>
      <c r="J10" s="105">
        <v>0.55000000000000004</v>
      </c>
      <c r="K10" s="105">
        <v>0.55000000000000004</v>
      </c>
      <c r="L10" s="105">
        <v>0.75</v>
      </c>
      <c r="M10" s="124">
        <f t="shared" si="0"/>
        <v>0.66</v>
      </c>
    </row>
    <row r="11" spans="1:13">
      <c r="A11" s="8" t="s">
        <v>1064</v>
      </c>
      <c r="B11" s="47" t="s">
        <v>1075</v>
      </c>
      <c r="C11" s="105">
        <v>0.7</v>
      </c>
      <c r="D11" s="105">
        <v>0.7</v>
      </c>
      <c r="E11" s="105">
        <v>0.7</v>
      </c>
      <c r="F11" s="105">
        <v>0.8</v>
      </c>
      <c r="G11" s="105">
        <v>0.8</v>
      </c>
      <c r="H11" s="105">
        <v>0.7</v>
      </c>
      <c r="I11" s="105">
        <v>0.75</v>
      </c>
      <c r="J11" s="105">
        <v>0.65</v>
      </c>
      <c r="K11" s="105">
        <v>0.6</v>
      </c>
      <c r="L11" s="105">
        <v>0.9</v>
      </c>
      <c r="M11" s="124">
        <f t="shared" si="0"/>
        <v>0.73</v>
      </c>
    </row>
    <row r="12" spans="1:13">
      <c r="A12" s="8" t="s">
        <v>1031</v>
      </c>
      <c r="B12" s="47" t="s">
        <v>438</v>
      </c>
      <c r="C12" s="105">
        <v>0.65</v>
      </c>
      <c r="D12" s="105">
        <v>0.6</v>
      </c>
      <c r="E12" s="105">
        <v>0.65</v>
      </c>
      <c r="F12" s="105">
        <v>0.6</v>
      </c>
      <c r="G12" s="105">
        <v>0.65</v>
      </c>
      <c r="H12" s="105">
        <v>0.6</v>
      </c>
      <c r="I12" s="105">
        <v>0.6</v>
      </c>
      <c r="J12" s="105">
        <v>0.5</v>
      </c>
      <c r="K12" s="105">
        <v>0.5</v>
      </c>
      <c r="L12" s="105">
        <v>0.85</v>
      </c>
      <c r="M12" s="124">
        <f t="shared" si="0"/>
        <v>0.61999999999999988</v>
      </c>
    </row>
    <row r="13" spans="1:13">
      <c r="A13" s="8" t="s">
        <v>1065</v>
      </c>
      <c r="B13" s="47" t="s">
        <v>448</v>
      </c>
      <c r="C13" s="105">
        <v>0.7</v>
      </c>
      <c r="D13" s="105">
        <v>0.7</v>
      </c>
      <c r="E13" s="105">
        <v>0.7</v>
      </c>
      <c r="F13" s="105">
        <v>0.7</v>
      </c>
      <c r="G13" s="105">
        <v>0.7</v>
      </c>
      <c r="H13" s="105">
        <v>0.65</v>
      </c>
      <c r="I13" s="105">
        <v>0.65</v>
      </c>
      <c r="J13" s="105">
        <v>0.6</v>
      </c>
      <c r="K13" s="105">
        <v>0.6</v>
      </c>
      <c r="L13" s="105">
        <v>0.95</v>
      </c>
      <c r="M13" s="124">
        <f t="shared" si="0"/>
        <v>0.69500000000000006</v>
      </c>
    </row>
    <row r="14" spans="1:13">
      <c r="A14" s="8" t="s">
        <v>1066</v>
      </c>
      <c r="B14" s="47" t="s">
        <v>1076</v>
      </c>
      <c r="C14" s="105">
        <v>0.7</v>
      </c>
      <c r="D14" s="105">
        <v>0.7</v>
      </c>
      <c r="E14" s="105">
        <v>0.7</v>
      </c>
      <c r="F14" s="105">
        <v>0.8</v>
      </c>
      <c r="G14" s="105">
        <v>0.8</v>
      </c>
      <c r="H14" s="105">
        <v>0.75</v>
      </c>
      <c r="I14" s="105">
        <v>0.7</v>
      </c>
      <c r="J14" s="105">
        <v>0.6</v>
      </c>
      <c r="K14" s="105">
        <v>0.55000000000000004</v>
      </c>
      <c r="L14" s="105">
        <v>0.8</v>
      </c>
      <c r="M14" s="124">
        <f t="shared" si="0"/>
        <v>0.70999999999999985</v>
      </c>
    </row>
    <row r="15" spans="1:13">
      <c r="A15" s="8" t="s">
        <v>1067</v>
      </c>
      <c r="B15" s="47" t="s">
        <v>1077</v>
      </c>
      <c r="C15" s="155">
        <v>0.6</v>
      </c>
      <c r="D15" s="105">
        <v>0.6</v>
      </c>
      <c r="E15" s="105">
        <v>0.65</v>
      </c>
      <c r="F15" s="105">
        <v>0.7</v>
      </c>
      <c r="G15" s="105">
        <v>0.75</v>
      </c>
      <c r="H15" s="105">
        <v>0.7</v>
      </c>
      <c r="I15" s="105">
        <v>0.75</v>
      </c>
      <c r="J15" s="105">
        <v>0.6</v>
      </c>
      <c r="K15" s="105">
        <v>0.55000000000000004</v>
      </c>
      <c r="L15" s="105">
        <v>0.7</v>
      </c>
      <c r="M15" s="124">
        <f t="shared" si="0"/>
        <v>0.65999999999999992</v>
      </c>
    </row>
    <row r="16" spans="1:13">
      <c r="A16" s="8" t="s">
        <v>1291</v>
      </c>
      <c r="B16" s="47" t="s">
        <v>546</v>
      </c>
      <c r="C16" s="155">
        <v>0.75</v>
      </c>
      <c r="D16" s="105">
        <v>0.7</v>
      </c>
      <c r="E16" s="105">
        <v>0.7</v>
      </c>
      <c r="F16" s="105">
        <v>0.7</v>
      </c>
      <c r="G16" s="105">
        <v>0.75</v>
      </c>
      <c r="H16" s="105">
        <v>0.65</v>
      </c>
      <c r="I16" s="105">
        <v>0.65</v>
      </c>
      <c r="J16" s="105">
        <v>0.55000000000000004</v>
      </c>
      <c r="K16" s="105">
        <v>0.55000000000000004</v>
      </c>
      <c r="L16" s="105">
        <v>0.9</v>
      </c>
      <c r="M16" s="124">
        <f t="shared" si="0"/>
        <v>0.69000000000000006</v>
      </c>
    </row>
    <row r="17" spans="1:13">
      <c r="A17" s="8" t="s">
        <v>1027</v>
      </c>
      <c r="B17" s="47" t="s">
        <v>1028</v>
      </c>
      <c r="C17" s="155">
        <v>0.7</v>
      </c>
      <c r="D17" s="105">
        <v>0.7</v>
      </c>
      <c r="E17" s="105">
        <v>0.7</v>
      </c>
      <c r="F17" s="105">
        <v>0.7</v>
      </c>
      <c r="G17" s="105">
        <v>0.7</v>
      </c>
      <c r="H17" s="105">
        <v>0.7</v>
      </c>
      <c r="I17" s="105">
        <v>0.7</v>
      </c>
      <c r="J17" s="105">
        <v>0.6</v>
      </c>
      <c r="K17" s="105">
        <v>0.6</v>
      </c>
      <c r="L17" s="105">
        <v>0.9</v>
      </c>
      <c r="M17" s="124">
        <f t="shared" si="0"/>
        <v>0.7</v>
      </c>
    </row>
    <row r="18" spans="1:13">
      <c r="A18" s="8" t="s">
        <v>1029</v>
      </c>
      <c r="B18" s="47" t="s">
        <v>1030</v>
      </c>
      <c r="C18" s="155">
        <v>0.9</v>
      </c>
      <c r="D18" s="105">
        <v>0.9</v>
      </c>
      <c r="E18" s="105">
        <v>0.95</v>
      </c>
      <c r="F18" s="105">
        <v>0.9</v>
      </c>
      <c r="G18" s="105">
        <v>0.85</v>
      </c>
      <c r="H18" s="105">
        <v>0.85</v>
      </c>
      <c r="I18" s="105">
        <v>0.9</v>
      </c>
      <c r="J18" s="105">
        <v>0.75</v>
      </c>
      <c r="K18" s="105">
        <v>0.7</v>
      </c>
      <c r="L18" s="105">
        <v>0.85</v>
      </c>
      <c r="M18" s="124">
        <f t="shared" si="0"/>
        <v>0.85500000000000009</v>
      </c>
    </row>
    <row r="19" spans="1:13">
      <c r="A19" s="8" t="s">
        <v>1069</v>
      </c>
      <c r="B19" s="47" t="s">
        <v>1078</v>
      </c>
      <c r="C19" s="105">
        <v>0.75</v>
      </c>
      <c r="D19" s="105">
        <v>0.75</v>
      </c>
      <c r="E19" s="105">
        <v>0.75</v>
      </c>
      <c r="F19" s="105">
        <v>0.8</v>
      </c>
      <c r="G19" s="105">
        <v>0.8</v>
      </c>
      <c r="H19" s="105">
        <v>0.7</v>
      </c>
      <c r="I19" s="105">
        <v>0.7</v>
      </c>
      <c r="J19" s="105">
        <v>0.6</v>
      </c>
      <c r="K19" s="105">
        <v>0.6</v>
      </c>
      <c r="L19" s="105">
        <v>0.85</v>
      </c>
      <c r="M19" s="124">
        <f t="shared" si="0"/>
        <v>0.72999999999999987</v>
      </c>
    </row>
    <row r="20" spans="1:13">
      <c r="A20" s="8" t="s">
        <v>1070</v>
      </c>
      <c r="B20" s="47" t="s">
        <v>21</v>
      </c>
      <c r="C20" s="105">
        <v>0.55000000000000004</v>
      </c>
      <c r="D20" s="105">
        <v>0.55000000000000004</v>
      </c>
      <c r="E20" s="105">
        <v>0.55000000000000004</v>
      </c>
      <c r="F20" s="105">
        <v>0.55000000000000004</v>
      </c>
      <c r="G20" s="105">
        <v>0.6</v>
      </c>
      <c r="H20" s="105">
        <v>0.55000000000000004</v>
      </c>
      <c r="I20" s="105">
        <v>0.55000000000000004</v>
      </c>
      <c r="J20" s="105">
        <v>0.5</v>
      </c>
      <c r="K20" s="105">
        <v>0.5</v>
      </c>
      <c r="L20" s="105">
        <v>0.9</v>
      </c>
      <c r="M20" s="124">
        <f t="shared" si="0"/>
        <v>0.58000000000000007</v>
      </c>
    </row>
    <row r="21" spans="1:13">
      <c r="A21" s="8" t="s">
        <v>1032</v>
      </c>
      <c r="B21" s="47" t="s">
        <v>640</v>
      </c>
      <c r="C21" s="105">
        <v>0.65</v>
      </c>
      <c r="D21" s="105">
        <v>0.65</v>
      </c>
      <c r="E21" s="105">
        <v>0.65</v>
      </c>
      <c r="F21" s="105">
        <v>0.7</v>
      </c>
      <c r="G21" s="105">
        <v>0.65</v>
      </c>
      <c r="H21" s="105">
        <v>0.6</v>
      </c>
      <c r="I21" s="105">
        <v>0.6</v>
      </c>
      <c r="J21" s="105">
        <v>0.55000000000000004</v>
      </c>
      <c r="K21" s="105">
        <v>0.5</v>
      </c>
      <c r="L21" s="105">
        <v>0.8</v>
      </c>
      <c r="M21" s="125">
        <f t="shared" si="0"/>
        <v>0.63500000000000001</v>
      </c>
    </row>
    <row r="22" spans="1:13">
      <c r="A22" s="119" t="s">
        <v>718</v>
      </c>
      <c r="B22" s="120"/>
      <c r="C22" s="156">
        <f>AVERAGE(C7:C21)</f>
        <v>0.70666666666666678</v>
      </c>
      <c r="D22" s="156">
        <f t="shared" ref="D22:M22" si="1">AVERAGE(D7:D21)</f>
        <v>0.69333333333333336</v>
      </c>
      <c r="E22" s="156">
        <f t="shared" si="1"/>
        <v>0.71333333333333349</v>
      </c>
      <c r="F22" s="156">
        <f t="shared" si="1"/>
        <v>0.73333333333333328</v>
      </c>
      <c r="G22" s="156">
        <f t="shared" si="1"/>
        <v>0.74</v>
      </c>
      <c r="H22" s="156">
        <f t="shared" si="1"/>
        <v>0.68</v>
      </c>
      <c r="I22" s="156">
        <f t="shared" si="1"/>
        <v>0.69333333333333336</v>
      </c>
      <c r="J22" s="156">
        <f t="shared" si="1"/>
        <v>0.58999999999999986</v>
      </c>
      <c r="K22" s="156">
        <f t="shared" si="1"/>
        <v>0.57333333333333314</v>
      </c>
      <c r="L22" s="156">
        <f t="shared" si="1"/>
        <v>0.84666666666666679</v>
      </c>
      <c r="M22" s="156">
        <f t="shared" si="1"/>
        <v>0.69699999999999995</v>
      </c>
    </row>
    <row r="24" spans="1:13">
      <c r="A24" s="115" t="s">
        <v>22</v>
      </c>
    </row>
    <row r="25" spans="1:13">
      <c r="A25" s="5" t="s">
        <v>1258</v>
      </c>
    </row>
    <row r="26" spans="1:13">
      <c r="A26" s="5" t="s">
        <v>1259</v>
      </c>
    </row>
    <row r="27" spans="1:13">
      <c r="A27" s="5" t="s">
        <v>1260</v>
      </c>
    </row>
    <row r="28" spans="1:13">
      <c r="A28" s="5" t="s">
        <v>1261</v>
      </c>
    </row>
    <row r="29" spans="1:13">
      <c r="A29" s="5" t="s">
        <v>1262</v>
      </c>
    </row>
    <row r="30" spans="1:13">
      <c r="A30" s="5" t="s">
        <v>1263</v>
      </c>
    </row>
    <row r="31" spans="1:13">
      <c r="A31" t="s">
        <v>1264</v>
      </c>
    </row>
    <row r="32" spans="1:13">
      <c r="A32" t="s">
        <v>1265</v>
      </c>
    </row>
    <row r="33" spans="1:1">
      <c r="A33" s="110" t="s">
        <v>1266</v>
      </c>
    </row>
    <row r="34" spans="1:1">
      <c r="A34" t="s">
        <v>1267</v>
      </c>
    </row>
    <row r="35" spans="1:1">
      <c r="A35" t="s">
        <v>1268</v>
      </c>
    </row>
  </sheetData>
  <mergeCells count="1">
    <mergeCell ref="A2:M2"/>
  </mergeCells>
  <conditionalFormatting sqref="A7:B21">
    <cfRule type="expression" dxfId="17" priority="1">
      <formula>"(blank)"</formula>
    </cfRule>
  </conditionalFormatting>
  <conditionalFormatting sqref="A7:B21">
    <cfRule type="expression" dxfId="16" priority="2">
      <formula>#REF!</formula>
    </cfRule>
  </conditionalFormatting>
  <pageMargins left="0.7" right="0.7" top="0.75" bottom="0.75" header="0.3" footer="0.3"/>
  <pageSetup scale="74" orientation="landscape" useFirstPageNumber="1" r:id="rId1"/>
  <headerFooter>
    <oddHeader>&amp;LDRAFT- PRIVILEGED AND CONFIDENTIAL
PREPARED AT THE REQUEST OF COUNSEL
&amp;RSchedule AEB-5
Page &amp;P of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L539"/>
  <sheetViews>
    <sheetView zoomScaleNormal="100" zoomScaleSheetLayoutView="85" zoomScalePageLayoutView="85" workbookViewId="0">
      <pane ySplit="17" topLeftCell="A18" activePane="bottomLeft" state="frozen"/>
      <selection pane="bottomLeft" activeCell="H14" sqref="H14:J17"/>
    </sheetView>
  </sheetViews>
  <sheetFormatPr defaultColWidth="9.1328125" defaultRowHeight="12.75"/>
  <cols>
    <col min="1" max="1" width="49.265625" style="3" customWidth="1"/>
    <col min="2" max="2" width="15.59765625" style="3" customWidth="1"/>
    <col min="3" max="3" width="10.3984375" style="16" customWidth="1"/>
    <col min="4" max="4" width="12.59765625" style="16" bestFit="1" customWidth="1"/>
    <col min="5" max="5" width="12.73046875" style="16" bestFit="1" customWidth="1"/>
    <col min="6" max="6" width="10.86328125" style="16" bestFit="1" customWidth="1"/>
    <col min="7" max="7" width="12.265625" style="16" bestFit="1" customWidth="1"/>
    <col min="8" max="8" width="12.3984375" style="3" bestFit="1" customWidth="1"/>
    <col min="9" max="9" width="10.265625" style="3" bestFit="1" customWidth="1"/>
    <col min="10" max="10" width="13" style="3" bestFit="1" customWidth="1"/>
    <col min="11" max="16384" width="9.1328125" style="3"/>
  </cols>
  <sheetData>
    <row r="1" spans="1:11">
      <c r="A1" s="496" t="s">
        <v>1254</v>
      </c>
      <c r="B1" s="496"/>
      <c r="C1" s="496"/>
      <c r="D1" s="496"/>
      <c r="E1" s="496"/>
      <c r="F1" s="496"/>
      <c r="G1" s="496"/>
    </row>
    <row r="2" spans="1:11" s="4" customFormat="1">
      <c r="C2" s="10"/>
      <c r="D2" s="10"/>
      <c r="E2" s="10"/>
      <c r="F2" s="10"/>
      <c r="G2" s="10"/>
    </row>
    <row r="3" spans="1:11" s="4" customFormat="1">
      <c r="B3" s="10"/>
      <c r="C3" s="10"/>
      <c r="D3" s="10"/>
      <c r="E3" s="10"/>
      <c r="F3" s="10"/>
      <c r="G3" s="10"/>
    </row>
    <row r="4" spans="1:11" s="4" customFormat="1">
      <c r="A4" t="s">
        <v>1255</v>
      </c>
      <c r="B4" s="497">
        <f>SUM(H19:H523)</f>
        <v>1.5607038290288566E-2</v>
      </c>
      <c r="C4" s="498"/>
      <c r="D4" s="10"/>
      <c r="E4" s="10"/>
      <c r="F4" s="10"/>
      <c r="G4" s="10"/>
    </row>
    <row r="5" spans="1:11" s="4" customFormat="1">
      <c r="B5" s="10"/>
      <c r="C5" s="10"/>
      <c r="D5" s="10"/>
      <c r="E5" s="10"/>
      <c r="F5" s="10"/>
      <c r="G5" s="10"/>
    </row>
    <row r="6" spans="1:11" s="4" customFormat="1">
      <c r="A6" t="s">
        <v>1256</v>
      </c>
      <c r="B6" s="497">
        <f>SUM(J19:J523)</f>
        <v>0.11287340332150705</v>
      </c>
      <c r="C6" s="498"/>
      <c r="D6" s="10"/>
      <c r="E6" s="10"/>
      <c r="F6" s="10"/>
      <c r="G6" s="10"/>
    </row>
    <row r="7" spans="1:11" s="4" customFormat="1">
      <c r="B7" s="10"/>
      <c r="C7" s="10"/>
      <c r="D7" s="10"/>
      <c r="E7" s="10"/>
      <c r="F7" s="10"/>
      <c r="G7" s="10"/>
    </row>
    <row r="8" spans="1:11" s="4" customFormat="1">
      <c r="A8" t="s">
        <v>1257</v>
      </c>
      <c r="B8" s="499">
        <f>B4*(1+0.5*B6)+B6</f>
        <v>0.1293612513755926</v>
      </c>
      <c r="C8" s="500"/>
      <c r="D8" s="10"/>
      <c r="E8" s="10"/>
      <c r="F8" s="10"/>
      <c r="G8" s="10"/>
    </row>
    <row r="9" spans="1:11" s="4" customFormat="1">
      <c r="B9" s="10"/>
      <c r="C9" s="10"/>
      <c r="D9" s="10"/>
      <c r="E9" s="10"/>
      <c r="F9" s="10"/>
      <c r="G9" s="10"/>
    </row>
    <row r="10" spans="1:11" s="4" customFormat="1">
      <c r="B10" s="10"/>
      <c r="C10" s="10"/>
      <c r="D10" s="10"/>
      <c r="E10" s="10"/>
      <c r="F10" s="10"/>
      <c r="G10" s="10"/>
    </row>
    <row r="11" spans="1:11" s="4" customFormat="1">
      <c r="C11" s="10"/>
      <c r="D11" s="10"/>
      <c r="E11" s="10"/>
      <c r="F11" s="10"/>
      <c r="G11" s="10"/>
      <c r="H11" s="10"/>
    </row>
    <row r="12" spans="1:11">
      <c r="A12" s="2" t="s">
        <v>28</v>
      </c>
      <c r="B12" s="2"/>
      <c r="C12" s="2"/>
      <c r="D12" s="2"/>
      <c r="E12" s="2"/>
      <c r="F12" s="11"/>
      <c r="G12" s="11"/>
      <c r="H12" s="11"/>
      <c r="I12" s="11"/>
      <c r="J12" s="11"/>
      <c r="K12" s="16"/>
    </row>
    <row r="13" spans="1:11">
      <c r="C13" s="3"/>
      <c r="D13" s="3"/>
      <c r="E13" s="3"/>
      <c r="H13" s="16"/>
      <c r="I13" s="16"/>
      <c r="J13" s="16"/>
      <c r="K13" s="16"/>
    </row>
    <row r="14" spans="1:11" ht="13.15" thickBot="1">
      <c r="A14" s="16"/>
      <c r="B14" s="16"/>
      <c r="C14" s="388" t="s">
        <v>3</v>
      </c>
      <c r="D14" s="388" t="s">
        <v>4</v>
      </c>
      <c r="E14" s="388" t="s">
        <v>5</v>
      </c>
      <c r="F14" s="388" t="s">
        <v>6</v>
      </c>
      <c r="G14" s="388" t="s">
        <v>7</v>
      </c>
      <c r="H14" s="388" t="s">
        <v>8</v>
      </c>
      <c r="I14" s="388" t="s">
        <v>9</v>
      </c>
      <c r="J14" s="388" t="s">
        <v>10</v>
      </c>
      <c r="K14" s="16"/>
    </row>
    <row r="15" spans="1:11">
      <c r="A15" s="12"/>
      <c r="B15" s="12"/>
      <c r="C15" s="389"/>
      <c r="D15" s="389"/>
      <c r="E15" s="389"/>
      <c r="F15" s="27"/>
      <c r="G15" s="26"/>
      <c r="H15" s="12"/>
      <c r="I15" s="13" t="s">
        <v>1688</v>
      </c>
      <c r="J15" s="13" t="s">
        <v>29</v>
      </c>
      <c r="K15" s="16"/>
    </row>
    <row r="16" spans="1:11">
      <c r="A16" s="30"/>
      <c r="B16" s="30"/>
      <c r="C16" s="388" t="s">
        <v>1678</v>
      </c>
      <c r="D16" s="390"/>
      <c r="E16" s="388" t="s">
        <v>1679</v>
      </c>
      <c r="F16" s="7" t="s">
        <v>30</v>
      </c>
      <c r="G16" s="7" t="s">
        <v>31</v>
      </c>
      <c r="H16" s="14" t="s">
        <v>32</v>
      </c>
      <c r="I16" s="7" t="s">
        <v>33</v>
      </c>
      <c r="J16" s="14" t="s">
        <v>33</v>
      </c>
      <c r="K16" s="16"/>
    </row>
    <row r="17" spans="1:12">
      <c r="A17" s="43" t="s">
        <v>34</v>
      </c>
      <c r="B17" s="43" t="s">
        <v>12</v>
      </c>
      <c r="C17" s="391" t="s">
        <v>1680</v>
      </c>
      <c r="D17" s="391" t="s">
        <v>1681</v>
      </c>
      <c r="E17" s="391" t="s">
        <v>1346</v>
      </c>
      <c r="F17" s="44" t="s">
        <v>35</v>
      </c>
      <c r="G17" s="44" t="s">
        <v>15</v>
      </c>
      <c r="H17" s="43" t="s">
        <v>15</v>
      </c>
      <c r="I17" s="44" t="s">
        <v>36</v>
      </c>
      <c r="J17" s="43" t="s">
        <v>36</v>
      </c>
      <c r="K17" s="16"/>
    </row>
    <row r="18" spans="1:12" s="4" customForma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>
      <c r="A19" s="1" t="s">
        <v>226</v>
      </c>
      <c r="B19" s="17" t="s">
        <v>517</v>
      </c>
      <c r="C19" s="387">
        <v>334.51499999999999</v>
      </c>
      <c r="D19" s="387">
        <v>93.85</v>
      </c>
      <c r="E19" s="387">
        <f>IFERROR(C19*D19,"")</f>
        <v>31394.232749999996</v>
      </c>
      <c r="F19" s="15">
        <f>IF(AND(ISNUMBER($I19)), IF(AND($I19&lt;=20%,$I19&gt;0%), $E19/SUMIFS($E$19:$E$523,$I$19:$I$523, "&gt;"&amp;0%,$I$19:$I$523, "&lt;="&amp;20%),""),"")</f>
        <v>1.0395321379912416E-3</v>
      </c>
      <c r="G19" s="95">
        <v>4.8161960575386263E-2</v>
      </c>
      <c r="H19" s="15">
        <f>IFERROR($G19*$F19,"")</f>
        <v>5.0065905846781173E-5</v>
      </c>
      <c r="I19" s="95">
        <v>0.08</v>
      </c>
      <c r="J19" s="15">
        <f>IFERROR($I19*$F19,"")</f>
        <v>8.316257103929933E-5</v>
      </c>
      <c r="K19" s="16"/>
      <c r="L19" s="392"/>
    </row>
    <row r="20" spans="1:12">
      <c r="A20" s="1" t="s">
        <v>78</v>
      </c>
      <c r="B20" s="17" t="s">
        <v>351</v>
      </c>
      <c r="C20" s="387">
        <v>794.43299999999999</v>
      </c>
      <c r="D20" s="387">
        <v>167.53</v>
      </c>
      <c r="E20" s="387">
        <f t="shared" ref="E20:E83" si="0">IFERROR(C20*D20,"")</f>
        <v>133091.36048999999</v>
      </c>
      <c r="F20" s="15">
        <f t="shared" ref="F20:F83" si="1">IF(AND(ISNUMBER($I20)), IF(AND($I20&lt;=20%,$I20&gt;0%), $E20/SUMIFS($E$19:$E$523,$I$19:$I$523, "&gt;"&amp;0%,$I$19:$I$523, "&lt;="&amp;20%),""),"")</f>
        <v>4.4069478499465086E-3</v>
      </c>
      <c r="G20" s="95">
        <v>1.0266817883364173E-2</v>
      </c>
      <c r="H20" s="15">
        <f t="shared" ref="H20:H83" si="2">IFERROR($G20*$F20,"")</f>
        <v>4.5245330996884108E-5</v>
      </c>
      <c r="I20" s="95">
        <v>8.5000000000000006E-2</v>
      </c>
      <c r="J20" s="15">
        <f t="shared" ref="J20:J83" si="3">IFERROR($I20*$F20,"")</f>
        <v>3.7459056724545325E-4</v>
      </c>
      <c r="K20" s="16"/>
      <c r="L20" s="392"/>
    </row>
    <row r="21" spans="1:12">
      <c r="A21" s="1" t="s">
        <v>318</v>
      </c>
      <c r="B21" s="17" t="s">
        <v>622</v>
      </c>
      <c r="C21" s="387">
        <v>4140.116</v>
      </c>
      <c r="D21" s="387">
        <v>54.01</v>
      </c>
      <c r="E21" s="387">
        <f t="shared" si="0"/>
        <v>223607.66516</v>
      </c>
      <c r="F21" s="15">
        <f t="shared" si="1"/>
        <v>7.404141903579551E-3</v>
      </c>
      <c r="G21" s="95">
        <v>4.7398629883354942E-2</v>
      </c>
      <c r="H21" s="15">
        <f t="shared" si="2"/>
        <v>3.5094618169160624E-4</v>
      </c>
      <c r="I21" s="95">
        <v>3.5000000000000003E-2</v>
      </c>
      <c r="J21" s="15">
        <f t="shared" si="3"/>
        <v>2.5914496662528432E-4</v>
      </c>
      <c r="K21" s="16"/>
      <c r="L21" s="392"/>
    </row>
    <row r="22" spans="1:12">
      <c r="A22" s="1" t="s">
        <v>1002</v>
      </c>
      <c r="B22" s="17" t="s">
        <v>656</v>
      </c>
      <c r="C22" s="387">
        <v>411.61599999999999</v>
      </c>
      <c r="D22" s="387">
        <v>484.93</v>
      </c>
      <c r="E22" s="387">
        <f t="shared" si="0"/>
        <v>199604.94688</v>
      </c>
      <c r="F22" s="15" t="str">
        <f t="shared" si="1"/>
        <v/>
      </c>
      <c r="G22" s="95">
        <v>2.9695007526859548E-2</v>
      </c>
      <c r="H22" s="15" t="str">
        <f t="shared" si="2"/>
        <v/>
      </c>
      <c r="I22" s="95">
        <v>0.27</v>
      </c>
      <c r="J22" s="15" t="str">
        <f t="shared" si="3"/>
        <v/>
      </c>
      <c r="K22" s="16"/>
      <c r="L22" s="392"/>
    </row>
    <row r="23" spans="1:12">
      <c r="A23" s="1" t="s">
        <v>105</v>
      </c>
      <c r="B23" s="17" t="s">
        <v>380</v>
      </c>
      <c r="C23" s="387">
        <v>586.15200000000004</v>
      </c>
      <c r="D23" s="387">
        <v>219.94</v>
      </c>
      <c r="E23" s="387">
        <f t="shared" si="0"/>
        <v>128918.27088000001</v>
      </c>
      <c r="F23" s="15" t="str">
        <f t="shared" si="1"/>
        <v/>
      </c>
      <c r="G23" s="95" t="s">
        <v>719</v>
      </c>
      <c r="H23" s="15" t="str">
        <f t="shared" si="2"/>
        <v/>
      </c>
      <c r="I23" s="95" t="s">
        <v>719</v>
      </c>
      <c r="J23" s="15" t="str">
        <f t="shared" si="3"/>
        <v/>
      </c>
      <c r="K23" s="16"/>
      <c r="L23" s="392"/>
    </row>
    <row r="24" spans="1:12">
      <c r="A24" s="1" t="s">
        <v>117</v>
      </c>
      <c r="B24" s="17" t="s">
        <v>392</v>
      </c>
      <c r="C24" s="387">
        <v>547.471</v>
      </c>
      <c r="D24" s="387">
        <v>191.97</v>
      </c>
      <c r="E24" s="387">
        <f t="shared" si="0"/>
        <v>105098.00787</v>
      </c>
      <c r="F24" s="15">
        <f t="shared" si="1"/>
        <v>3.4800263376311195E-3</v>
      </c>
      <c r="G24" s="95">
        <v>2.3128613845913425E-2</v>
      </c>
      <c r="H24" s="15">
        <f t="shared" si="2"/>
        <v>8.0488185336678492E-5</v>
      </c>
      <c r="I24" s="95">
        <v>0.09</v>
      </c>
      <c r="J24" s="15">
        <f t="shared" si="3"/>
        <v>3.1320237038680077E-4</v>
      </c>
      <c r="K24" s="16"/>
      <c r="L24" s="392"/>
    </row>
    <row r="25" spans="1:12">
      <c r="A25" s="1" t="s">
        <v>211</v>
      </c>
      <c r="B25" s="17" t="s">
        <v>501</v>
      </c>
      <c r="C25" s="387">
        <v>2988.1550000000002</v>
      </c>
      <c r="D25" s="387">
        <v>163.69</v>
      </c>
      <c r="E25" s="387">
        <f t="shared" si="0"/>
        <v>489131.09195000003</v>
      </c>
      <c r="F25" s="15">
        <f t="shared" si="1"/>
        <v>1.6196206921883578E-2</v>
      </c>
      <c r="G25" s="95">
        <v>2.4436434724173742E-2</v>
      </c>
      <c r="H25" s="15">
        <f t="shared" si="2"/>
        <v>3.9577755322581899E-4</v>
      </c>
      <c r="I25" s="95">
        <v>6.5000000000000002E-2</v>
      </c>
      <c r="J25" s="15">
        <f t="shared" si="3"/>
        <v>1.0527534499224327E-3</v>
      </c>
      <c r="K25" s="16"/>
      <c r="L25" s="392"/>
    </row>
    <row r="26" spans="1:12">
      <c r="A26" s="1" t="s">
        <v>124</v>
      </c>
      <c r="B26" s="17" t="s">
        <v>398</v>
      </c>
      <c r="C26" s="387">
        <v>1933.912</v>
      </c>
      <c r="D26" s="387">
        <v>101.45</v>
      </c>
      <c r="E26" s="387">
        <f t="shared" si="0"/>
        <v>196195.37240000002</v>
      </c>
      <c r="F26" s="15" t="str">
        <f t="shared" si="1"/>
        <v/>
      </c>
      <c r="G26" s="95">
        <v>5.2833908329226222E-2</v>
      </c>
      <c r="H26" s="15" t="str">
        <f t="shared" si="2"/>
        <v/>
      </c>
      <c r="I26" s="95">
        <v>0.23499999999999999</v>
      </c>
      <c r="J26" s="15" t="str">
        <f t="shared" si="3"/>
        <v/>
      </c>
      <c r="K26" s="16"/>
      <c r="L26" s="392"/>
    </row>
    <row r="27" spans="1:12">
      <c r="A27" s="1" t="s">
        <v>133</v>
      </c>
      <c r="B27" s="17" t="s">
        <v>410</v>
      </c>
      <c r="C27" s="387">
        <v>4316.6189999999997</v>
      </c>
      <c r="D27" s="387">
        <v>52.47</v>
      </c>
      <c r="E27" s="387">
        <f t="shared" si="0"/>
        <v>226492.99892999997</v>
      </c>
      <c r="F27" s="15">
        <f t="shared" si="1"/>
        <v>7.4996816546743254E-3</v>
      </c>
      <c r="G27" s="95">
        <v>3.2018296169239568E-2</v>
      </c>
      <c r="H27" s="15">
        <f t="shared" si="2"/>
        <v>2.4012702839437523E-4</v>
      </c>
      <c r="I27" s="95">
        <v>7.0000000000000007E-2</v>
      </c>
      <c r="J27" s="15">
        <f t="shared" si="3"/>
        <v>5.2497771582720278E-4</v>
      </c>
      <c r="K27" s="16"/>
      <c r="L27" s="392"/>
    </row>
    <row r="28" spans="1:12">
      <c r="A28" s="1" t="s">
        <v>657</v>
      </c>
      <c r="B28" s="17" t="s">
        <v>658</v>
      </c>
      <c r="C28" s="387">
        <v>1767.1759999999999</v>
      </c>
      <c r="D28" s="387">
        <v>107.87</v>
      </c>
      <c r="E28" s="387">
        <f t="shared" si="0"/>
        <v>190625.27512000001</v>
      </c>
      <c r="F28" s="15">
        <f t="shared" si="1"/>
        <v>6.3120223825397443E-3</v>
      </c>
      <c r="G28" s="95">
        <v>4.8206174098451841E-2</v>
      </c>
      <c r="H28" s="15">
        <f t="shared" si="2"/>
        <v>3.0427844988603571E-4</v>
      </c>
      <c r="I28" s="95">
        <v>6.5000000000000002E-2</v>
      </c>
      <c r="J28" s="15">
        <f t="shared" si="3"/>
        <v>4.1028145486508339E-4</v>
      </c>
      <c r="K28" s="16"/>
      <c r="L28" s="392"/>
    </row>
    <row r="29" spans="1:12">
      <c r="A29" s="1" t="s">
        <v>323</v>
      </c>
      <c r="B29" s="17" t="s">
        <v>628</v>
      </c>
      <c r="C29" s="387">
        <v>1817.127</v>
      </c>
      <c r="D29" s="387">
        <v>169.17</v>
      </c>
      <c r="E29" s="387">
        <f t="shared" si="0"/>
        <v>307403.37458999996</v>
      </c>
      <c r="F29" s="15">
        <f t="shared" si="1"/>
        <v>1.0178802258299025E-2</v>
      </c>
      <c r="G29" s="95" t="s">
        <v>719</v>
      </c>
      <c r="H29" s="15" t="str">
        <f t="shared" si="2"/>
        <v/>
      </c>
      <c r="I29" s="95">
        <v>0.14000000000000001</v>
      </c>
      <c r="J29" s="15">
        <f t="shared" si="3"/>
        <v>1.4250323161618637E-3</v>
      </c>
      <c r="K29" s="16"/>
      <c r="L29" s="392"/>
    </row>
    <row r="30" spans="1:12">
      <c r="A30" s="1" t="s">
        <v>1034</v>
      </c>
      <c r="B30" s="17" t="s">
        <v>1035</v>
      </c>
      <c r="C30" s="387">
        <v>82.603999999999999</v>
      </c>
      <c r="D30" s="387">
        <v>261.27</v>
      </c>
      <c r="E30" s="387">
        <f t="shared" si="0"/>
        <v>21581.947079999998</v>
      </c>
      <c r="F30" s="15">
        <f t="shared" si="1"/>
        <v>7.1462576482574601E-4</v>
      </c>
      <c r="G30" s="95" t="s">
        <v>719</v>
      </c>
      <c r="H30" s="15" t="str">
        <f t="shared" si="2"/>
        <v/>
      </c>
      <c r="I30" s="95">
        <v>0.11</v>
      </c>
      <c r="J30" s="15">
        <f t="shared" si="3"/>
        <v>7.8608834130832064E-5</v>
      </c>
      <c r="K30" s="16"/>
      <c r="L30" s="392"/>
    </row>
    <row r="31" spans="1:12">
      <c r="A31" s="1" t="s">
        <v>720</v>
      </c>
      <c r="B31" s="17" t="s">
        <v>721</v>
      </c>
      <c r="C31" s="387">
        <v>133.80699999999999</v>
      </c>
      <c r="D31" s="387">
        <v>167.99</v>
      </c>
      <c r="E31" s="387">
        <f t="shared" si="0"/>
        <v>22478.237929999999</v>
      </c>
      <c r="F31" s="15">
        <f t="shared" si="1"/>
        <v>7.4430392740363184E-4</v>
      </c>
      <c r="G31" s="95">
        <v>2.9763676409310075E-2</v>
      </c>
      <c r="H31" s="15">
        <f t="shared" si="2"/>
        <v>2.2153221245420316E-5</v>
      </c>
      <c r="I31" s="95">
        <v>0.05</v>
      </c>
      <c r="J31" s="15">
        <f t="shared" si="3"/>
        <v>3.7215196370181592E-5</v>
      </c>
      <c r="K31" s="16"/>
      <c r="L31" s="392"/>
    </row>
    <row r="32" spans="1:12">
      <c r="A32" s="1" t="s">
        <v>171</v>
      </c>
      <c r="B32" s="17" t="s">
        <v>456</v>
      </c>
      <c r="C32" s="387">
        <v>4233.5630000000001</v>
      </c>
      <c r="D32" s="387">
        <v>58.82</v>
      </c>
      <c r="E32" s="387">
        <f t="shared" si="0"/>
        <v>249018.17566000001</v>
      </c>
      <c r="F32" s="15" t="str">
        <f t="shared" si="1"/>
        <v/>
      </c>
      <c r="G32" s="95">
        <v>5.9163549812988776E-2</v>
      </c>
      <c r="H32" s="15" t="str">
        <f t="shared" si="2"/>
        <v/>
      </c>
      <c r="I32" s="95" t="s">
        <v>719</v>
      </c>
      <c r="J32" s="15" t="str">
        <f t="shared" si="3"/>
        <v/>
      </c>
      <c r="K32" s="16"/>
      <c r="L32" s="392"/>
    </row>
    <row r="33" spans="1:12">
      <c r="A33" s="1" t="s">
        <v>270</v>
      </c>
      <c r="B33" s="17" t="s">
        <v>569</v>
      </c>
      <c r="C33" s="387">
        <v>437.98899999999998</v>
      </c>
      <c r="D33" s="387">
        <v>70.03</v>
      </c>
      <c r="E33" s="387">
        <f t="shared" si="0"/>
        <v>30672.36967</v>
      </c>
      <c r="F33" s="15">
        <f t="shared" si="1"/>
        <v>1.0156296627543101E-3</v>
      </c>
      <c r="G33" s="95">
        <v>5.1406540054262456E-2</v>
      </c>
      <c r="H33" s="15">
        <f t="shared" si="2"/>
        <v>5.2210006938676511E-5</v>
      </c>
      <c r="I33" s="95">
        <v>0.2</v>
      </c>
      <c r="J33" s="15">
        <f t="shared" si="3"/>
        <v>2.0312593255086202E-4</v>
      </c>
      <c r="K33" s="16"/>
      <c r="L33" s="392"/>
    </row>
    <row r="34" spans="1:12">
      <c r="A34" s="1" t="s">
        <v>184</v>
      </c>
      <c r="B34" s="17" t="s">
        <v>468</v>
      </c>
      <c r="C34" s="387">
        <v>1097.663</v>
      </c>
      <c r="D34" s="387">
        <v>103.03</v>
      </c>
      <c r="E34" s="387">
        <f t="shared" si="0"/>
        <v>113092.21889</v>
      </c>
      <c r="F34" s="15">
        <f t="shared" si="1"/>
        <v>3.7447322579620993E-3</v>
      </c>
      <c r="G34" s="95">
        <v>3.105891487916141E-3</v>
      </c>
      <c r="H34" s="15">
        <f t="shared" si="2"/>
        <v>1.1630732044529475E-5</v>
      </c>
      <c r="I34" s="95">
        <v>0.15</v>
      </c>
      <c r="J34" s="15">
        <f t="shared" si="3"/>
        <v>5.6170983869431492E-4</v>
      </c>
      <c r="K34" s="16"/>
      <c r="L34" s="392"/>
    </row>
    <row r="35" spans="1:12">
      <c r="A35" s="1" t="s">
        <v>722</v>
      </c>
      <c r="B35" s="17" t="s">
        <v>479</v>
      </c>
      <c r="C35" s="387">
        <v>1152.519</v>
      </c>
      <c r="D35" s="387">
        <v>27.36</v>
      </c>
      <c r="E35" s="387">
        <f t="shared" si="0"/>
        <v>31532.919839999999</v>
      </c>
      <c r="F35" s="15">
        <f t="shared" si="1"/>
        <v>1.0441243727602051E-3</v>
      </c>
      <c r="G35" s="95">
        <v>2.8333333333333335E-2</v>
      </c>
      <c r="H35" s="15">
        <f t="shared" si="2"/>
        <v>2.9583523894872479E-5</v>
      </c>
      <c r="I35" s="95">
        <v>0.125</v>
      </c>
      <c r="J35" s="15">
        <f t="shared" si="3"/>
        <v>1.3051554659502564E-4</v>
      </c>
      <c r="K35" s="16"/>
      <c r="L35" s="392"/>
    </row>
    <row r="36" spans="1:12">
      <c r="A36" s="1" t="s">
        <v>193</v>
      </c>
      <c r="B36" s="17" t="s">
        <v>480</v>
      </c>
      <c r="C36" s="387">
        <v>1055.3589999999999</v>
      </c>
      <c r="D36" s="387">
        <v>328.26</v>
      </c>
      <c r="E36" s="387">
        <f t="shared" si="0"/>
        <v>346432.14533999999</v>
      </c>
      <c r="F36" s="15">
        <f t="shared" si="1"/>
        <v>1.14711307513697E-2</v>
      </c>
      <c r="G36" s="95">
        <v>2.0106013525863643E-2</v>
      </c>
      <c r="H36" s="15">
        <f t="shared" si="2"/>
        <v>2.3063871004398958E-4</v>
      </c>
      <c r="I36" s="95">
        <v>8.5000000000000006E-2</v>
      </c>
      <c r="J36" s="15">
        <f t="shared" si="3"/>
        <v>9.7504611386642456E-4</v>
      </c>
      <c r="K36" s="16"/>
      <c r="L36" s="392"/>
    </row>
    <row r="37" spans="1:12">
      <c r="A37" s="1" t="s">
        <v>1102</v>
      </c>
      <c r="B37" s="17" t="s">
        <v>1103</v>
      </c>
      <c r="C37" s="387">
        <v>45.92</v>
      </c>
      <c r="D37" s="387">
        <v>484.68</v>
      </c>
      <c r="E37" s="387">
        <f t="shared" si="0"/>
        <v>22256.5056</v>
      </c>
      <c r="F37" s="15" t="str">
        <f t="shared" si="1"/>
        <v/>
      </c>
      <c r="G37" s="95">
        <v>4.9517207229512255E-3</v>
      </c>
      <c r="H37" s="15" t="str">
        <f t="shared" si="2"/>
        <v/>
      </c>
      <c r="I37" s="95">
        <v>0.20499999999999999</v>
      </c>
      <c r="J37" s="15" t="str">
        <f t="shared" si="3"/>
        <v/>
      </c>
      <c r="K37" s="16"/>
      <c r="L37" s="392"/>
    </row>
    <row r="38" spans="1:12">
      <c r="A38" s="1" t="s">
        <v>201</v>
      </c>
      <c r="B38" s="17" t="s">
        <v>490</v>
      </c>
      <c r="C38" s="387">
        <v>896.32</v>
      </c>
      <c r="D38" s="387">
        <v>138.93</v>
      </c>
      <c r="E38" s="387">
        <f t="shared" si="0"/>
        <v>124525.73760000001</v>
      </c>
      <c r="F38" s="15">
        <f t="shared" si="1"/>
        <v>4.1233212250509407E-3</v>
      </c>
      <c r="G38" s="95">
        <v>4.7218023465054347E-2</v>
      </c>
      <c r="H38" s="15">
        <f t="shared" si="2"/>
        <v>1.9469507835841195E-4</v>
      </c>
      <c r="I38" s="95">
        <v>1.4999999999999999E-2</v>
      </c>
      <c r="J38" s="15">
        <f t="shared" si="3"/>
        <v>6.1849818375764112E-5</v>
      </c>
      <c r="K38" s="16"/>
      <c r="L38" s="392"/>
    </row>
    <row r="39" spans="1:12">
      <c r="A39" s="1" t="s">
        <v>210</v>
      </c>
      <c r="B39" s="17" t="s">
        <v>499</v>
      </c>
      <c r="C39" s="387">
        <v>2632.482</v>
      </c>
      <c r="D39" s="387">
        <v>161.5</v>
      </c>
      <c r="E39" s="387">
        <f t="shared" si="0"/>
        <v>425145.84299999999</v>
      </c>
      <c r="F39" s="15">
        <f t="shared" si="1"/>
        <v>1.4077514512020644E-2</v>
      </c>
      <c r="G39" s="95">
        <v>2.625386996904025E-2</v>
      </c>
      <c r="H39" s="15">
        <f t="shared" si="2"/>
        <v>3.6958923548586711E-4</v>
      </c>
      <c r="I39" s="95">
        <v>0.1</v>
      </c>
      <c r="J39" s="15">
        <f t="shared" si="3"/>
        <v>1.4077514512020645E-3</v>
      </c>
      <c r="K39" s="16"/>
      <c r="L39" s="392"/>
    </row>
    <row r="40" spans="1:12">
      <c r="A40" s="1" t="s">
        <v>233</v>
      </c>
      <c r="B40" s="17" t="s">
        <v>526</v>
      </c>
      <c r="C40" s="387">
        <v>746.79899999999998</v>
      </c>
      <c r="D40" s="387">
        <v>241.11</v>
      </c>
      <c r="E40" s="387">
        <f t="shared" si="0"/>
        <v>180060.70689</v>
      </c>
      <c r="F40" s="15">
        <f t="shared" si="1"/>
        <v>5.9622062782080888E-3</v>
      </c>
      <c r="G40" s="95">
        <v>2.2894114719422667E-2</v>
      </c>
      <c r="H40" s="15">
        <f t="shared" si="2"/>
        <v>1.3649943451415805E-4</v>
      </c>
      <c r="I40" s="95">
        <v>0.105</v>
      </c>
      <c r="J40" s="15">
        <f t="shared" si="3"/>
        <v>6.2603165921184926E-4</v>
      </c>
      <c r="K40" s="16"/>
      <c r="L40" s="392"/>
    </row>
    <row r="41" spans="1:12">
      <c r="A41" s="1" t="s">
        <v>235</v>
      </c>
      <c r="B41" s="17" t="s">
        <v>529</v>
      </c>
      <c r="C41" s="387">
        <v>2531.375</v>
      </c>
      <c r="D41" s="387">
        <v>75.11</v>
      </c>
      <c r="E41" s="387">
        <f t="shared" si="0"/>
        <v>190131.57625000001</v>
      </c>
      <c r="F41" s="15">
        <f t="shared" si="1"/>
        <v>6.295674926433974E-3</v>
      </c>
      <c r="G41" s="95">
        <v>3.4615896684862202E-2</v>
      </c>
      <c r="H41" s="15">
        <f t="shared" si="2"/>
        <v>2.179304328149159E-4</v>
      </c>
      <c r="I41" s="95">
        <v>7.4999999999999997E-2</v>
      </c>
      <c r="J41" s="15">
        <f t="shared" si="3"/>
        <v>4.7217561948254802E-4</v>
      </c>
      <c r="K41" s="16"/>
      <c r="L41" s="392"/>
    </row>
    <row r="42" spans="1:12">
      <c r="A42" s="1" t="s">
        <v>67</v>
      </c>
      <c r="B42" s="17" t="s">
        <v>338</v>
      </c>
      <c r="C42" s="387">
        <v>578.63800000000003</v>
      </c>
      <c r="D42" s="387">
        <v>175.42</v>
      </c>
      <c r="E42" s="387">
        <f t="shared" si="0"/>
        <v>101504.67796</v>
      </c>
      <c r="F42" s="15">
        <f t="shared" si="1"/>
        <v>3.3610432762008259E-3</v>
      </c>
      <c r="G42" s="95">
        <v>3.3747577243187783E-2</v>
      </c>
      <c r="H42" s="15">
        <f t="shared" si="2"/>
        <v>1.134270675812843E-4</v>
      </c>
      <c r="I42" s="95">
        <v>4.4999999999999998E-2</v>
      </c>
      <c r="J42" s="15">
        <f t="shared" si="3"/>
        <v>1.5124694742903717E-4</v>
      </c>
      <c r="K42" s="16"/>
      <c r="L42" s="392"/>
    </row>
    <row r="43" spans="1:12">
      <c r="A43" s="1" t="s">
        <v>723</v>
      </c>
      <c r="B43" s="17" t="s">
        <v>724</v>
      </c>
      <c r="C43" s="387">
        <v>181.49600000000001</v>
      </c>
      <c r="D43" s="387">
        <v>169.04</v>
      </c>
      <c r="E43" s="387">
        <f t="shared" si="0"/>
        <v>30680.083839999999</v>
      </c>
      <c r="F43" s="15">
        <f t="shared" si="1"/>
        <v>1.0158850959001615E-3</v>
      </c>
      <c r="G43" s="95">
        <v>1.4256980596308567E-2</v>
      </c>
      <c r="H43" s="15">
        <f t="shared" si="2"/>
        <v>1.4483454100327672E-5</v>
      </c>
      <c r="I43" s="95">
        <v>8.5000000000000006E-2</v>
      </c>
      <c r="J43" s="15">
        <f t="shared" si="3"/>
        <v>8.6350233151513732E-5</v>
      </c>
      <c r="K43" s="16"/>
      <c r="L43" s="392"/>
    </row>
    <row r="44" spans="1:12">
      <c r="A44" s="1" t="s">
        <v>98</v>
      </c>
      <c r="B44" s="17" t="s">
        <v>372</v>
      </c>
      <c r="C44" s="387">
        <v>8414.9040000000005</v>
      </c>
      <c r="D44" s="387">
        <v>42.45</v>
      </c>
      <c r="E44" s="387">
        <f t="shared" si="0"/>
        <v>357212.67480000004</v>
      </c>
      <c r="F44" s="15">
        <f t="shared" si="1"/>
        <v>1.1828097807308707E-2</v>
      </c>
      <c r="G44" s="95">
        <v>1.9787985865724379E-2</v>
      </c>
      <c r="H44" s="15">
        <f t="shared" si="2"/>
        <v>2.3405423222943022E-4</v>
      </c>
      <c r="I44" s="95">
        <v>0.06</v>
      </c>
      <c r="J44" s="15">
        <f t="shared" si="3"/>
        <v>7.0968586843852242E-4</v>
      </c>
      <c r="K44" s="16"/>
      <c r="L44" s="392"/>
    </row>
    <row r="45" spans="1:12">
      <c r="A45" s="1" t="s">
        <v>1104</v>
      </c>
      <c r="B45" s="17" t="s">
        <v>1105</v>
      </c>
      <c r="C45" s="387">
        <v>828.48699999999997</v>
      </c>
      <c r="D45" s="387">
        <v>24.73</v>
      </c>
      <c r="E45" s="387">
        <f t="shared" si="0"/>
        <v>20488.483509999998</v>
      </c>
      <c r="F45" s="15" t="str">
        <f t="shared" si="1"/>
        <v/>
      </c>
      <c r="G45" s="95">
        <v>2.9114435907804284E-2</v>
      </c>
      <c r="H45" s="15" t="str">
        <f t="shared" si="2"/>
        <v/>
      </c>
      <c r="I45" s="95" t="s">
        <v>719</v>
      </c>
      <c r="J45" s="15" t="str">
        <f t="shared" si="3"/>
        <v/>
      </c>
      <c r="K45" s="16"/>
      <c r="L45" s="392"/>
    </row>
    <row r="46" spans="1:12">
      <c r="A46" s="1" t="s">
        <v>268</v>
      </c>
      <c r="B46" s="17" t="s">
        <v>567</v>
      </c>
      <c r="C46" s="387">
        <v>5606.6880000000001</v>
      </c>
      <c r="D46" s="387">
        <v>43.01</v>
      </c>
      <c r="E46" s="387">
        <f t="shared" si="0"/>
        <v>241143.65088</v>
      </c>
      <c r="F46" s="15">
        <f t="shared" si="1"/>
        <v>7.9847969835255793E-3</v>
      </c>
      <c r="G46" s="95">
        <v>3.6270634736107886E-2</v>
      </c>
      <c r="H46" s="15">
        <f t="shared" si="2"/>
        <v>2.8961365483143233E-4</v>
      </c>
      <c r="I46" s="95">
        <v>0.08</v>
      </c>
      <c r="J46" s="15">
        <f t="shared" si="3"/>
        <v>6.387837586820463E-4</v>
      </c>
      <c r="K46" s="16"/>
      <c r="L46" s="392"/>
    </row>
    <row r="47" spans="1:12">
      <c r="A47" s="1" t="s">
        <v>276</v>
      </c>
      <c r="B47" s="17" t="s">
        <v>575</v>
      </c>
      <c r="C47" s="387">
        <v>2428.3159999999998</v>
      </c>
      <c r="D47" s="387">
        <v>139.80000000000001</v>
      </c>
      <c r="E47" s="387">
        <f t="shared" si="0"/>
        <v>339478.57679999998</v>
      </c>
      <c r="F47" s="15">
        <f t="shared" si="1"/>
        <v>1.1240882793771346E-2</v>
      </c>
      <c r="G47" s="95">
        <v>2.4886981402002861E-2</v>
      </c>
      <c r="H47" s="15">
        <f t="shared" si="2"/>
        <v>2.7975164103068146E-4</v>
      </c>
      <c r="I47" s="95">
        <v>7.0000000000000007E-2</v>
      </c>
      <c r="J47" s="15">
        <f t="shared" si="3"/>
        <v>7.8686179556399427E-4</v>
      </c>
      <c r="K47" s="16"/>
      <c r="L47" s="392"/>
    </row>
    <row r="48" spans="1:12">
      <c r="A48" s="1" t="s">
        <v>91</v>
      </c>
      <c r="B48" s="17" t="s">
        <v>365</v>
      </c>
      <c r="C48" s="387">
        <v>7140</v>
      </c>
      <c r="D48" s="387">
        <v>27.01</v>
      </c>
      <c r="E48" s="387">
        <f t="shared" si="0"/>
        <v>192851.40000000002</v>
      </c>
      <c r="F48" s="15">
        <f t="shared" si="1"/>
        <v>6.3857342765162549E-3</v>
      </c>
      <c r="G48" s="95">
        <v>7.7008515364679744E-2</v>
      </c>
      <c r="H48" s="15">
        <f t="shared" si="2"/>
        <v>4.9175591614786414E-4</v>
      </c>
      <c r="I48" s="95">
        <v>2.5000000000000001E-2</v>
      </c>
      <c r="J48" s="15">
        <f t="shared" si="3"/>
        <v>1.5964335691290638E-4</v>
      </c>
      <c r="K48" s="16"/>
      <c r="L48" s="392"/>
    </row>
    <row r="49" spans="1:12">
      <c r="A49" s="1" t="s">
        <v>310</v>
      </c>
      <c r="B49" s="17" t="s">
        <v>613</v>
      </c>
      <c r="C49" s="387">
        <v>249.49299999999999</v>
      </c>
      <c r="D49" s="387">
        <v>152.01</v>
      </c>
      <c r="E49" s="387">
        <f t="shared" si="0"/>
        <v>37925.430929999995</v>
      </c>
      <c r="F49" s="15">
        <f t="shared" si="1"/>
        <v>1.2557944834279175E-3</v>
      </c>
      <c r="G49" s="95">
        <v>2.3156371291362408E-2</v>
      </c>
      <c r="H49" s="15">
        <f t="shared" si="2"/>
        <v>2.9079643323901512E-5</v>
      </c>
      <c r="I49" s="95">
        <v>0.08</v>
      </c>
      <c r="J49" s="15">
        <f t="shared" si="3"/>
        <v>1.004635586742334E-4</v>
      </c>
      <c r="K49" s="16"/>
      <c r="L49" s="392"/>
    </row>
    <row r="50" spans="1:12">
      <c r="A50" s="1" t="s">
        <v>1106</v>
      </c>
      <c r="B50" s="17" t="s">
        <v>1107</v>
      </c>
      <c r="C50" s="387">
        <v>1507.8779999999999</v>
      </c>
      <c r="D50" s="387">
        <v>85.96</v>
      </c>
      <c r="E50" s="387">
        <f t="shared" si="0"/>
        <v>129617.19287999999</v>
      </c>
      <c r="F50" s="15">
        <f t="shared" si="1"/>
        <v>4.2919105145186112E-3</v>
      </c>
      <c r="G50" s="95">
        <v>2.3731968357375524E-2</v>
      </c>
      <c r="H50" s="15">
        <f t="shared" si="2"/>
        <v>1.0185548452324299E-4</v>
      </c>
      <c r="I50" s="95">
        <v>0.01</v>
      </c>
      <c r="J50" s="15">
        <f t="shared" si="3"/>
        <v>4.291910514518611E-5</v>
      </c>
      <c r="K50" s="16"/>
      <c r="L50" s="392"/>
    </row>
    <row r="51" spans="1:12">
      <c r="A51" s="1" t="s">
        <v>85</v>
      </c>
      <c r="B51" s="17" t="s">
        <v>358</v>
      </c>
      <c r="C51" s="387">
        <v>537.41099999999994</v>
      </c>
      <c r="D51" s="387">
        <v>167.48</v>
      </c>
      <c r="E51" s="387">
        <f t="shared" si="0"/>
        <v>90005.59427999999</v>
      </c>
      <c r="F51" s="15">
        <f t="shared" si="1"/>
        <v>2.9802833086615458E-3</v>
      </c>
      <c r="G51" s="95">
        <v>1.6479579651301649E-2</v>
      </c>
      <c r="H51" s="15">
        <f t="shared" si="2"/>
        <v>4.9113816168532764E-5</v>
      </c>
      <c r="I51" s="95">
        <v>0.11</v>
      </c>
      <c r="J51" s="15">
        <f t="shared" si="3"/>
        <v>3.2783116395277003E-4</v>
      </c>
      <c r="K51" s="16"/>
      <c r="L51" s="392"/>
    </row>
    <row r="52" spans="1:12">
      <c r="A52" s="1" t="s">
        <v>1003</v>
      </c>
      <c r="B52" s="17" t="s">
        <v>627</v>
      </c>
      <c r="C52" s="387">
        <v>2788.498</v>
      </c>
      <c r="D52" s="387">
        <v>139.38</v>
      </c>
      <c r="E52" s="387">
        <f t="shared" si="0"/>
        <v>388660.85123999999</v>
      </c>
      <c r="F52" s="15">
        <f t="shared" si="1"/>
        <v>1.2869416139593763E-2</v>
      </c>
      <c r="G52" s="95">
        <v>1.578418711436361E-2</v>
      </c>
      <c r="H52" s="15">
        <f t="shared" si="2"/>
        <v>2.0313327239995896E-4</v>
      </c>
      <c r="I52" s="95">
        <v>7.4999999999999997E-2</v>
      </c>
      <c r="J52" s="15">
        <f t="shared" si="3"/>
        <v>9.6520621046953224E-4</v>
      </c>
      <c r="K52" s="16"/>
      <c r="L52" s="392"/>
    </row>
    <row r="53" spans="1:12">
      <c r="A53" s="1" t="s">
        <v>1108</v>
      </c>
      <c r="B53" s="17" t="s">
        <v>404</v>
      </c>
      <c r="C53" s="387">
        <v>4217.7359999999999</v>
      </c>
      <c r="D53" s="387">
        <v>54.43</v>
      </c>
      <c r="E53" s="387">
        <f t="shared" si="0"/>
        <v>229571.37047999998</v>
      </c>
      <c r="F53" s="15">
        <f t="shared" si="1"/>
        <v>7.6016133114975969E-3</v>
      </c>
      <c r="G53" s="95">
        <v>2.7190887378284033E-2</v>
      </c>
      <c r="H53" s="15">
        <f t="shared" si="2"/>
        <v>2.0669461144619589E-4</v>
      </c>
      <c r="I53" s="95">
        <v>7.0000000000000007E-2</v>
      </c>
      <c r="J53" s="15">
        <f t="shared" si="3"/>
        <v>5.3211293180483181E-4</v>
      </c>
      <c r="K53" s="16"/>
      <c r="L53" s="392"/>
    </row>
    <row r="54" spans="1:12">
      <c r="A54" s="1" t="s">
        <v>200</v>
      </c>
      <c r="B54" s="17" t="s">
        <v>488</v>
      </c>
      <c r="C54" s="387">
        <v>4057</v>
      </c>
      <c r="D54" s="387">
        <v>53.28</v>
      </c>
      <c r="E54" s="387">
        <f t="shared" si="0"/>
        <v>216156.96</v>
      </c>
      <c r="F54" s="15">
        <f t="shared" si="1"/>
        <v>7.1574326584072133E-3</v>
      </c>
      <c r="G54" s="95">
        <v>2.6088588588588594E-2</v>
      </c>
      <c r="H54" s="15">
        <f t="shared" si="2"/>
        <v>1.8672731597571375E-4</v>
      </c>
      <c r="I54" s="95">
        <v>7.0000000000000007E-2</v>
      </c>
      <c r="J54" s="15">
        <f t="shared" si="3"/>
        <v>5.0102028608850502E-4</v>
      </c>
      <c r="K54" s="16"/>
      <c r="L54" s="392"/>
    </row>
    <row r="55" spans="1:12">
      <c r="A55" s="1" t="s">
        <v>659</v>
      </c>
      <c r="B55" s="17" t="s">
        <v>660</v>
      </c>
      <c r="C55" s="387">
        <v>1451.7239999999999</v>
      </c>
      <c r="D55" s="387">
        <v>52.71</v>
      </c>
      <c r="E55" s="387">
        <f t="shared" si="0"/>
        <v>76520.372040000002</v>
      </c>
      <c r="F55" s="15">
        <f t="shared" si="1"/>
        <v>2.53375792235682E-3</v>
      </c>
      <c r="G55" s="95" t="s">
        <v>719</v>
      </c>
      <c r="H55" s="15" t="str">
        <f t="shared" si="2"/>
        <v/>
      </c>
      <c r="I55" s="95">
        <v>0.11</v>
      </c>
      <c r="J55" s="15">
        <f t="shared" si="3"/>
        <v>2.7871337145925023E-4</v>
      </c>
      <c r="K55" s="16"/>
      <c r="L55" s="392"/>
    </row>
    <row r="56" spans="1:12">
      <c r="A56" s="1" t="s">
        <v>239</v>
      </c>
      <c r="B56" s="17" t="s">
        <v>533</v>
      </c>
      <c r="C56" s="387">
        <v>7514.8909999999996</v>
      </c>
      <c r="D56" s="387">
        <v>281.92</v>
      </c>
      <c r="E56" s="387">
        <f t="shared" si="0"/>
        <v>2118598.0707200002</v>
      </c>
      <c r="F56" s="15">
        <f t="shared" si="1"/>
        <v>7.0151444678949251E-2</v>
      </c>
      <c r="G56" s="95">
        <v>8.7968217934165718E-3</v>
      </c>
      <c r="H56" s="15">
        <f t="shared" si="2"/>
        <v>6.1710975739143778E-4</v>
      </c>
      <c r="I56" s="95">
        <v>0.17</v>
      </c>
      <c r="J56" s="15">
        <f t="shared" si="3"/>
        <v>1.1925745595421373E-2</v>
      </c>
      <c r="K56" s="16"/>
      <c r="L56" s="392"/>
    </row>
    <row r="57" spans="1:12">
      <c r="A57" s="1" t="s">
        <v>661</v>
      </c>
      <c r="B57" s="17" t="s">
        <v>662</v>
      </c>
      <c r="C57" s="387">
        <v>233.31</v>
      </c>
      <c r="D57" s="387">
        <v>212.14</v>
      </c>
      <c r="E57" s="387">
        <f t="shared" si="0"/>
        <v>49494.383399999999</v>
      </c>
      <c r="F57" s="15">
        <f t="shared" si="1"/>
        <v>1.6388679603695751E-3</v>
      </c>
      <c r="G57" s="95">
        <v>7.9192985764118054E-3</v>
      </c>
      <c r="H57" s="15">
        <f t="shared" si="2"/>
        <v>1.2978684705481695E-5</v>
      </c>
      <c r="I57" s="95">
        <v>0.105</v>
      </c>
      <c r="J57" s="15">
        <f t="shared" si="3"/>
        <v>1.7208113583880538E-4</v>
      </c>
      <c r="K57" s="16"/>
      <c r="L57" s="392"/>
    </row>
    <row r="58" spans="1:12">
      <c r="A58" s="1" t="s">
        <v>126</v>
      </c>
      <c r="B58" s="17" t="s">
        <v>401</v>
      </c>
      <c r="C58" s="387">
        <v>340.108</v>
      </c>
      <c r="D58" s="387">
        <v>200.16</v>
      </c>
      <c r="E58" s="387">
        <f t="shared" si="0"/>
        <v>68076.01728</v>
      </c>
      <c r="F58" s="15">
        <f t="shared" si="1"/>
        <v>2.2541467521294055E-3</v>
      </c>
      <c r="G58" s="95">
        <v>1.9984012789768187E-2</v>
      </c>
      <c r="H58" s="15">
        <f t="shared" si="2"/>
        <v>4.5046897524568462E-5</v>
      </c>
      <c r="I58" s="95">
        <v>0.1</v>
      </c>
      <c r="J58" s="15">
        <f t="shared" si="3"/>
        <v>2.2541467521294055E-4</v>
      </c>
      <c r="K58" s="16"/>
      <c r="L58" s="392"/>
    </row>
    <row r="59" spans="1:12">
      <c r="A59" s="1" t="s">
        <v>1109</v>
      </c>
      <c r="B59" s="17" t="s">
        <v>507</v>
      </c>
      <c r="C59" s="387">
        <v>2266.5210000000002</v>
      </c>
      <c r="D59" s="387">
        <v>16.73</v>
      </c>
      <c r="E59" s="387">
        <f t="shared" si="0"/>
        <v>37918.896330000003</v>
      </c>
      <c r="F59" s="15">
        <f t="shared" si="1"/>
        <v>1.2555781084407343E-3</v>
      </c>
      <c r="G59" s="95">
        <v>6.4554692169754929E-2</v>
      </c>
      <c r="H59" s="15">
        <f t="shared" si="2"/>
        <v>8.105345828547478E-5</v>
      </c>
      <c r="I59" s="95">
        <v>0.19</v>
      </c>
      <c r="J59" s="15">
        <f t="shared" si="3"/>
        <v>2.3855984060373951E-4</v>
      </c>
      <c r="K59" s="16"/>
      <c r="L59" s="392"/>
    </row>
    <row r="60" spans="1:12">
      <c r="A60" s="1" t="s">
        <v>129</v>
      </c>
      <c r="B60" s="17" t="s">
        <v>405</v>
      </c>
      <c r="C60" s="387">
        <v>2026.7850000000001</v>
      </c>
      <c r="D60" s="387">
        <v>70.180000000000007</v>
      </c>
      <c r="E60" s="387">
        <f t="shared" si="0"/>
        <v>142239.77130000002</v>
      </c>
      <c r="F60" s="15">
        <f t="shared" si="1"/>
        <v>4.709871865458291E-3</v>
      </c>
      <c r="G60" s="95">
        <v>2.9068110572812764E-2</v>
      </c>
      <c r="H60" s="15">
        <f t="shared" si="2"/>
        <v>1.3690707616892153E-4</v>
      </c>
      <c r="I60" s="95">
        <v>0.05</v>
      </c>
      <c r="J60" s="15">
        <f t="shared" si="3"/>
        <v>2.3549359327291455E-4</v>
      </c>
      <c r="K60" s="16"/>
      <c r="L60" s="392"/>
    </row>
    <row r="61" spans="1:12">
      <c r="A61" s="1" t="s">
        <v>79</v>
      </c>
      <c r="B61" s="17" t="s">
        <v>352</v>
      </c>
      <c r="C61" s="387">
        <v>855.202</v>
      </c>
      <c r="D61" s="387">
        <v>54.89</v>
      </c>
      <c r="E61" s="387">
        <f t="shared" si="0"/>
        <v>46942.037779999999</v>
      </c>
      <c r="F61" s="15" t="str">
        <f t="shared" si="1"/>
        <v/>
      </c>
      <c r="G61" s="95">
        <v>2.3319366004736747E-2</v>
      </c>
      <c r="H61" s="15" t="str">
        <f t="shared" si="2"/>
        <v/>
      </c>
      <c r="I61" s="95">
        <v>0.28499999999999998</v>
      </c>
      <c r="J61" s="15" t="str">
        <f t="shared" si="3"/>
        <v/>
      </c>
      <c r="K61" s="16"/>
      <c r="L61" s="392"/>
    </row>
    <row r="62" spans="1:12">
      <c r="A62" s="1" t="s">
        <v>74</v>
      </c>
      <c r="B62" s="17" t="s">
        <v>348</v>
      </c>
      <c r="C62" s="387">
        <v>1844.078</v>
      </c>
      <c r="D62" s="387">
        <v>45.52</v>
      </c>
      <c r="E62" s="387">
        <f t="shared" si="0"/>
        <v>83942.430560000008</v>
      </c>
      <c r="F62" s="15">
        <f t="shared" si="1"/>
        <v>2.7795186142339518E-3</v>
      </c>
      <c r="G62" s="95">
        <v>7.9086115992970121E-2</v>
      </c>
      <c r="H62" s="15">
        <f t="shared" si="2"/>
        <v>2.1982133152992589E-4</v>
      </c>
      <c r="I62" s="95">
        <v>0.06</v>
      </c>
      <c r="J62" s="15">
        <f t="shared" si="3"/>
        <v>1.667711168540371E-4</v>
      </c>
      <c r="K62" s="16"/>
      <c r="L62" s="392"/>
    </row>
    <row r="63" spans="1:12">
      <c r="A63" s="1" t="s">
        <v>872</v>
      </c>
      <c r="B63" s="17" t="s">
        <v>664</v>
      </c>
      <c r="C63" s="387">
        <v>320.142</v>
      </c>
      <c r="D63" s="387">
        <v>242.72</v>
      </c>
      <c r="E63" s="387">
        <f t="shared" si="0"/>
        <v>77704.866240000003</v>
      </c>
      <c r="F63" s="15">
        <f t="shared" si="1"/>
        <v>2.5729791321238982E-3</v>
      </c>
      <c r="G63" s="95">
        <v>7.9103493737640081E-3</v>
      </c>
      <c r="H63" s="15">
        <f t="shared" si="2"/>
        <v>2.035316386650414E-5</v>
      </c>
      <c r="I63" s="95">
        <v>0.12</v>
      </c>
      <c r="J63" s="15">
        <f t="shared" si="3"/>
        <v>3.0875749585486774E-4</v>
      </c>
      <c r="K63" s="16"/>
      <c r="L63" s="392"/>
    </row>
    <row r="64" spans="1:12">
      <c r="A64" s="1" t="s">
        <v>665</v>
      </c>
      <c r="B64" s="17" t="s">
        <v>793</v>
      </c>
      <c r="C64" s="387">
        <v>188.64500000000001</v>
      </c>
      <c r="D64" s="387">
        <v>20.18</v>
      </c>
      <c r="E64" s="387">
        <f t="shared" si="0"/>
        <v>3806.8561</v>
      </c>
      <c r="F64" s="15">
        <f t="shared" si="1"/>
        <v>1.26053383504268E-4</v>
      </c>
      <c r="G64" s="95" t="s">
        <v>719</v>
      </c>
      <c r="H64" s="15" t="str">
        <f t="shared" si="2"/>
        <v/>
      </c>
      <c r="I64" s="95">
        <v>0.11</v>
      </c>
      <c r="J64" s="15">
        <f t="shared" si="3"/>
        <v>1.3865872185469479E-5</v>
      </c>
      <c r="K64" s="16"/>
      <c r="L64" s="392"/>
    </row>
    <row r="65" spans="1:12">
      <c r="A65" s="1" t="s">
        <v>203</v>
      </c>
      <c r="B65" s="17" t="s">
        <v>492</v>
      </c>
      <c r="C65" s="387">
        <v>390.83499999999998</v>
      </c>
      <c r="D65" s="387">
        <v>52.95</v>
      </c>
      <c r="E65" s="387">
        <f t="shared" si="0"/>
        <v>20694.713250000001</v>
      </c>
      <c r="F65" s="15">
        <f t="shared" si="1"/>
        <v>6.8524750011252241E-4</v>
      </c>
      <c r="G65" s="95">
        <v>3.8715769593956555E-2</v>
      </c>
      <c r="H65" s="15">
        <f t="shared" si="2"/>
        <v>2.6529884329191136E-5</v>
      </c>
      <c r="I65" s="95">
        <v>0.12</v>
      </c>
      <c r="J65" s="15">
        <f t="shared" si="3"/>
        <v>8.2229700013502691E-5</v>
      </c>
      <c r="K65" s="16"/>
      <c r="L65" s="392"/>
    </row>
    <row r="66" spans="1:12">
      <c r="A66" s="1" t="s">
        <v>725</v>
      </c>
      <c r="B66" s="17" t="s">
        <v>726</v>
      </c>
      <c r="C66" s="387">
        <v>1308.05</v>
      </c>
      <c r="D66" s="387">
        <v>14.25</v>
      </c>
      <c r="E66" s="387">
        <f t="shared" si="0"/>
        <v>18639.712499999998</v>
      </c>
      <c r="F66" s="15">
        <f t="shared" si="1"/>
        <v>6.1720190268599795E-4</v>
      </c>
      <c r="G66" s="95">
        <v>3.3684210526315789E-2</v>
      </c>
      <c r="H66" s="15">
        <f t="shared" si="2"/>
        <v>2.0789958827317826E-5</v>
      </c>
      <c r="I66" s="95">
        <v>6.5000000000000002E-2</v>
      </c>
      <c r="J66" s="15">
        <f t="shared" si="3"/>
        <v>4.0118123674589868E-5</v>
      </c>
      <c r="K66" s="16"/>
      <c r="L66" s="392"/>
    </row>
    <row r="67" spans="1:12">
      <c r="A67" s="1" t="s">
        <v>68</v>
      </c>
      <c r="B67" s="17" t="s">
        <v>339</v>
      </c>
      <c r="C67" s="387">
        <v>1772.817</v>
      </c>
      <c r="D67" s="387">
        <v>118.13</v>
      </c>
      <c r="E67" s="387">
        <f t="shared" si="0"/>
        <v>209422.87221</v>
      </c>
      <c r="F67" s="15">
        <f t="shared" si="1"/>
        <v>6.9344521914690808E-3</v>
      </c>
      <c r="G67" s="95">
        <v>1.5237450266655381E-2</v>
      </c>
      <c r="H67" s="15">
        <f t="shared" si="2"/>
        <v>1.0566337039400954E-4</v>
      </c>
      <c r="I67" s="95">
        <v>0.115</v>
      </c>
      <c r="J67" s="15">
        <f t="shared" si="3"/>
        <v>7.9746200201894434E-4</v>
      </c>
      <c r="K67" s="16"/>
      <c r="L67" s="392"/>
    </row>
    <row r="68" spans="1:12">
      <c r="A68" s="1" t="s">
        <v>70</v>
      </c>
      <c r="B68" s="17" t="s">
        <v>343</v>
      </c>
      <c r="C68" s="387">
        <v>670.74099999999999</v>
      </c>
      <c r="D68" s="387">
        <v>52.13</v>
      </c>
      <c r="E68" s="387">
        <f t="shared" si="0"/>
        <v>34965.728329999998</v>
      </c>
      <c r="F68" s="15">
        <f t="shared" si="1"/>
        <v>1.15779221670279E-3</v>
      </c>
      <c r="G68" s="95">
        <v>2.5321312104354499E-2</v>
      </c>
      <c r="H68" s="15">
        <f t="shared" si="2"/>
        <v>2.9316818071123784E-5</v>
      </c>
      <c r="I68" s="95">
        <v>0.11</v>
      </c>
      <c r="J68" s="15">
        <f t="shared" si="3"/>
        <v>1.273571438373069E-4</v>
      </c>
      <c r="K68" s="16"/>
      <c r="L68" s="392"/>
    </row>
    <row r="69" spans="1:12">
      <c r="A69" s="1" t="s">
        <v>1110</v>
      </c>
      <c r="B69" s="17" t="s">
        <v>345</v>
      </c>
      <c r="C69" s="387">
        <v>221.36500000000001</v>
      </c>
      <c r="D69" s="387">
        <v>256.11</v>
      </c>
      <c r="E69" s="387">
        <f t="shared" si="0"/>
        <v>56693.790150000008</v>
      </c>
      <c r="F69" s="15">
        <f t="shared" si="1"/>
        <v>1.8772561621355854E-3</v>
      </c>
      <c r="G69" s="95">
        <v>2.3427433524657374E-2</v>
      </c>
      <c r="H69" s="15">
        <f t="shared" si="2"/>
        <v>4.3979293947184851E-5</v>
      </c>
      <c r="I69" s="95">
        <v>0.12</v>
      </c>
      <c r="J69" s="15">
        <f t="shared" si="3"/>
        <v>2.2527073945627024E-4</v>
      </c>
      <c r="K69" s="16"/>
      <c r="L69" s="392"/>
    </row>
    <row r="70" spans="1:12">
      <c r="A70" s="1" t="s">
        <v>667</v>
      </c>
      <c r="B70" s="17" t="s">
        <v>668</v>
      </c>
      <c r="C70" s="387">
        <v>254.69399999999999</v>
      </c>
      <c r="D70" s="387">
        <v>88.95</v>
      </c>
      <c r="E70" s="387">
        <f t="shared" si="0"/>
        <v>22655.031299999999</v>
      </c>
      <c r="F70" s="15" t="str">
        <f t="shared" si="1"/>
        <v/>
      </c>
      <c r="G70" s="95" t="s">
        <v>719</v>
      </c>
      <c r="H70" s="15" t="str">
        <f t="shared" si="2"/>
        <v/>
      </c>
      <c r="I70" s="95" t="s">
        <v>719</v>
      </c>
      <c r="J70" s="15" t="str">
        <f t="shared" si="3"/>
        <v/>
      </c>
      <c r="K70" s="16"/>
      <c r="L70" s="392"/>
    </row>
    <row r="71" spans="1:12">
      <c r="A71" s="1" t="s">
        <v>192</v>
      </c>
      <c r="B71" s="17" t="s">
        <v>478</v>
      </c>
      <c r="C71" s="387">
        <v>309.673</v>
      </c>
      <c r="D71" s="387">
        <v>78.11</v>
      </c>
      <c r="E71" s="387">
        <f t="shared" si="0"/>
        <v>24188.55803</v>
      </c>
      <c r="F71" s="15" t="str">
        <f t="shared" si="1"/>
        <v/>
      </c>
      <c r="G71" s="95">
        <v>1.2802458071949817E-2</v>
      </c>
      <c r="H71" s="15" t="str">
        <f t="shared" si="2"/>
        <v/>
      </c>
      <c r="I71" s="95" t="s">
        <v>719</v>
      </c>
      <c r="J71" s="15" t="str">
        <f t="shared" si="3"/>
        <v/>
      </c>
      <c r="K71" s="16"/>
      <c r="L71" s="392"/>
    </row>
    <row r="72" spans="1:12">
      <c r="A72" s="1" t="s">
        <v>89</v>
      </c>
      <c r="B72" s="17" t="s">
        <v>363</v>
      </c>
      <c r="C72" s="387">
        <v>559.36599999999999</v>
      </c>
      <c r="D72" s="387">
        <v>60.01</v>
      </c>
      <c r="E72" s="387">
        <f t="shared" si="0"/>
        <v>33567.553659999998</v>
      </c>
      <c r="F72" s="15">
        <f t="shared" si="1"/>
        <v>1.1114955763114015E-3</v>
      </c>
      <c r="G72" s="95">
        <v>2.4662556240626562E-2</v>
      </c>
      <c r="H72" s="15">
        <f t="shared" si="2"/>
        <v>2.7412322161987572E-5</v>
      </c>
      <c r="I72" s="95">
        <v>8.5000000000000006E-2</v>
      </c>
      <c r="J72" s="15">
        <f t="shared" si="3"/>
        <v>9.4477123986469133E-5</v>
      </c>
      <c r="K72" s="16"/>
      <c r="L72" s="392"/>
    </row>
    <row r="73" spans="1:12">
      <c r="A73" s="1" t="s">
        <v>93</v>
      </c>
      <c r="B73" s="17" t="s">
        <v>367</v>
      </c>
      <c r="C73" s="387">
        <v>422.72300000000001</v>
      </c>
      <c r="D73" s="387">
        <v>199.92</v>
      </c>
      <c r="E73" s="387">
        <f t="shared" si="0"/>
        <v>84510.782160000002</v>
      </c>
      <c r="F73" s="15">
        <f t="shared" si="1"/>
        <v>2.7983379865238749E-3</v>
      </c>
      <c r="G73" s="95">
        <v>1.8607442977190875E-2</v>
      </c>
      <c r="H73" s="15">
        <f t="shared" si="2"/>
        <v>5.206991451515013E-5</v>
      </c>
      <c r="I73" s="95">
        <v>0.09</v>
      </c>
      <c r="J73" s="15">
        <f t="shared" si="3"/>
        <v>2.5185041878714875E-4</v>
      </c>
      <c r="K73" s="16"/>
      <c r="L73" s="392"/>
    </row>
    <row r="74" spans="1:12">
      <c r="A74" s="1" t="s">
        <v>727</v>
      </c>
      <c r="B74" s="17" t="s">
        <v>728</v>
      </c>
      <c r="C74" s="387">
        <v>161.35</v>
      </c>
      <c r="D74" s="387">
        <v>200.27</v>
      </c>
      <c r="E74" s="387">
        <f t="shared" si="0"/>
        <v>32313.5645</v>
      </c>
      <c r="F74" s="15">
        <f t="shared" si="1"/>
        <v>1.0699732354759613E-3</v>
      </c>
      <c r="G74" s="95">
        <v>5.7921805562490634E-3</v>
      </c>
      <c r="H74" s="15">
        <f t="shared" si="2"/>
        <v>6.1974781702307637E-6</v>
      </c>
      <c r="I74" s="95">
        <v>0.08</v>
      </c>
      <c r="J74" s="15">
        <f t="shared" si="3"/>
        <v>8.559785883807691E-5</v>
      </c>
      <c r="K74" s="16"/>
      <c r="L74" s="392"/>
    </row>
    <row r="75" spans="1:12">
      <c r="A75" s="1" t="s">
        <v>94</v>
      </c>
      <c r="B75" s="17" t="s">
        <v>368</v>
      </c>
      <c r="C75" s="387">
        <v>21.545000000000002</v>
      </c>
      <c r="D75" s="387">
        <v>1697.99</v>
      </c>
      <c r="E75" s="387">
        <f t="shared" si="0"/>
        <v>36583.19455</v>
      </c>
      <c r="F75" s="15">
        <f t="shared" si="1"/>
        <v>1.2113500829260126E-3</v>
      </c>
      <c r="G75" s="95" t="s">
        <v>719</v>
      </c>
      <c r="H75" s="15" t="str">
        <f t="shared" si="2"/>
        <v/>
      </c>
      <c r="I75" s="95">
        <v>0.14499999999999999</v>
      </c>
      <c r="J75" s="15">
        <f t="shared" si="3"/>
        <v>1.756457620242718E-4</v>
      </c>
      <c r="K75" s="16"/>
      <c r="L75" s="392"/>
    </row>
    <row r="76" spans="1:12">
      <c r="A76" s="1" t="s">
        <v>96</v>
      </c>
      <c r="B76" s="17" t="s">
        <v>370</v>
      </c>
      <c r="C76" s="387">
        <v>82.882999999999996</v>
      </c>
      <c r="D76" s="387">
        <v>207.21</v>
      </c>
      <c r="E76" s="387">
        <f t="shared" si="0"/>
        <v>17174.186429999998</v>
      </c>
      <c r="F76" s="15">
        <f t="shared" si="1"/>
        <v>5.6867510921534048E-4</v>
      </c>
      <c r="G76" s="95">
        <v>1.3126779595579362E-2</v>
      </c>
      <c r="H76" s="15">
        <f t="shared" si="2"/>
        <v>7.4648728201617964E-6</v>
      </c>
      <c r="I76" s="95">
        <v>0.09</v>
      </c>
      <c r="J76" s="15">
        <f t="shared" si="3"/>
        <v>5.1180759829380643E-5</v>
      </c>
      <c r="K76" s="16"/>
      <c r="L76" s="392"/>
    </row>
    <row r="77" spans="1:12">
      <c r="A77" s="1" t="s">
        <v>1111</v>
      </c>
      <c r="B77" s="17" t="s">
        <v>1112</v>
      </c>
      <c r="C77" s="387">
        <v>134.62100000000001</v>
      </c>
      <c r="D77" s="387">
        <v>149.97</v>
      </c>
      <c r="E77" s="387">
        <f t="shared" si="0"/>
        <v>20189.111370000002</v>
      </c>
      <c r="F77" s="15" t="str">
        <f t="shared" si="1"/>
        <v/>
      </c>
      <c r="G77" s="95" t="s">
        <v>719</v>
      </c>
      <c r="H77" s="15" t="str">
        <f t="shared" si="2"/>
        <v/>
      </c>
      <c r="I77" s="95">
        <v>0.4</v>
      </c>
      <c r="J77" s="15" t="str">
        <f t="shared" si="3"/>
        <v/>
      </c>
      <c r="K77" s="16"/>
      <c r="L77" s="392"/>
    </row>
    <row r="78" spans="1:12">
      <c r="A78" s="1" t="s">
        <v>1004</v>
      </c>
      <c r="B78" s="17" t="s">
        <v>1005</v>
      </c>
      <c r="C78" s="387">
        <v>82.441999999999993</v>
      </c>
      <c r="D78" s="387">
        <v>608.34</v>
      </c>
      <c r="E78" s="387">
        <f t="shared" si="0"/>
        <v>50152.766279999996</v>
      </c>
      <c r="F78" s="15">
        <f t="shared" si="1"/>
        <v>1.6606684664788774E-3</v>
      </c>
      <c r="G78" s="95">
        <v>6.83828122431535E-3</v>
      </c>
      <c r="H78" s="15">
        <f t="shared" si="2"/>
        <v>1.1356117994135072E-5</v>
      </c>
      <c r="I78" s="95">
        <v>0.16</v>
      </c>
      <c r="J78" s="15">
        <f t="shared" si="3"/>
        <v>2.657069546366204E-4</v>
      </c>
      <c r="K78" s="16"/>
      <c r="L78" s="392"/>
    </row>
    <row r="79" spans="1:12">
      <c r="A79" s="1" t="s">
        <v>97</v>
      </c>
      <c r="B79" s="17" t="s">
        <v>371</v>
      </c>
      <c r="C79" s="387">
        <v>326.61</v>
      </c>
      <c r="D79" s="387">
        <v>89.97</v>
      </c>
      <c r="E79" s="387">
        <f t="shared" si="0"/>
        <v>29385.101699999999</v>
      </c>
      <c r="F79" s="15" t="str">
        <f t="shared" si="1"/>
        <v/>
      </c>
      <c r="G79" s="95">
        <v>8.8918528398355019E-3</v>
      </c>
      <c r="H79" s="15" t="str">
        <f t="shared" si="2"/>
        <v/>
      </c>
      <c r="I79" s="95">
        <v>0.21</v>
      </c>
      <c r="J79" s="15" t="str">
        <f t="shared" si="3"/>
        <v/>
      </c>
      <c r="K79" s="16"/>
      <c r="L79" s="392"/>
    </row>
    <row r="80" spans="1:12">
      <c r="A80" s="1" t="s">
        <v>1321</v>
      </c>
      <c r="B80" s="17" t="s">
        <v>1322</v>
      </c>
      <c r="C80" s="387">
        <v>149.86199999999999</v>
      </c>
      <c r="D80" s="387">
        <v>112.62</v>
      </c>
      <c r="E80" s="387">
        <f t="shared" si="0"/>
        <v>16877.458439999999</v>
      </c>
      <c r="F80" s="15" t="str">
        <f t="shared" si="1"/>
        <v/>
      </c>
      <c r="G80" s="95" t="s">
        <v>719</v>
      </c>
      <c r="H80" s="15" t="str">
        <f t="shared" si="2"/>
        <v/>
      </c>
      <c r="I80" s="95" t="s">
        <v>719</v>
      </c>
      <c r="J80" s="15" t="str">
        <f t="shared" si="3"/>
        <v/>
      </c>
      <c r="K80" s="16"/>
      <c r="L80" s="392"/>
    </row>
    <row r="81" spans="1:12">
      <c r="A81" s="1" t="s">
        <v>1113</v>
      </c>
      <c r="B81" s="17" t="s">
        <v>1114</v>
      </c>
      <c r="C81" s="387">
        <v>867.70100000000002</v>
      </c>
      <c r="D81" s="387">
        <v>51.76</v>
      </c>
      <c r="E81" s="387">
        <f t="shared" si="0"/>
        <v>44912.203759999997</v>
      </c>
      <c r="F81" s="15" t="str">
        <f t="shared" si="1"/>
        <v/>
      </c>
      <c r="G81" s="95">
        <v>9.2735703245749607E-3</v>
      </c>
      <c r="H81" s="15" t="str">
        <f t="shared" si="2"/>
        <v/>
      </c>
      <c r="I81" s="95" t="s">
        <v>719</v>
      </c>
      <c r="J81" s="15" t="str">
        <f t="shared" si="3"/>
        <v/>
      </c>
      <c r="K81" s="16"/>
      <c r="L81" s="392"/>
    </row>
    <row r="82" spans="1:12">
      <c r="A82" s="1" t="s">
        <v>99</v>
      </c>
      <c r="B82" s="17" t="s">
        <v>373</v>
      </c>
      <c r="C82" s="387">
        <v>863.17399999999998</v>
      </c>
      <c r="D82" s="387">
        <v>51.84</v>
      </c>
      <c r="E82" s="387">
        <f t="shared" si="0"/>
        <v>44746.940159999998</v>
      </c>
      <c r="F82" s="15">
        <f t="shared" si="1"/>
        <v>1.4816696666393591E-3</v>
      </c>
      <c r="G82" s="95">
        <v>2.6234567901234563E-2</v>
      </c>
      <c r="H82" s="15">
        <f t="shared" si="2"/>
        <v>3.8870963476649847E-5</v>
      </c>
      <c r="I82" s="95">
        <v>0.05</v>
      </c>
      <c r="J82" s="15">
        <f t="shared" si="3"/>
        <v>7.4083483331967957E-5</v>
      </c>
      <c r="K82" s="16"/>
      <c r="L82" s="392"/>
    </row>
    <row r="83" spans="1:12">
      <c r="A83" s="1" t="s">
        <v>1115</v>
      </c>
      <c r="B83" s="17" t="s">
        <v>1116</v>
      </c>
      <c r="C83" s="387">
        <v>426.779</v>
      </c>
      <c r="D83" s="387">
        <v>82.28</v>
      </c>
      <c r="E83" s="387">
        <f t="shared" si="0"/>
        <v>35115.376120000001</v>
      </c>
      <c r="F83" s="15" t="str">
        <f t="shared" si="1"/>
        <v/>
      </c>
      <c r="G83" s="95">
        <v>1.166747690811862E-2</v>
      </c>
      <c r="H83" s="15" t="str">
        <f t="shared" si="2"/>
        <v/>
      </c>
      <c r="I83" s="95" t="s">
        <v>719</v>
      </c>
      <c r="J83" s="15" t="str">
        <f t="shared" si="3"/>
        <v/>
      </c>
      <c r="K83" s="16"/>
      <c r="L83" s="392"/>
    </row>
    <row r="84" spans="1:12">
      <c r="A84" s="1" t="s">
        <v>100</v>
      </c>
      <c r="B84" s="17" t="s">
        <v>374</v>
      </c>
      <c r="C84" s="387">
        <v>499.91</v>
      </c>
      <c r="D84" s="387">
        <v>80.430000000000007</v>
      </c>
      <c r="E84" s="387">
        <f t="shared" ref="E84:E147" si="4">IFERROR(C84*D84,"")</f>
        <v>40207.761300000006</v>
      </c>
      <c r="F84" s="15">
        <f t="shared" ref="F84:F147" si="5">IF(AND(ISNUMBER($I84)), IF(AND($I84&lt;=20%,$I84&gt;0%), $E84/SUMIFS($E$19:$E$523,$I$19:$I$523, "&gt;"&amp;0%,$I$19:$I$523, "&lt;="&amp;20%),""),"")</f>
        <v>1.3313674648739587E-3</v>
      </c>
      <c r="G84" s="95">
        <v>1.392515230635335E-2</v>
      </c>
      <c r="H84" s="15">
        <f t="shared" ref="H84:H147" si="6">IFERROR($G84*$F84,"")</f>
        <v>1.8539494724093421E-5</v>
      </c>
      <c r="I84" s="95">
        <v>8.5000000000000006E-2</v>
      </c>
      <c r="J84" s="15">
        <f t="shared" ref="J84:J147" si="7">IFERROR($I84*$F84,"")</f>
        <v>1.131662345142865E-4</v>
      </c>
      <c r="K84" s="16"/>
      <c r="L84" s="392"/>
    </row>
    <row r="85" spans="1:12">
      <c r="A85" s="1" t="s">
        <v>101</v>
      </c>
      <c r="B85" s="17" t="s">
        <v>375</v>
      </c>
      <c r="C85" s="387">
        <v>287.19</v>
      </c>
      <c r="D85" s="387">
        <v>245.82</v>
      </c>
      <c r="E85" s="387">
        <f t="shared" si="4"/>
        <v>70597.045799999993</v>
      </c>
      <c r="F85" s="15">
        <f t="shared" si="5"/>
        <v>2.3376235546428382E-3</v>
      </c>
      <c r="G85" s="95">
        <v>1.3505817264665203E-2</v>
      </c>
      <c r="H85" s="15">
        <f t="shared" si="6"/>
        <v>3.1571516562583283E-5</v>
      </c>
      <c r="I85" s="95">
        <v>7.4999999999999997E-2</v>
      </c>
      <c r="J85" s="15">
        <f t="shared" si="7"/>
        <v>1.7532176659821287E-4</v>
      </c>
      <c r="K85" s="16"/>
      <c r="L85" s="392"/>
    </row>
    <row r="86" spans="1:12">
      <c r="A86" s="1" t="s">
        <v>102</v>
      </c>
      <c r="B86" s="17" t="s">
        <v>376</v>
      </c>
      <c r="C86" s="387">
        <v>1325.373</v>
      </c>
      <c r="D86" s="387">
        <v>272.94</v>
      </c>
      <c r="E86" s="387">
        <f t="shared" si="4"/>
        <v>361747.30661999999</v>
      </c>
      <c r="F86" s="15">
        <f t="shared" si="5"/>
        <v>1.1978249446572694E-2</v>
      </c>
      <c r="G86" s="95" t="s">
        <v>719</v>
      </c>
      <c r="H86" s="15" t="str">
        <f t="shared" si="6"/>
        <v/>
      </c>
      <c r="I86" s="95">
        <v>0.06</v>
      </c>
      <c r="J86" s="15">
        <f t="shared" si="7"/>
        <v>7.1869496679436156E-4</v>
      </c>
      <c r="K86" s="16"/>
      <c r="L86" s="392"/>
    </row>
    <row r="87" spans="1:12">
      <c r="A87" s="1" t="s">
        <v>103</v>
      </c>
      <c r="B87" s="17" t="s">
        <v>377</v>
      </c>
      <c r="C87" s="387">
        <v>245.964</v>
      </c>
      <c r="D87" s="387">
        <v>105.71</v>
      </c>
      <c r="E87" s="387">
        <f t="shared" si="4"/>
        <v>26000.854439999999</v>
      </c>
      <c r="F87" s="15">
        <f t="shared" si="5"/>
        <v>8.6094551253565097E-4</v>
      </c>
      <c r="G87" s="95">
        <v>2.6487560306498913E-2</v>
      </c>
      <c r="H87" s="15">
        <f t="shared" si="6"/>
        <v>2.280434618389767E-5</v>
      </c>
      <c r="I87" s="95">
        <v>8.5000000000000006E-2</v>
      </c>
      <c r="J87" s="15">
        <f t="shared" si="7"/>
        <v>7.3180368565530337E-5</v>
      </c>
      <c r="K87" s="16"/>
      <c r="L87" s="392"/>
    </row>
    <row r="88" spans="1:12">
      <c r="A88" s="1" t="s">
        <v>108</v>
      </c>
      <c r="B88" s="17" t="s">
        <v>383</v>
      </c>
      <c r="C88" s="387">
        <v>1423.8530000000001</v>
      </c>
      <c r="D88" s="387">
        <v>43.39</v>
      </c>
      <c r="E88" s="387">
        <f t="shared" si="4"/>
        <v>61780.981670000001</v>
      </c>
      <c r="F88" s="15">
        <f t="shared" si="5"/>
        <v>2.0457042691260805E-3</v>
      </c>
      <c r="G88" s="95" t="s">
        <v>719</v>
      </c>
      <c r="H88" s="15" t="str">
        <f t="shared" si="6"/>
        <v/>
      </c>
      <c r="I88" s="95">
        <v>0.17499999999999999</v>
      </c>
      <c r="J88" s="15">
        <f t="shared" si="7"/>
        <v>3.5799824709706405E-4</v>
      </c>
      <c r="K88" s="16"/>
      <c r="L88" s="392"/>
    </row>
    <row r="89" spans="1:12">
      <c r="A89" s="1" t="s">
        <v>109</v>
      </c>
      <c r="B89" s="17" t="s">
        <v>384</v>
      </c>
      <c r="C89" s="387">
        <v>2222.114</v>
      </c>
      <c r="D89" s="387">
        <v>59.17</v>
      </c>
      <c r="E89" s="387">
        <f t="shared" si="4"/>
        <v>131482.48538</v>
      </c>
      <c r="F89" s="15">
        <f t="shared" si="5"/>
        <v>4.353674454282485E-3</v>
      </c>
      <c r="G89" s="95">
        <v>3.3124894372148043E-2</v>
      </c>
      <c r="H89" s="15">
        <f t="shared" si="6"/>
        <v>1.442150064288266E-4</v>
      </c>
      <c r="I89" s="95">
        <v>0.125</v>
      </c>
      <c r="J89" s="15">
        <f t="shared" si="7"/>
        <v>5.4420930678531062E-4</v>
      </c>
      <c r="K89" s="16"/>
      <c r="L89" s="392"/>
    </row>
    <row r="90" spans="1:12">
      <c r="A90" s="1" t="s">
        <v>794</v>
      </c>
      <c r="B90" s="17" t="s">
        <v>795</v>
      </c>
      <c r="C90" s="387">
        <v>137.87899999999999</v>
      </c>
      <c r="D90" s="387">
        <v>89.42</v>
      </c>
      <c r="E90" s="387">
        <f t="shared" si="4"/>
        <v>12329.140179999999</v>
      </c>
      <c r="F90" s="15">
        <f t="shared" si="5"/>
        <v>4.0824496502177206E-4</v>
      </c>
      <c r="G90" s="95">
        <v>1.1630507716394543E-2</v>
      </c>
      <c r="H90" s="15">
        <f t="shared" si="6"/>
        <v>4.7480962158649399E-6</v>
      </c>
      <c r="I90" s="95">
        <v>0.11</v>
      </c>
      <c r="J90" s="15">
        <f t="shared" si="7"/>
        <v>4.490694615239493E-5</v>
      </c>
      <c r="K90" s="16"/>
      <c r="L90" s="392"/>
    </row>
    <row r="91" spans="1:12">
      <c r="A91" s="1" t="s">
        <v>110</v>
      </c>
      <c r="B91" s="17" t="s">
        <v>385</v>
      </c>
      <c r="C91" s="387">
        <v>309.71600000000001</v>
      </c>
      <c r="D91" s="387">
        <v>67.010000000000005</v>
      </c>
      <c r="E91" s="387">
        <f t="shared" si="4"/>
        <v>20754.069160000003</v>
      </c>
      <c r="F91" s="15">
        <f t="shared" si="5"/>
        <v>6.8721290492161798E-4</v>
      </c>
      <c r="G91" s="95">
        <v>1.071481868377854E-2</v>
      </c>
      <c r="H91" s="15">
        <f t="shared" si="6"/>
        <v>7.3633616733878774E-6</v>
      </c>
      <c r="I91" s="95">
        <v>0.11</v>
      </c>
      <c r="J91" s="15">
        <f t="shared" si="7"/>
        <v>7.5593419541377977E-5</v>
      </c>
      <c r="K91" s="16"/>
      <c r="L91" s="392"/>
    </row>
    <row r="92" spans="1:12">
      <c r="A92" s="1" t="s">
        <v>111</v>
      </c>
      <c r="B92" s="17" t="s">
        <v>386</v>
      </c>
      <c r="C92" s="387">
        <v>399.66399999999999</v>
      </c>
      <c r="D92" s="387">
        <v>21.76</v>
      </c>
      <c r="E92" s="387">
        <f t="shared" si="4"/>
        <v>8696.6886400000003</v>
      </c>
      <c r="F92" s="15">
        <f t="shared" si="5"/>
        <v>2.8796650032427833E-4</v>
      </c>
      <c r="G92" s="95">
        <v>2.0220588235294115E-2</v>
      </c>
      <c r="H92" s="15">
        <f t="shared" si="6"/>
        <v>5.8228520286159215E-6</v>
      </c>
      <c r="I92" s="95">
        <v>0.14499999999999999</v>
      </c>
      <c r="J92" s="15">
        <f t="shared" si="7"/>
        <v>4.1755142547020353E-5</v>
      </c>
      <c r="K92" s="16"/>
      <c r="L92" s="392"/>
    </row>
    <row r="93" spans="1:12">
      <c r="A93" s="1" t="s">
        <v>112</v>
      </c>
      <c r="B93" s="17" t="s">
        <v>387</v>
      </c>
      <c r="C93" s="387">
        <v>301.51799999999997</v>
      </c>
      <c r="D93" s="387">
        <v>41.81</v>
      </c>
      <c r="E93" s="387">
        <f t="shared" si="4"/>
        <v>12606.467579999999</v>
      </c>
      <c r="F93" s="15">
        <f t="shared" si="5"/>
        <v>4.1742788557094687E-4</v>
      </c>
      <c r="G93" s="95">
        <v>3.5398230088495575E-2</v>
      </c>
      <c r="H93" s="15">
        <f t="shared" si="6"/>
        <v>1.4776208338794579E-5</v>
      </c>
      <c r="I93" s="95">
        <v>0.05</v>
      </c>
      <c r="J93" s="15">
        <f t="shared" si="7"/>
        <v>2.0871394278547345E-5</v>
      </c>
      <c r="K93" s="16"/>
      <c r="L93" s="392"/>
    </row>
    <row r="94" spans="1:12">
      <c r="A94" s="1" t="s">
        <v>669</v>
      </c>
      <c r="B94" s="17" t="s">
        <v>670</v>
      </c>
      <c r="C94" s="387">
        <v>90.977000000000004</v>
      </c>
      <c r="D94" s="387">
        <v>270.64</v>
      </c>
      <c r="E94" s="387">
        <f t="shared" si="4"/>
        <v>24622.01528</v>
      </c>
      <c r="F94" s="15">
        <f t="shared" si="5"/>
        <v>8.1528911343346723E-4</v>
      </c>
      <c r="G94" s="95">
        <v>7.9810818799881771E-3</v>
      </c>
      <c r="H94" s="15">
        <f t="shared" si="6"/>
        <v>6.5068891701754711E-6</v>
      </c>
      <c r="I94" s="95">
        <v>0.105</v>
      </c>
      <c r="J94" s="15">
        <f t="shared" si="7"/>
        <v>8.560535691051406E-5</v>
      </c>
      <c r="K94" s="16"/>
      <c r="L94" s="392"/>
    </row>
    <row r="95" spans="1:12">
      <c r="A95" s="1" t="s">
        <v>874</v>
      </c>
      <c r="B95" s="17" t="s">
        <v>875</v>
      </c>
      <c r="C95" s="387">
        <v>278.68599999999998</v>
      </c>
      <c r="D95" s="387">
        <v>132.11000000000001</v>
      </c>
      <c r="E95" s="387">
        <f t="shared" si="4"/>
        <v>36817.207459999998</v>
      </c>
      <c r="F95" s="15" t="str">
        <f t="shared" si="5"/>
        <v/>
      </c>
      <c r="G95" s="95" t="s">
        <v>719</v>
      </c>
      <c r="H95" s="15" t="str">
        <f t="shared" si="6"/>
        <v/>
      </c>
      <c r="I95" s="95" t="s">
        <v>719</v>
      </c>
      <c r="J95" s="15" t="str">
        <f t="shared" si="7"/>
        <v/>
      </c>
      <c r="K95" s="16"/>
      <c r="L95" s="392"/>
    </row>
    <row r="96" spans="1:12">
      <c r="A96" s="1" t="s">
        <v>116</v>
      </c>
      <c r="B96" s="17" t="s">
        <v>391</v>
      </c>
      <c r="C96" s="387">
        <v>981.048</v>
      </c>
      <c r="D96" s="387">
        <v>25.01</v>
      </c>
      <c r="E96" s="387">
        <f t="shared" si="4"/>
        <v>24536.010480000001</v>
      </c>
      <c r="F96" s="15" t="str">
        <f t="shared" si="5"/>
        <v/>
      </c>
      <c r="G96" s="95" t="s">
        <v>719</v>
      </c>
      <c r="H96" s="15" t="str">
        <f t="shared" si="6"/>
        <v/>
      </c>
      <c r="I96" s="95" t="s">
        <v>719</v>
      </c>
      <c r="J96" s="15" t="str">
        <f t="shared" si="7"/>
        <v/>
      </c>
      <c r="K96" s="16"/>
      <c r="L96" s="392"/>
    </row>
    <row r="97" spans="1:12">
      <c r="A97" s="1" t="s">
        <v>729</v>
      </c>
      <c r="B97" s="17" t="s">
        <v>730</v>
      </c>
      <c r="C97" s="387">
        <v>111.142</v>
      </c>
      <c r="D97" s="387">
        <v>167.19</v>
      </c>
      <c r="E97" s="387">
        <f t="shared" si="4"/>
        <v>18581.830979999999</v>
      </c>
      <c r="F97" s="15" t="str">
        <f t="shared" si="5"/>
        <v/>
      </c>
      <c r="G97" s="95" t="s">
        <v>719</v>
      </c>
      <c r="H97" s="15" t="str">
        <f t="shared" si="6"/>
        <v/>
      </c>
      <c r="I97" s="95">
        <v>0.27</v>
      </c>
      <c r="J97" s="15" t="str">
        <f t="shared" si="7"/>
        <v/>
      </c>
      <c r="K97" s="16"/>
      <c r="L97" s="392"/>
    </row>
    <row r="98" spans="1:12">
      <c r="A98" s="1" t="s">
        <v>1117</v>
      </c>
      <c r="B98" s="17" t="s">
        <v>1118</v>
      </c>
      <c r="C98" s="387">
        <v>1105.232</v>
      </c>
      <c r="D98" s="387">
        <v>12.39</v>
      </c>
      <c r="E98" s="387">
        <f t="shared" si="4"/>
        <v>13693.824480000001</v>
      </c>
      <c r="F98" s="15">
        <f t="shared" si="5"/>
        <v>4.5343266555769563E-4</v>
      </c>
      <c r="G98" s="95">
        <v>8.0710250201775621E-2</v>
      </c>
      <c r="H98" s="15">
        <f t="shared" si="6"/>
        <v>3.6596663886819664E-5</v>
      </c>
      <c r="I98" s="95">
        <v>2.5000000000000001E-2</v>
      </c>
      <c r="J98" s="15">
        <f t="shared" si="7"/>
        <v>1.1335816638942391E-5</v>
      </c>
      <c r="K98" s="16"/>
      <c r="L98" s="392"/>
    </row>
    <row r="99" spans="1:12">
      <c r="A99" s="1" t="s">
        <v>731</v>
      </c>
      <c r="B99" s="17" t="s">
        <v>732</v>
      </c>
      <c r="C99" s="387">
        <v>296.84699999999998</v>
      </c>
      <c r="D99" s="387">
        <v>52.98</v>
      </c>
      <c r="E99" s="387">
        <f t="shared" si="4"/>
        <v>15726.954059999998</v>
      </c>
      <c r="F99" s="15">
        <f t="shared" si="5"/>
        <v>5.2075406041199833E-4</v>
      </c>
      <c r="G99" s="95">
        <v>2.7368818422046061E-2</v>
      </c>
      <c r="H99" s="15">
        <f t="shared" si="6"/>
        <v>1.4252423321959187E-5</v>
      </c>
      <c r="I99" s="95">
        <v>0.06</v>
      </c>
      <c r="J99" s="15">
        <f t="shared" si="7"/>
        <v>3.1245243624719902E-5</v>
      </c>
      <c r="K99" s="16"/>
      <c r="L99" s="392"/>
    </row>
    <row r="100" spans="1:12">
      <c r="A100" s="1" t="s">
        <v>131</v>
      </c>
      <c r="B100" s="17" t="s">
        <v>407</v>
      </c>
      <c r="C100" s="387">
        <v>122.813</v>
      </c>
      <c r="D100" s="387">
        <v>165.61</v>
      </c>
      <c r="E100" s="387">
        <f t="shared" si="4"/>
        <v>20339.060930000003</v>
      </c>
      <c r="F100" s="15">
        <f t="shared" si="5"/>
        <v>6.7347106908663141E-4</v>
      </c>
      <c r="G100" s="95">
        <v>2.8017631785520195E-2</v>
      </c>
      <c r="H100" s="15">
        <f t="shared" si="6"/>
        <v>1.8869064431869872E-5</v>
      </c>
      <c r="I100" s="95">
        <v>0.05</v>
      </c>
      <c r="J100" s="15">
        <f t="shared" si="7"/>
        <v>3.3673553454331573E-5</v>
      </c>
      <c r="K100" s="16"/>
      <c r="L100" s="392"/>
    </row>
    <row r="101" spans="1:12">
      <c r="A101" s="1" t="s">
        <v>1119</v>
      </c>
      <c r="B101" s="17" t="s">
        <v>1120</v>
      </c>
      <c r="C101" s="387">
        <v>60.094000000000001</v>
      </c>
      <c r="D101" s="387">
        <v>495.75</v>
      </c>
      <c r="E101" s="387">
        <f t="shared" si="4"/>
        <v>29791.6005</v>
      </c>
      <c r="F101" s="15">
        <f t="shared" si="5"/>
        <v>9.8646545716094772E-4</v>
      </c>
      <c r="G101" s="95" t="s">
        <v>719</v>
      </c>
      <c r="H101" s="15" t="str">
        <f t="shared" si="6"/>
        <v/>
      </c>
      <c r="I101" s="95">
        <v>0.19500000000000001</v>
      </c>
      <c r="J101" s="15">
        <f t="shared" si="7"/>
        <v>1.9236076414638482E-4</v>
      </c>
      <c r="K101" s="16"/>
      <c r="L101" s="392"/>
    </row>
    <row r="102" spans="1:12">
      <c r="A102" s="1" t="s">
        <v>132</v>
      </c>
      <c r="B102" s="17" t="s">
        <v>409</v>
      </c>
      <c r="C102" s="387">
        <v>289.654</v>
      </c>
      <c r="D102" s="387">
        <v>59.73</v>
      </c>
      <c r="E102" s="387">
        <f t="shared" si="4"/>
        <v>17301.03342</v>
      </c>
      <c r="F102" s="15">
        <f t="shared" si="5"/>
        <v>5.7287529221590938E-4</v>
      </c>
      <c r="G102" s="95">
        <v>2.913108990457057E-2</v>
      </c>
      <c r="H102" s="15">
        <f t="shared" si="6"/>
        <v>1.6688481641648792E-5</v>
      </c>
      <c r="I102" s="95">
        <v>0.06</v>
      </c>
      <c r="J102" s="15">
        <f t="shared" si="7"/>
        <v>3.4372517532954563E-5</v>
      </c>
      <c r="K102" s="16"/>
      <c r="L102" s="392"/>
    </row>
    <row r="103" spans="1:12">
      <c r="A103" s="1" t="s">
        <v>810</v>
      </c>
      <c r="B103" s="17" t="s">
        <v>543</v>
      </c>
      <c r="C103" s="387">
        <v>425.4</v>
      </c>
      <c r="D103" s="387">
        <v>22.14</v>
      </c>
      <c r="E103" s="387">
        <f t="shared" si="4"/>
        <v>9418.3559999999998</v>
      </c>
      <c r="F103" s="15" t="str">
        <f t="shared" si="5"/>
        <v/>
      </c>
      <c r="G103" s="95">
        <v>4.1553748870822041E-2</v>
      </c>
      <c r="H103" s="15" t="str">
        <f t="shared" si="6"/>
        <v/>
      </c>
      <c r="I103" s="95" t="s">
        <v>719</v>
      </c>
      <c r="J103" s="15" t="str">
        <f t="shared" si="7"/>
        <v/>
      </c>
      <c r="K103" s="16"/>
      <c r="L103" s="392"/>
    </row>
    <row r="104" spans="1:12">
      <c r="A104" s="1" t="s">
        <v>135</v>
      </c>
      <c r="B104" s="17" t="s">
        <v>412</v>
      </c>
      <c r="C104" s="387">
        <v>843.51300000000003</v>
      </c>
      <c r="D104" s="387">
        <v>75.58</v>
      </c>
      <c r="E104" s="387">
        <f t="shared" si="4"/>
        <v>63752.71254</v>
      </c>
      <c r="F104" s="15">
        <f t="shared" si="5"/>
        <v>2.1109926175675447E-3</v>
      </c>
      <c r="G104" s="95">
        <v>2.381582429214078E-2</v>
      </c>
      <c r="H104" s="15">
        <f t="shared" si="6"/>
        <v>5.0275029261994983E-5</v>
      </c>
      <c r="I104" s="95">
        <v>4.4999999999999998E-2</v>
      </c>
      <c r="J104" s="15">
        <f t="shared" si="7"/>
        <v>9.4994667790539506E-5</v>
      </c>
      <c r="K104" s="16"/>
      <c r="L104" s="392"/>
    </row>
    <row r="105" spans="1:12">
      <c r="A105" s="1" t="s">
        <v>137</v>
      </c>
      <c r="B105" s="17" t="s">
        <v>414</v>
      </c>
      <c r="C105" s="387">
        <v>133.92400000000001</v>
      </c>
      <c r="D105" s="387">
        <v>80.5</v>
      </c>
      <c r="E105" s="387">
        <f t="shared" si="4"/>
        <v>10780.882000000001</v>
      </c>
      <c r="F105" s="15">
        <f t="shared" si="5"/>
        <v>3.5697872931426538E-4</v>
      </c>
      <c r="G105" s="95">
        <v>3.3788819875776394E-2</v>
      </c>
      <c r="H105" s="15">
        <f t="shared" si="6"/>
        <v>1.2061889984283251E-5</v>
      </c>
      <c r="I105" s="95">
        <v>2.5000000000000001E-2</v>
      </c>
      <c r="J105" s="15">
        <f t="shared" si="7"/>
        <v>8.9244682328566347E-6</v>
      </c>
      <c r="K105" s="16"/>
      <c r="L105" s="392"/>
    </row>
    <row r="106" spans="1:12">
      <c r="A106" s="1" t="s">
        <v>1006</v>
      </c>
      <c r="B106" s="17" t="s">
        <v>1007</v>
      </c>
      <c r="C106" s="387">
        <v>53.497</v>
      </c>
      <c r="D106" s="387">
        <v>158.4</v>
      </c>
      <c r="E106" s="387">
        <f t="shared" si="4"/>
        <v>8473.9248000000007</v>
      </c>
      <c r="F106" s="15">
        <f t="shared" si="5"/>
        <v>2.8059029932881558E-4</v>
      </c>
      <c r="G106" s="95" t="s">
        <v>719</v>
      </c>
      <c r="H106" s="15" t="str">
        <f t="shared" si="6"/>
        <v/>
      </c>
      <c r="I106" s="95">
        <v>0.17</v>
      </c>
      <c r="J106" s="15">
        <f t="shared" si="7"/>
        <v>4.7700350885898652E-5</v>
      </c>
      <c r="K106" s="16"/>
      <c r="L106" s="392"/>
    </row>
    <row r="107" spans="1:12">
      <c r="A107" s="1" t="s">
        <v>798</v>
      </c>
      <c r="B107" s="17" t="s">
        <v>415</v>
      </c>
      <c r="C107" s="387">
        <v>480.334</v>
      </c>
      <c r="D107" s="387">
        <v>33.869999999999997</v>
      </c>
      <c r="E107" s="387">
        <f t="shared" si="4"/>
        <v>16268.912579999998</v>
      </c>
      <c r="F107" s="15">
        <f t="shared" si="5"/>
        <v>5.3869949973789388E-4</v>
      </c>
      <c r="G107" s="95">
        <v>3.6905816356657815E-2</v>
      </c>
      <c r="H107" s="15">
        <f t="shared" si="6"/>
        <v>1.9881144808750147E-5</v>
      </c>
      <c r="I107" s="95">
        <v>0.05</v>
      </c>
      <c r="J107" s="15">
        <f t="shared" si="7"/>
        <v>2.6934974986894696E-5</v>
      </c>
      <c r="K107" s="16"/>
      <c r="L107" s="392"/>
    </row>
    <row r="108" spans="1:12">
      <c r="A108" s="1" t="s">
        <v>139</v>
      </c>
      <c r="B108" s="17" t="s">
        <v>417</v>
      </c>
      <c r="C108" s="387">
        <v>353.38200000000001</v>
      </c>
      <c r="D108" s="387">
        <v>72.59</v>
      </c>
      <c r="E108" s="387">
        <f t="shared" si="4"/>
        <v>25651.999380000001</v>
      </c>
      <c r="F108" s="15">
        <f t="shared" si="5"/>
        <v>8.4939415374759902E-4</v>
      </c>
      <c r="G108" s="95">
        <v>4.2705606832897092E-2</v>
      </c>
      <c r="H108" s="15">
        <f t="shared" si="6"/>
        <v>3.6273892776106308E-5</v>
      </c>
      <c r="I108" s="95">
        <v>0.04</v>
      </c>
      <c r="J108" s="15">
        <f t="shared" si="7"/>
        <v>3.3975766149903962E-5</v>
      </c>
      <c r="K108" s="16"/>
      <c r="L108" s="392"/>
    </row>
    <row r="109" spans="1:12">
      <c r="A109" s="1" t="s">
        <v>141</v>
      </c>
      <c r="B109" s="17" t="s">
        <v>419</v>
      </c>
      <c r="C109" s="387">
        <v>854.03200000000004</v>
      </c>
      <c r="D109" s="387">
        <v>36.49</v>
      </c>
      <c r="E109" s="387">
        <f t="shared" si="4"/>
        <v>31163.627680000001</v>
      </c>
      <c r="F109" s="15">
        <f t="shared" si="5"/>
        <v>1.031896296613697E-3</v>
      </c>
      <c r="G109" s="95">
        <v>2.6308577692518497E-2</v>
      </c>
      <c r="H109" s="15">
        <f t="shared" si="6"/>
        <v>2.7147723890083557E-5</v>
      </c>
      <c r="I109" s="95">
        <v>0.2</v>
      </c>
      <c r="J109" s="15">
        <f t="shared" si="7"/>
        <v>2.0637925932273941E-4</v>
      </c>
      <c r="K109" s="16"/>
      <c r="L109" s="392"/>
    </row>
    <row r="110" spans="1:12">
      <c r="A110" s="1" t="s">
        <v>145</v>
      </c>
      <c r="B110" s="17" t="s">
        <v>423</v>
      </c>
      <c r="C110" s="387">
        <v>143.607</v>
      </c>
      <c r="D110" s="387">
        <v>224.56</v>
      </c>
      <c r="E110" s="387">
        <f t="shared" si="4"/>
        <v>32248.387920000001</v>
      </c>
      <c r="F110" s="15">
        <f t="shared" si="5"/>
        <v>1.0678150954731816E-3</v>
      </c>
      <c r="G110" s="95">
        <v>2.5828286426790168E-2</v>
      </c>
      <c r="H110" s="15">
        <f t="shared" si="6"/>
        <v>2.7579834136731625E-5</v>
      </c>
      <c r="I110" s="95">
        <v>7.0000000000000007E-2</v>
      </c>
      <c r="J110" s="15">
        <f t="shared" si="7"/>
        <v>7.4747056683122722E-5</v>
      </c>
      <c r="K110" s="16"/>
      <c r="L110" s="392"/>
    </row>
    <row r="111" spans="1:12">
      <c r="A111" s="1" t="s">
        <v>1121</v>
      </c>
      <c r="B111" s="17" t="s">
        <v>1122</v>
      </c>
      <c r="C111" s="387">
        <v>213.43</v>
      </c>
      <c r="D111" s="387">
        <v>112.28</v>
      </c>
      <c r="E111" s="387">
        <f t="shared" si="4"/>
        <v>23963.920400000003</v>
      </c>
      <c r="F111" s="15" t="str">
        <f t="shared" si="5"/>
        <v/>
      </c>
      <c r="G111" s="95" t="s">
        <v>719</v>
      </c>
      <c r="H111" s="15" t="str">
        <f t="shared" si="6"/>
        <v/>
      </c>
      <c r="I111" s="95" t="s">
        <v>719</v>
      </c>
      <c r="J111" s="15" t="str">
        <f t="shared" si="7"/>
        <v/>
      </c>
      <c r="K111" s="16"/>
      <c r="L111" s="392"/>
    </row>
    <row r="112" spans="1:12">
      <c r="A112" s="1" t="s">
        <v>146</v>
      </c>
      <c r="B112" s="17" t="s">
        <v>425</v>
      </c>
      <c r="C112" s="387">
        <v>713.9</v>
      </c>
      <c r="D112" s="387">
        <v>304.44</v>
      </c>
      <c r="E112" s="387">
        <f t="shared" si="4"/>
        <v>217339.71599999999</v>
      </c>
      <c r="F112" s="15">
        <f t="shared" si="5"/>
        <v>7.1965963125469046E-3</v>
      </c>
      <c r="G112" s="95">
        <v>2.7591643673630273E-3</v>
      </c>
      <c r="H112" s="15">
        <f t="shared" si="6"/>
        <v>1.9856592111875573E-5</v>
      </c>
      <c r="I112" s="95">
        <v>0.18</v>
      </c>
      <c r="J112" s="15">
        <f t="shared" si="7"/>
        <v>1.2953873362584428E-3</v>
      </c>
      <c r="K112" s="16"/>
      <c r="L112" s="392"/>
    </row>
    <row r="113" spans="1:12">
      <c r="A113" s="1" t="s">
        <v>305</v>
      </c>
      <c r="B113" s="17" t="s">
        <v>607</v>
      </c>
      <c r="C113" s="387">
        <v>488.03899999999999</v>
      </c>
      <c r="D113" s="387">
        <v>228.77</v>
      </c>
      <c r="E113" s="387">
        <f t="shared" si="4"/>
        <v>111648.68203</v>
      </c>
      <c r="F113" s="15">
        <f t="shared" si="5"/>
        <v>3.6969335756278426E-3</v>
      </c>
      <c r="G113" s="95">
        <v>1.5736329064125542E-2</v>
      </c>
      <c r="H113" s="15">
        <f t="shared" si="6"/>
        <v>5.8176163274293981E-5</v>
      </c>
      <c r="I113" s="95">
        <v>0.13</v>
      </c>
      <c r="J113" s="15">
        <f t="shared" si="7"/>
        <v>4.8060136483161955E-4</v>
      </c>
      <c r="K113" s="16"/>
      <c r="L113" s="392"/>
    </row>
    <row r="114" spans="1:12">
      <c r="A114" s="1" t="s">
        <v>148</v>
      </c>
      <c r="B114" s="17" t="s">
        <v>428</v>
      </c>
      <c r="C114" s="387">
        <v>310.06099999999998</v>
      </c>
      <c r="D114" s="387">
        <v>335.07</v>
      </c>
      <c r="E114" s="387">
        <f t="shared" si="4"/>
        <v>103892.13926999999</v>
      </c>
      <c r="F114" s="15">
        <f t="shared" si="5"/>
        <v>3.4400973744397982E-3</v>
      </c>
      <c r="G114" s="95">
        <v>1.2534694242994002E-2</v>
      </c>
      <c r="H114" s="15">
        <f t="shared" si="6"/>
        <v>4.3120568754729322E-5</v>
      </c>
      <c r="I114" s="95">
        <v>0.17</v>
      </c>
      <c r="J114" s="15">
        <f t="shared" si="7"/>
        <v>5.8481655365476574E-4</v>
      </c>
      <c r="K114" s="16"/>
      <c r="L114" s="392"/>
    </row>
    <row r="115" spans="1:12">
      <c r="A115" s="1" t="s">
        <v>873</v>
      </c>
      <c r="B115" s="17" t="s">
        <v>434</v>
      </c>
      <c r="C115" s="387">
        <v>808.48699999999997</v>
      </c>
      <c r="D115" s="387">
        <v>73.02</v>
      </c>
      <c r="E115" s="387">
        <f t="shared" si="4"/>
        <v>59035.720739999997</v>
      </c>
      <c r="F115" s="15">
        <f t="shared" si="5"/>
        <v>1.954802638032493E-3</v>
      </c>
      <c r="G115" s="95">
        <v>3.4511092851273628E-2</v>
      </c>
      <c r="H115" s="15">
        <f t="shared" si="6"/>
        <v>6.7462375347054001E-5</v>
      </c>
      <c r="I115" s="95">
        <v>0.12</v>
      </c>
      <c r="J115" s="15">
        <f t="shared" si="7"/>
        <v>2.3457631656389916E-4</v>
      </c>
      <c r="K115" s="16"/>
      <c r="L115" s="392"/>
    </row>
    <row r="116" spans="1:12">
      <c r="A116" s="1" t="s">
        <v>152</v>
      </c>
      <c r="B116" s="17" t="s">
        <v>435</v>
      </c>
      <c r="C116" s="387">
        <v>143.96100000000001</v>
      </c>
      <c r="D116" s="387">
        <v>155.5</v>
      </c>
      <c r="E116" s="387">
        <f t="shared" si="4"/>
        <v>22385.935500000003</v>
      </c>
      <c r="F116" s="15">
        <f t="shared" si="5"/>
        <v>7.4124759080946288E-4</v>
      </c>
      <c r="G116" s="95">
        <v>1.2861736334405145E-2</v>
      </c>
      <c r="H116" s="15">
        <f t="shared" si="6"/>
        <v>9.5337310715043459E-6</v>
      </c>
      <c r="I116" s="95">
        <v>7.0000000000000007E-2</v>
      </c>
      <c r="J116" s="15">
        <f t="shared" si="7"/>
        <v>5.1887331356662405E-5</v>
      </c>
      <c r="K116" s="16"/>
      <c r="L116" s="392"/>
    </row>
    <row r="117" spans="1:12">
      <c r="A117" s="1" t="s">
        <v>840</v>
      </c>
      <c r="B117" s="17" t="s">
        <v>792</v>
      </c>
      <c r="C117" s="387">
        <v>250.25800000000001</v>
      </c>
      <c r="D117" s="387">
        <v>55.98</v>
      </c>
      <c r="E117" s="387">
        <f t="shared" si="4"/>
        <v>14009.44284</v>
      </c>
      <c r="F117" s="15">
        <f t="shared" si="5"/>
        <v>4.6388348406225318E-4</v>
      </c>
      <c r="G117" s="95">
        <v>2.8760271525544837E-2</v>
      </c>
      <c r="H117" s="15">
        <f t="shared" si="6"/>
        <v>1.3341414957846152E-5</v>
      </c>
      <c r="I117" s="95">
        <v>5.5E-2</v>
      </c>
      <c r="J117" s="15">
        <f t="shared" si="7"/>
        <v>2.5513591623423925E-5</v>
      </c>
      <c r="K117" s="16"/>
      <c r="L117" s="392"/>
    </row>
    <row r="118" spans="1:12">
      <c r="A118" s="1" t="s">
        <v>155</v>
      </c>
      <c r="B118" s="17" t="s">
        <v>438</v>
      </c>
      <c r="C118" s="387">
        <v>769</v>
      </c>
      <c r="D118" s="387">
        <v>97.59</v>
      </c>
      <c r="E118" s="387">
        <f t="shared" si="4"/>
        <v>75046.710000000006</v>
      </c>
      <c r="F118" s="15">
        <f t="shared" si="5"/>
        <v>2.484961729014024E-3</v>
      </c>
      <c r="G118" s="95">
        <v>4.037298903576185E-2</v>
      </c>
      <c r="H118" s="15">
        <f t="shared" si="6"/>
        <v>1.0032533263977101E-4</v>
      </c>
      <c r="I118" s="95">
        <v>7.0000000000000007E-2</v>
      </c>
      <c r="J118" s="15">
        <f t="shared" si="7"/>
        <v>1.739473210309817E-4</v>
      </c>
      <c r="K118" s="16"/>
      <c r="L118" s="392"/>
    </row>
    <row r="119" spans="1:12">
      <c r="A119" s="1" t="s">
        <v>843</v>
      </c>
      <c r="B119" s="17" t="s">
        <v>844</v>
      </c>
      <c r="C119" s="387">
        <v>169.874</v>
      </c>
      <c r="D119" s="387">
        <v>67.33</v>
      </c>
      <c r="E119" s="387">
        <f t="shared" si="4"/>
        <v>11437.61642</v>
      </c>
      <c r="F119" s="15">
        <f t="shared" si="5"/>
        <v>3.7872465128507821E-4</v>
      </c>
      <c r="G119" s="95">
        <v>3.5348284568542998E-2</v>
      </c>
      <c r="H119" s="15">
        <f t="shared" si="6"/>
        <v>1.3387266746747158E-5</v>
      </c>
      <c r="I119" s="95">
        <v>0.16</v>
      </c>
      <c r="J119" s="15">
        <f t="shared" si="7"/>
        <v>6.0595944205612512E-5</v>
      </c>
      <c r="K119" s="16"/>
      <c r="L119" s="392"/>
    </row>
    <row r="120" spans="1:12">
      <c r="A120" s="1" t="s">
        <v>671</v>
      </c>
      <c r="B120" s="17" t="s">
        <v>440</v>
      </c>
      <c r="C120" s="387">
        <v>398.6</v>
      </c>
      <c r="D120" s="387">
        <v>149.31</v>
      </c>
      <c r="E120" s="387">
        <f t="shared" si="4"/>
        <v>59514.966000000008</v>
      </c>
      <c r="F120" s="15">
        <f t="shared" si="5"/>
        <v>1.9706715033020218E-3</v>
      </c>
      <c r="G120" s="95">
        <v>2.0360324157792511E-2</v>
      </c>
      <c r="H120" s="15">
        <f t="shared" si="6"/>
        <v>4.0123510615753437E-5</v>
      </c>
      <c r="I120" s="95">
        <v>0.09</v>
      </c>
      <c r="J120" s="15">
        <f t="shared" si="7"/>
        <v>1.7736043529718195E-4</v>
      </c>
      <c r="K120" s="16"/>
      <c r="L120" s="392"/>
    </row>
    <row r="121" spans="1:12">
      <c r="A121" s="1" t="s">
        <v>158</v>
      </c>
      <c r="B121" s="17" t="s">
        <v>442</v>
      </c>
      <c r="C121" s="387">
        <v>286.08699999999999</v>
      </c>
      <c r="D121" s="387">
        <v>208.62</v>
      </c>
      <c r="E121" s="387">
        <f t="shared" si="4"/>
        <v>59683.469939999995</v>
      </c>
      <c r="F121" s="15">
        <f t="shared" si="5"/>
        <v>1.9762510395946592E-3</v>
      </c>
      <c r="G121" s="95">
        <v>9.203336209375898E-3</v>
      </c>
      <c r="H121" s="15">
        <f t="shared" si="6"/>
        <v>1.8188102751518288E-5</v>
      </c>
      <c r="I121" s="95">
        <v>0.06</v>
      </c>
      <c r="J121" s="15">
        <f t="shared" si="7"/>
        <v>1.1857506237567954E-4</v>
      </c>
      <c r="K121" s="16"/>
      <c r="L121" s="392"/>
    </row>
    <row r="122" spans="1:12">
      <c r="A122" s="1" t="s">
        <v>267</v>
      </c>
      <c r="B122" s="17" t="s">
        <v>566</v>
      </c>
      <c r="C122" s="387">
        <v>112.114</v>
      </c>
      <c r="D122" s="387">
        <v>173.29</v>
      </c>
      <c r="E122" s="387">
        <f t="shared" si="4"/>
        <v>19428.235059999999</v>
      </c>
      <c r="F122" s="15">
        <f t="shared" si="5"/>
        <v>6.4331162000823858E-4</v>
      </c>
      <c r="G122" s="95">
        <v>1.6157885625252468E-3</v>
      </c>
      <c r="H122" s="15">
        <f t="shared" si="6"/>
        <v>1.0394555577488995E-6</v>
      </c>
      <c r="I122" s="95">
        <v>0.11</v>
      </c>
      <c r="J122" s="15">
        <f t="shared" si="7"/>
        <v>7.0764278200906243E-5</v>
      </c>
      <c r="K122" s="16"/>
      <c r="L122" s="392"/>
    </row>
    <row r="123" spans="1:12">
      <c r="A123" s="1" t="s">
        <v>163</v>
      </c>
      <c r="B123" s="17" t="s">
        <v>447</v>
      </c>
      <c r="C123" s="387">
        <v>597.79999999999995</v>
      </c>
      <c r="D123" s="387">
        <v>94.2</v>
      </c>
      <c r="E123" s="387">
        <f t="shared" si="4"/>
        <v>56312.759999999995</v>
      </c>
      <c r="F123" s="15">
        <f t="shared" si="5"/>
        <v>1.8646394153075032E-3</v>
      </c>
      <c r="G123" s="95">
        <v>2.1443736730360933E-2</v>
      </c>
      <c r="H123" s="15">
        <f t="shared" si="6"/>
        <v>3.9984836718908239E-5</v>
      </c>
      <c r="I123" s="95">
        <v>0.105</v>
      </c>
      <c r="J123" s="15">
        <f t="shared" si="7"/>
        <v>1.9578713860728784E-4</v>
      </c>
      <c r="K123" s="16"/>
      <c r="L123" s="392"/>
    </row>
    <row r="124" spans="1:12">
      <c r="A124" s="1" t="s">
        <v>165</v>
      </c>
      <c r="B124" s="17" t="s">
        <v>449</v>
      </c>
      <c r="C124" s="387">
        <v>583.86</v>
      </c>
      <c r="D124" s="387">
        <v>80.27</v>
      </c>
      <c r="E124" s="387">
        <f t="shared" si="4"/>
        <v>46866.442199999998</v>
      </c>
      <c r="F124" s="15">
        <f t="shared" si="5"/>
        <v>1.5518510437306022E-3</v>
      </c>
      <c r="G124" s="95">
        <v>2.0555624766413354E-2</v>
      </c>
      <c r="H124" s="15">
        <f t="shared" si="6"/>
        <v>3.1899267748293183E-5</v>
      </c>
      <c r="I124" s="95">
        <v>0.125</v>
      </c>
      <c r="J124" s="15">
        <f t="shared" si="7"/>
        <v>1.9398138046632527E-4</v>
      </c>
      <c r="K124" s="16"/>
      <c r="L124" s="392"/>
    </row>
    <row r="125" spans="1:12">
      <c r="A125" s="1" t="s">
        <v>86</v>
      </c>
      <c r="B125" s="17" t="s">
        <v>359</v>
      </c>
      <c r="C125" s="387">
        <v>225.74700000000001</v>
      </c>
      <c r="D125" s="387">
        <v>285.77</v>
      </c>
      <c r="E125" s="387">
        <f t="shared" si="4"/>
        <v>64511.72019</v>
      </c>
      <c r="F125" s="15">
        <f t="shared" si="5"/>
        <v>2.1361250312640131E-3</v>
      </c>
      <c r="G125" s="95">
        <v>7.1386079714455689E-3</v>
      </c>
      <c r="H125" s="15">
        <f t="shared" si="6"/>
        <v>1.5248959176185699E-5</v>
      </c>
      <c r="I125" s="95">
        <v>7.0000000000000007E-2</v>
      </c>
      <c r="J125" s="15">
        <f t="shared" si="7"/>
        <v>1.4952875218848092E-4</v>
      </c>
      <c r="K125" s="16"/>
      <c r="L125" s="392"/>
    </row>
    <row r="126" spans="1:12">
      <c r="A126" s="1" t="s">
        <v>164</v>
      </c>
      <c r="B126" s="17" t="s">
        <v>448</v>
      </c>
      <c r="C126" s="387">
        <v>200.95500000000001</v>
      </c>
      <c r="D126" s="387">
        <v>99.31</v>
      </c>
      <c r="E126" s="387">
        <f t="shared" si="4"/>
        <v>19956.841050000003</v>
      </c>
      <c r="F126" s="15">
        <f t="shared" si="5"/>
        <v>6.6081492767992172E-4</v>
      </c>
      <c r="G126" s="95">
        <v>3.8264021750075518E-2</v>
      </c>
      <c r="H126" s="15">
        <f t="shared" si="6"/>
        <v>2.5285436765519106E-5</v>
      </c>
      <c r="I126" s="95">
        <v>0.03</v>
      </c>
      <c r="J126" s="15">
        <f t="shared" si="7"/>
        <v>1.9824447830397652E-5</v>
      </c>
      <c r="K126" s="16"/>
      <c r="L126" s="392"/>
    </row>
    <row r="127" spans="1:12">
      <c r="A127" s="1" t="s">
        <v>166</v>
      </c>
      <c r="B127" s="17" t="s">
        <v>450</v>
      </c>
      <c r="C127" s="387">
        <v>121.837</v>
      </c>
      <c r="D127" s="387">
        <v>253.42</v>
      </c>
      <c r="E127" s="387">
        <f t="shared" si="4"/>
        <v>30875.932539999998</v>
      </c>
      <c r="F127" s="15">
        <f t="shared" si="5"/>
        <v>1.0223700773760603E-3</v>
      </c>
      <c r="G127" s="95">
        <v>6.1557888090916267E-3</v>
      </c>
      <c r="H127" s="15">
        <f t="shared" si="6"/>
        <v>6.2934942810616927E-6</v>
      </c>
      <c r="I127" s="95">
        <v>0.105</v>
      </c>
      <c r="J127" s="15">
        <f t="shared" si="7"/>
        <v>1.0734885812448632E-4</v>
      </c>
      <c r="K127" s="16"/>
      <c r="L127" s="392"/>
    </row>
    <row r="128" spans="1:12">
      <c r="A128" s="1" t="s">
        <v>877</v>
      </c>
      <c r="B128" s="17" t="s">
        <v>878</v>
      </c>
      <c r="C128" s="387">
        <v>191.61199999999999</v>
      </c>
      <c r="D128" s="387">
        <v>239.54</v>
      </c>
      <c r="E128" s="387">
        <f t="shared" si="4"/>
        <v>45898.73848</v>
      </c>
      <c r="F128" s="15">
        <f t="shared" si="5"/>
        <v>1.519808243863366E-3</v>
      </c>
      <c r="G128" s="95" t="s">
        <v>719</v>
      </c>
      <c r="H128" s="15" t="str">
        <f t="shared" si="6"/>
        <v/>
      </c>
      <c r="I128" s="95">
        <v>0.14000000000000001</v>
      </c>
      <c r="J128" s="15">
        <f t="shared" si="7"/>
        <v>2.1277315414087127E-4</v>
      </c>
      <c r="K128" s="16"/>
      <c r="L128" s="392"/>
    </row>
    <row r="129" spans="1:12">
      <c r="A129" s="1" t="s">
        <v>800</v>
      </c>
      <c r="B129" s="17" t="s">
        <v>801</v>
      </c>
      <c r="C129" s="387">
        <v>83.649000000000001</v>
      </c>
      <c r="D129" s="387">
        <v>303.88</v>
      </c>
      <c r="E129" s="387">
        <f t="shared" si="4"/>
        <v>25419.258119999999</v>
      </c>
      <c r="F129" s="15">
        <f t="shared" si="5"/>
        <v>8.416875784178809E-4</v>
      </c>
      <c r="G129" s="95" t="s">
        <v>719</v>
      </c>
      <c r="H129" s="15" t="str">
        <f t="shared" si="6"/>
        <v/>
      </c>
      <c r="I129" s="95">
        <v>0.185</v>
      </c>
      <c r="J129" s="15">
        <f t="shared" si="7"/>
        <v>1.5571220200730795E-4</v>
      </c>
      <c r="K129" s="16"/>
      <c r="L129" s="392"/>
    </row>
    <row r="130" spans="1:12">
      <c r="A130" s="1" t="s">
        <v>174</v>
      </c>
      <c r="B130" s="17" t="s">
        <v>459</v>
      </c>
      <c r="C130" s="387">
        <v>265.64999999999998</v>
      </c>
      <c r="D130" s="387">
        <v>219.29</v>
      </c>
      <c r="E130" s="387">
        <f t="shared" si="4"/>
        <v>58254.388499999994</v>
      </c>
      <c r="F130" s="15">
        <f t="shared" si="5"/>
        <v>1.928931008029728E-3</v>
      </c>
      <c r="G130" s="95">
        <v>1.3680514387340964E-2</v>
      </c>
      <c r="H130" s="15">
        <f t="shared" si="6"/>
        <v>2.6388768407538803E-5</v>
      </c>
      <c r="I130" s="95">
        <v>0.12</v>
      </c>
      <c r="J130" s="15">
        <f t="shared" si="7"/>
        <v>2.3147172096356735E-4</v>
      </c>
      <c r="K130" s="16"/>
      <c r="L130" s="392"/>
    </row>
    <row r="131" spans="1:12">
      <c r="A131" s="1" t="s">
        <v>179</v>
      </c>
      <c r="B131" s="17" t="s">
        <v>463</v>
      </c>
      <c r="C131" s="387">
        <v>128.69900000000001</v>
      </c>
      <c r="D131" s="387">
        <v>91.56</v>
      </c>
      <c r="E131" s="387">
        <f t="shared" si="4"/>
        <v>11783.680440000002</v>
      </c>
      <c r="F131" s="15">
        <f t="shared" si="5"/>
        <v>3.9018359259627956E-4</v>
      </c>
      <c r="G131" s="95">
        <v>2.0969855832241154E-2</v>
      </c>
      <c r="H131" s="15">
        <f t="shared" si="6"/>
        <v>8.1820936848498988E-6</v>
      </c>
      <c r="I131" s="95">
        <v>9.5000000000000001E-2</v>
      </c>
      <c r="J131" s="15">
        <f t="shared" si="7"/>
        <v>3.706744129664656E-5</v>
      </c>
      <c r="K131" s="16"/>
      <c r="L131" s="392"/>
    </row>
    <row r="132" spans="1:12">
      <c r="A132" s="1" t="s">
        <v>1323</v>
      </c>
      <c r="B132" s="17" t="s">
        <v>1324</v>
      </c>
      <c r="C132" s="387">
        <v>281.60700000000003</v>
      </c>
      <c r="D132" s="387">
        <v>55.45</v>
      </c>
      <c r="E132" s="387">
        <f t="shared" si="4"/>
        <v>15615.108150000002</v>
      </c>
      <c r="F132" s="15">
        <f t="shared" si="5"/>
        <v>5.1705059618422961E-4</v>
      </c>
      <c r="G132" s="95">
        <v>6.6726780883678985E-3</v>
      </c>
      <c r="H132" s="15">
        <f t="shared" si="6"/>
        <v>3.4501121837360674E-6</v>
      </c>
      <c r="I132" s="95">
        <v>9.5000000000000001E-2</v>
      </c>
      <c r="J132" s="15">
        <f t="shared" si="7"/>
        <v>4.9119806637501811E-5</v>
      </c>
      <c r="K132" s="16"/>
      <c r="L132" s="392"/>
    </row>
    <row r="133" spans="1:12">
      <c r="A133" s="1" t="s">
        <v>180</v>
      </c>
      <c r="B133" s="17" t="s">
        <v>37</v>
      </c>
      <c r="C133" s="387">
        <v>3923.9119999999998</v>
      </c>
      <c r="D133" s="387">
        <v>14.16</v>
      </c>
      <c r="E133" s="387">
        <f t="shared" si="4"/>
        <v>55562.593919999999</v>
      </c>
      <c r="F133" s="15" t="str">
        <f t="shared" si="5"/>
        <v/>
      </c>
      <c r="G133" s="95" t="s">
        <v>719</v>
      </c>
      <c r="H133" s="15" t="str">
        <f t="shared" si="6"/>
        <v/>
      </c>
      <c r="I133" s="95">
        <v>0.47499999999999998</v>
      </c>
      <c r="J133" s="15" t="str">
        <f t="shared" si="7"/>
        <v/>
      </c>
      <c r="K133" s="16"/>
      <c r="L133" s="392"/>
    </row>
    <row r="134" spans="1:12">
      <c r="A134" s="1" t="s">
        <v>249</v>
      </c>
      <c r="B134" s="17" t="s">
        <v>546</v>
      </c>
      <c r="C134" s="387">
        <v>1961.7570000000001</v>
      </c>
      <c r="D134" s="387">
        <v>78.52</v>
      </c>
      <c r="E134" s="387">
        <f t="shared" si="4"/>
        <v>154037.15964</v>
      </c>
      <c r="F134" s="15">
        <f t="shared" si="5"/>
        <v>5.1005093567915716E-3</v>
      </c>
      <c r="G134" s="95">
        <v>1.9612837493632199E-2</v>
      </c>
      <c r="H134" s="15">
        <f t="shared" si="6"/>
        <v>1.0003546114950358E-4</v>
      </c>
      <c r="I134" s="95">
        <v>0.105</v>
      </c>
      <c r="J134" s="15">
        <f t="shared" si="7"/>
        <v>5.3555348246311495E-4</v>
      </c>
      <c r="K134" s="16"/>
      <c r="L134" s="392"/>
    </row>
    <row r="135" spans="1:12">
      <c r="A135" s="1" t="s">
        <v>181</v>
      </c>
      <c r="B135" s="17" t="s">
        <v>464</v>
      </c>
      <c r="C135" s="387">
        <v>502.85399999999998</v>
      </c>
      <c r="D135" s="387">
        <v>29.72</v>
      </c>
      <c r="E135" s="387">
        <f t="shared" si="4"/>
        <v>14944.820879999999</v>
      </c>
      <c r="F135" s="15">
        <f t="shared" si="5"/>
        <v>4.9485590952314483E-4</v>
      </c>
      <c r="G135" s="95">
        <v>3.7685060565275916E-2</v>
      </c>
      <c r="H135" s="15">
        <f t="shared" si="6"/>
        <v>1.8648674921464411E-5</v>
      </c>
      <c r="I135" s="95">
        <v>0.115</v>
      </c>
      <c r="J135" s="15">
        <f t="shared" si="7"/>
        <v>5.6908429595161661E-5</v>
      </c>
      <c r="K135" s="16"/>
      <c r="L135" s="392"/>
    </row>
    <row r="136" spans="1:12">
      <c r="A136" s="1" t="s">
        <v>672</v>
      </c>
      <c r="B136" s="17" t="s">
        <v>465</v>
      </c>
      <c r="C136" s="387">
        <v>1468.0640000000001</v>
      </c>
      <c r="D136" s="387">
        <v>32.53</v>
      </c>
      <c r="E136" s="387">
        <f t="shared" si="4"/>
        <v>47756.121920000005</v>
      </c>
      <c r="F136" s="15" t="str">
        <f t="shared" si="5"/>
        <v/>
      </c>
      <c r="G136" s="95">
        <v>9.2222563787273271E-3</v>
      </c>
      <c r="H136" s="15" t="str">
        <f t="shared" si="6"/>
        <v/>
      </c>
      <c r="I136" s="95">
        <v>0.375</v>
      </c>
      <c r="J136" s="15" t="str">
        <f t="shared" si="7"/>
        <v/>
      </c>
      <c r="K136" s="16"/>
      <c r="L136" s="392"/>
    </row>
    <row r="137" spans="1:12">
      <c r="A137" s="1" t="s">
        <v>182</v>
      </c>
      <c r="B137" s="17" t="s">
        <v>466</v>
      </c>
      <c r="C137" s="387">
        <v>376.10500000000002</v>
      </c>
      <c r="D137" s="387">
        <v>22.7</v>
      </c>
      <c r="E137" s="387">
        <f t="shared" si="4"/>
        <v>8537.5835000000006</v>
      </c>
      <c r="F137" s="15" t="str">
        <f t="shared" si="5"/>
        <v/>
      </c>
      <c r="G137" s="95">
        <v>2.1145374449339206E-2</v>
      </c>
      <c r="H137" s="15" t="str">
        <f t="shared" si="6"/>
        <v/>
      </c>
      <c r="I137" s="95">
        <v>0.25</v>
      </c>
      <c r="J137" s="15" t="str">
        <f t="shared" si="7"/>
        <v/>
      </c>
      <c r="K137" s="16"/>
      <c r="L137" s="392"/>
    </row>
    <row r="138" spans="1:12">
      <c r="A138" s="1" t="s">
        <v>1123</v>
      </c>
      <c r="B138" s="17" t="s">
        <v>1124</v>
      </c>
      <c r="C138" s="387">
        <v>96.748999999999995</v>
      </c>
      <c r="D138" s="387">
        <v>546.86</v>
      </c>
      <c r="E138" s="387">
        <f t="shared" si="4"/>
        <v>52908.15814</v>
      </c>
      <c r="F138" s="15" t="str">
        <f t="shared" si="5"/>
        <v/>
      </c>
      <c r="G138" s="95" t="s">
        <v>719</v>
      </c>
      <c r="H138" s="15" t="str">
        <f t="shared" si="6"/>
        <v/>
      </c>
      <c r="I138" s="95">
        <v>0.34</v>
      </c>
      <c r="J138" s="15" t="str">
        <f t="shared" si="7"/>
        <v/>
      </c>
      <c r="K138" s="16"/>
      <c r="L138" s="392"/>
    </row>
    <row r="139" spans="1:12">
      <c r="A139" s="1" t="s">
        <v>183</v>
      </c>
      <c r="B139" s="17" t="s">
        <v>467</v>
      </c>
      <c r="C139" s="387">
        <v>279.541</v>
      </c>
      <c r="D139" s="387">
        <v>196.03</v>
      </c>
      <c r="E139" s="387">
        <f t="shared" si="4"/>
        <v>54798.422229999996</v>
      </c>
      <c r="F139" s="15">
        <f t="shared" si="5"/>
        <v>1.8144963590262827E-3</v>
      </c>
      <c r="G139" s="95">
        <v>2.4281997653420394E-2</v>
      </c>
      <c r="H139" s="15">
        <f t="shared" si="6"/>
        <v>4.4059596332016048E-5</v>
      </c>
      <c r="I139" s="95">
        <v>0.05</v>
      </c>
      <c r="J139" s="15">
        <f t="shared" si="7"/>
        <v>9.0724817951314137E-5</v>
      </c>
      <c r="K139" s="16"/>
      <c r="L139" s="392"/>
    </row>
    <row r="140" spans="1:12">
      <c r="A140" s="1" t="s">
        <v>185</v>
      </c>
      <c r="B140" s="17" t="s">
        <v>469</v>
      </c>
      <c r="C140" s="387">
        <v>605.69200000000001</v>
      </c>
      <c r="D140" s="387">
        <v>59.82</v>
      </c>
      <c r="E140" s="387">
        <f t="shared" si="4"/>
        <v>36232.495439999999</v>
      </c>
      <c r="F140" s="15">
        <f t="shared" si="5"/>
        <v>1.1997376635841217E-3</v>
      </c>
      <c r="G140" s="95">
        <v>3.4102306920762285E-2</v>
      </c>
      <c r="H140" s="15">
        <f t="shared" si="6"/>
        <v>4.0913822027943964E-5</v>
      </c>
      <c r="I140" s="95">
        <v>0.03</v>
      </c>
      <c r="J140" s="15">
        <f t="shared" si="7"/>
        <v>3.5992129907523646E-5</v>
      </c>
      <c r="K140" s="16"/>
      <c r="L140" s="392"/>
    </row>
    <row r="141" spans="1:12">
      <c r="A141" s="1" t="s">
        <v>186</v>
      </c>
      <c r="B141" s="17" t="s">
        <v>470</v>
      </c>
      <c r="C141" s="387">
        <v>143.21199999999999</v>
      </c>
      <c r="D141" s="387">
        <v>121.23</v>
      </c>
      <c r="E141" s="387">
        <f t="shared" si="4"/>
        <v>17361.590759999999</v>
      </c>
      <c r="F141" s="15">
        <f t="shared" si="5"/>
        <v>5.7488047901638195E-4</v>
      </c>
      <c r="G141" s="95">
        <v>2.6891033572548045E-2</v>
      </c>
      <c r="H141" s="15">
        <f t="shared" si="6"/>
        <v>1.5459130261432028E-5</v>
      </c>
      <c r="I141" s="95">
        <v>7.0000000000000007E-2</v>
      </c>
      <c r="J141" s="15">
        <f t="shared" si="7"/>
        <v>4.0241633531146743E-5</v>
      </c>
      <c r="K141" s="16"/>
      <c r="L141" s="392"/>
    </row>
    <row r="142" spans="1:12">
      <c r="A142" s="1" t="s">
        <v>1125</v>
      </c>
      <c r="B142" s="17" t="s">
        <v>1126</v>
      </c>
      <c r="C142" s="387">
        <v>130.791</v>
      </c>
      <c r="D142" s="387">
        <v>88.2</v>
      </c>
      <c r="E142" s="387">
        <f t="shared" si="4"/>
        <v>11535.7662</v>
      </c>
      <c r="F142" s="15">
        <f t="shared" si="5"/>
        <v>3.8197460650644829E-4</v>
      </c>
      <c r="G142" s="95">
        <v>2.8344671201814057E-2</v>
      </c>
      <c r="H142" s="15">
        <f t="shared" si="6"/>
        <v>1.082694462886758E-5</v>
      </c>
      <c r="I142" s="95">
        <v>7.0000000000000007E-2</v>
      </c>
      <c r="J142" s="15">
        <f t="shared" si="7"/>
        <v>2.6738222455451382E-5</v>
      </c>
      <c r="K142" s="16"/>
      <c r="L142" s="392"/>
    </row>
    <row r="143" spans="1:12">
      <c r="A143" s="1" t="s">
        <v>332</v>
      </c>
      <c r="B143" s="17" t="s">
        <v>638</v>
      </c>
      <c r="C143" s="387">
        <v>52.073999999999998</v>
      </c>
      <c r="D143" s="387">
        <v>393.06</v>
      </c>
      <c r="E143" s="387">
        <f t="shared" si="4"/>
        <v>20468.206439999998</v>
      </c>
      <c r="F143" s="15">
        <f t="shared" si="5"/>
        <v>6.7774736114292516E-4</v>
      </c>
      <c r="G143" s="95">
        <v>1.6486032666768433E-2</v>
      </c>
      <c r="H143" s="15">
        <f t="shared" si="6"/>
        <v>1.1173365135618367E-5</v>
      </c>
      <c r="I143" s="95">
        <v>5.5E-2</v>
      </c>
      <c r="J143" s="15">
        <f t="shared" si="7"/>
        <v>3.7276104862860888E-5</v>
      </c>
      <c r="K143" s="16"/>
      <c r="L143" s="392"/>
    </row>
    <row r="144" spans="1:12">
      <c r="A144" s="1" t="s">
        <v>189</v>
      </c>
      <c r="B144" s="17" t="s">
        <v>474</v>
      </c>
      <c r="C144" s="387">
        <v>890.49900000000002</v>
      </c>
      <c r="D144" s="387">
        <v>21.62</v>
      </c>
      <c r="E144" s="387">
        <f t="shared" si="4"/>
        <v>19252.588380000001</v>
      </c>
      <c r="F144" s="15">
        <f t="shared" si="5"/>
        <v>6.3749557187463789E-4</v>
      </c>
      <c r="G144" s="95">
        <v>8.3256244218316375E-3</v>
      </c>
      <c r="H144" s="15">
        <f t="shared" si="6"/>
        <v>5.307548702009011E-6</v>
      </c>
      <c r="I144" s="95">
        <v>0.09</v>
      </c>
      <c r="J144" s="15">
        <f t="shared" si="7"/>
        <v>5.7374601468717405E-5</v>
      </c>
      <c r="K144" s="16"/>
      <c r="L144" s="392"/>
    </row>
    <row r="145" spans="1:12">
      <c r="A145" s="1" t="s">
        <v>1127</v>
      </c>
      <c r="B145" s="17" t="s">
        <v>1128</v>
      </c>
      <c r="C145" s="387">
        <v>200.94399999999999</v>
      </c>
      <c r="D145" s="387">
        <v>220.24</v>
      </c>
      <c r="E145" s="387">
        <f t="shared" si="4"/>
        <v>44255.906559999996</v>
      </c>
      <c r="F145" s="15" t="str">
        <f t="shared" si="5"/>
        <v/>
      </c>
      <c r="G145" s="95">
        <v>1.8525245187068651E-2</v>
      </c>
      <c r="H145" s="15" t="str">
        <f t="shared" si="6"/>
        <v/>
      </c>
      <c r="I145" s="95" t="s">
        <v>719</v>
      </c>
      <c r="J145" s="15" t="str">
        <f t="shared" si="7"/>
        <v/>
      </c>
      <c r="K145" s="16"/>
      <c r="L145" s="392"/>
    </row>
    <row r="146" spans="1:12">
      <c r="A146" s="1" t="s">
        <v>1129</v>
      </c>
      <c r="B146" s="17" t="s">
        <v>1130</v>
      </c>
      <c r="C146" s="387">
        <v>538.96799999999996</v>
      </c>
      <c r="D146" s="387">
        <v>33.479999999999997</v>
      </c>
      <c r="E146" s="387">
        <f t="shared" si="4"/>
        <v>18044.648639999996</v>
      </c>
      <c r="F146" s="15" t="str">
        <f t="shared" si="5"/>
        <v/>
      </c>
      <c r="G146" s="95">
        <v>3.5842293906810041E-2</v>
      </c>
      <c r="H146" s="15" t="str">
        <f t="shared" si="6"/>
        <v/>
      </c>
      <c r="I146" s="95">
        <v>-0.12</v>
      </c>
      <c r="J146" s="15" t="str">
        <f t="shared" si="7"/>
        <v/>
      </c>
      <c r="K146" s="16"/>
      <c r="L146" s="392"/>
    </row>
    <row r="147" spans="1:12">
      <c r="A147" s="1" t="s">
        <v>1131</v>
      </c>
      <c r="B147" s="17" t="s">
        <v>1132</v>
      </c>
      <c r="C147" s="387">
        <v>171.018</v>
      </c>
      <c r="D147" s="387">
        <v>133.07</v>
      </c>
      <c r="E147" s="387">
        <f t="shared" si="4"/>
        <v>22757.365259999999</v>
      </c>
      <c r="F147" s="15" t="str">
        <f t="shared" si="5"/>
        <v/>
      </c>
      <c r="G147" s="95" t="s">
        <v>719</v>
      </c>
      <c r="H147" s="15" t="str">
        <f t="shared" si="6"/>
        <v/>
      </c>
      <c r="I147" s="95">
        <v>0.21</v>
      </c>
      <c r="J147" s="15" t="str">
        <f t="shared" si="7"/>
        <v/>
      </c>
      <c r="K147" s="16"/>
      <c r="L147" s="392"/>
    </row>
    <row r="148" spans="1:12">
      <c r="A148" s="1" t="s">
        <v>802</v>
      </c>
      <c r="B148" s="17" t="s">
        <v>803</v>
      </c>
      <c r="C148" s="387">
        <v>358.39100000000002</v>
      </c>
      <c r="D148" s="387">
        <v>70.569999999999993</v>
      </c>
      <c r="E148" s="387">
        <f t="shared" ref="E148:E211" si="8">IFERROR(C148*D148,"")</f>
        <v>25291.652869999998</v>
      </c>
      <c r="F148" s="15">
        <f t="shared" ref="F148:F211" si="9">IF(AND(ISNUMBER($I148)), IF(AND($I148&lt;=20%,$I148&gt;0%), $E148/SUMIFS($E$19:$E$523,$I$19:$I$523, "&gt;"&amp;0%,$I$19:$I$523, "&lt;="&amp;20%),""),"")</f>
        <v>8.3746228775995245E-4</v>
      </c>
      <c r="G148" s="95">
        <v>3.9676916536772007E-3</v>
      </c>
      <c r="H148" s="15">
        <f t="shared" ref="H148:H211" si="10">IFERROR($G148*$F148,"")</f>
        <v>3.3227921294145772E-6</v>
      </c>
      <c r="I148" s="95">
        <v>0.06</v>
      </c>
      <c r="J148" s="15">
        <f t="shared" ref="J148:J211" si="11">IFERROR($I148*$F148,"")</f>
        <v>5.0247737265597146E-5</v>
      </c>
      <c r="K148" s="16"/>
      <c r="L148" s="392"/>
    </row>
    <row r="149" spans="1:12">
      <c r="A149" s="1" t="s">
        <v>191</v>
      </c>
      <c r="B149" s="17" t="s">
        <v>477</v>
      </c>
      <c r="C149" s="387">
        <v>145.42599999999999</v>
      </c>
      <c r="D149" s="387">
        <v>169.25</v>
      </c>
      <c r="E149" s="387">
        <f t="shared" si="8"/>
        <v>24613.350499999997</v>
      </c>
      <c r="F149" s="15">
        <f t="shared" si="9"/>
        <v>8.1500220349843696E-4</v>
      </c>
      <c r="G149" s="95">
        <v>2.1293943870014771E-2</v>
      </c>
      <c r="H149" s="15">
        <f t="shared" si="10"/>
        <v>1.7354611175234073E-5</v>
      </c>
      <c r="I149" s="95">
        <v>5.5E-2</v>
      </c>
      <c r="J149" s="15">
        <f t="shared" si="11"/>
        <v>4.4825121192414033E-5</v>
      </c>
      <c r="K149" s="16"/>
      <c r="L149" s="392"/>
    </row>
    <row r="150" spans="1:12">
      <c r="A150" s="1" t="s">
        <v>733</v>
      </c>
      <c r="B150" s="17" t="s">
        <v>734</v>
      </c>
      <c r="C150" s="387">
        <v>569.69899999999996</v>
      </c>
      <c r="D150" s="387">
        <v>48.88</v>
      </c>
      <c r="E150" s="387">
        <f t="shared" si="8"/>
        <v>27846.887119999999</v>
      </c>
      <c r="F150" s="15">
        <f t="shared" si="9"/>
        <v>9.220717172727965E-4</v>
      </c>
      <c r="G150" s="95">
        <v>1.8003273322422259E-2</v>
      </c>
      <c r="H150" s="15">
        <f t="shared" si="10"/>
        <v>1.6600309148937417E-5</v>
      </c>
      <c r="I150" s="95">
        <v>4.4999999999999998E-2</v>
      </c>
      <c r="J150" s="15">
        <f t="shared" si="11"/>
        <v>4.1493227277275841E-5</v>
      </c>
      <c r="K150" s="16"/>
      <c r="L150" s="392"/>
    </row>
    <row r="151" spans="1:12">
      <c r="A151" s="1" t="s">
        <v>195</v>
      </c>
      <c r="B151" s="17" t="s">
        <v>482</v>
      </c>
      <c r="C151" s="387">
        <v>542.55700000000002</v>
      </c>
      <c r="D151" s="387">
        <v>41</v>
      </c>
      <c r="E151" s="387">
        <f t="shared" si="8"/>
        <v>22244.837</v>
      </c>
      <c r="F151" s="15">
        <f t="shared" si="9"/>
        <v>7.365755089484287E-4</v>
      </c>
      <c r="G151" s="95">
        <v>2.3902439024390244E-2</v>
      </c>
      <c r="H151" s="15">
        <f t="shared" si="10"/>
        <v>1.7605951189499027E-5</v>
      </c>
      <c r="I151" s="95">
        <v>0.09</v>
      </c>
      <c r="J151" s="15">
        <f t="shared" si="11"/>
        <v>6.6291795805358575E-5</v>
      </c>
      <c r="K151" s="16"/>
      <c r="L151" s="392"/>
    </row>
    <row r="152" spans="1:12">
      <c r="A152" s="1" t="s">
        <v>804</v>
      </c>
      <c r="B152" s="17" t="s">
        <v>805</v>
      </c>
      <c r="C152" s="387">
        <v>206.75</v>
      </c>
      <c r="D152" s="387">
        <v>148.65</v>
      </c>
      <c r="E152" s="387">
        <f t="shared" si="8"/>
        <v>30733.387500000001</v>
      </c>
      <c r="F152" s="15">
        <f t="shared" si="9"/>
        <v>1.0176500973921175E-3</v>
      </c>
      <c r="G152" s="95">
        <v>1.291624621594349E-2</v>
      </c>
      <c r="H152" s="15">
        <f t="shared" si="10"/>
        <v>1.3144219219595462E-5</v>
      </c>
      <c r="I152" s="95">
        <v>0.125</v>
      </c>
      <c r="J152" s="15">
        <f t="shared" si="11"/>
        <v>1.2720626217401469E-4</v>
      </c>
      <c r="K152" s="16"/>
      <c r="L152" s="392"/>
    </row>
    <row r="153" spans="1:12">
      <c r="A153" s="1" t="s">
        <v>240</v>
      </c>
      <c r="B153" s="17" t="s">
        <v>535</v>
      </c>
      <c r="C153" s="387">
        <v>1397.817</v>
      </c>
      <c r="D153" s="387">
        <v>58.18</v>
      </c>
      <c r="E153" s="387">
        <f t="shared" si="8"/>
        <v>81324.993059999993</v>
      </c>
      <c r="F153" s="15">
        <f t="shared" si="9"/>
        <v>2.6928494982182576E-3</v>
      </c>
      <c r="G153" s="95">
        <v>2.4063251976624268E-2</v>
      </c>
      <c r="H153" s="15">
        <f t="shared" si="10"/>
        <v>6.4798716010752152E-5</v>
      </c>
      <c r="I153" s="95">
        <v>0.08</v>
      </c>
      <c r="J153" s="15">
        <f t="shared" si="11"/>
        <v>2.1542795985746063E-4</v>
      </c>
      <c r="K153" s="16"/>
      <c r="L153" s="392"/>
    </row>
    <row r="154" spans="1:12">
      <c r="A154" s="1" t="s">
        <v>119</v>
      </c>
      <c r="B154" s="17" t="s">
        <v>393</v>
      </c>
      <c r="C154" s="387">
        <v>592.89</v>
      </c>
      <c r="D154" s="387">
        <v>24.6</v>
      </c>
      <c r="E154" s="387">
        <f t="shared" si="8"/>
        <v>14585.094000000001</v>
      </c>
      <c r="F154" s="15">
        <f t="shared" si="9"/>
        <v>4.8294456084846453E-4</v>
      </c>
      <c r="G154" s="95">
        <v>2.7642276422764227E-2</v>
      </c>
      <c r="H154" s="15">
        <f t="shared" si="10"/>
        <v>1.3349687047843734E-5</v>
      </c>
      <c r="I154" s="95">
        <v>9.5000000000000001E-2</v>
      </c>
      <c r="J154" s="15">
        <f t="shared" si="11"/>
        <v>4.587973328060413E-5</v>
      </c>
      <c r="K154" s="16"/>
      <c r="L154" s="392"/>
    </row>
    <row r="155" spans="1:12">
      <c r="A155" s="1" t="s">
        <v>197</v>
      </c>
      <c r="B155" s="17" t="s">
        <v>484</v>
      </c>
      <c r="C155" s="387">
        <v>128.505</v>
      </c>
      <c r="D155" s="387">
        <v>389.15</v>
      </c>
      <c r="E155" s="387">
        <f t="shared" si="8"/>
        <v>50007.720749999993</v>
      </c>
      <c r="F155" s="15">
        <f t="shared" si="9"/>
        <v>1.6558656897680186E-3</v>
      </c>
      <c r="G155" s="95">
        <v>7.1951689579853526E-3</v>
      </c>
      <c r="H155" s="15">
        <f t="shared" si="10"/>
        <v>1.1914233409611851E-5</v>
      </c>
      <c r="I155" s="95">
        <v>0.12</v>
      </c>
      <c r="J155" s="15">
        <f t="shared" si="11"/>
        <v>1.9870388277216223E-4</v>
      </c>
      <c r="K155" s="16"/>
      <c r="L155" s="392"/>
    </row>
    <row r="156" spans="1:12">
      <c r="A156" s="1" t="s">
        <v>735</v>
      </c>
      <c r="B156" s="17" t="s">
        <v>736</v>
      </c>
      <c r="C156" s="387">
        <v>129.042</v>
      </c>
      <c r="D156" s="387">
        <v>232.46</v>
      </c>
      <c r="E156" s="387">
        <f t="shared" si="8"/>
        <v>29997.103320000002</v>
      </c>
      <c r="F156" s="15">
        <f t="shared" si="9"/>
        <v>9.9327010779659119E-4</v>
      </c>
      <c r="G156" s="95">
        <v>1.3765809171470361E-2</v>
      </c>
      <c r="H156" s="15">
        <f t="shared" si="10"/>
        <v>1.3673166759653669E-5</v>
      </c>
      <c r="I156" s="95">
        <v>0.08</v>
      </c>
      <c r="J156" s="15">
        <f t="shared" si="11"/>
        <v>7.9461608623727293E-5</v>
      </c>
      <c r="K156" s="16"/>
      <c r="L156" s="392"/>
    </row>
    <row r="157" spans="1:12">
      <c r="A157" s="1" t="s">
        <v>199</v>
      </c>
      <c r="B157" s="17" t="s">
        <v>486</v>
      </c>
      <c r="C157" s="387">
        <v>314.96800000000002</v>
      </c>
      <c r="D157" s="387">
        <v>206.63</v>
      </c>
      <c r="E157" s="387">
        <f t="shared" si="8"/>
        <v>65081.83784</v>
      </c>
      <c r="F157" s="15">
        <f t="shared" si="9"/>
        <v>2.1550028813561144E-3</v>
      </c>
      <c r="G157" s="95">
        <v>2.3617093355272713E-2</v>
      </c>
      <c r="H157" s="15">
        <f t="shared" si="10"/>
        <v>5.0894904229869038E-5</v>
      </c>
      <c r="I157" s="95">
        <v>0.11</v>
      </c>
      <c r="J157" s="15">
        <f t="shared" si="11"/>
        <v>2.370503169491726E-4</v>
      </c>
      <c r="K157" s="16"/>
      <c r="L157" s="392"/>
    </row>
    <row r="158" spans="1:12">
      <c r="A158" s="1" t="s">
        <v>1133</v>
      </c>
      <c r="B158" s="17" t="s">
        <v>1134</v>
      </c>
      <c r="C158" s="387">
        <v>137.495</v>
      </c>
      <c r="D158" s="387">
        <v>182.02</v>
      </c>
      <c r="E158" s="387">
        <f t="shared" si="8"/>
        <v>25026.839900000003</v>
      </c>
      <c r="F158" s="15">
        <f t="shared" si="9"/>
        <v>8.2869374752952084E-4</v>
      </c>
      <c r="G158" s="95">
        <v>8.790242830458192E-3</v>
      </c>
      <c r="H158" s="15">
        <f t="shared" si="10"/>
        <v>7.2844192728669015E-6</v>
      </c>
      <c r="I158" s="95">
        <v>0.1</v>
      </c>
      <c r="J158" s="15">
        <f t="shared" si="11"/>
        <v>8.2869374752952095E-5</v>
      </c>
      <c r="K158" s="16"/>
      <c r="L158" s="392"/>
    </row>
    <row r="159" spans="1:12">
      <c r="A159" s="1" t="s">
        <v>1135</v>
      </c>
      <c r="B159" s="17" t="s">
        <v>1136</v>
      </c>
      <c r="C159" s="387">
        <v>237.60900000000001</v>
      </c>
      <c r="D159" s="387">
        <v>172.65</v>
      </c>
      <c r="E159" s="387">
        <f t="shared" si="8"/>
        <v>41023.193850000003</v>
      </c>
      <c r="F159" s="15" t="str">
        <f t="shared" si="9"/>
        <v/>
      </c>
      <c r="G159" s="95">
        <v>1.3669273095858671E-2</v>
      </c>
      <c r="H159" s="15" t="str">
        <f t="shared" si="10"/>
        <v/>
      </c>
      <c r="I159" s="95" t="s">
        <v>719</v>
      </c>
      <c r="J159" s="15" t="str">
        <f t="shared" si="11"/>
        <v/>
      </c>
      <c r="K159" s="16"/>
      <c r="L159" s="392"/>
    </row>
    <row r="160" spans="1:12">
      <c r="A160" s="1" t="s">
        <v>204</v>
      </c>
      <c r="B160" s="17" t="s">
        <v>493</v>
      </c>
      <c r="C160" s="387">
        <v>393.62</v>
      </c>
      <c r="D160" s="387">
        <v>36.67</v>
      </c>
      <c r="E160" s="387">
        <f t="shared" si="8"/>
        <v>14434.045400000001</v>
      </c>
      <c r="F160" s="15">
        <f t="shared" si="9"/>
        <v>4.7794300927850032E-4</v>
      </c>
      <c r="G160" s="95">
        <v>2.9451868011998908E-2</v>
      </c>
      <c r="H160" s="15">
        <f t="shared" si="10"/>
        <v>1.4076314426527961E-5</v>
      </c>
      <c r="I160" s="95">
        <v>0.12</v>
      </c>
      <c r="J160" s="15">
        <f t="shared" si="11"/>
        <v>5.7353161113420034E-5</v>
      </c>
      <c r="K160" s="16"/>
      <c r="L160" s="392"/>
    </row>
    <row r="161" spans="1:12">
      <c r="A161" s="1" t="s">
        <v>202</v>
      </c>
      <c r="B161" s="17" t="s">
        <v>491</v>
      </c>
      <c r="C161" s="387">
        <v>254.52500000000001</v>
      </c>
      <c r="D161" s="387">
        <v>133.72</v>
      </c>
      <c r="E161" s="387">
        <f t="shared" si="8"/>
        <v>34035.082999999999</v>
      </c>
      <c r="F161" s="15">
        <f t="shared" si="9"/>
        <v>1.1269765016856277E-3</v>
      </c>
      <c r="G161" s="95">
        <v>2.3631468740652112E-2</v>
      </c>
      <c r="H161" s="15">
        <f t="shared" si="10"/>
        <v>2.6632109971033383E-5</v>
      </c>
      <c r="I161" s="95">
        <v>7.4999999999999997E-2</v>
      </c>
      <c r="J161" s="15">
        <f t="shared" si="11"/>
        <v>8.4523237626422083E-5</v>
      </c>
      <c r="K161" s="16"/>
      <c r="L161" s="392"/>
    </row>
    <row r="162" spans="1:12">
      <c r="A162" s="1" t="s">
        <v>209</v>
      </c>
      <c r="B162" s="17" t="s">
        <v>1137</v>
      </c>
      <c r="C162" s="387">
        <v>130.31399999999999</v>
      </c>
      <c r="D162" s="387">
        <v>132.53</v>
      </c>
      <c r="E162" s="387">
        <f t="shared" si="8"/>
        <v>17270.51442</v>
      </c>
      <c r="F162" s="15">
        <f t="shared" si="9"/>
        <v>5.718647409604609E-4</v>
      </c>
      <c r="G162" s="95">
        <v>6.3381875801705283E-3</v>
      </c>
      <c r="H162" s="15">
        <f t="shared" si="10"/>
        <v>3.6245859986930295E-6</v>
      </c>
      <c r="I162" s="95">
        <v>0.15</v>
      </c>
      <c r="J162" s="15">
        <f t="shared" si="11"/>
        <v>8.5779711144069135E-5</v>
      </c>
      <c r="K162" s="16"/>
      <c r="L162" s="392"/>
    </row>
    <row r="163" spans="1:12">
      <c r="A163" s="1" t="s">
        <v>1138</v>
      </c>
      <c r="B163" s="17" t="s">
        <v>1139</v>
      </c>
      <c r="C163" s="387">
        <v>63.121000000000002</v>
      </c>
      <c r="D163" s="387">
        <v>408.67</v>
      </c>
      <c r="E163" s="387">
        <f t="shared" si="8"/>
        <v>25795.659070000002</v>
      </c>
      <c r="F163" s="15" t="str">
        <f t="shared" si="9"/>
        <v/>
      </c>
      <c r="G163" s="95" t="s">
        <v>719</v>
      </c>
      <c r="H163" s="15" t="str">
        <f t="shared" si="10"/>
        <v/>
      </c>
      <c r="I163" s="95">
        <v>0.23499999999999999</v>
      </c>
      <c r="J163" s="15" t="str">
        <f t="shared" si="11"/>
        <v/>
      </c>
      <c r="K163" s="16"/>
      <c r="L163" s="392"/>
    </row>
    <row r="164" spans="1:12">
      <c r="A164" s="1" t="s">
        <v>1140</v>
      </c>
      <c r="B164" s="17" t="s">
        <v>1141</v>
      </c>
      <c r="C164" s="387">
        <v>265.13499999999999</v>
      </c>
      <c r="D164" s="387">
        <v>195.87</v>
      </c>
      <c r="E164" s="387">
        <f t="shared" si="8"/>
        <v>51931.992449999998</v>
      </c>
      <c r="F164" s="15">
        <f t="shared" si="9"/>
        <v>1.7195825606438342E-3</v>
      </c>
      <c r="G164" s="95">
        <v>1.1487210905192219E-2</v>
      </c>
      <c r="H164" s="15">
        <f t="shared" si="10"/>
        <v>1.9753207543006214E-5</v>
      </c>
      <c r="I164" s="95">
        <v>0.11</v>
      </c>
      <c r="J164" s="15">
        <f t="shared" si="11"/>
        <v>1.8915408167082177E-4</v>
      </c>
      <c r="K164" s="16"/>
      <c r="L164" s="392"/>
    </row>
    <row r="165" spans="1:12">
      <c r="A165" s="1" t="s">
        <v>737</v>
      </c>
      <c r="B165" s="17" t="s">
        <v>738</v>
      </c>
      <c r="C165" s="387">
        <v>349.15199999999999</v>
      </c>
      <c r="D165" s="387">
        <v>17.16</v>
      </c>
      <c r="E165" s="387">
        <f t="shared" si="8"/>
        <v>5991.4483199999995</v>
      </c>
      <c r="F165" s="15">
        <f t="shared" si="9"/>
        <v>1.9839003970414384E-4</v>
      </c>
      <c r="G165" s="95">
        <v>3.4965034965034961E-2</v>
      </c>
      <c r="H165" s="15">
        <f t="shared" si="10"/>
        <v>6.9367146749700633E-6</v>
      </c>
      <c r="I165" s="95">
        <v>6.5000000000000002E-2</v>
      </c>
      <c r="J165" s="15">
        <f t="shared" si="11"/>
        <v>1.289535258076935E-5</v>
      </c>
      <c r="K165" s="16"/>
      <c r="L165" s="392"/>
    </row>
    <row r="166" spans="1:12">
      <c r="A166" s="1" t="s">
        <v>213</v>
      </c>
      <c r="B166" s="17" t="s">
        <v>503</v>
      </c>
      <c r="C166" s="387">
        <v>340.87900000000002</v>
      </c>
      <c r="D166" s="387">
        <v>63.92</v>
      </c>
      <c r="E166" s="387">
        <f t="shared" si="8"/>
        <v>21788.985680000002</v>
      </c>
      <c r="F166" s="15">
        <f t="shared" si="9"/>
        <v>7.2148126851709576E-4</v>
      </c>
      <c r="G166" s="95">
        <v>3.629536921151439E-2</v>
      </c>
      <c r="H166" s="15">
        <f t="shared" si="10"/>
        <v>2.6186429020019746E-5</v>
      </c>
      <c r="I166" s="95">
        <v>3.5000000000000003E-2</v>
      </c>
      <c r="J166" s="15">
        <f t="shared" si="11"/>
        <v>2.5251844398098355E-5</v>
      </c>
      <c r="K166" s="16"/>
      <c r="L166" s="392"/>
    </row>
    <row r="167" spans="1:12">
      <c r="A167" s="1" t="s">
        <v>1036</v>
      </c>
      <c r="B167" s="17" t="s">
        <v>1037</v>
      </c>
      <c r="C167" s="387">
        <v>116.16800000000001</v>
      </c>
      <c r="D167" s="387">
        <v>166.64</v>
      </c>
      <c r="E167" s="387">
        <f t="shared" si="8"/>
        <v>19358.235519999998</v>
      </c>
      <c r="F167" s="15">
        <f t="shared" si="9"/>
        <v>6.4099378118560944E-4</v>
      </c>
      <c r="G167" s="95">
        <v>1.5362457993278926E-2</v>
      </c>
      <c r="H167" s="15">
        <f t="shared" si="10"/>
        <v>9.8472400374169475E-6</v>
      </c>
      <c r="I167" s="95">
        <v>8.5000000000000006E-2</v>
      </c>
      <c r="J167" s="15">
        <f t="shared" si="11"/>
        <v>5.4484471400776807E-5</v>
      </c>
      <c r="K167" s="16"/>
      <c r="L167" s="392"/>
    </row>
    <row r="168" spans="1:12">
      <c r="A168" s="1" t="s">
        <v>215</v>
      </c>
      <c r="B168" s="17" t="s">
        <v>505</v>
      </c>
      <c r="C168" s="387">
        <v>336.762</v>
      </c>
      <c r="D168" s="387">
        <v>132.44</v>
      </c>
      <c r="E168" s="387">
        <f t="shared" si="8"/>
        <v>44600.759279999998</v>
      </c>
      <c r="F168" s="15">
        <f t="shared" si="9"/>
        <v>1.4768292959913508E-3</v>
      </c>
      <c r="G168" s="95">
        <v>3.4430685593476298E-2</v>
      </c>
      <c r="H168" s="15">
        <f t="shared" si="10"/>
        <v>5.0848245165513147E-5</v>
      </c>
      <c r="I168" s="95">
        <v>5.5E-2</v>
      </c>
      <c r="J168" s="15">
        <f t="shared" si="11"/>
        <v>8.1225611279524295E-5</v>
      </c>
      <c r="K168" s="16"/>
      <c r="L168" s="392"/>
    </row>
    <row r="169" spans="1:12">
      <c r="A169" s="1" t="s">
        <v>216</v>
      </c>
      <c r="B169" s="17" t="s">
        <v>506</v>
      </c>
      <c r="C169" s="387">
        <v>612.89</v>
      </c>
      <c r="D169" s="387">
        <v>20.75</v>
      </c>
      <c r="E169" s="387">
        <f t="shared" si="8"/>
        <v>12717.467499999999</v>
      </c>
      <c r="F169" s="15">
        <f t="shared" si="9"/>
        <v>4.2110333720798228E-4</v>
      </c>
      <c r="G169" s="95">
        <v>3.2771084337349397E-2</v>
      </c>
      <c r="H169" s="15">
        <f t="shared" si="10"/>
        <v>1.380001297838207E-5</v>
      </c>
      <c r="I169" s="95">
        <v>0.105</v>
      </c>
      <c r="J169" s="15">
        <f t="shared" si="11"/>
        <v>4.4215850406838139E-5</v>
      </c>
      <c r="K169" s="16"/>
      <c r="L169" s="392"/>
    </row>
    <row r="170" spans="1:12">
      <c r="A170" s="1" t="s">
        <v>262</v>
      </c>
      <c r="B170" s="17" t="s">
        <v>559</v>
      </c>
      <c r="C170" s="387">
        <v>2733.6860000000001</v>
      </c>
      <c r="D170" s="387">
        <v>87.13</v>
      </c>
      <c r="E170" s="387">
        <f t="shared" si="8"/>
        <v>238186.06117999999</v>
      </c>
      <c r="F170" s="15">
        <f t="shared" si="9"/>
        <v>7.8868646795694688E-3</v>
      </c>
      <c r="G170" s="95">
        <v>1.4690692069321705E-2</v>
      </c>
      <c r="H170" s="15">
        <f t="shared" si="10"/>
        <v>1.1586350039996467E-4</v>
      </c>
      <c r="I170" s="95">
        <v>0.1</v>
      </c>
      <c r="J170" s="15">
        <f t="shared" si="11"/>
        <v>7.8868646795694688E-4</v>
      </c>
      <c r="K170" s="16"/>
      <c r="L170" s="392"/>
    </row>
    <row r="171" spans="1:12">
      <c r="A171" s="1" t="s">
        <v>217</v>
      </c>
      <c r="B171" s="17" t="s">
        <v>509</v>
      </c>
      <c r="C171" s="387">
        <v>743.63800000000003</v>
      </c>
      <c r="D171" s="387">
        <v>40.43</v>
      </c>
      <c r="E171" s="387">
        <f t="shared" si="8"/>
        <v>30065.284340000002</v>
      </c>
      <c r="F171" s="15">
        <f t="shared" si="9"/>
        <v>9.9552773141986712E-4</v>
      </c>
      <c r="G171" s="95">
        <v>2.0776651001731386E-2</v>
      </c>
      <c r="H171" s="15">
        <f t="shared" si="10"/>
        <v>2.0683732238255956E-5</v>
      </c>
      <c r="I171" s="95">
        <v>0.05</v>
      </c>
      <c r="J171" s="15">
        <f t="shared" si="11"/>
        <v>4.9776386570993361E-5</v>
      </c>
      <c r="K171" s="16"/>
      <c r="L171" s="392"/>
    </row>
    <row r="172" spans="1:12">
      <c r="A172" s="1" t="s">
        <v>220</v>
      </c>
      <c r="B172" s="17" t="s">
        <v>512</v>
      </c>
      <c r="C172" s="387">
        <v>133.29900000000001</v>
      </c>
      <c r="D172" s="387">
        <v>44.84</v>
      </c>
      <c r="E172" s="387">
        <f t="shared" si="8"/>
        <v>5977.1271600000009</v>
      </c>
      <c r="F172" s="15">
        <f t="shared" si="9"/>
        <v>1.9791583457889474E-4</v>
      </c>
      <c r="G172" s="95">
        <v>3.7466547725245318E-2</v>
      </c>
      <c r="H172" s="15">
        <f t="shared" si="10"/>
        <v>7.4152230618319171E-6</v>
      </c>
      <c r="I172" s="95">
        <v>0.1</v>
      </c>
      <c r="J172" s="15">
        <f t="shared" si="11"/>
        <v>1.9791583457889476E-5</v>
      </c>
      <c r="K172" s="16"/>
      <c r="L172" s="392"/>
    </row>
    <row r="173" spans="1:12">
      <c r="A173" s="1" t="s">
        <v>221</v>
      </c>
      <c r="B173" s="17" t="s">
        <v>513</v>
      </c>
      <c r="C173" s="387">
        <v>271.85199999999998</v>
      </c>
      <c r="D173" s="387">
        <v>93.68</v>
      </c>
      <c r="E173" s="387">
        <f t="shared" si="8"/>
        <v>25467.095359999999</v>
      </c>
      <c r="F173" s="15">
        <f t="shared" si="9"/>
        <v>8.432715747132769E-4</v>
      </c>
      <c r="G173" s="95">
        <v>1.067463706233988E-2</v>
      </c>
      <c r="H173" s="15">
        <f t="shared" si="10"/>
        <v>9.0016180050520598E-6</v>
      </c>
      <c r="I173" s="95">
        <v>0.12</v>
      </c>
      <c r="J173" s="15">
        <f t="shared" si="11"/>
        <v>1.0119258896559322E-4</v>
      </c>
      <c r="K173" s="16"/>
      <c r="L173" s="392"/>
    </row>
    <row r="174" spans="1:12">
      <c r="A174" s="1" t="s">
        <v>162</v>
      </c>
      <c r="B174" s="17" t="s">
        <v>446</v>
      </c>
      <c r="C174" s="387">
        <v>956.58100000000002</v>
      </c>
      <c r="D174" s="387">
        <v>231.05</v>
      </c>
      <c r="E174" s="387">
        <f t="shared" si="8"/>
        <v>221018.04005000001</v>
      </c>
      <c r="F174" s="15">
        <f t="shared" si="9"/>
        <v>7.3183937170055663E-3</v>
      </c>
      <c r="G174" s="95">
        <v>1.4715429560701146E-2</v>
      </c>
      <c r="H174" s="15">
        <f t="shared" si="10"/>
        <v>1.0769330724007324E-4</v>
      </c>
      <c r="I174" s="95">
        <v>0.11</v>
      </c>
      <c r="J174" s="15">
        <f t="shared" si="11"/>
        <v>8.0502330887061233E-4</v>
      </c>
      <c r="K174" s="16"/>
      <c r="L174" s="392"/>
    </row>
    <row r="175" spans="1:12">
      <c r="A175" s="1" t="s">
        <v>1303</v>
      </c>
      <c r="B175" s="17" t="s">
        <v>1304</v>
      </c>
      <c r="C175" s="387">
        <v>264.37299999999999</v>
      </c>
      <c r="D175" s="387">
        <v>63.03</v>
      </c>
      <c r="E175" s="387">
        <f t="shared" si="8"/>
        <v>16663.430189999999</v>
      </c>
      <c r="F175" s="15" t="str">
        <f t="shared" si="9"/>
        <v/>
      </c>
      <c r="G175" s="95">
        <v>9.5192765349833407E-3</v>
      </c>
      <c r="H175" s="15" t="str">
        <f t="shared" si="10"/>
        <v/>
      </c>
      <c r="I175" s="95">
        <v>0.23499999999999999</v>
      </c>
      <c r="J175" s="15" t="str">
        <f t="shared" si="11"/>
        <v/>
      </c>
      <c r="K175" s="16"/>
      <c r="L175" s="392"/>
    </row>
    <row r="176" spans="1:12">
      <c r="A176" s="1" t="s">
        <v>806</v>
      </c>
      <c r="B176" s="17" t="s">
        <v>807</v>
      </c>
      <c r="C176" s="387">
        <v>183.822</v>
      </c>
      <c r="D176" s="387">
        <v>727.56</v>
      </c>
      <c r="E176" s="387">
        <f t="shared" si="8"/>
        <v>133741.53432000001</v>
      </c>
      <c r="F176" s="15" t="str">
        <f t="shared" si="9"/>
        <v/>
      </c>
      <c r="G176" s="95" t="s">
        <v>719</v>
      </c>
      <c r="H176" s="15" t="str">
        <f t="shared" si="10"/>
        <v/>
      </c>
      <c r="I176" s="95">
        <v>0.27500000000000002</v>
      </c>
      <c r="J176" s="15" t="str">
        <f t="shared" si="11"/>
        <v/>
      </c>
      <c r="K176" s="16"/>
      <c r="L176" s="392"/>
    </row>
    <row r="177" spans="1:12">
      <c r="A177" s="1" t="s">
        <v>222</v>
      </c>
      <c r="B177" s="17" t="s">
        <v>514</v>
      </c>
      <c r="C177" s="387">
        <v>187.923</v>
      </c>
      <c r="D177" s="387">
        <v>68.75</v>
      </c>
      <c r="E177" s="387">
        <f t="shared" si="8"/>
        <v>12919.706249999999</v>
      </c>
      <c r="F177" s="15">
        <f t="shared" si="9"/>
        <v>4.2779990730244257E-4</v>
      </c>
      <c r="G177" s="95">
        <v>2.4436363636363638E-2</v>
      </c>
      <c r="H177" s="15">
        <f t="shared" si="10"/>
        <v>1.0453874098445143E-5</v>
      </c>
      <c r="I177" s="95">
        <v>0.09</v>
      </c>
      <c r="J177" s="15">
        <f t="shared" si="11"/>
        <v>3.850199165721983E-5</v>
      </c>
      <c r="K177" s="16"/>
      <c r="L177" s="392"/>
    </row>
    <row r="178" spans="1:12">
      <c r="A178" s="1" t="s">
        <v>224</v>
      </c>
      <c r="B178" s="17" t="s">
        <v>516</v>
      </c>
      <c r="C178" s="387">
        <v>257.27300000000002</v>
      </c>
      <c r="D178" s="387">
        <v>53.93</v>
      </c>
      <c r="E178" s="387">
        <f t="shared" si="8"/>
        <v>13874.732890000001</v>
      </c>
      <c r="F178" s="15">
        <f t="shared" si="9"/>
        <v>4.5942294115147952E-4</v>
      </c>
      <c r="G178" s="95">
        <v>4.6356387910254033E-3</v>
      </c>
      <c r="H178" s="15">
        <f t="shared" si="10"/>
        <v>2.1297188074887794E-6</v>
      </c>
      <c r="I178" s="95">
        <v>0.125</v>
      </c>
      <c r="J178" s="15">
        <f t="shared" si="11"/>
        <v>5.7427867643934941E-5</v>
      </c>
      <c r="K178" s="16"/>
      <c r="L178" s="392"/>
    </row>
    <row r="179" spans="1:12">
      <c r="A179" s="1" t="s">
        <v>225</v>
      </c>
      <c r="B179" s="17" t="s">
        <v>66</v>
      </c>
      <c r="C179" s="387">
        <v>692.43299999999999</v>
      </c>
      <c r="D179" s="387">
        <v>202.86</v>
      </c>
      <c r="E179" s="387">
        <f t="shared" si="8"/>
        <v>140466.95838</v>
      </c>
      <c r="F179" s="15">
        <f t="shared" si="9"/>
        <v>4.6511701281149532E-3</v>
      </c>
      <c r="G179" s="95">
        <v>1.5774425712313911E-2</v>
      </c>
      <c r="H179" s="15">
        <f t="shared" si="10"/>
        <v>7.3369537661282909E-5</v>
      </c>
      <c r="I179" s="95">
        <v>0.14499999999999999</v>
      </c>
      <c r="J179" s="15">
        <f t="shared" si="11"/>
        <v>6.744196685766682E-4</v>
      </c>
      <c r="K179" s="16"/>
      <c r="L179" s="392"/>
    </row>
    <row r="180" spans="1:12">
      <c r="A180" s="1" t="s">
        <v>1142</v>
      </c>
      <c r="B180" s="17" t="s">
        <v>1143</v>
      </c>
      <c r="C180" s="387">
        <v>75.998000000000005</v>
      </c>
      <c r="D180" s="387">
        <v>206.95</v>
      </c>
      <c r="E180" s="387">
        <f t="shared" si="8"/>
        <v>15727.786099999999</v>
      </c>
      <c r="F180" s="15">
        <f t="shared" si="9"/>
        <v>5.2078161108753105E-4</v>
      </c>
      <c r="G180" s="95">
        <v>1.043730369654506E-2</v>
      </c>
      <c r="H180" s="15">
        <f t="shared" si="10"/>
        <v>5.4355558344965796E-6</v>
      </c>
      <c r="I180" s="95">
        <v>0.08</v>
      </c>
      <c r="J180" s="15">
        <f t="shared" si="11"/>
        <v>4.1662528887002487E-5</v>
      </c>
      <c r="K180" s="16"/>
      <c r="L180" s="392"/>
    </row>
    <row r="181" spans="1:12">
      <c r="A181" s="1" t="s">
        <v>230</v>
      </c>
      <c r="B181" s="17" t="s">
        <v>522</v>
      </c>
      <c r="C181" s="387">
        <v>506.62599999999998</v>
      </c>
      <c r="D181" s="387">
        <v>151.43</v>
      </c>
      <c r="E181" s="387">
        <f t="shared" si="8"/>
        <v>76718.375180000003</v>
      </c>
      <c r="F181" s="15">
        <f t="shared" si="9"/>
        <v>2.5403142420825564E-3</v>
      </c>
      <c r="G181" s="95">
        <v>1.4131942151489137E-2</v>
      </c>
      <c r="H181" s="15">
        <f t="shared" si="10"/>
        <v>3.5899573915714658E-5</v>
      </c>
      <c r="I181" s="95">
        <v>0.11</v>
      </c>
      <c r="J181" s="15">
        <f t="shared" si="11"/>
        <v>2.7943456662908123E-4</v>
      </c>
      <c r="K181" s="16"/>
      <c r="L181" s="392"/>
    </row>
    <row r="182" spans="1:12">
      <c r="A182" s="1" t="s">
        <v>231</v>
      </c>
      <c r="B182" s="17" t="s">
        <v>523</v>
      </c>
      <c r="C182" s="387">
        <v>247.16300000000001</v>
      </c>
      <c r="D182" s="387">
        <v>55.55</v>
      </c>
      <c r="E182" s="387">
        <f t="shared" si="8"/>
        <v>13729.90465</v>
      </c>
      <c r="F182" s="15">
        <f t="shared" si="9"/>
        <v>4.5462735939072728E-4</v>
      </c>
      <c r="G182" s="95">
        <v>1.692169216921692E-2</v>
      </c>
      <c r="H182" s="15">
        <f t="shared" si="10"/>
        <v>7.6930642273138367E-6</v>
      </c>
      <c r="I182" s="95">
        <v>9.5000000000000001E-2</v>
      </c>
      <c r="J182" s="15">
        <f t="shared" si="11"/>
        <v>4.3189599142119092E-5</v>
      </c>
      <c r="K182" s="16"/>
      <c r="L182" s="392"/>
    </row>
    <row r="183" spans="1:12">
      <c r="A183" s="1" t="s">
        <v>808</v>
      </c>
      <c r="B183" s="17" t="s">
        <v>809</v>
      </c>
      <c r="C183" s="387">
        <v>241</v>
      </c>
      <c r="D183" s="387">
        <v>424.89</v>
      </c>
      <c r="E183" s="387">
        <f t="shared" si="8"/>
        <v>102398.48999999999</v>
      </c>
      <c r="F183" s="15">
        <f t="shared" si="9"/>
        <v>3.3906393599243087E-3</v>
      </c>
      <c r="G183" s="95">
        <v>7.2489350184753694E-3</v>
      </c>
      <c r="H183" s="15">
        <f t="shared" si="10"/>
        <v>2.4578524391176231E-5</v>
      </c>
      <c r="I183" s="95">
        <v>0.105</v>
      </c>
      <c r="J183" s="15">
        <f t="shared" si="11"/>
        <v>3.560171327920524E-4</v>
      </c>
      <c r="K183" s="16"/>
      <c r="L183" s="392"/>
    </row>
    <row r="184" spans="1:12">
      <c r="A184" s="1" t="s">
        <v>673</v>
      </c>
      <c r="B184" s="17" t="s">
        <v>528</v>
      </c>
      <c r="C184" s="387">
        <v>1345.81</v>
      </c>
      <c r="D184" s="387">
        <v>125.35</v>
      </c>
      <c r="E184" s="387">
        <f t="shared" si="8"/>
        <v>168697.28349999999</v>
      </c>
      <c r="F184" s="15">
        <f t="shared" si="9"/>
        <v>5.5859383214284667E-3</v>
      </c>
      <c r="G184" s="95">
        <v>2.0103709613083366E-2</v>
      </c>
      <c r="H184" s="15">
        <f t="shared" si="10"/>
        <v>1.1229808193059222E-4</v>
      </c>
      <c r="I184" s="95">
        <v>0.09</v>
      </c>
      <c r="J184" s="15">
        <f t="shared" si="11"/>
        <v>5.0273444892856198E-4</v>
      </c>
      <c r="K184" s="16"/>
      <c r="L184" s="392"/>
    </row>
    <row r="185" spans="1:12">
      <c r="A185" s="1" t="s">
        <v>1144</v>
      </c>
      <c r="B185" s="17" t="s">
        <v>1145</v>
      </c>
      <c r="C185" s="387">
        <v>1209.29</v>
      </c>
      <c r="D185" s="387">
        <v>13.55</v>
      </c>
      <c r="E185" s="387">
        <f t="shared" si="8"/>
        <v>16385.879499999999</v>
      </c>
      <c r="F185" s="15" t="str">
        <f t="shared" si="9"/>
        <v/>
      </c>
      <c r="G185" s="95">
        <v>3.247232472324723E-2</v>
      </c>
      <c r="H185" s="15" t="str">
        <f t="shared" si="10"/>
        <v/>
      </c>
      <c r="I185" s="95" t="s">
        <v>719</v>
      </c>
      <c r="J185" s="15" t="str">
        <f t="shared" si="11"/>
        <v/>
      </c>
      <c r="K185" s="16"/>
      <c r="L185" s="392"/>
    </row>
    <row r="186" spans="1:12">
      <c r="A186" s="1" t="s">
        <v>674</v>
      </c>
      <c r="B186" s="17" t="s">
        <v>424</v>
      </c>
      <c r="C186" s="387">
        <v>1319.575</v>
      </c>
      <c r="D186" s="387">
        <v>84.86</v>
      </c>
      <c r="E186" s="387">
        <f t="shared" si="8"/>
        <v>111979.1345</v>
      </c>
      <c r="F186" s="15">
        <f t="shared" si="9"/>
        <v>3.7078755841610371E-3</v>
      </c>
      <c r="G186" s="95">
        <v>2.3568230025925053E-2</v>
      </c>
      <c r="H186" s="15">
        <f t="shared" si="10"/>
        <v>8.7388064675018553E-5</v>
      </c>
      <c r="I186" s="95">
        <v>0.06</v>
      </c>
      <c r="J186" s="15">
        <f t="shared" si="11"/>
        <v>2.2247253504966222E-4</v>
      </c>
      <c r="K186" s="16"/>
      <c r="L186" s="392"/>
    </row>
    <row r="187" spans="1:12">
      <c r="A187" s="1" t="s">
        <v>1146</v>
      </c>
      <c r="B187" s="17" t="s">
        <v>1147</v>
      </c>
      <c r="C187" s="387">
        <v>523.05700000000002</v>
      </c>
      <c r="D187" s="387">
        <v>67.989999999999995</v>
      </c>
      <c r="E187" s="387">
        <f t="shared" si="8"/>
        <v>35562.645429999997</v>
      </c>
      <c r="F187" s="15" t="str">
        <f t="shared" si="9"/>
        <v/>
      </c>
      <c r="G187" s="95">
        <v>1.7649654360935432E-2</v>
      </c>
      <c r="H187" s="15" t="str">
        <f t="shared" si="10"/>
        <v/>
      </c>
      <c r="I187" s="95" t="s">
        <v>719</v>
      </c>
      <c r="J187" s="15" t="str">
        <f t="shared" si="11"/>
        <v/>
      </c>
      <c r="K187" s="16"/>
      <c r="L187" s="392"/>
    </row>
    <row r="188" spans="1:12">
      <c r="A188" s="1" t="s">
        <v>238</v>
      </c>
      <c r="B188" s="17" t="s">
        <v>532</v>
      </c>
      <c r="C188" s="387">
        <v>1125.7539999999999</v>
      </c>
      <c r="D188" s="387">
        <v>70.98</v>
      </c>
      <c r="E188" s="387">
        <f t="shared" si="8"/>
        <v>79906.018920000002</v>
      </c>
      <c r="F188" s="15">
        <f t="shared" si="9"/>
        <v>2.6458641416002185E-3</v>
      </c>
      <c r="G188" s="95">
        <v>5.6353902507748658E-3</v>
      </c>
      <c r="H188" s="15">
        <f t="shared" si="10"/>
        <v>1.4910476988448681E-5</v>
      </c>
      <c r="I188" s="95">
        <v>0.115</v>
      </c>
      <c r="J188" s="15">
        <f t="shared" si="11"/>
        <v>3.0427437628402515E-4</v>
      </c>
      <c r="K188" s="16"/>
      <c r="L188" s="392"/>
    </row>
    <row r="189" spans="1:12">
      <c r="A189" s="1" t="s">
        <v>245</v>
      </c>
      <c r="B189" s="17" t="s">
        <v>539</v>
      </c>
      <c r="C189" s="387">
        <v>169.32499999999999</v>
      </c>
      <c r="D189" s="387">
        <v>232.32</v>
      </c>
      <c r="E189" s="387">
        <f t="shared" si="8"/>
        <v>39337.583999999995</v>
      </c>
      <c r="F189" s="15">
        <f t="shared" si="9"/>
        <v>1.3025539794066176E-3</v>
      </c>
      <c r="G189" s="95">
        <v>1.2224517906336087E-2</v>
      </c>
      <c r="H189" s="15">
        <f t="shared" si="10"/>
        <v>1.5923094445225522E-5</v>
      </c>
      <c r="I189" s="95">
        <v>7.0000000000000007E-2</v>
      </c>
      <c r="J189" s="15">
        <f t="shared" si="11"/>
        <v>9.1178778558463237E-5</v>
      </c>
      <c r="K189" s="16"/>
      <c r="L189" s="392"/>
    </row>
    <row r="190" spans="1:12">
      <c r="A190" s="1" t="s">
        <v>876</v>
      </c>
      <c r="B190" s="17" t="s">
        <v>799</v>
      </c>
      <c r="C190" s="387">
        <v>106.623</v>
      </c>
      <c r="D190" s="387">
        <v>123.86</v>
      </c>
      <c r="E190" s="387">
        <f t="shared" si="8"/>
        <v>13206.324780000001</v>
      </c>
      <c r="F190" s="15">
        <f t="shared" si="9"/>
        <v>4.3729047761360292E-4</v>
      </c>
      <c r="G190" s="95">
        <v>1.5501372517358307E-2</v>
      </c>
      <c r="H190" s="15">
        <f t="shared" si="10"/>
        <v>6.7786025917819922E-6</v>
      </c>
      <c r="I190" s="95">
        <v>0.12</v>
      </c>
      <c r="J190" s="15">
        <f t="shared" si="11"/>
        <v>5.247485731363235E-5</v>
      </c>
      <c r="K190" s="16"/>
      <c r="L190" s="392"/>
    </row>
    <row r="191" spans="1:12">
      <c r="A191" s="1" t="s">
        <v>218</v>
      </c>
      <c r="B191" s="17" t="s">
        <v>510</v>
      </c>
      <c r="C191" s="387">
        <v>96.4</v>
      </c>
      <c r="D191" s="387">
        <v>281.44</v>
      </c>
      <c r="E191" s="387">
        <f t="shared" si="8"/>
        <v>27130.816000000003</v>
      </c>
      <c r="F191" s="15">
        <f t="shared" si="9"/>
        <v>8.9836102657826506E-4</v>
      </c>
      <c r="G191" s="95" t="s">
        <v>719</v>
      </c>
      <c r="H191" s="15" t="str">
        <f t="shared" si="10"/>
        <v/>
      </c>
      <c r="I191" s="95">
        <v>5.5E-2</v>
      </c>
      <c r="J191" s="15">
        <f t="shared" si="11"/>
        <v>4.9409856461804581E-5</v>
      </c>
      <c r="K191" s="16"/>
      <c r="L191" s="392"/>
    </row>
    <row r="192" spans="1:12">
      <c r="A192" s="1" t="s">
        <v>1148</v>
      </c>
      <c r="B192" s="17" t="s">
        <v>544</v>
      </c>
      <c r="C192" s="387">
        <v>799.12599999999998</v>
      </c>
      <c r="D192" s="387">
        <v>54.3</v>
      </c>
      <c r="E192" s="387">
        <f t="shared" si="8"/>
        <v>43392.541799999999</v>
      </c>
      <c r="F192" s="15">
        <f t="shared" si="9"/>
        <v>1.4368225562138741E-3</v>
      </c>
      <c r="G192" s="95">
        <v>4.0515653775322298E-2</v>
      </c>
      <c r="H192" s="15">
        <f t="shared" si="10"/>
        <v>5.8213805224134888E-5</v>
      </c>
      <c r="I192" s="95">
        <v>0.14000000000000001</v>
      </c>
      <c r="J192" s="15">
        <f t="shared" si="11"/>
        <v>2.0115515786994239E-4</v>
      </c>
      <c r="K192" s="16"/>
      <c r="L192" s="392"/>
    </row>
    <row r="193" spans="1:12">
      <c r="A193" s="1" t="s">
        <v>250</v>
      </c>
      <c r="B193" s="17" t="s">
        <v>547</v>
      </c>
      <c r="C193" s="387">
        <v>1278.087</v>
      </c>
      <c r="D193" s="387">
        <v>145.22999999999999</v>
      </c>
      <c r="E193" s="387">
        <f t="shared" si="8"/>
        <v>185616.57500999997</v>
      </c>
      <c r="F193" s="15" t="str">
        <f t="shared" si="9"/>
        <v/>
      </c>
      <c r="G193" s="95">
        <v>7.5741926599187511E-3</v>
      </c>
      <c r="H193" s="15" t="str">
        <f t="shared" si="10"/>
        <v/>
      </c>
      <c r="I193" s="95">
        <v>0.24</v>
      </c>
      <c r="J193" s="15" t="str">
        <f t="shared" si="11"/>
        <v/>
      </c>
      <c r="K193" s="16"/>
      <c r="L193" s="392"/>
    </row>
    <row r="194" spans="1:12">
      <c r="A194" s="1" t="s">
        <v>251</v>
      </c>
      <c r="B194" s="17" t="s">
        <v>548</v>
      </c>
      <c r="C194" s="387">
        <v>392.41</v>
      </c>
      <c r="D194" s="387">
        <v>24.23</v>
      </c>
      <c r="E194" s="387">
        <f t="shared" si="8"/>
        <v>9508.0943000000007</v>
      </c>
      <c r="F194" s="15">
        <f t="shared" si="9"/>
        <v>3.1483392744807053E-4</v>
      </c>
      <c r="G194" s="95">
        <v>3.6318613289310769E-2</v>
      </c>
      <c r="H194" s="15">
        <f t="shared" si="10"/>
        <v>1.1434331661341397E-5</v>
      </c>
      <c r="I194" s="95">
        <v>9.5000000000000001E-2</v>
      </c>
      <c r="J194" s="15">
        <f t="shared" si="11"/>
        <v>2.9909223107566701E-5</v>
      </c>
      <c r="K194" s="16"/>
      <c r="L194" s="392"/>
    </row>
    <row r="195" spans="1:12">
      <c r="A195" s="1" t="s">
        <v>252</v>
      </c>
      <c r="B195" s="17" t="s">
        <v>549</v>
      </c>
      <c r="C195" s="387">
        <v>246.97200000000001</v>
      </c>
      <c r="D195" s="387">
        <v>239.25</v>
      </c>
      <c r="E195" s="387">
        <f t="shared" si="8"/>
        <v>59088.050999999999</v>
      </c>
      <c r="F195" s="15">
        <f t="shared" si="9"/>
        <v>1.9565354081082145E-3</v>
      </c>
      <c r="G195" s="95">
        <v>1.8223615464994777E-2</v>
      </c>
      <c r="H195" s="15">
        <f t="shared" si="10"/>
        <v>3.5655148921010726E-5</v>
      </c>
      <c r="I195" s="95">
        <v>0.1</v>
      </c>
      <c r="J195" s="15">
        <f t="shared" si="11"/>
        <v>1.9565354081082145E-4</v>
      </c>
      <c r="K195" s="16"/>
      <c r="L195" s="392"/>
    </row>
    <row r="196" spans="1:12">
      <c r="A196" s="1" t="s">
        <v>275</v>
      </c>
      <c r="B196" s="17" t="s">
        <v>574</v>
      </c>
      <c r="C196" s="387">
        <v>268.39400000000001</v>
      </c>
      <c r="D196" s="387">
        <v>64.400000000000006</v>
      </c>
      <c r="E196" s="387">
        <f t="shared" si="8"/>
        <v>17284.573600000003</v>
      </c>
      <c r="F196" s="15">
        <f t="shared" si="9"/>
        <v>5.7233027135135124E-4</v>
      </c>
      <c r="G196" s="95">
        <v>3.9130434782608692E-2</v>
      </c>
      <c r="H196" s="15">
        <f t="shared" si="10"/>
        <v>2.2395532357226784E-5</v>
      </c>
      <c r="I196" s="95">
        <v>5.5E-2</v>
      </c>
      <c r="J196" s="15">
        <f t="shared" si="11"/>
        <v>3.1478164924324319E-5</v>
      </c>
      <c r="K196" s="16"/>
      <c r="L196" s="392"/>
    </row>
    <row r="197" spans="1:12">
      <c r="A197" s="1" t="s">
        <v>645</v>
      </c>
      <c r="B197" s="17" t="s">
        <v>646</v>
      </c>
      <c r="C197" s="387">
        <v>343.64299999999997</v>
      </c>
      <c r="D197" s="387">
        <v>81.760000000000005</v>
      </c>
      <c r="E197" s="387">
        <f t="shared" si="8"/>
        <v>28096.251680000001</v>
      </c>
      <c r="F197" s="15">
        <f t="shared" si="9"/>
        <v>9.3032872664965561E-4</v>
      </c>
      <c r="G197" s="95">
        <v>2.9476516634050879E-2</v>
      </c>
      <c r="H197" s="15">
        <f t="shared" si="10"/>
        <v>2.7422850186223945E-5</v>
      </c>
      <c r="I197" s="95">
        <v>6.5000000000000002E-2</v>
      </c>
      <c r="J197" s="15">
        <f t="shared" si="11"/>
        <v>6.0471367232227616E-5</v>
      </c>
      <c r="K197" s="16"/>
      <c r="L197" s="392"/>
    </row>
    <row r="198" spans="1:12">
      <c r="A198" s="1" t="s">
        <v>254</v>
      </c>
      <c r="B198" s="17" t="s">
        <v>551</v>
      </c>
      <c r="C198" s="387">
        <v>160.10900000000001</v>
      </c>
      <c r="D198" s="387">
        <v>360.15</v>
      </c>
      <c r="E198" s="387">
        <f t="shared" si="8"/>
        <v>57663.256349999996</v>
      </c>
      <c r="F198" s="15">
        <f t="shared" si="9"/>
        <v>1.9093573215944429E-3</v>
      </c>
      <c r="G198" s="95">
        <v>1.7437178953213939E-2</v>
      </c>
      <c r="H198" s="15">
        <f t="shared" si="10"/>
        <v>3.3293805302271557E-5</v>
      </c>
      <c r="I198" s="95">
        <v>7.0000000000000007E-2</v>
      </c>
      <c r="J198" s="15">
        <f t="shared" si="11"/>
        <v>1.3365501251161102E-4</v>
      </c>
      <c r="K198" s="16"/>
      <c r="L198" s="392"/>
    </row>
    <row r="199" spans="1:12">
      <c r="A199" s="1" t="s">
        <v>326</v>
      </c>
      <c r="B199" s="17" t="s">
        <v>631</v>
      </c>
      <c r="C199" s="387">
        <v>4106.4110000000001</v>
      </c>
      <c r="D199" s="387">
        <v>46.41</v>
      </c>
      <c r="E199" s="387">
        <f t="shared" si="8"/>
        <v>190578.53451</v>
      </c>
      <c r="F199" s="15" t="str">
        <f t="shared" si="9"/>
        <v/>
      </c>
      <c r="G199" s="95">
        <v>1.7237664296487827E-2</v>
      </c>
      <c r="H199" s="15" t="str">
        <f t="shared" si="10"/>
        <v/>
      </c>
      <c r="I199" s="95">
        <v>-5.0000000000000001E-3</v>
      </c>
      <c r="J199" s="15" t="str">
        <f t="shared" si="11"/>
        <v/>
      </c>
      <c r="K199" s="16"/>
      <c r="L199" s="392"/>
    </row>
    <row r="200" spans="1:12">
      <c r="A200" s="1" t="s">
        <v>256</v>
      </c>
      <c r="B200" s="17" t="s">
        <v>553</v>
      </c>
      <c r="C200" s="387">
        <v>293.69499999999999</v>
      </c>
      <c r="D200" s="387">
        <v>98.49</v>
      </c>
      <c r="E200" s="387">
        <f t="shared" si="8"/>
        <v>28926.020549999997</v>
      </c>
      <c r="F200" s="15">
        <f t="shared" si="9"/>
        <v>9.5780420006983898E-4</v>
      </c>
      <c r="G200" s="95">
        <v>1.6448370392933294E-2</v>
      </c>
      <c r="H200" s="15">
        <f t="shared" si="10"/>
        <v>1.5754318246655898E-5</v>
      </c>
      <c r="I200" s="95">
        <v>0.08</v>
      </c>
      <c r="J200" s="15">
        <f t="shared" si="11"/>
        <v>7.6624336005587127E-5</v>
      </c>
      <c r="K200" s="16"/>
      <c r="L200" s="392"/>
    </row>
    <row r="201" spans="1:12">
      <c r="A201" s="1" t="s">
        <v>676</v>
      </c>
      <c r="B201" s="17" t="s">
        <v>677</v>
      </c>
      <c r="C201" s="387">
        <v>71.052000000000007</v>
      </c>
      <c r="D201" s="387">
        <v>102.79</v>
      </c>
      <c r="E201" s="387">
        <f t="shared" si="8"/>
        <v>7303.4350800000011</v>
      </c>
      <c r="F201" s="15">
        <f t="shared" si="9"/>
        <v>2.418328087152452E-4</v>
      </c>
      <c r="G201" s="95" t="s">
        <v>719</v>
      </c>
      <c r="H201" s="15" t="str">
        <f t="shared" si="10"/>
        <v/>
      </c>
      <c r="I201" s="95">
        <v>0.125</v>
      </c>
      <c r="J201" s="15">
        <f t="shared" si="11"/>
        <v>3.022910108940565E-5</v>
      </c>
      <c r="K201" s="16"/>
      <c r="L201" s="392"/>
    </row>
    <row r="202" spans="1:12">
      <c r="A202" s="1" t="s">
        <v>259</v>
      </c>
      <c r="B202" s="17" t="s">
        <v>556</v>
      </c>
      <c r="C202" s="387">
        <v>933.73500000000001</v>
      </c>
      <c r="D202" s="387">
        <v>29.58</v>
      </c>
      <c r="E202" s="387">
        <f t="shared" si="8"/>
        <v>27619.881299999997</v>
      </c>
      <c r="F202" s="15" t="str">
        <f t="shared" si="9"/>
        <v/>
      </c>
      <c r="G202" s="95">
        <v>1.3522650439486141E-3</v>
      </c>
      <c r="H202" s="15" t="str">
        <f t="shared" si="10"/>
        <v/>
      </c>
      <c r="I202" s="95">
        <v>0.36499999999999999</v>
      </c>
      <c r="J202" s="15" t="str">
        <f t="shared" si="11"/>
        <v/>
      </c>
      <c r="K202" s="16"/>
      <c r="L202" s="392"/>
    </row>
    <row r="203" spans="1:12">
      <c r="A203" s="1" t="s">
        <v>260</v>
      </c>
      <c r="B203" s="17" t="s">
        <v>557</v>
      </c>
      <c r="C203" s="387">
        <v>214.40799999999999</v>
      </c>
      <c r="D203" s="387">
        <v>72.459999999999994</v>
      </c>
      <c r="E203" s="387">
        <f t="shared" si="8"/>
        <v>15536.003679999998</v>
      </c>
      <c r="F203" s="15">
        <f t="shared" si="9"/>
        <v>5.1443127309139909E-4</v>
      </c>
      <c r="G203" s="95">
        <v>3.8642009384487995E-2</v>
      </c>
      <c r="H203" s="15">
        <f t="shared" si="10"/>
        <v>1.9878658082471951E-5</v>
      </c>
      <c r="I203" s="95">
        <v>0.06</v>
      </c>
      <c r="J203" s="15">
        <f t="shared" si="11"/>
        <v>3.0865876385483942E-5</v>
      </c>
      <c r="K203" s="16"/>
      <c r="L203" s="392"/>
    </row>
    <row r="204" spans="1:12">
      <c r="A204" s="1" t="s">
        <v>261</v>
      </c>
      <c r="B204" s="17" t="s">
        <v>558</v>
      </c>
      <c r="C204" s="387">
        <v>445.661</v>
      </c>
      <c r="D204" s="387">
        <v>57.99</v>
      </c>
      <c r="E204" s="387">
        <f t="shared" si="8"/>
        <v>25843.881390000002</v>
      </c>
      <c r="F204" s="15">
        <f t="shared" si="9"/>
        <v>8.5574778938780612E-4</v>
      </c>
      <c r="G204" s="95">
        <v>6.4493878254871531E-2</v>
      </c>
      <c r="H204" s="15">
        <f t="shared" si="10"/>
        <v>5.5190493745652611E-5</v>
      </c>
      <c r="I204" s="95">
        <v>9.5000000000000001E-2</v>
      </c>
      <c r="J204" s="15">
        <f t="shared" si="11"/>
        <v>8.1296039991841587E-5</v>
      </c>
      <c r="K204" s="16"/>
      <c r="L204" s="392"/>
    </row>
    <row r="205" spans="1:12">
      <c r="A205" s="1" t="s">
        <v>811</v>
      </c>
      <c r="B205" s="17" t="s">
        <v>812</v>
      </c>
      <c r="C205" s="387">
        <v>205.78800000000001</v>
      </c>
      <c r="D205" s="387">
        <v>92.28</v>
      </c>
      <c r="E205" s="387">
        <f t="shared" si="8"/>
        <v>18990.11664</v>
      </c>
      <c r="F205" s="15">
        <f t="shared" si="9"/>
        <v>6.2880455492202636E-4</v>
      </c>
      <c r="G205" s="95">
        <v>1.1270047680970958E-2</v>
      </c>
      <c r="H205" s="15">
        <f t="shared" si="10"/>
        <v>7.0866573159829586E-6</v>
      </c>
      <c r="I205" s="95">
        <v>6.5000000000000002E-2</v>
      </c>
      <c r="J205" s="15">
        <f t="shared" si="11"/>
        <v>4.0872296069931712E-5</v>
      </c>
      <c r="K205" s="16"/>
      <c r="L205" s="392"/>
    </row>
    <row r="206" spans="1:12">
      <c r="A206" s="1" t="s">
        <v>678</v>
      </c>
      <c r="B206" s="17" t="s">
        <v>561</v>
      </c>
      <c r="C206" s="387">
        <v>128.55699999999999</v>
      </c>
      <c r="D206" s="387">
        <v>279.62</v>
      </c>
      <c r="E206" s="387">
        <f t="shared" si="8"/>
        <v>35947.108339999999</v>
      </c>
      <c r="F206" s="15">
        <f t="shared" si="9"/>
        <v>1.1902878686303616E-3</v>
      </c>
      <c r="G206" s="95">
        <v>1.4734282240183106E-2</v>
      </c>
      <c r="H206" s="15">
        <f t="shared" si="10"/>
        <v>1.7538037403465738E-5</v>
      </c>
      <c r="I206" s="95">
        <v>0.13</v>
      </c>
      <c r="J206" s="15">
        <f t="shared" si="11"/>
        <v>1.5473742292194701E-4</v>
      </c>
      <c r="K206" s="16"/>
      <c r="L206" s="392"/>
    </row>
    <row r="207" spans="1:12">
      <c r="A207" s="1" t="s">
        <v>1149</v>
      </c>
      <c r="B207" s="17" t="s">
        <v>1150</v>
      </c>
      <c r="C207" s="387">
        <v>492.07900000000001</v>
      </c>
      <c r="D207" s="387">
        <v>35.33</v>
      </c>
      <c r="E207" s="387">
        <f t="shared" si="8"/>
        <v>17385.15107</v>
      </c>
      <c r="F207" s="15">
        <f t="shared" si="9"/>
        <v>5.7566061273142037E-4</v>
      </c>
      <c r="G207" s="95">
        <v>9.0574582507783764E-3</v>
      </c>
      <c r="H207" s="15">
        <f t="shared" si="10"/>
        <v>5.214021966432339E-6</v>
      </c>
      <c r="I207" s="95">
        <v>0.115</v>
      </c>
      <c r="J207" s="15">
        <f t="shared" si="11"/>
        <v>6.620097046411335E-5</v>
      </c>
      <c r="K207" s="16"/>
      <c r="L207" s="392"/>
    </row>
    <row r="208" spans="1:12">
      <c r="A208" s="1" t="s">
        <v>274</v>
      </c>
      <c r="B208" s="17" t="s">
        <v>573</v>
      </c>
      <c r="C208" s="387">
        <v>769.60599999999999</v>
      </c>
      <c r="D208" s="387">
        <v>27.88</v>
      </c>
      <c r="E208" s="387">
        <f t="shared" si="8"/>
        <v>21456.615279999998</v>
      </c>
      <c r="F208" s="15" t="str">
        <f t="shared" si="9"/>
        <v/>
      </c>
      <c r="G208" s="95">
        <v>5.954088952654233E-2</v>
      </c>
      <c r="H208" s="15" t="str">
        <f t="shared" si="10"/>
        <v/>
      </c>
      <c r="I208" s="95">
        <v>-7.0000000000000007E-2</v>
      </c>
      <c r="J208" s="15" t="str">
        <f t="shared" si="11"/>
        <v/>
      </c>
      <c r="K208" s="16"/>
      <c r="L208" s="392"/>
    </row>
    <row r="209" spans="1:12">
      <c r="A209" s="1" t="s">
        <v>138</v>
      </c>
      <c r="B209" s="17" t="s">
        <v>416</v>
      </c>
      <c r="C209" s="387">
        <v>1339.0820000000001</v>
      </c>
      <c r="D209" s="387">
        <v>67.77</v>
      </c>
      <c r="E209" s="387">
        <f t="shared" si="8"/>
        <v>90749.587140000003</v>
      </c>
      <c r="F209" s="15">
        <f t="shared" si="9"/>
        <v>3.0049185496169419E-3</v>
      </c>
      <c r="G209" s="95">
        <v>2.7150656632728344E-2</v>
      </c>
      <c r="H209" s="15">
        <f t="shared" si="10"/>
        <v>8.1585511749965658E-5</v>
      </c>
      <c r="I209" s="95">
        <v>0.13500000000000001</v>
      </c>
      <c r="J209" s="15">
        <f t="shared" si="11"/>
        <v>4.056640041982872E-4</v>
      </c>
      <c r="K209" s="16"/>
      <c r="L209" s="392"/>
    </row>
    <row r="210" spans="1:12">
      <c r="A210" s="1" t="s">
        <v>282</v>
      </c>
      <c r="B210" s="17" t="s">
        <v>581</v>
      </c>
      <c r="C210" s="387">
        <v>259.524</v>
      </c>
      <c r="D210" s="387">
        <v>45.92</v>
      </c>
      <c r="E210" s="387">
        <f t="shared" si="8"/>
        <v>11917.34208</v>
      </c>
      <c r="F210" s="15">
        <f t="shared" si="9"/>
        <v>3.9460942365585896E-4</v>
      </c>
      <c r="G210" s="95">
        <v>1.2195121951219513E-2</v>
      </c>
      <c r="H210" s="15">
        <f t="shared" si="10"/>
        <v>4.8123100445836456E-6</v>
      </c>
      <c r="I210" s="95">
        <v>0.125</v>
      </c>
      <c r="J210" s="15">
        <f t="shared" si="11"/>
        <v>4.932617795698237E-5</v>
      </c>
      <c r="K210" s="16"/>
      <c r="L210" s="392"/>
    </row>
    <row r="211" spans="1:12">
      <c r="A211" s="1" t="s">
        <v>271</v>
      </c>
      <c r="B211" s="17" t="s">
        <v>20</v>
      </c>
      <c r="C211" s="387">
        <v>112.786</v>
      </c>
      <c r="D211" s="387">
        <v>72.36</v>
      </c>
      <c r="E211" s="387">
        <f t="shared" si="8"/>
        <v>8161.1949599999998</v>
      </c>
      <c r="F211" s="15">
        <f t="shared" si="9"/>
        <v>2.7023512607844019E-4</v>
      </c>
      <c r="G211" s="95">
        <v>4.5881702598120508E-2</v>
      </c>
      <c r="H211" s="15">
        <f t="shared" si="10"/>
        <v>1.2398847686296591E-5</v>
      </c>
      <c r="I211" s="95">
        <v>0.05</v>
      </c>
      <c r="J211" s="15">
        <f t="shared" si="11"/>
        <v>1.3511756303922009E-5</v>
      </c>
      <c r="K211" s="16"/>
      <c r="L211" s="392"/>
    </row>
    <row r="212" spans="1:12">
      <c r="A212" s="1" t="s">
        <v>679</v>
      </c>
      <c r="B212" s="17" t="s">
        <v>571</v>
      </c>
      <c r="C212" s="387">
        <v>424.99299999999999</v>
      </c>
      <c r="D212" s="387">
        <v>195.64</v>
      </c>
      <c r="E212" s="387">
        <f t="shared" ref="E212:E275" si="12">IFERROR(C212*D212,"")</f>
        <v>83145.630519999992</v>
      </c>
      <c r="F212" s="15">
        <f t="shared" ref="F212:F275" si="13">IF(AND(ISNUMBER($I212)), IF(AND($I212&lt;=20%,$I212&gt;0%), $E212/SUMIFS($E$19:$E$523,$I$19:$I$523, "&gt;"&amp;0%,$I$19:$I$523, "&lt;="&amp;20%),""),"")</f>
        <v>2.753134811332041E-3</v>
      </c>
      <c r="G212" s="95">
        <v>2.555714577795952E-2</v>
      </c>
      <c r="H212" s="15">
        <f t="shared" ref="H212:H275" si="14">IFERROR($G212*$F212,"")</f>
        <v>7.036226771958805E-5</v>
      </c>
      <c r="I212" s="95">
        <v>0.1</v>
      </c>
      <c r="J212" s="15">
        <f t="shared" ref="J212:J275" si="15">IFERROR($I212*$F212,"")</f>
        <v>2.7531348113320409E-4</v>
      </c>
      <c r="K212" s="16"/>
      <c r="L212" s="392"/>
    </row>
    <row r="213" spans="1:12">
      <c r="A213" s="1" t="s">
        <v>273</v>
      </c>
      <c r="B213" s="17" t="s">
        <v>572</v>
      </c>
      <c r="C213" s="387">
        <v>237.357</v>
      </c>
      <c r="D213" s="387">
        <v>143.01</v>
      </c>
      <c r="E213" s="387">
        <f t="shared" si="12"/>
        <v>33944.424569999996</v>
      </c>
      <c r="F213" s="15">
        <f t="shared" si="13"/>
        <v>1.1239746015495324E-3</v>
      </c>
      <c r="G213" s="95">
        <v>1.650234249353192E-2</v>
      </c>
      <c r="H213" s="15">
        <f t="shared" si="14"/>
        <v>1.8548213828801456E-5</v>
      </c>
      <c r="I213" s="95">
        <v>0.03</v>
      </c>
      <c r="J213" s="15">
        <f t="shared" si="15"/>
        <v>3.3719238046485972E-5</v>
      </c>
      <c r="K213" s="16"/>
      <c r="L213" s="392"/>
    </row>
    <row r="214" spans="1:12">
      <c r="A214" s="1" t="s">
        <v>277</v>
      </c>
      <c r="B214" s="17" t="s">
        <v>576</v>
      </c>
      <c r="C214" s="387">
        <v>585.29999999999995</v>
      </c>
      <c r="D214" s="387">
        <v>90.39</v>
      </c>
      <c r="E214" s="387">
        <f t="shared" si="12"/>
        <v>52905.267</v>
      </c>
      <c r="F214" s="15">
        <f t="shared" si="13"/>
        <v>1.751809822952513E-3</v>
      </c>
      <c r="G214" s="95">
        <v>4.4252682818895894E-3</v>
      </c>
      <c r="H214" s="15">
        <f t="shared" si="14"/>
        <v>7.7522284454143726E-6</v>
      </c>
      <c r="I214" s="95">
        <v>0.05</v>
      </c>
      <c r="J214" s="15">
        <f t="shared" si="15"/>
        <v>8.7590491147625655E-5</v>
      </c>
      <c r="K214" s="16"/>
      <c r="L214" s="392"/>
    </row>
    <row r="215" spans="1:12">
      <c r="A215" s="1" t="s">
        <v>280</v>
      </c>
      <c r="B215" s="17" t="s">
        <v>579</v>
      </c>
      <c r="C215" s="387">
        <v>505.577</v>
      </c>
      <c r="D215" s="387">
        <v>60.9</v>
      </c>
      <c r="E215" s="387">
        <f t="shared" si="12"/>
        <v>30789.639299999999</v>
      </c>
      <c r="F215" s="15">
        <f t="shared" si="13"/>
        <v>1.0195127182876657E-3</v>
      </c>
      <c r="G215" s="95">
        <v>3.3497536945812811E-2</v>
      </c>
      <c r="H215" s="15">
        <f t="shared" si="14"/>
        <v>3.4151164947567126E-5</v>
      </c>
      <c r="I215" s="95">
        <v>3.5000000000000003E-2</v>
      </c>
      <c r="J215" s="15">
        <f t="shared" si="15"/>
        <v>3.5682945140068302E-5</v>
      </c>
      <c r="K215" s="16"/>
      <c r="L215" s="392"/>
    </row>
    <row r="216" spans="1:12">
      <c r="A216" s="1" t="s">
        <v>289</v>
      </c>
      <c r="B216" s="17" t="s">
        <v>588</v>
      </c>
      <c r="C216" s="387">
        <v>111.97</v>
      </c>
      <c r="D216" s="387">
        <v>100.33</v>
      </c>
      <c r="E216" s="387">
        <f t="shared" si="12"/>
        <v>11233.9501</v>
      </c>
      <c r="F216" s="15">
        <f t="shared" si="13"/>
        <v>3.7198081120615769E-4</v>
      </c>
      <c r="G216" s="95">
        <v>1.5150004983554271E-2</v>
      </c>
      <c r="H216" s="15">
        <f t="shared" si="14"/>
        <v>5.6355111435598498E-6</v>
      </c>
      <c r="I216" s="95">
        <v>7.4999999999999997E-2</v>
      </c>
      <c r="J216" s="15">
        <f t="shared" si="15"/>
        <v>2.7898560840461826E-5</v>
      </c>
      <c r="K216" s="16"/>
      <c r="L216" s="392"/>
    </row>
    <row r="217" spans="1:12">
      <c r="A217" s="1" t="s">
        <v>159</v>
      </c>
      <c r="B217" s="17" t="s">
        <v>443</v>
      </c>
      <c r="C217" s="387">
        <v>379.70499999999998</v>
      </c>
      <c r="D217" s="387">
        <v>55.47</v>
      </c>
      <c r="E217" s="387">
        <f t="shared" si="12"/>
        <v>21062.236349999999</v>
      </c>
      <c r="F217" s="15" t="str">
        <f t="shared" si="13"/>
        <v/>
      </c>
      <c r="G217" s="95">
        <v>4.7773571299801691E-2</v>
      </c>
      <c r="H217" s="15" t="str">
        <f t="shared" si="14"/>
        <v/>
      </c>
      <c r="I217" s="95" t="s">
        <v>719</v>
      </c>
      <c r="J217" s="15" t="str">
        <f t="shared" si="15"/>
        <v/>
      </c>
      <c r="K217" s="16"/>
      <c r="L217" s="392"/>
    </row>
    <row r="218" spans="1:12">
      <c r="A218" s="1" t="s">
        <v>1151</v>
      </c>
      <c r="B218" s="17" t="s">
        <v>593</v>
      </c>
      <c r="C218" s="387">
        <v>1398.433</v>
      </c>
      <c r="D218" s="387">
        <v>29.64</v>
      </c>
      <c r="E218" s="387">
        <f t="shared" si="12"/>
        <v>41449.554120000001</v>
      </c>
      <c r="F218" s="15">
        <f t="shared" si="13"/>
        <v>1.3724859580506003E-3</v>
      </c>
      <c r="G218" s="95">
        <v>1.6869095816464237E-2</v>
      </c>
      <c r="H218" s="15">
        <f t="shared" si="14"/>
        <v>2.3152597133107292E-5</v>
      </c>
      <c r="I218" s="95">
        <v>8.5000000000000006E-2</v>
      </c>
      <c r="J218" s="15">
        <f t="shared" si="15"/>
        <v>1.1666130643430104E-4</v>
      </c>
      <c r="K218" s="16"/>
      <c r="L218" s="392"/>
    </row>
    <row r="219" spans="1:12">
      <c r="A219" s="1" t="s">
        <v>123</v>
      </c>
      <c r="B219" s="17" t="s">
        <v>397</v>
      </c>
      <c r="C219" s="387">
        <v>1808.7090000000001</v>
      </c>
      <c r="D219" s="387">
        <v>72.84</v>
      </c>
      <c r="E219" s="387">
        <f t="shared" si="12"/>
        <v>131746.36356</v>
      </c>
      <c r="F219" s="15">
        <f t="shared" si="13"/>
        <v>4.3624120415587542E-3</v>
      </c>
      <c r="G219" s="95">
        <v>9.8846787479406912E-3</v>
      </c>
      <c r="H219" s="15">
        <f t="shared" si="14"/>
        <v>4.3121041596956385E-5</v>
      </c>
      <c r="I219" s="95">
        <v>7.0000000000000007E-2</v>
      </c>
      <c r="J219" s="15">
        <f t="shared" si="15"/>
        <v>3.0536884290911282E-4</v>
      </c>
      <c r="K219" s="16"/>
      <c r="L219" s="392"/>
    </row>
    <row r="220" spans="1:12">
      <c r="A220" s="1" t="s">
        <v>294</v>
      </c>
      <c r="B220" s="17" t="s">
        <v>597</v>
      </c>
      <c r="C220" s="387">
        <v>263.30200000000002</v>
      </c>
      <c r="D220" s="387">
        <v>279.73</v>
      </c>
      <c r="E220" s="387">
        <f t="shared" si="12"/>
        <v>73653.468460000004</v>
      </c>
      <c r="F220" s="15">
        <f t="shared" si="13"/>
        <v>2.4388284354136445E-3</v>
      </c>
      <c r="G220" s="95">
        <v>7.8647267007471485E-3</v>
      </c>
      <c r="H220" s="15">
        <f t="shared" si="14"/>
        <v>1.9180719114539081E-5</v>
      </c>
      <c r="I220" s="95">
        <v>0.105</v>
      </c>
      <c r="J220" s="15">
        <f t="shared" si="15"/>
        <v>2.5607698571843265E-4</v>
      </c>
      <c r="K220" s="16"/>
      <c r="L220" s="392"/>
    </row>
    <row r="221" spans="1:12">
      <c r="A221" s="1" t="s">
        <v>1152</v>
      </c>
      <c r="B221" s="17" t="s">
        <v>1153</v>
      </c>
      <c r="C221" s="387">
        <v>73.978999999999999</v>
      </c>
      <c r="D221" s="387">
        <v>424.54</v>
      </c>
      <c r="E221" s="387">
        <f t="shared" si="12"/>
        <v>31407.04466</v>
      </c>
      <c r="F221" s="15">
        <f t="shared" si="13"/>
        <v>1.0399563685274714E-3</v>
      </c>
      <c r="G221" s="95">
        <v>1.6017336411174449E-3</v>
      </c>
      <c r="H221" s="15">
        <f t="shared" si="14"/>
        <v>1.6657331007647822E-6</v>
      </c>
      <c r="I221" s="95">
        <v>0.17</v>
      </c>
      <c r="J221" s="15">
        <f t="shared" si="15"/>
        <v>1.7679258264967015E-4</v>
      </c>
      <c r="K221" s="16"/>
      <c r="L221" s="392"/>
    </row>
    <row r="222" spans="1:12">
      <c r="A222" s="1" t="s">
        <v>1154</v>
      </c>
      <c r="B222" s="17" t="s">
        <v>498</v>
      </c>
      <c r="C222" s="387">
        <v>108.35899999999999</v>
      </c>
      <c r="D222" s="387">
        <v>120.03</v>
      </c>
      <c r="E222" s="387">
        <f t="shared" si="12"/>
        <v>13006.330769999999</v>
      </c>
      <c r="F222" s="15">
        <f t="shared" si="13"/>
        <v>4.3066823580070995E-4</v>
      </c>
      <c r="G222" s="95">
        <v>3.29917520619845E-2</v>
      </c>
      <c r="H222" s="15">
        <f t="shared" si="14"/>
        <v>1.42084996565093E-5</v>
      </c>
      <c r="I222" s="95">
        <v>0.04</v>
      </c>
      <c r="J222" s="15">
        <f t="shared" si="15"/>
        <v>1.7226729432028397E-5</v>
      </c>
      <c r="K222" s="16"/>
      <c r="L222" s="392"/>
    </row>
    <row r="223" spans="1:12">
      <c r="A223" s="1" t="s">
        <v>296</v>
      </c>
      <c r="B223" s="17" t="s">
        <v>599</v>
      </c>
      <c r="C223" s="387">
        <v>53.970999999999997</v>
      </c>
      <c r="D223" s="387">
        <v>208.95</v>
      </c>
      <c r="E223" s="387">
        <f t="shared" si="12"/>
        <v>11277.240449999999</v>
      </c>
      <c r="F223" s="15">
        <f t="shared" si="13"/>
        <v>3.7341424996697239E-4</v>
      </c>
      <c r="G223" s="95">
        <v>2.354630294328787E-2</v>
      </c>
      <c r="H223" s="15">
        <f t="shared" si="14"/>
        <v>8.7925250530629543E-6</v>
      </c>
      <c r="I223" s="95">
        <v>4.4999999999999998E-2</v>
      </c>
      <c r="J223" s="15">
        <f t="shared" si="15"/>
        <v>1.6803641248513756E-5</v>
      </c>
      <c r="K223" s="16"/>
      <c r="L223" s="392"/>
    </row>
    <row r="224" spans="1:12">
      <c r="A224" s="1" t="s">
        <v>680</v>
      </c>
      <c r="B224" s="17" t="s">
        <v>681</v>
      </c>
      <c r="C224" s="387">
        <v>231.20599999999999</v>
      </c>
      <c r="D224" s="387">
        <v>124.01</v>
      </c>
      <c r="E224" s="387">
        <f t="shared" si="12"/>
        <v>28671.856059999998</v>
      </c>
      <c r="F224" s="15">
        <f t="shared" si="13"/>
        <v>9.4938825444711454E-4</v>
      </c>
      <c r="G224" s="95">
        <v>6.4510926538182403E-3</v>
      </c>
      <c r="H224" s="15">
        <f t="shared" si="14"/>
        <v>6.1245915938851029E-6</v>
      </c>
      <c r="I224" s="95">
        <v>0.1</v>
      </c>
      <c r="J224" s="15">
        <f t="shared" si="15"/>
        <v>9.4938825444711462E-5</v>
      </c>
      <c r="K224" s="16"/>
      <c r="L224" s="392"/>
    </row>
    <row r="225" spans="1:12">
      <c r="A225" s="1" t="s">
        <v>297</v>
      </c>
      <c r="B225" s="17" t="s">
        <v>21</v>
      </c>
      <c r="C225" s="387">
        <v>1059.6610000000001</v>
      </c>
      <c r="D225" s="387">
        <v>61.97</v>
      </c>
      <c r="E225" s="387">
        <f t="shared" si="12"/>
        <v>65667.192170000009</v>
      </c>
      <c r="F225" s="15">
        <f t="shared" si="13"/>
        <v>2.1743852514555188E-3</v>
      </c>
      <c r="G225" s="95">
        <v>4.2601258673551717E-2</v>
      </c>
      <c r="H225" s="15">
        <f t="shared" si="14"/>
        <v>9.263154855321235E-5</v>
      </c>
      <c r="I225" s="95">
        <v>0.06</v>
      </c>
      <c r="J225" s="15">
        <f t="shared" si="15"/>
        <v>1.3046311508733112E-4</v>
      </c>
      <c r="K225" s="16"/>
      <c r="L225" s="392"/>
    </row>
    <row r="226" spans="1:12">
      <c r="A226" s="1" t="s">
        <v>1155</v>
      </c>
      <c r="B226" s="17" t="s">
        <v>1156</v>
      </c>
      <c r="C226" s="387">
        <v>1334.8309999999999</v>
      </c>
      <c r="D226" s="387">
        <v>58.65</v>
      </c>
      <c r="E226" s="387">
        <f t="shared" si="12"/>
        <v>78287.838149999996</v>
      </c>
      <c r="F226" s="15">
        <f t="shared" si="13"/>
        <v>2.5922826150539318E-3</v>
      </c>
      <c r="G226" s="95">
        <v>3.2736572890025573E-2</v>
      </c>
      <c r="H226" s="15">
        <f t="shared" si="14"/>
        <v>8.4862448779259145E-5</v>
      </c>
      <c r="I226" s="95">
        <v>7.0000000000000007E-2</v>
      </c>
      <c r="J226" s="15">
        <f t="shared" si="15"/>
        <v>1.8145978305377525E-4</v>
      </c>
      <c r="K226" s="16"/>
      <c r="L226" s="392"/>
    </row>
    <row r="227" spans="1:12">
      <c r="A227" s="1" t="s">
        <v>298</v>
      </c>
      <c r="B227" s="17" t="s">
        <v>600</v>
      </c>
      <c r="C227" s="387">
        <v>591.64499999999998</v>
      </c>
      <c r="D227" s="387">
        <v>51.43</v>
      </c>
      <c r="E227" s="387">
        <f t="shared" si="12"/>
        <v>30428.302349999998</v>
      </c>
      <c r="F227" s="15" t="str">
        <f t="shared" si="13"/>
        <v/>
      </c>
      <c r="G227" s="95" t="s">
        <v>719</v>
      </c>
      <c r="H227" s="15" t="str">
        <f t="shared" si="14"/>
        <v/>
      </c>
      <c r="I227" s="95">
        <v>0.34499999999999997</v>
      </c>
      <c r="J227" s="15" t="str">
        <f t="shared" si="15"/>
        <v/>
      </c>
      <c r="K227" s="16"/>
      <c r="L227" s="392"/>
    </row>
    <row r="228" spans="1:12">
      <c r="A228" s="1" t="s">
        <v>1157</v>
      </c>
      <c r="B228" s="17" t="s">
        <v>1158</v>
      </c>
      <c r="C228" s="387">
        <v>177.53</v>
      </c>
      <c r="D228" s="387">
        <v>73.180000000000007</v>
      </c>
      <c r="E228" s="387">
        <f t="shared" si="12"/>
        <v>12991.645400000001</v>
      </c>
      <c r="F228" s="15">
        <f t="shared" si="13"/>
        <v>4.3018197088081668E-4</v>
      </c>
      <c r="G228" s="95">
        <v>7.1057666028969653E-3</v>
      </c>
      <c r="H228" s="15">
        <f t="shared" si="14"/>
        <v>3.0567726818533018E-6</v>
      </c>
      <c r="I228" s="95">
        <v>0.14499999999999999</v>
      </c>
      <c r="J228" s="15">
        <f t="shared" si="15"/>
        <v>6.2376385777718419E-5</v>
      </c>
      <c r="K228" s="16"/>
      <c r="L228" s="392"/>
    </row>
    <row r="229" spans="1:12">
      <c r="A229" s="1" t="s">
        <v>299</v>
      </c>
      <c r="B229" s="17" t="s">
        <v>601</v>
      </c>
      <c r="C229" s="387">
        <v>162.96199999999999</v>
      </c>
      <c r="D229" s="387">
        <v>175.31</v>
      </c>
      <c r="E229" s="387">
        <f t="shared" si="12"/>
        <v>28568.868219999997</v>
      </c>
      <c r="F229" s="15">
        <f t="shared" si="13"/>
        <v>9.4597810041166356E-4</v>
      </c>
      <c r="G229" s="95">
        <v>1.8025212480748388E-2</v>
      </c>
      <c r="H229" s="15">
        <f t="shared" si="14"/>
        <v>1.7051456262054969E-5</v>
      </c>
      <c r="I229" s="95">
        <v>0.06</v>
      </c>
      <c r="J229" s="15">
        <f t="shared" si="15"/>
        <v>5.675868602469981E-5</v>
      </c>
      <c r="K229" s="16"/>
      <c r="L229" s="392"/>
    </row>
    <row r="230" spans="1:12">
      <c r="A230" s="1" t="s">
        <v>281</v>
      </c>
      <c r="B230" s="17" t="s">
        <v>580</v>
      </c>
      <c r="C230" s="387">
        <v>175.22800000000001</v>
      </c>
      <c r="D230" s="387">
        <v>297.10000000000002</v>
      </c>
      <c r="E230" s="387">
        <f t="shared" si="12"/>
        <v>52060.238800000006</v>
      </c>
      <c r="F230" s="15">
        <f t="shared" si="13"/>
        <v>1.7238290795336796E-3</v>
      </c>
      <c r="G230" s="95">
        <v>2.6926960619320092E-2</v>
      </c>
      <c r="H230" s="15">
        <f t="shared" si="14"/>
        <v>4.6417477739042194E-5</v>
      </c>
      <c r="I230" s="95">
        <v>2.5000000000000001E-2</v>
      </c>
      <c r="J230" s="15">
        <f t="shared" si="15"/>
        <v>4.3095726988341996E-5</v>
      </c>
      <c r="K230" s="16"/>
      <c r="L230" s="392"/>
    </row>
    <row r="231" spans="1:12">
      <c r="A231" s="1" t="s">
        <v>1159</v>
      </c>
      <c r="B231" s="17" t="s">
        <v>1160</v>
      </c>
      <c r="C231" s="387">
        <v>76.716999999999999</v>
      </c>
      <c r="D231" s="387">
        <v>343.64</v>
      </c>
      <c r="E231" s="387">
        <f t="shared" si="12"/>
        <v>26363.029879999998</v>
      </c>
      <c r="F231" s="15">
        <f t="shared" si="13"/>
        <v>8.7293793842066058E-4</v>
      </c>
      <c r="G231" s="95" t="s">
        <v>719</v>
      </c>
      <c r="H231" s="15" t="str">
        <f t="shared" si="14"/>
        <v/>
      </c>
      <c r="I231" s="95">
        <v>4.4999999999999998E-2</v>
      </c>
      <c r="J231" s="15">
        <f t="shared" si="15"/>
        <v>3.9282207228929723E-5</v>
      </c>
      <c r="K231" s="16"/>
      <c r="L231" s="392"/>
    </row>
    <row r="232" spans="1:12">
      <c r="A232" s="1" t="s">
        <v>303</v>
      </c>
      <c r="B232" s="17" t="s">
        <v>605</v>
      </c>
      <c r="C232" s="387">
        <v>512.08199999999999</v>
      </c>
      <c r="D232" s="387">
        <v>78.5</v>
      </c>
      <c r="E232" s="387">
        <f t="shared" si="12"/>
        <v>40198.436999999998</v>
      </c>
      <c r="F232" s="15">
        <f t="shared" si="13"/>
        <v>1.3310587167802734E-3</v>
      </c>
      <c r="G232" s="95">
        <v>2.3949044585987261E-2</v>
      </c>
      <c r="H232" s="15">
        <f t="shared" si="14"/>
        <v>3.1877584554737758E-5</v>
      </c>
      <c r="I232" s="95">
        <v>0.1</v>
      </c>
      <c r="J232" s="15">
        <f t="shared" si="15"/>
        <v>1.3310587167802735E-4</v>
      </c>
      <c r="K232" s="16"/>
      <c r="L232" s="392"/>
    </row>
    <row r="233" spans="1:12">
      <c r="A233" s="1" t="s">
        <v>1161</v>
      </c>
      <c r="B233" s="17" t="s">
        <v>1162</v>
      </c>
      <c r="C233" s="387">
        <v>734.42100000000005</v>
      </c>
      <c r="D233" s="387">
        <v>42.08</v>
      </c>
      <c r="E233" s="387">
        <f t="shared" si="12"/>
        <v>30904.435680000002</v>
      </c>
      <c r="F233" s="15" t="str">
        <f t="shared" si="13"/>
        <v/>
      </c>
      <c r="G233" s="95">
        <v>1.3307984790874526E-2</v>
      </c>
      <c r="H233" s="15" t="str">
        <f t="shared" si="14"/>
        <v/>
      </c>
      <c r="I233" s="95" t="s">
        <v>719</v>
      </c>
      <c r="J233" s="15" t="str">
        <f t="shared" si="15"/>
        <v/>
      </c>
      <c r="K233" s="16"/>
      <c r="L233" s="392"/>
    </row>
    <row r="234" spans="1:12">
      <c r="A234" s="1" t="s">
        <v>307</v>
      </c>
      <c r="B234" s="17" t="s">
        <v>609</v>
      </c>
      <c r="C234" s="387">
        <v>923.21</v>
      </c>
      <c r="D234" s="387">
        <v>192.21</v>
      </c>
      <c r="E234" s="387">
        <f t="shared" si="12"/>
        <v>177450.19410000002</v>
      </c>
      <c r="F234" s="15">
        <f t="shared" si="13"/>
        <v>5.8757664545802234E-3</v>
      </c>
      <c r="G234" s="95">
        <v>2.3932157536028301E-2</v>
      </c>
      <c r="H234" s="15">
        <f t="shared" si="14"/>
        <v>1.4061976843592438E-4</v>
      </c>
      <c r="I234" s="95">
        <v>0.09</v>
      </c>
      <c r="J234" s="15">
        <f t="shared" si="15"/>
        <v>5.2881898091222007E-4</v>
      </c>
      <c r="K234" s="16"/>
      <c r="L234" s="392"/>
    </row>
    <row r="235" spans="1:12">
      <c r="A235" s="1" t="s">
        <v>308</v>
      </c>
      <c r="B235" s="17" t="s">
        <v>610</v>
      </c>
      <c r="C235" s="387">
        <v>224.13800000000001</v>
      </c>
      <c r="D235" s="387">
        <v>69.81</v>
      </c>
      <c r="E235" s="387">
        <f t="shared" si="12"/>
        <v>15647.073780000001</v>
      </c>
      <c r="F235" s="15">
        <f t="shared" si="13"/>
        <v>5.1810904854268495E-4</v>
      </c>
      <c r="G235" s="95">
        <v>1.1459676264145538E-3</v>
      </c>
      <c r="H235" s="15">
        <f t="shared" si="14"/>
        <v>5.9373619658236357E-7</v>
      </c>
      <c r="I235" s="95">
        <v>0.08</v>
      </c>
      <c r="J235" s="15">
        <f t="shared" si="15"/>
        <v>4.1448723883414799E-5</v>
      </c>
      <c r="K235" s="16"/>
      <c r="L235" s="392"/>
    </row>
    <row r="236" spans="1:12">
      <c r="A236" s="1" t="s">
        <v>309</v>
      </c>
      <c r="B236" s="17" t="s">
        <v>611</v>
      </c>
      <c r="C236" s="387">
        <v>393.41899999999998</v>
      </c>
      <c r="D236" s="387">
        <v>571.33000000000004</v>
      </c>
      <c r="E236" s="387">
        <f t="shared" si="12"/>
        <v>224772.07727000001</v>
      </c>
      <c r="F236" s="15">
        <f t="shared" si="13"/>
        <v>7.4426981511505706E-3</v>
      </c>
      <c r="G236" s="95">
        <v>1.8203140041657185E-3</v>
      </c>
      <c r="H236" s="15">
        <f t="shared" si="14"/>
        <v>1.3548047673317686E-5</v>
      </c>
      <c r="I236" s="95">
        <v>0.14499999999999999</v>
      </c>
      <c r="J236" s="15">
        <f t="shared" si="15"/>
        <v>1.0791912319168327E-3</v>
      </c>
      <c r="K236" s="16"/>
      <c r="L236" s="392"/>
    </row>
    <row r="237" spans="1:12">
      <c r="A237" s="1" t="s">
        <v>682</v>
      </c>
      <c r="B237" s="17" t="s">
        <v>612</v>
      </c>
      <c r="C237" s="387">
        <v>1202.539</v>
      </c>
      <c r="D237" s="387">
        <v>65.98</v>
      </c>
      <c r="E237" s="387">
        <f t="shared" si="12"/>
        <v>79343.523220000003</v>
      </c>
      <c r="F237" s="15">
        <f t="shared" si="13"/>
        <v>2.6272386710468128E-3</v>
      </c>
      <c r="G237" s="95">
        <v>1.5762352227947862E-2</v>
      </c>
      <c r="H237" s="15">
        <f t="shared" si="14"/>
        <v>4.1411461319925511E-5</v>
      </c>
      <c r="I237" s="95">
        <v>0.12</v>
      </c>
      <c r="J237" s="15">
        <f t="shared" si="15"/>
        <v>3.1526864052561752E-4</v>
      </c>
      <c r="K237" s="16"/>
      <c r="L237" s="392"/>
    </row>
    <row r="238" spans="1:12">
      <c r="A238" s="1" t="s">
        <v>1163</v>
      </c>
      <c r="B238" s="17" t="s">
        <v>1164</v>
      </c>
      <c r="C238" s="387">
        <v>101.721</v>
      </c>
      <c r="D238" s="387">
        <v>89.03</v>
      </c>
      <c r="E238" s="387">
        <f t="shared" si="12"/>
        <v>9056.2206299999998</v>
      </c>
      <c r="F238" s="15">
        <f t="shared" si="13"/>
        <v>2.9987139576214962E-4</v>
      </c>
      <c r="G238" s="95">
        <v>8.8734134561383807E-3</v>
      </c>
      <c r="H238" s="15">
        <f t="shared" si="14"/>
        <v>2.6608828782668562E-6</v>
      </c>
      <c r="I238" s="95">
        <v>0.08</v>
      </c>
      <c r="J238" s="15">
        <f t="shared" si="15"/>
        <v>2.3989711660971971E-5</v>
      </c>
      <c r="K238" s="16"/>
      <c r="L238" s="392"/>
    </row>
    <row r="239" spans="1:12">
      <c r="A239" s="1" t="s">
        <v>813</v>
      </c>
      <c r="B239" s="17" t="s">
        <v>500</v>
      </c>
      <c r="C239" s="387">
        <v>712.22400000000005</v>
      </c>
      <c r="D239" s="387">
        <v>68.08</v>
      </c>
      <c r="E239" s="387">
        <f t="shared" si="12"/>
        <v>48488.209920000001</v>
      </c>
      <c r="F239" s="15">
        <f t="shared" si="13"/>
        <v>1.6055513420854578E-3</v>
      </c>
      <c r="G239" s="95">
        <v>1.5863689776733258E-2</v>
      </c>
      <c r="H239" s="15">
        <f t="shared" si="14"/>
        <v>2.5469968411461437E-5</v>
      </c>
      <c r="I239" s="95">
        <v>8.5000000000000006E-2</v>
      </c>
      <c r="J239" s="15">
        <f t="shared" si="15"/>
        <v>1.3647186407726391E-4</v>
      </c>
      <c r="K239" s="16"/>
      <c r="L239" s="392"/>
    </row>
    <row r="240" spans="1:12">
      <c r="A240" s="1" t="s">
        <v>814</v>
      </c>
      <c r="B240" s="17" t="s">
        <v>815</v>
      </c>
      <c r="C240" s="387">
        <v>54.357999999999997</v>
      </c>
      <c r="D240" s="387">
        <v>360.92</v>
      </c>
      <c r="E240" s="387">
        <f t="shared" si="12"/>
        <v>19618.889360000001</v>
      </c>
      <c r="F240" s="15">
        <f t="shared" si="13"/>
        <v>6.4962460346843236E-4</v>
      </c>
      <c r="G240" s="95" t="s">
        <v>719</v>
      </c>
      <c r="H240" s="15" t="str">
        <f t="shared" si="14"/>
        <v/>
      </c>
      <c r="I240" s="95">
        <v>0.125</v>
      </c>
      <c r="J240" s="15">
        <f t="shared" si="15"/>
        <v>8.1203075433554045E-5</v>
      </c>
      <c r="K240" s="16"/>
      <c r="L240" s="392"/>
    </row>
    <row r="241" spans="1:12">
      <c r="A241" s="1" t="s">
        <v>312</v>
      </c>
      <c r="B241" s="17" t="s">
        <v>615</v>
      </c>
      <c r="C241" s="387">
        <v>652.12300000000005</v>
      </c>
      <c r="D241" s="387">
        <v>196.01</v>
      </c>
      <c r="E241" s="387">
        <f t="shared" si="12"/>
        <v>127822.62923000001</v>
      </c>
      <c r="F241" s="15">
        <f t="shared" si="13"/>
        <v>4.2324885626365142E-3</v>
      </c>
      <c r="G241" s="95">
        <v>2.1835620631600432E-2</v>
      </c>
      <c r="H241" s="15">
        <f t="shared" si="14"/>
        <v>9.2419014581318721E-5</v>
      </c>
      <c r="I241" s="95">
        <v>0.1</v>
      </c>
      <c r="J241" s="15">
        <f t="shared" si="15"/>
        <v>4.2324885626365144E-4</v>
      </c>
      <c r="K241" s="16"/>
      <c r="L241" s="392"/>
    </row>
    <row r="242" spans="1:12">
      <c r="A242" s="1" t="s">
        <v>1165</v>
      </c>
      <c r="B242" s="17" t="s">
        <v>1166</v>
      </c>
      <c r="C242" s="387">
        <v>184.196</v>
      </c>
      <c r="D242" s="387">
        <v>164.29</v>
      </c>
      <c r="E242" s="387">
        <f t="shared" si="12"/>
        <v>30261.560839999998</v>
      </c>
      <c r="F242" s="15">
        <f t="shared" si="13"/>
        <v>1.0020268782952573E-3</v>
      </c>
      <c r="G242" s="95" t="s">
        <v>719</v>
      </c>
      <c r="H242" s="15" t="str">
        <f t="shared" si="14"/>
        <v/>
      </c>
      <c r="I242" s="95">
        <v>0.17</v>
      </c>
      <c r="J242" s="15">
        <f t="shared" si="15"/>
        <v>1.7034456931019375E-4</v>
      </c>
      <c r="K242" s="16"/>
      <c r="L242" s="392"/>
    </row>
    <row r="243" spans="1:12">
      <c r="A243" s="1" t="s">
        <v>314</v>
      </c>
      <c r="B243" s="17" t="s">
        <v>617</v>
      </c>
      <c r="C243" s="387">
        <v>942.91700000000003</v>
      </c>
      <c r="D243" s="387">
        <v>390.74</v>
      </c>
      <c r="E243" s="387">
        <f t="shared" si="12"/>
        <v>368435.38858000003</v>
      </c>
      <c r="F243" s="15">
        <f t="shared" si="13"/>
        <v>1.2199706559231053E-2</v>
      </c>
      <c r="G243" s="95">
        <v>1.4843630035317601E-2</v>
      </c>
      <c r="H243" s="15">
        <f t="shared" si="14"/>
        <v>1.8108793070466321E-4</v>
      </c>
      <c r="I243" s="95">
        <v>0.12</v>
      </c>
      <c r="J243" s="15">
        <f t="shared" si="15"/>
        <v>1.4639647871077263E-3</v>
      </c>
      <c r="K243" s="16"/>
      <c r="L243" s="392"/>
    </row>
    <row r="244" spans="1:12">
      <c r="A244" s="1" t="s">
        <v>228</v>
      </c>
      <c r="B244" s="17" t="s">
        <v>519</v>
      </c>
      <c r="C244" s="387">
        <v>788.399</v>
      </c>
      <c r="D244" s="387">
        <v>13.67</v>
      </c>
      <c r="E244" s="387">
        <f t="shared" si="12"/>
        <v>10777.41433</v>
      </c>
      <c r="F244" s="15" t="str">
        <f t="shared" si="13"/>
        <v/>
      </c>
      <c r="G244" s="95">
        <v>1.4630577907827361E-2</v>
      </c>
      <c r="H244" s="15" t="str">
        <f t="shared" si="14"/>
        <v/>
      </c>
      <c r="I244" s="95">
        <v>0.69</v>
      </c>
      <c r="J244" s="15" t="str">
        <f t="shared" si="15"/>
        <v/>
      </c>
      <c r="K244" s="16"/>
      <c r="L244" s="392"/>
    </row>
    <row r="245" spans="1:12">
      <c r="A245" s="1" t="s">
        <v>1167</v>
      </c>
      <c r="B245" s="17" t="s">
        <v>1168</v>
      </c>
      <c r="C245" s="387">
        <v>24.704000000000001</v>
      </c>
      <c r="D245" s="387">
        <v>745.95</v>
      </c>
      <c r="E245" s="387">
        <f t="shared" si="12"/>
        <v>18427.948800000002</v>
      </c>
      <c r="F245" s="15">
        <f t="shared" si="13"/>
        <v>6.1018994053476717E-4</v>
      </c>
      <c r="G245" s="95" t="s">
        <v>719</v>
      </c>
      <c r="H245" s="15" t="str">
        <f t="shared" si="14"/>
        <v/>
      </c>
      <c r="I245" s="95">
        <v>0.115</v>
      </c>
      <c r="J245" s="15">
        <f t="shared" si="15"/>
        <v>7.0171843161498225E-5</v>
      </c>
      <c r="K245" s="16"/>
      <c r="L245" s="392"/>
    </row>
    <row r="246" spans="1:12">
      <c r="A246" s="1" t="s">
        <v>316</v>
      </c>
      <c r="B246" s="17" t="s">
        <v>620</v>
      </c>
      <c r="C246" s="387">
        <v>393.47500000000002</v>
      </c>
      <c r="D246" s="387">
        <v>55.21</v>
      </c>
      <c r="E246" s="387">
        <f t="shared" si="12"/>
        <v>21723.75475</v>
      </c>
      <c r="F246" s="15">
        <f t="shared" si="13"/>
        <v>7.1932132886620367E-4</v>
      </c>
      <c r="G246" s="95">
        <v>3.2602789349755482E-2</v>
      </c>
      <c r="H246" s="15">
        <f t="shared" si="14"/>
        <v>2.3451881759811027E-5</v>
      </c>
      <c r="I246" s="95">
        <v>4.4999999999999998E-2</v>
      </c>
      <c r="J246" s="15">
        <f t="shared" si="15"/>
        <v>3.2369459798979166E-5</v>
      </c>
      <c r="K246" s="16"/>
      <c r="L246" s="392"/>
    </row>
    <row r="247" spans="1:12">
      <c r="A247" s="1" t="s">
        <v>319</v>
      </c>
      <c r="B247" s="17" t="s">
        <v>623</v>
      </c>
      <c r="C247" s="387">
        <v>392.63900000000001</v>
      </c>
      <c r="D247" s="387">
        <v>66.989999999999995</v>
      </c>
      <c r="E247" s="387">
        <f t="shared" si="12"/>
        <v>26302.886609999998</v>
      </c>
      <c r="F247" s="15">
        <f t="shared" si="13"/>
        <v>8.7094646238916292E-4</v>
      </c>
      <c r="G247" s="95">
        <v>2.9258098223615466E-2</v>
      </c>
      <c r="H247" s="15">
        <f t="shared" si="14"/>
        <v>2.5482237144092542E-5</v>
      </c>
      <c r="I247" s="95">
        <v>5.5E-2</v>
      </c>
      <c r="J247" s="15">
        <f t="shared" si="15"/>
        <v>4.7902055431403963E-5</v>
      </c>
      <c r="K247" s="16"/>
      <c r="L247" s="392"/>
    </row>
    <row r="248" spans="1:12">
      <c r="A248" s="1" t="s">
        <v>321</v>
      </c>
      <c r="B248" s="17" t="s">
        <v>625</v>
      </c>
      <c r="C248" s="387">
        <v>191.56100000000001</v>
      </c>
      <c r="D248" s="387">
        <v>42.01</v>
      </c>
      <c r="E248" s="387">
        <f t="shared" si="12"/>
        <v>8047.4776099999999</v>
      </c>
      <c r="F248" s="15" t="str">
        <f t="shared" si="13"/>
        <v/>
      </c>
      <c r="G248" s="95">
        <v>5.0464175196381821E-2</v>
      </c>
      <c r="H248" s="15" t="str">
        <f t="shared" si="14"/>
        <v/>
      </c>
      <c r="I248" s="95">
        <v>-0.19</v>
      </c>
      <c r="J248" s="15" t="str">
        <f t="shared" si="15"/>
        <v/>
      </c>
      <c r="K248" s="16"/>
      <c r="L248" s="392"/>
    </row>
    <row r="249" spans="1:12">
      <c r="A249" s="1" t="s">
        <v>322</v>
      </c>
      <c r="B249" s="17" t="s">
        <v>626</v>
      </c>
      <c r="C249" s="387">
        <v>132.678</v>
      </c>
      <c r="D249" s="387">
        <v>169.16</v>
      </c>
      <c r="E249" s="387">
        <f t="shared" si="12"/>
        <v>22443.81048</v>
      </c>
      <c r="F249" s="15">
        <f t="shared" si="13"/>
        <v>7.4316395876706479E-4</v>
      </c>
      <c r="G249" s="95">
        <v>8.7491132655474115E-3</v>
      </c>
      <c r="H249" s="15">
        <f t="shared" si="14"/>
        <v>6.5020256501256559E-6</v>
      </c>
      <c r="I249" s="95">
        <v>0.1</v>
      </c>
      <c r="J249" s="15">
        <f t="shared" si="15"/>
        <v>7.4316395876706482E-5</v>
      </c>
      <c r="K249" s="16"/>
      <c r="L249" s="392"/>
    </row>
    <row r="250" spans="1:12">
      <c r="A250" s="1" t="s">
        <v>329</v>
      </c>
      <c r="B250" s="17" t="s">
        <v>634</v>
      </c>
      <c r="C250" s="387">
        <v>749.78399999999999</v>
      </c>
      <c r="D250" s="387">
        <v>35.57</v>
      </c>
      <c r="E250" s="387">
        <f t="shared" si="12"/>
        <v>26669.816879999998</v>
      </c>
      <c r="F250" s="15" t="str">
        <f t="shared" si="13"/>
        <v/>
      </c>
      <c r="G250" s="95">
        <v>1.9117233623840317E-2</v>
      </c>
      <c r="H250" s="15" t="str">
        <f t="shared" si="14"/>
        <v/>
      </c>
      <c r="I250" s="95">
        <v>0.22</v>
      </c>
      <c r="J250" s="15" t="str">
        <f t="shared" si="15"/>
        <v/>
      </c>
      <c r="K250" s="16"/>
      <c r="L250" s="392"/>
    </row>
    <row r="251" spans="1:12">
      <c r="A251" s="1" t="s">
        <v>330</v>
      </c>
      <c r="B251" s="17" t="s">
        <v>635</v>
      </c>
      <c r="C251" s="387">
        <v>62.703000000000003</v>
      </c>
      <c r="D251" s="387">
        <v>203.86</v>
      </c>
      <c r="E251" s="387">
        <f t="shared" si="12"/>
        <v>12782.633580000002</v>
      </c>
      <c r="F251" s="15">
        <f t="shared" si="13"/>
        <v>4.2326112953265411E-4</v>
      </c>
      <c r="G251" s="95">
        <v>2.7469832237810257E-2</v>
      </c>
      <c r="H251" s="15">
        <f t="shared" si="14"/>
        <v>1.1626912221048084E-5</v>
      </c>
      <c r="I251" s="95">
        <v>5.5E-2</v>
      </c>
      <c r="J251" s="15">
        <f t="shared" si="15"/>
        <v>2.3279362124295975E-5</v>
      </c>
      <c r="K251" s="16"/>
      <c r="L251" s="392"/>
    </row>
    <row r="252" spans="1:12">
      <c r="A252" s="1" t="s">
        <v>331</v>
      </c>
      <c r="B252" s="17" t="s">
        <v>636</v>
      </c>
      <c r="C252" s="387">
        <v>1214.9590000000001</v>
      </c>
      <c r="D252" s="387">
        <v>25.94</v>
      </c>
      <c r="E252" s="387">
        <f t="shared" si="12"/>
        <v>31516.036460000003</v>
      </c>
      <c r="F252" s="15">
        <f t="shared" si="13"/>
        <v>1.0435653268918868E-3</v>
      </c>
      <c r="G252" s="95">
        <v>6.3222821896684656E-2</v>
      </c>
      <c r="H252" s="15">
        <f t="shared" si="14"/>
        <v>6.5977144799641267E-5</v>
      </c>
      <c r="I252" s="95">
        <v>0.105</v>
      </c>
      <c r="J252" s="15">
        <f t="shared" si="15"/>
        <v>1.0957435932364811E-4</v>
      </c>
      <c r="K252" s="16"/>
      <c r="L252" s="392"/>
    </row>
    <row r="253" spans="1:12">
      <c r="A253" s="1" t="s">
        <v>739</v>
      </c>
      <c r="B253" s="17" t="s">
        <v>637</v>
      </c>
      <c r="C253" s="387">
        <v>315.435</v>
      </c>
      <c r="D253" s="387">
        <v>88.2</v>
      </c>
      <c r="E253" s="387">
        <f t="shared" si="12"/>
        <v>27821.367000000002</v>
      </c>
      <c r="F253" s="15">
        <f t="shared" si="13"/>
        <v>9.2122668993555761E-4</v>
      </c>
      <c r="G253" s="95">
        <v>3.072562358276644E-2</v>
      </c>
      <c r="H253" s="15">
        <f t="shared" si="14"/>
        <v>2.8305264509357835E-5</v>
      </c>
      <c r="I253" s="95">
        <v>6.5000000000000002E-2</v>
      </c>
      <c r="J253" s="15">
        <f t="shared" si="15"/>
        <v>5.987973484581125E-5</v>
      </c>
      <c r="K253" s="16"/>
      <c r="L253" s="392"/>
    </row>
    <row r="254" spans="1:12">
      <c r="A254" s="1" t="s">
        <v>1169</v>
      </c>
      <c r="B254" s="17" t="s">
        <v>341</v>
      </c>
      <c r="C254" s="387">
        <v>475.8</v>
      </c>
      <c r="D254" s="387">
        <v>575.72</v>
      </c>
      <c r="E254" s="387">
        <f t="shared" si="12"/>
        <v>273927.576</v>
      </c>
      <c r="F254" s="15">
        <f t="shared" si="13"/>
        <v>9.0703448942875773E-3</v>
      </c>
      <c r="G254" s="95" t="s">
        <v>719</v>
      </c>
      <c r="H254" s="15" t="str">
        <f t="shared" si="14"/>
        <v/>
      </c>
      <c r="I254" s="95">
        <v>0.155</v>
      </c>
      <c r="J254" s="15">
        <f t="shared" si="15"/>
        <v>1.4059034586145745E-3</v>
      </c>
      <c r="K254" s="16"/>
      <c r="L254" s="392"/>
    </row>
    <row r="255" spans="1:12">
      <c r="A255" s="1" t="s">
        <v>1170</v>
      </c>
      <c r="B255" s="17" t="s">
        <v>342</v>
      </c>
      <c r="C255" s="387">
        <v>666.36</v>
      </c>
      <c r="D255" s="387">
        <v>22.83</v>
      </c>
      <c r="E255" s="387">
        <f t="shared" si="12"/>
        <v>15212.998799999999</v>
      </c>
      <c r="F255" s="15" t="str">
        <f t="shared" si="13"/>
        <v/>
      </c>
      <c r="G255" s="95">
        <v>2.6368812965396411E-2</v>
      </c>
      <c r="H255" s="15" t="str">
        <f t="shared" si="14"/>
        <v/>
      </c>
      <c r="I255" s="95">
        <v>0.24</v>
      </c>
      <c r="J255" s="15" t="str">
        <f t="shared" si="15"/>
        <v/>
      </c>
      <c r="K255" s="16"/>
      <c r="L255" s="392"/>
    </row>
    <row r="256" spans="1:12">
      <c r="A256" s="1" t="s">
        <v>83</v>
      </c>
      <c r="B256" s="17" t="s">
        <v>356</v>
      </c>
      <c r="C256" s="387">
        <v>567.85199999999998</v>
      </c>
      <c r="D256" s="387">
        <v>212.65</v>
      </c>
      <c r="E256" s="387">
        <f t="shared" si="12"/>
        <v>120753.72779999999</v>
      </c>
      <c r="F256" s="15">
        <f t="shared" si="13"/>
        <v>3.9984216792285339E-3</v>
      </c>
      <c r="G256" s="95">
        <v>3.3106042793322361E-2</v>
      </c>
      <c r="H256" s="15">
        <f t="shared" si="14"/>
        <v>1.3237191921828769E-4</v>
      </c>
      <c r="I256" s="95">
        <v>5.5E-2</v>
      </c>
      <c r="J256" s="15">
        <f t="shared" si="15"/>
        <v>2.1991319235756937E-4</v>
      </c>
      <c r="K256" s="16"/>
      <c r="L256" s="392"/>
    </row>
    <row r="257" spans="1:12">
      <c r="A257" s="1" t="s">
        <v>87</v>
      </c>
      <c r="B257" s="17" t="s">
        <v>361</v>
      </c>
      <c r="C257" s="387">
        <v>16530.166000000001</v>
      </c>
      <c r="D257" s="387">
        <v>141.5</v>
      </c>
      <c r="E257" s="387">
        <f t="shared" si="12"/>
        <v>2339018.4890000001</v>
      </c>
      <c r="F257" s="15">
        <f t="shared" si="13"/>
        <v>7.7450049823919134E-2</v>
      </c>
      <c r="G257" s="95">
        <v>6.2190812720848056E-3</v>
      </c>
      <c r="H257" s="15">
        <f t="shared" si="14"/>
        <v>4.8166815438197057E-4</v>
      </c>
      <c r="I257" s="95">
        <v>0.17</v>
      </c>
      <c r="J257" s="15">
        <f t="shared" si="15"/>
        <v>1.3166508470066254E-2</v>
      </c>
      <c r="K257" s="16"/>
      <c r="L257" s="392"/>
    </row>
    <row r="258" spans="1:12">
      <c r="A258" s="1" t="s">
        <v>92</v>
      </c>
      <c r="B258" s="17" t="s">
        <v>366</v>
      </c>
      <c r="C258" s="387">
        <v>219.85</v>
      </c>
      <c r="D258" s="387">
        <v>285.17</v>
      </c>
      <c r="E258" s="387">
        <f t="shared" si="12"/>
        <v>62694.624500000005</v>
      </c>
      <c r="F258" s="15">
        <f t="shared" si="13"/>
        <v>2.0759569939495684E-3</v>
      </c>
      <c r="G258" s="95" t="s">
        <v>719</v>
      </c>
      <c r="H258" s="15" t="str">
        <f t="shared" si="14"/>
        <v/>
      </c>
      <c r="I258" s="95">
        <v>0.18</v>
      </c>
      <c r="J258" s="15">
        <f t="shared" si="15"/>
        <v>3.7367225891092229E-4</v>
      </c>
      <c r="K258" s="16"/>
      <c r="L258" s="392"/>
    </row>
    <row r="259" spans="1:12">
      <c r="A259" s="1" t="s">
        <v>128</v>
      </c>
      <c r="B259" s="17" t="s">
        <v>403</v>
      </c>
      <c r="C259" s="387">
        <v>104.009</v>
      </c>
      <c r="D259" s="387">
        <v>380.66</v>
      </c>
      <c r="E259" s="387">
        <f t="shared" si="12"/>
        <v>39592.06594</v>
      </c>
      <c r="F259" s="15">
        <f t="shared" si="13"/>
        <v>1.3109804364974781E-3</v>
      </c>
      <c r="G259" s="95">
        <v>9.9826616928492609E-3</v>
      </c>
      <c r="H259" s="15">
        <f t="shared" si="14"/>
        <v>1.3087074183498178E-5</v>
      </c>
      <c r="I259" s="95">
        <v>0.125</v>
      </c>
      <c r="J259" s="15">
        <f t="shared" si="15"/>
        <v>1.6387255456218477E-4</v>
      </c>
      <c r="K259" s="16"/>
      <c r="L259" s="392"/>
    </row>
    <row r="260" spans="1:12">
      <c r="A260" s="1" t="s">
        <v>136</v>
      </c>
      <c r="B260" s="17" t="s">
        <v>413</v>
      </c>
      <c r="C260" s="387">
        <v>4580.2929999999997</v>
      </c>
      <c r="D260" s="387">
        <v>55.93</v>
      </c>
      <c r="E260" s="387">
        <f t="shared" si="12"/>
        <v>256175.78748999999</v>
      </c>
      <c r="F260" s="15">
        <f t="shared" si="13"/>
        <v>8.4825441090312891E-3</v>
      </c>
      <c r="G260" s="95">
        <v>1.7879492222420884E-2</v>
      </c>
      <c r="H260" s="15">
        <f t="shared" si="14"/>
        <v>1.5166358142376703E-4</v>
      </c>
      <c r="I260" s="95">
        <v>0.11</v>
      </c>
      <c r="J260" s="15">
        <f t="shared" si="15"/>
        <v>9.330798519934418E-4</v>
      </c>
      <c r="K260" s="16"/>
      <c r="L260" s="392"/>
    </row>
    <row r="261" spans="1:12">
      <c r="A261" s="1" t="s">
        <v>1171</v>
      </c>
      <c r="B261" s="17" t="s">
        <v>534</v>
      </c>
      <c r="C261" s="387">
        <v>200.572</v>
      </c>
      <c r="D261" s="387">
        <v>46.38</v>
      </c>
      <c r="E261" s="387">
        <f t="shared" si="12"/>
        <v>9302.5293600000005</v>
      </c>
      <c r="F261" s="15" t="str">
        <f t="shared" si="13"/>
        <v/>
      </c>
      <c r="G261" s="95">
        <v>2.9322984044846911E-2</v>
      </c>
      <c r="H261" s="15" t="str">
        <f t="shared" si="14"/>
        <v/>
      </c>
      <c r="I261" s="95">
        <v>0.41</v>
      </c>
      <c r="J261" s="15" t="str">
        <f t="shared" si="15"/>
        <v/>
      </c>
      <c r="K261" s="16"/>
      <c r="L261" s="392"/>
    </row>
    <row r="262" spans="1:12">
      <c r="A262" s="1" t="s">
        <v>1172</v>
      </c>
      <c r="B262" s="17" t="s">
        <v>508</v>
      </c>
      <c r="C262" s="387">
        <v>151.99299999999999</v>
      </c>
      <c r="D262" s="387">
        <v>334.51</v>
      </c>
      <c r="E262" s="387">
        <f t="shared" si="12"/>
        <v>50843.17843</v>
      </c>
      <c r="F262" s="15">
        <f t="shared" si="13"/>
        <v>1.6835295322070924E-3</v>
      </c>
      <c r="G262" s="95">
        <v>1.2555678455053662E-2</v>
      </c>
      <c r="H262" s="15">
        <f t="shared" si="14"/>
        <v>2.113785547597916E-5</v>
      </c>
      <c r="I262" s="95">
        <v>0.18</v>
      </c>
      <c r="J262" s="15">
        <f t="shared" si="15"/>
        <v>3.0303531579727662E-4</v>
      </c>
      <c r="K262" s="16"/>
      <c r="L262" s="392"/>
    </row>
    <row r="263" spans="1:12">
      <c r="A263" s="1" t="s">
        <v>683</v>
      </c>
      <c r="B263" s="17" t="s">
        <v>521</v>
      </c>
      <c r="C263" s="387">
        <v>325.65600000000001</v>
      </c>
      <c r="D263" s="387">
        <v>148.09</v>
      </c>
      <c r="E263" s="387">
        <f t="shared" si="12"/>
        <v>48226.397040000003</v>
      </c>
      <c r="F263" s="15">
        <f t="shared" si="13"/>
        <v>1.596882141437449E-3</v>
      </c>
      <c r="G263" s="95" t="s">
        <v>719</v>
      </c>
      <c r="H263" s="15" t="str">
        <f t="shared" si="14"/>
        <v/>
      </c>
      <c r="I263" s="95">
        <v>0.17499999999999999</v>
      </c>
      <c r="J263" s="15">
        <f t="shared" si="15"/>
        <v>2.7945437475155357E-4</v>
      </c>
      <c r="K263" s="16"/>
      <c r="L263" s="392"/>
    </row>
    <row r="264" spans="1:12">
      <c r="A264" s="1" t="s">
        <v>232</v>
      </c>
      <c r="B264" s="17" t="s">
        <v>525</v>
      </c>
      <c r="C264" s="387">
        <v>249.352</v>
      </c>
      <c r="D264" s="387">
        <v>81.03</v>
      </c>
      <c r="E264" s="387">
        <f t="shared" si="12"/>
        <v>20204.992560000002</v>
      </c>
      <c r="F264" s="15">
        <f t="shared" si="13"/>
        <v>6.690317703016308E-4</v>
      </c>
      <c r="G264" s="95">
        <v>1.6783907194866096E-2</v>
      </c>
      <c r="H264" s="15">
        <f t="shared" si="14"/>
        <v>1.1228967143159542E-5</v>
      </c>
      <c r="I264" s="95">
        <v>0.06</v>
      </c>
      <c r="J264" s="15">
        <f t="shared" si="15"/>
        <v>4.0141906218097844E-5</v>
      </c>
      <c r="K264" s="16"/>
      <c r="L264" s="392"/>
    </row>
    <row r="265" spans="1:12">
      <c r="A265" s="1" t="s">
        <v>263</v>
      </c>
      <c r="B265" s="17" t="s">
        <v>560</v>
      </c>
      <c r="C265" s="387">
        <v>347.173</v>
      </c>
      <c r="D265" s="387">
        <v>78.92</v>
      </c>
      <c r="E265" s="387">
        <f t="shared" si="12"/>
        <v>27398.89316</v>
      </c>
      <c r="F265" s="15">
        <f t="shared" si="13"/>
        <v>9.0723765132334397E-4</v>
      </c>
      <c r="G265" s="95">
        <v>1.7232640648758235E-2</v>
      </c>
      <c r="H265" s="15">
        <f t="shared" si="14"/>
        <v>1.5634100428278608E-5</v>
      </c>
      <c r="I265" s="95">
        <v>5.5E-2</v>
      </c>
      <c r="J265" s="15">
        <f t="shared" si="15"/>
        <v>4.9898070822783919E-5</v>
      </c>
      <c r="K265" s="16"/>
      <c r="L265" s="392"/>
    </row>
    <row r="266" spans="1:12">
      <c r="A266" s="1" t="s">
        <v>142</v>
      </c>
      <c r="B266" s="17" t="s">
        <v>420</v>
      </c>
      <c r="C266" s="387">
        <v>441.82499999999999</v>
      </c>
      <c r="D266" s="387">
        <v>449.35</v>
      </c>
      <c r="E266" s="387">
        <f t="shared" si="12"/>
        <v>198534.06375</v>
      </c>
      <c r="F266" s="15">
        <f t="shared" si="13"/>
        <v>6.5738997795423736E-3</v>
      </c>
      <c r="G266" s="95">
        <v>7.0323801045955271E-3</v>
      </c>
      <c r="H266" s="15">
        <f t="shared" si="14"/>
        <v>4.623016201925871E-5</v>
      </c>
      <c r="I266" s="95">
        <v>0.105</v>
      </c>
      <c r="J266" s="15">
        <f t="shared" si="15"/>
        <v>6.9025947685194924E-4</v>
      </c>
      <c r="K266" s="16"/>
      <c r="L266" s="392"/>
    </row>
    <row r="267" spans="1:12">
      <c r="A267" s="1" t="s">
        <v>1173</v>
      </c>
      <c r="B267" s="17" t="s">
        <v>1174</v>
      </c>
      <c r="C267" s="387">
        <v>179.06</v>
      </c>
      <c r="D267" s="387">
        <v>192.88</v>
      </c>
      <c r="E267" s="387">
        <f t="shared" si="12"/>
        <v>34537.092799999999</v>
      </c>
      <c r="F267" s="15">
        <f t="shared" si="13"/>
        <v>1.1435991509741838E-3</v>
      </c>
      <c r="G267" s="95">
        <v>4.5624222314392367E-3</v>
      </c>
      <c r="H267" s="15">
        <f t="shared" si="14"/>
        <v>5.2175821902596527E-6</v>
      </c>
      <c r="I267" s="95">
        <v>0.13500000000000001</v>
      </c>
      <c r="J267" s="15">
        <f t="shared" si="15"/>
        <v>1.5438588538151481E-4</v>
      </c>
      <c r="K267" s="16"/>
      <c r="L267" s="392"/>
    </row>
    <row r="268" spans="1:12">
      <c r="A268" s="1" t="s">
        <v>302</v>
      </c>
      <c r="B268" s="17" t="s">
        <v>604</v>
      </c>
      <c r="C268" s="387">
        <v>377.096</v>
      </c>
      <c r="D268" s="387">
        <v>263.72000000000003</v>
      </c>
      <c r="E268" s="387">
        <f t="shared" si="12"/>
        <v>99447.757120000009</v>
      </c>
      <c r="F268" s="15">
        <f t="shared" si="13"/>
        <v>3.2929341003687163E-3</v>
      </c>
      <c r="G268" s="95">
        <v>9.555589261337781E-3</v>
      </c>
      <c r="H268" s="15">
        <f t="shared" si="14"/>
        <v>3.1465925727776293E-5</v>
      </c>
      <c r="I268" s="95">
        <v>0.11</v>
      </c>
      <c r="J268" s="15">
        <f t="shared" si="15"/>
        <v>3.6222275104055878E-4</v>
      </c>
      <c r="K268" s="16"/>
      <c r="L268" s="392"/>
    </row>
    <row r="269" spans="1:12">
      <c r="A269" s="1" t="s">
        <v>311</v>
      </c>
      <c r="B269" s="17" t="s">
        <v>614</v>
      </c>
      <c r="C269" s="387">
        <v>294.81599999999997</v>
      </c>
      <c r="D269" s="387">
        <v>78.94</v>
      </c>
      <c r="E269" s="387">
        <f t="shared" si="12"/>
        <v>23272.775039999997</v>
      </c>
      <c r="F269" s="15">
        <f t="shared" si="13"/>
        <v>7.7061279971304291E-4</v>
      </c>
      <c r="G269" s="95">
        <v>2.2548771218647078E-2</v>
      </c>
      <c r="H269" s="15">
        <f t="shared" si="14"/>
        <v>1.7376371718890509E-5</v>
      </c>
      <c r="I269" s="95">
        <v>0.06</v>
      </c>
      <c r="J269" s="15">
        <f t="shared" si="15"/>
        <v>4.6236767982782575E-5</v>
      </c>
      <c r="K269" s="16"/>
      <c r="L269" s="392"/>
    </row>
    <row r="270" spans="1:12">
      <c r="A270" s="1" t="s">
        <v>1175</v>
      </c>
      <c r="B270" s="17" t="s">
        <v>1176</v>
      </c>
      <c r="C270" s="387">
        <v>145.119</v>
      </c>
      <c r="D270" s="387">
        <v>61.37</v>
      </c>
      <c r="E270" s="387">
        <f t="shared" si="12"/>
        <v>8905.9530299999988</v>
      </c>
      <c r="F270" s="15">
        <f t="shared" si="13"/>
        <v>2.9489570482099057E-4</v>
      </c>
      <c r="G270" s="95">
        <v>1.531693009613818E-2</v>
      </c>
      <c r="H270" s="15">
        <f t="shared" si="14"/>
        <v>4.5168968963945112E-6</v>
      </c>
      <c r="I270" s="95">
        <v>2.5000000000000001E-2</v>
      </c>
      <c r="J270" s="15">
        <f t="shared" si="15"/>
        <v>7.3723926205247647E-6</v>
      </c>
      <c r="K270" s="16"/>
      <c r="L270" s="392"/>
    </row>
    <row r="271" spans="1:12">
      <c r="A271" s="1" t="s">
        <v>88</v>
      </c>
      <c r="B271" s="17" t="s">
        <v>362</v>
      </c>
      <c r="C271" s="387">
        <v>902.928</v>
      </c>
      <c r="D271" s="387">
        <v>128.72999999999999</v>
      </c>
      <c r="E271" s="387">
        <f t="shared" si="12"/>
        <v>116233.92143999999</v>
      </c>
      <c r="F271" s="15">
        <f t="shared" si="13"/>
        <v>3.8487609435726446E-3</v>
      </c>
      <c r="G271" s="95">
        <v>7.4574691214169195E-3</v>
      </c>
      <c r="H271" s="15">
        <f t="shared" si="14"/>
        <v>2.8702015892408443E-5</v>
      </c>
      <c r="I271" s="95">
        <v>0.16500000000000001</v>
      </c>
      <c r="J271" s="15">
        <f t="shared" si="15"/>
        <v>6.3504555568948638E-4</v>
      </c>
      <c r="K271" s="16"/>
      <c r="L271" s="392"/>
    </row>
    <row r="272" spans="1:12">
      <c r="A272" s="1" t="s">
        <v>740</v>
      </c>
      <c r="B272" s="17" t="s">
        <v>741</v>
      </c>
      <c r="C272" s="387">
        <v>647.45799999999997</v>
      </c>
      <c r="D272" s="387">
        <v>20.52</v>
      </c>
      <c r="E272" s="387">
        <f t="shared" si="12"/>
        <v>13285.838159999999</v>
      </c>
      <c r="F272" s="15" t="str">
        <f t="shared" si="13"/>
        <v/>
      </c>
      <c r="G272" s="95" t="s">
        <v>719</v>
      </c>
      <c r="H272" s="15" t="str">
        <f t="shared" si="14"/>
        <v/>
      </c>
      <c r="I272" s="95" t="s">
        <v>719</v>
      </c>
      <c r="J272" s="15" t="str">
        <f t="shared" si="15"/>
        <v/>
      </c>
      <c r="K272" s="16"/>
      <c r="L272" s="392"/>
    </row>
    <row r="273" spans="1:12">
      <c r="A273" s="1" t="s">
        <v>114</v>
      </c>
      <c r="B273" s="17" t="s">
        <v>389</v>
      </c>
      <c r="C273" s="387">
        <v>283.76100000000002</v>
      </c>
      <c r="D273" s="387">
        <v>49.46</v>
      </c>
      <c r="E273" s="387">
        <f t="shared" si="12"/>
        <v>14034.819060000002</v>
      </c>
      <c r="F273" s="15">
        <f t="shared" si="13"/>
        <v>4.6472374655380071E-4</v>
      </c>
      <c r="G273" s="95">
        <v>3.969268095430651E-2</v>
      </c>
      <c r="H273" s="15">
        <f t="shared" si="14"/>
        <v>1.8446131403850013E-5</v>
      </c>
      <c r="I273" s="95">
        <v>0.12</v>
      </c>
      <c r="J273" s="15">
        <f t="shared" si="15"/>
        <v>5.5766849586456085E-5</v>
      </c>
      <c r="K273" s="16"/>
      <c r="L273" s="392"/>
    </row>
    <row r="274" spans="1:12">
      <c r="A274" s="1" t="s">
        <v>120</v>
      </c>
      <c r="B274" s="17" t="s">
        <v>394</v>
      </c>
      <c r="C274" s="387">
        <v>295.58600000000001</v>
      </c>
      <c r="D274" s="387">
        <v>70.52</v>
      </c>
      <c r="E274" s="387">
        <f t="shared" si="12"/>
        <v>20844.724719999998</v>
      </c>
      <c r="F274" s="15">
        <f t="shared" si="13"/>
        <v>6.9021471002569685E-4</v>
      </c>
      <c r="G274" s="95">
        <v>1.2478729438457176E-2</v>
      </c>
      <c r="H274" s="15">
        <f t="shared" si="14"/>
        <v>8.6130026208538466E-6</v>
      </c>
      <c r="I274" s="95">
        <v>0.11</v>
      </c>
      <c r="J274" s="15">
        <f t="shared" si="15"/>
        <v>7.5923618102826651E-5</v>
      </c>
      <c r="K274" s="16"/>
      <c r="L274" s="392"/>
    </row>
    <row r="275" spans="1:12">
      <c r="A275" s="1" t="s">
        <v>127</v>
      </c>
      <c r="B275" s="17" t="s">
        <v>402</v>
      </c>
      <c r="C275" s="387">
        <v>161.18299999999999</v>
      </c>
      <c r="D275" s="387">
        <v>114.22</v>
      </c>
      <c r="E275" s="387">
        <f t="shared" si="12"/>
        <v>18410.322259999997</v>
      </c>
      <c r="F275" s="15">
        <f t="shared" si="13"/>
        <v>6.0960628700332058E-4</v>
      </c>
      <c r="G275" s="95">
        <v>2.2062686044475574E-2</v>
      </c>
      <c r="H275" s="15">
        <f t="shared" si="14"/>
        <v>1.3449552120892733E-5</v>
      </c>
      <c r="I275" s="95">
        <v>0.13500000000000001</v>
      </c>
      <c r="J275" s="15">
        <f t="shared" si="15"/>
        <v>8.2296848745448285E-5</v>
      </c>
      <c r="K275" s="16"/>
      <c r="L275" s="392"/>
    </row>
    <row r="276" spans="1:12">
      <c r="A276" s="1" t="s">
        <v>1177</v>
      </c>
      <c r="B276" s="17" t="s">
        <v>1178</v>
      </c>
      <c r="C276" s="387">
        <v>605.81299999999999</v>
      </c>
      <c r="D276" s="387">
        <v>39.51</v>
      </c>
      <c r="E276" s="387">
        <f t="shared" ref="E276:E339" si="16">IFERROR(C276*D276,"")</f>
        <v>23935.671629999997</v>
      </c>
      <c r="F276" s="15">
        <f t="shared" ref="F276:F339" si="17">IF(AND(ISNUMBER($I276)), IF(AND($I276&lt;=20%,$I276&gt;0%), $E276/SUMIFS($E$19:$E$523,$I$19:$I$523, "&gt;"&amp;0%,$I$19:$I$523, "&lt;="&amp;20%),""),"")</f>
        <v>7.9256276469410472E-4</v>
      </c>
      <c r="G276" s="95">
        <v>2.4297646165527716E-2</v>
      </c>
      <c r="H276" s="15">
        <f t="shared" ref="H276:H339" si="18">IFERROR($G276*$F276,"")</f>
        <v>1.9257409620509758E-5</v>
      </c>
      <c r="I276" s="95">
        <v>7.0000000000000007E-2</v>
      </c>
      <c r="J276" s="15">
        <f t="shared" ref="J276:J339" si="19">IFERROR($I276*$F276,"")</f>
        <v>5.5479393528587337E-5</v>
      </c>
      <c r="K276" s="16"/>
      <c r="L276" s="392"/>
    </row>
    <row r="277" spans="1:12">
      <c r="A277" s="1" t="s">
        <v>153</v>
      </c>
      <c r="B277" s="17" t="s">
        <v>436</v>
      </c>
      <c r="C277" s="387">
        <v>358.19400000000002</v>
      </c>
      <c r="D277" s="387">
        <v>83.97</v>
      </c>
      <c r="E277" s="387">
        <f t="shared" si="16"/>
        <v>30077.550180000002</v>
      </c>
      <c r="F277" s="15">
        <f t="shared" si="17"/>
        <v>9.9593388037661976E-4</v>
      </c>
      <c r="G277" s="95">
        <v>9.5272120995593679E-3</v>
      </c>
      <c r="H277" s="15">
        <f t="shared" si="18"/>
        <v>9.4884733154852446E-6</v>
      </c>
      <c r="I277" s="95">
        <v>0.155</v>
      </c>
      <c r="J277" s="15">
        <f t="shared" si="19"/>
        <v>1.5436975145837606E-4</v>
      </c>
      <c r="K277" s="16"/>
      <c r="L277" s="392"/>
    </row>
    <row r="278" spans="1:12">
      <c r="A278" s="1" t="s">
        <v>161</v>
      </c>
      <c r="B278" s="17" t="s">
        <v>445</v>
      </c>
      <c r="C278" s="387">
        <v>284.58199999999999</v>
      </c>
      <c r="D278" s="387">
        <v>142.25</v>
      </c>
      <c r="E278" s="387">
        <f t="shared" si="16"/>
        <v>40481.789499999999</v>
      </c>
      <c r="F278" s="15">
        <f t="shared" si="17"/>
        <v>1.340441141650337E-3</v>
      </c>
      <c r="G278" s="95">
        <v>4.7803163444639718E-3</v>
      </c>
      <c r="H278" s="15">
        <f t="shared" si="18"/>
        <v>6.407732698223052E-6</v>
      </c>
      <c r="I278" s="95">
        <v>0.125</v>
      </c>
      <c r="J278" s="15">
        <f t="shared" si="19"/>
        <v>1.6755514270629213E-4</v>
      </c>
      <c r="K278" s="16"/>
      <c r="L278" s="392"/>
    </row>
    <row r="279" spans="1:12">
      <c r="A279" s="1" t="s">
        <v>170</v>
      </c>
      <c r="B279" s="17" t="s">
        <v>455</v>
      </c>
      <c r="C279" s="387">
        <v>169.89099999999999</v>
      </c>
      <c r="D279" s="387">
        <v>119.13</v>
      </c>
      <c r="E279" s="387">
        <f t="shared" si="16"/>
        <v>20239.114829999999</v>
      </c>
      <c r="F279" s="15">
        <f t="shared" si="17"/>
        <v>6.7016163375676523E-4</v>
      </c>
      <c r="G279" s="95">
        <v>9.737261814824141E-3</v>
      </c>
      <c r="H279" s="15">
        <f t="shared" si="18"/>
        <v>6.5255392861399112E-6</v>
      </c>
      <c r="I279" s="95">
        <v>0.1</v>
      </c>
      <c r="J279" s="15">
        <f t="shared" si="19"/>
        <v>6.7016163375676523E-5</v>
      </c>
      <c r="K279" s="16"/>
      <c r="L279" s="392"/>
    </row>
    <row r="280" spans="1:12">
      <c r="A280" s="1" t="s">
        <v>173</v>
      </c>
      <c r="B280" s="17" t="s">
        <v>458</v>
      </c>
      <c r="C280" s="387">
        <v>574.73900000000003</v>
      </c>
      <c r="D280" s="387">
        <v>51.61</v>
      </c>
      <c r="E280" s="387">
        <f t="shared" si="16"/>
        <v>29662.279790000001</v>
      </c>
      <c r="F280" s="15">
        <f t="shared" si="17"/>
        <v>9.8218336384707787E-4</v>
      </c>
      <c r="G280" s="95">
        <v>2.1701220693664022E-2</v>
      </c>
      <c r="H280" s="15">
        <f t="shared" si="18"/>
        <v>2.1314577940490746E-5</v>
      </c>
      <c r="I280" s="95">
        <v>0.09</v>
      </c>
      <c r="J280" s="15">
        <f t="shared" si="19"/>
        <v>8.8396502746237001E-5</v>
      </c>
      <c r="K280" s="16"/>
      <c r="L280" s="392"/>
    </row>
    <row r="281" spans="1:12">
      <c r="A281" s="1" t="s">
        <v>227</v>
      </c>
      <c r="B281" s="17" t="s">
        <v>518</v>
      </c>
      <c r="C281" s="387">
        <v>128.678</v>
      </c>
      <c r="D281" s="387">
        <v>149.34</v>
      </c>
      <c r="E281" s="387">
        <f t="shared" si="16"/>
        <v>19216.772519999999</v>
      </c>
      <c r="F281" s="15">
        <f t="shared" si="17"/>
        <v>6.3630962992739296E-4</v>
      </c>
      <c r="G281" s="95">
        <v>2.9462970403107004E-2</v>
      </c>
      <c r="H281" s="15">
        <f t="shared" si="18"/>
        <v>1.8747571793762751E-5</v>
      </c>
      <c r="I281" s="95">
        <v>0.08</v>
      </c>
      <c r="J281" s="15">
        <f t="shared" si="19"/>
        <v>5.090477039419144E-5</v>
      </c>
      <c r="K281" s="16"/>
      <c r="L281" s="392"/>
    </row>
    <row r="282" spans="1:12">
      <c r="A282" s="1" t="s">
        <v>334</v>
      </c>
      <c r="B282" s="17" t="s">
        <v>640</v>
      </c>
      <c r="C282" s="387">
        <v>538.43700000000001</v>
      </c>
      <c r="D282" s="387">
        <v>62.5</v>
      </c>
      <c r="E282" s="387">
        <f t="shared" si="16"/>
        <v>33652.3125</v>
      </c>
      <c r="F282" s="15">
        <f t="shared" si="17"/>
        <v>1.1143021280389273E-3</v>
      </c>
      <c r="G282" s="95">
        <v>2.928E-2</v>
      </c>
      <c r="H282" s="15">
        <f t="shared" si="18"/>
        <v>3.2626766308979789E-5</v>
      </c>
      <c r="I282" s="95">
        <v>0.06</v>
      </c>
      <c r="J282" s="15">
        <f t="shared" si="19"/>
        <v>6.6858127682335641E-5</v>
      </c>
      <c r="K282" s="16"/>
      <c r="L282" s="392"/>
    </row>
    <row r="283" spans="1:12">
      <c r="A283" s="1" t="s">
        <v>178</v>
      </c>
      <c r="B283" s="17" t="s">
        <v>462</v>
      </c>
      <c r="C283" s="387">
        <v>662.20500000000004</v>
      </c>
      <c r="D283" s="387">
        <v>108.5</v>
      </c>
      <c r="E283" s="387">
        <f t="shared" si="16"/>
        <v>71849.242500000008</v>
      </c>
      <c r="F283" s="15">
        <f t="shared" si="17"/>
        <v>2.3790865431828779E-3</v>
      </c>
      <c r="G283" s="95" t="s">
        <v>719</v>
      </c>
      <c r="H283" s="15" t="str">
        <f t="shared" si="18"/>
        <v/>
      </c>
      <c r="I283" s="95">
        <v>0.13</v>
      </c>
      <c r="J283" s="15">
        <f t="shared" si="19"/>
        <v>3.0928125061377415E-4</v>
      </c>
      <c r="K283" s="16"/>
      <c r="L283" s="392"/>
    </row>
    <row r="284" spans="1:12">
      <c r="A284" s="1" t="s">
        <v>176</v>
      </c>
      <c r="B284" s="17" t="s">
        <v>461</v>
      </c>
      <c r="C284" s="387">
        <v>690.71799999999996</v>
      </c>
      <c r="D284" s="387">
        <v>42.44</v>
      </c>
      <c r="E284" s="387">
        <f t="shared" si="16"/>
        <v>29314.071919999998</v>
      </c>
      <c r="F284" s="15">
        <f t="shared" si="17"/>
        <v>9.7065343494424537E-4</v>
      </c>
      <c r="G284" s="95">
        <v>2.827521206409048E-2</v>
      </c>
      <c r="H284" s="15">
        <f t="shared" si="18"/>
        <v>2.7445431713786392E-5</v>
      </c>
      <c r="I284" s="95">
        <v>0.08</v>
      </c>
      <c r="J284" s="15">
        <f t="shared" si="19"/>
        <v>7.765227479553963E-5</v>
      </c>
      <c r="K284" s="16"/>
      <c r="L284" s="392"/>
    </row>
    <row r="285" spans="1:12">
      <c r="A285" s="1" t="s">
        <v>187</v>
      </c>
      <c r="B285" s="17" t="s">
        <v>471</v>
      </c>
      <c r="C285" s="387">
        <v>1253.809</v>
      </c>
      <c r="D285" s="387">
        <v>69.849999999999994</v>
      </c>
      <c r="E285" s="387">
        <f t="shared" si="16"/>
        <v>87578.558649999992</v>
      </c>
      <c r="F285" s="15">
        <f t="shared" si="17"/>
        <v>2.8999188175932041E-3</v>
      </c>
      <c r="G285" s="95">
        <v>4.0658554044380818E-2</v>
      </c>
      <c r="H285" s="15">
        <f t="shared" si="18"/>
        <v>1.179065059694302E-4</v>
      </c>
      <c r="I285" s="95">
        <v>3.5000000000000003E-2</v>
      </c>
      <c r="J285" s="15">
        <f t="shared" si="19"/>
        <v>1.0149715861576215E-4</v>
      </c>
      <c r="K285" s="16"/>
      <c r="L285" s="392"/>
    </row>
    <row r="286" spans="1:12">
      <c r="A286" s="1" t="s">
        <v>190</v>
      </c>
      <c r="B286" s="17" t="s">
        <v>476</v>
      </c>
      <c r="C286" s="387">
        <v>137.68299999999999</v>
      </c>
      <c r="D286" s="387">
        <v>89.22</v>
      </c>
      <c r="E286" s="387">
        <f t="shared" si="16"/>
        <v>12284.07726</v>
      </c>
      <c r="F286" s="15">
        <f t="shared" si="17"/>
        <v>4.0675283256722986E-4</v>
      </c>
      <c r="G286" s="95">
        <v>3.0486438018381527E-2</v>
      </c>
      <c r="H286" s="15">
        <f t="shared" si="18"/>
        <v>1.2400445018861972E-5</v>
      </c>
      <c r="I286" s="95">
        <v>0.125</v>
      </c>
      <c r="J286" s="15">
        <f t="shared" si="19"/>
        <v>5.0844104070903733E-5</v>
      </c>
      <c r="K286" s="16"/>
      <c r="L286" s="392"/>
    </row>
    <row r="287" spans="1:12">
      <c r="A287" s="1" t="s">
        <v>198</v>
      </c>
      <c r="B287" s="17" t="s">
        <v>485</v>
      </c>
      <c r="C287" s="387">
        <v>1476.557</v>
      </c>
      <c r="D287" s="387">
        <v>15.46</v>
      </c>
      <c r="E287" s="387">
        <f t="shared" si="16"/>
        <v>22827.571220000002</v>
      </c>
      <c r="F287" s="15">
        <f t="shared" si="17"/>
        <v>7.5587112143946057E-4</v>
      </c>
      <c r="G287" s="95">
        <v>3.8809831824062092E-2</v>
      </c>
      <c r="H287" s="15">
        <f t="shared" si="18"/>
        <v>2.9335231103730678E-5</v>
      </c>
      <c r="I287" s="95">
        <v>8.5000000000000006E-2</v>
      </c>
      <c r="J287" s="15">
        <f t="shared" si="19"/>
        <v>6.4249045322354147E-5</v>
      </c>
      <c r="K287" s="16"/>
      <c r="L287" s="392"/>
    </row>
    <row r="288" spans="1:12">
      <c r="A288" s="1" t="s">
        <v>742</v>
      </c>
      <c r="B288" s="17" t="s">
        <v>1008</v>
      </c>
      <c r="C288" s="387">
        <v>422.56299999999999</v>
      </c>
      <c r="D288" s="387">
        <v>82.4</v>
      </c>
      <c r="E288" s="387">
        <f t="shared" si="16"/>
        <v>34819.191200000001</v>
      </c>
      <c r="F288" s="15" t="str">
        <f t="shared" si="17"/>
        <v/>
      </c>
      <c r="G288" s="95">
        <v>2.9611650485436892E-2</v>
      </c>
      <c r="H288" s="15" t="str">
        <f t="shared" si="18"/>
        <v/>
      </c>
      <c r="I288" s="95">
        <v>-1.4999999999999999E-2</v>
      </c>
      <c r="J288" s="15" t="str">
        <f t="shared" si="19"/>
        <v/>
      </c>
      <c r="K288" s="16"/>
      <c r="L288" s="392"/>
    </row>
    <row r="289" spans="1:12">
      <c r="A289" s="1" t="s">
        <v>743</v>
      </c>
      <c r="B289" s="17" t="s">
        <v>378</v>
      </c>
      <c r="C289" s="387">
        <v>149.03299999999999</v>
      </c>
      <c r="D289" s="387">
        <v>282.99</v>
      </c>
      <c r="E289" s="387">
        <f t="shared" si="16"/>
        <v>42174.848669999999</v>
      </c>
      <c r="F289" s="15">
        <f t="shared" si="17"/>
        <v>1.3965020568111248E-3</v>
      </c>
      <c r="G289" s="95" t="s">
        <v>719</v>
      </c>
      <c r="H289" s="15" t="str">
        <f t="shared" si="18"/>
        <v/>
      </c>
      <c r="I289" s="95">
        <v>7.0000000000000007E-2</v>
      </c>
      <c r="J289" s="15">
        <f t="shared" si="19"/>
        <v>9.7755143976778743E-5</v>
      </c>
      <c r="K289" s="16"/>
      <c r="L289" s="392"/>
    </row>
    <row r="290" spans="1:12">
      <c r="A290" s="1" t="s">
        <v>253</v>
      </c>
      <c r="B290" s="17" t="s">
        <v>550</v>
      </c>
      <c r="C290" s="387">
        <v>208.39500000000001</v>
      </c>
      <c r="D290" s="387">
        <v>107.81</v>
      </c>
      <c r="E290" s="387">
        <f t="shared" si="16"/>
        <v>22467.06495</v>
      </c>
      <c r="F290" s="15">
        <f t="shared" si="17"/>
        <v>7.4393396544661817E-4</v>
      </c>
      <c r="G290" s="95">
        <v>2.5971616733141637E-2</v>
      </c>
      <c r="H290" s="15">
        <f t="shared" si="18"/>
        <v>1.9321167825345801E-5</v>
      </c>
      <c r="I290" s="95">
        <v>7.0000000000000007E-2</v>
      </c>
      <c r="J290" s="15">
        <f t="shared" si="19"/>
        <v>5.2075377581263278E-5</v>
      </c>
      <c r="K290" s="16"/>
      <c r="L290" s="392"/>
    </row>
    <row r="291" spans="1:12">
      <c r="A291" s="1" t="s">
        <v>879</v>
      </c>
      <c r="B291" s="17" t="s">
        <v>880</v>
      </c>
      <c r="C291" s="387">
        <v>94.992000000000004</v>
      </c>
      <c r="D291" s="387">
        <v>137.44</v>
      </c>
      <c r="E291" s="387">
        <f t="shared" si="16"/>
        <v>13055.70048</v>
      </c>
      <c r="F291" s="15">
        <f t="shared" si="17"/>
        <v>4.3230297555042746E-4</v>
      </c>
      <c r="G291" s="95">
        <v>2.9103608847497089E-2</v>
      </c>
      <c r="H291" s="15">
        <f t="shared" si="18"/>
        <v>1.2581576704028738E-5</v>
      </c>
      <c r="I291" s="95">
        <v>0.05</v>
      </c>
      <c r="J291" s="15">
        <f t="shared" si="19"/>
        <v>2.1615148777521375E-5</v>
      </c>
      <c r="K291" s="16"/>
      <c r="L291" s="392"/>
    </row>
    <row r="292" spans="1:12">
      <c r="A292" s="1" t="s">
        <v>264</v>
      </c>
      <c r="B292" s="17" t="s">
        <v>562</v>
      </c>
      <c r="C292" s="387">
        <v>360.62</v>
      </c>
      <c r="D292" s="387">
        <v>112.45</v>
      </c>
      <c r="E292" s="387">
        <f t="shared" si="16"/>
        <v>40551.719000000005</v>
      </c>
      <c r="F292" s="15">
        <f t="shared" si="17"/>
        <v>1.342756661294424E-3</v>
      </c>
      <c r="G292" s="95">
        <v>2.3477100933748333E-2</v>
      </c>
      <c r="H292" s="15">
        <f t="shared" si="18"/>
        <v>3.1524033666672116E-5</v>
      </c>
      <c r="I292" s="95">
        <v>7.0000000000000007E-2</v>
      </c>
      <c r="J292" s="15">
        <f t="shared" si="19"/>
        <v>9.3992966290609692E-5</v>
      </c>
      <c r="K292" s="16"/>
      <c r="L292" s="392"/>
    </row>
    <row r="293" spans="1:12">
      <c r="A293" s="1" t="s">
        <v>265</v>
      </c>
      <c r="B293" s="17" t="s">
        <v>564</v>
      </c>
      <c r="C293" s="387">
        <v>427.95499999999998</v>
      </c>
      <c r="D293" s="387">
        <v>17.47</v>
      </c>
      <c r="E293" s="387">
        <f t="shared" si="16"/>
        <v>7476.373849999999</v>
      </c>
      <c r="F293" s="15">
        <f t="shared" si="17"/>
        <v>2.4755919198924553E-4</v>
      </c>
      <c r="G293" s="95">
        <v>4.1785918717801948E-2</v>
      </c>
      <c r="H293" s="15">
        <f t="shared" si="18"/>
        <v>1.034448827430734E-5</v>
      </c>
      <c r="I293" s="95">
        <v>0.04</v>
      </c>
      <c r="J293" s="15">
        <f t="shared" si="19"/>
        <v>9.9023676795698207E-6</v>
      </c>
      <c r="K293" s="16"/>
      <c r="L293" s="392"/>
    </row>
    <row r="294" spans="1:12">
      <c r="A294" s="1" t="s">
        <v>283</v>
      </c>
      <c r="B294" s="17" t="s">
        <v>582</v>
      </c>
      <c r="C294" s="387">
        <v>1128</v>
      </c>
      <c r="D294" s="387">
        <v>128.97999999999999</v>
      </c>
      <c r="E294" s="387">
        <f t="shared" si="16"/>
        <v>145489.44</v>
      </c>
      <c r="F294" s="15">
        <f t="shared" si="17"/>
        <v>4.8174755479045263E-3</v>
      </c>
      <c r="G294" s="95">
        <v>2.1088540859047919E-2</v>
      </c>
      <c r="H294" s="15">
        <f t="shared" si="18"/>
        <v>1.0159352992944886E-4</v>
      </c>
      <c r="I294" s="95">
        <v>0.14000000000000001</v>
      </c>
      <c r="J294" s="15">
        <f t="shared" si="19"/>
        <v>6.7444657670663371E-4</v>
      </c>
      <c r="K294" s="16"/>
      <c r="L294" s="392"/>
    </row>
    <row r="295" spans="1:12">
      <c r="A295" s="1" t="s">
        <v>744</v>
      </c>
      <c r="B295" s="17" t="s">
        <v>590</v>
      </c>
      <c r="C295" s="387">
        <v>105.42400000000001</v>
      </c>
      <c r="D295" s="387">
        <v>446.13</v>
      </c>
      <c r="E295" s="387">
        <f t="shared" si="16"/>
        <v>47032.809120000005</v>
      </c>
      <c r="F295" s="15">
        <f t="shared" si="17"/>
        <v>1.5573598185879404E-3</v>
      </c>
      <c r="G295" s="95">
        <v>5.0433730078676617E-3</v>
      </c>
      <c r="H295" s="15">
        <f t="shared" si="18"/>
        <v>7.8543464726040975E-6</v>
      </c>
      <c r="I295" s="95">
        <v>0.08</v>
      </c>
      <c r="J295" s="15">
        <f t="shared" si="19"/>
        <v>1.2458878548703525E-4</v>
      </c>
      <c r="K295" s="16"/>
      <c r="L295" s="392"/>
    </row>
    <row r="296" spans="1:12">
      <c r="A296" s="1" t="s">
        <v>291</v>
      </c>
      <c r="B296" s="17" t="s">
        <v>591</v>
      </c>
      <c r="C296" s="387">
        <v>355.36599999999999</v>
      </c>
      <c r="D296" s="387">
        <v>108.85</v>
      </c>
      <c r="E296" s="387">
        <f t="shared" si="16"/>
        <v>38681.589099999997</v>
      </c>
      <c r="F296" s="15">
        <f t="shared" si="17"/>
        <v>1.2808325445705217E-3</v>
      </c>
      <c r="G296" s="95">
        <v>1.047312815801562E-2</v>
      </c>
      <c r="H296" s="15">
        <f t="shared" si="18"/>
        <v>1.3414323388244327E-5</v>
      </c>
      <c r="I296" s="95">
        <v>7.4999999999999997E-2</v>
      </c>
      <c r="J296" s="15">
        <f t="shared" si="19"/>
        <v>9.6062440842789129E-5</v>
      </c>
      <c r="K296" s="16"/>
      <c r="L296" s="392"/>
    </row>
    <row r="297" spans="1:12">
      <c r="A297" s="1" t="s">
        <v>816</v>
      </c>
      <c r="B297" s="17" t="s">
        <v>817</v>
      </c>
      <c r="C297" s="387">
        <v>85.075999999999993</v>
      </c>
      <c r="D297" s="387">
        <v>621.9</v>
      </c>
      <c r="E297" s="387">
        <f t="shared" si="16"/>
        <v>52908.764399999993</v>
      </c>
      <c r="F297" s="15">
        <f t="shared" si="17"/>
        <v>1.7519256295635028E-3</v>
      </c>
      <c r="G297" s="95" t="s">
        <v>719</v>
      </c>
      <c r="H297" s="15" t="str">
        <f t="shared" si="18"/>
        <v/>
      </c>
      <c r="I297" s="95">
        <v>0.14499999999999999</v>
      </c>
      <c r="J297" s="15">
        <f t="shared" si="19"/>
        <v>2.5402921628670791E-4</v>
      </c>
      <c r="K297" s="16"/>
      <c r="L297" s="392"/>
    </row>
    <row r="298" spans="1:12">
      <c r="A298" s="1" t="s">
        <v>300</v>
      </c>
      <c r="B298" s="17" t="s">
        <v>602</v>
      </c>
      <c r="C298" s="387">
        <v>1179.0999999999999</v>
      </c>
      <c r="D298" s="387">
        <v>110.31</v>
      </c>
      <c r="E298" s="387">
        <f t="shared" si="16"/>
        <v>130066.52099999999</v>
      </c>
      <c r="F298" s="15">
        <f t="shared" si="17"/>
        <v>4.3067887574418495E-3</v>
      </c>
      <c r="G298" s="95">
        <v>1.7768108059106155E-2</v>
      </c>
      <c r="H298" s="15">
        <f t="shared" si="18"/>
        <v>7.6523488029970303E-5</v>
      </c>
      <c r="I298" s="95">
        <v>0.16</v>
      </c>
      <c r="J298" s="15">
        <f t="shared" si="19"/>
        <v>6.8908620119069593E-4</v>
      </c>
      <c r="K298" s="16"/>
      <c r="L298" s="392"/>
    </row>
    <row r="299" spans="1:12">
      <c r="A299" s="1" t="s">
        <v>214</v>
      </c>
      <c r="B299" s="17" t="s">
        <v>504</v>
      </c>
      <c r="C299" s="387">
        <v>956.37</v>
      </c>
      <c r="D299" s="387">
        <v>21.62</v>
      </c>
      <c r="E299" s="387">
        <f t="shared" si="16"/>
        <v>20676.719400000002</v>
      </c>
      <c r="F299" s="15">
        <f t="shared" si="17"/>
        <v>6.8465168413860936E-4</v>
      </c>
      <c r="G299" s="95">
        <v>3.4227567067530065E-2</v>
      </c>
      <c r="H299" s="15">
        <f t="shared" si="18"/>
        <v>2.3433961436751661E-5</v>
      </c>
      <c r="I299" s="95">
        <v>9.5000000000000001E-2</v>
      </c>
      <c r="J299" s="15">
        <f t="shared" si="19"/>
        <v>6.5041909993167885E-5</v>
      </c>
      <c r="K299" s="16"/>
      <c r="L299" s="392"/>
    </row>
    <row r="300" spans="1:12">
      <c r="A300" s="1" t="s">
        <v>1179</v>
      </c>
      <c r="B300" s="17" t="s">
        <v>675</v>
      </c>
      <c r="C300" s="387">
        <v>322.36200000000002</v>
      </c>
      <c r="D300" s="387">
        <v>40.11</v>
      </c>
      <c r="E300" s="387">
        <f t="shared" si="16"/>
        <v>12929.939820000001</v>
      </c>
      <c r="F300" s="15" t="str">
        <f t="shared" si="17"/>
        <v/>
      </c>
      <c r="G300" s="95">
        <v>1.1967090501121914E-2</v>
      </c>
      <c r="H300" s="15" t="str">
        <f t="shared" si="18"/>
        <v/>
      </c>
      <c r="I300" s="95" t="s">
        <v>719</v>
      </c>
      <c r="J300" s="15" t="str">
        <f t="shared" si="19"/>
        <v/>
      </c>
      <c r="K300" s="16"/>
      <c r="L300" s="392"/>
    </row>
    <row r="301" spans="1:12">
      <c r="A301" s="1" t="s">
        <v>1179</v>
      </c>
      <c r="B301" s="17" t="s">
        <v>771</v>
      </c>
      <c r="C301" s="387">
        <v>250.15299999999999</v>
      </c>
      <c r="D301" s="387">
        <v>37.119999999999997</v>
      </c>
      <c r="E301" s="387">
        <f t="shared" si="16"/>
        <v>9285.6793599999983</v>
      </c>
      <c r="F301" s="15" t="str">
        <f t="shared" si="17"/>
        <v/>
      </c>
      <c r="G301" s="95">
        <v>1.2931034482758621E-2</v>
      </c>
      <c r="H301" s="15" t="str">
        <f t="shared" si="18"/>
        <v/>
      </c>
      <c r="I301" s="95" t="s">
        <v>719</v>
      </c>
      <c r="J301" s="15" t="str">
        <f t="shared" si="19"/>
        <v/>
      </c>
      <c r="K301" s="16"/>
      <c r="L301" s="392"/>
    </row>
    <row r="302" spans="1:12">
      <c r="A302" s="1" t="s">
        <v>301</v>
      </c>
      <c r="B302" s="17" t="s">
        <v>603</v>
      </c>
      <c r="C302" s="387">
        <v>365.62700000000001</v>
      </c>
      <c r="D302" s="387">
        <v>84.72</v>
      </c>
      <c r="E302" s="387">
        <f t="shared" si="16"/>
        <v>30975.919440000001</v>
      </c>
      <c r="F302" s="15">
        <f t="shared" si="17"/>
        <v>1.025680863683718E-3</v>
      </c>
      <c r="G302" s="95">
        <v>2.6912181303116151E-2</v>
      </c>
      <c r="H302" s="15">
        <f t="shared" si="18"/>
        <v>2.760330936259298E-5</v>
      </c>
      <c r="I302" s="95">
        <v>7.0000000000000007E-2</v>
      </c>
      <c r="J302" s="15">
        <f t="shared" si="19"/>
        <v>7.1797660457860267E-5</v>
      </c>
      <c r="K302" s="16"/>
      <c r="L302" s="392"/>
    </row>
    <row r="303" spans="1:12">
      <c r="A303" s="1" t="s">
        <v>881</v>
      </c>
      <c r="B303" s="17" t="s">
        <v>882</v>
      </c>
      <c r="C303" s="387">
        <v>370.03</v>
      </c>
      <c r="D303" s="387">
        <v>26.71</v>
      </c>
      <c r="E303" s="387">
        <f t="shared" si="16"/>
        <v>9883.5012999999999</v>
      </c>
      <c r="F303" s="15" t="str">
        <f t="shared" si="17"/>
        <v/>
      </c>
      <c r="G303" s="95" t="s">
        <v>719</v>
      </c>
      <c r="H303" s="15" t="str">
        <f t="shared" si="18"/>
        <v/>
      </c>
      <c r="I303" s="95" t="s">
        <v>719</v>
      </c>
      <c r="J303" s="15" t="str">
        <f t="shared" si="19"/>
        <v/>
      </c>
      <c r="K303" s="16"/>
      <c r="L303" s="392"/>
    </row>
    <row r="304" spans="1:12">
      <c r="A304" s="1" t="s">
        <v>745</v>
      </c>
      <c r="B304" s="17" t="s">
        <v>618</v>
      </c>
      <c r="C304" s="387">
        <v>1482.6489999999999</v>
      </c>
      <c r="D304" s="387">
        <v>59.44</v>
      </c>
      <c r="E304" s="387">
        <f t="shared" si="16"/>
        <v>88128.656559999989</v>
      </c>
      <c r="F304" s="15">
        <f t="shared" si="17"/>
        <v>2.9181337700349644E-3</v>
      </c>
      <c r="G304" s="95">
        <v>3.095558546433378E-2</v>
      </c>
      <c r="H304" s="15">
        <f t="shared" si="18"/>
        <v>9.0332539314675887E-5</v>
      </c>
      <c r="I304" s="95">
        <v>6.5000000000000002E-2</v>
      </c>
      <c r="J304" s="15">
        <f t="shared" si="19"/>
        <v>1.8967869505227269E-4</v>
      </c>
      <c r="K304" s="16"/>
      <c r="L304" s="392"/>
    </row>
    <row r="305" spans="1:12">
      <c r="A305" s="1" t="s">
        <v>1180</v>
      </c>
      <c r="B305" s="17" t="s">
        <v>883</v>
      </c>
      <c r="C305" s="387">
        <v>133.19800000000001</v>
      </c>
      <c r="D305" s="387">
        <v>61.07</v>
      </c>
      <c r="E305" s="387">
        <f t="shared" si="16"/>
        <v>8134.4018600000009</v>
      </c>
      <c r="F305" s="15">
        <f t="shared" si="17"/>
        <v>2.6934794757185884E-4</v>
      </c>
      <c r="G305" s="95">
        <v>1.7029638120189948E-2</v>
      </c>
      <c r="H305" s="15">
        <f t="shared" si="18"/>
        <v>4.5868980755646508E-6</v>
      </c>
      <c r="I305" s="95">
        <v>9.5000000000000001E-2</v>
      </c>
      <c r="J305" s="15">
        <f t="shared" si="19"/>
        <v>2.5588055019326588E-5</v>
      </c>
      <c r="K305" s="16"/>
      <c r="L305" s="392"/>
    </row>
    <row r="306" spans="1:12">
      <c r="A306" s="1" t="s">
        <v>1181</v>
      </c>
      <c r="B306" s="17" t="s">
        <v>1182</v>
      </c>
      <c r="C306" s="387">
        <v>581.73599999999999</v>
      </c>
      <c r="D306" s="387">
        <v>25.3</v>
      </c>
      <c r="E306" s="387">
        <f t="shared" si="16"/>
        <v>14717.9208</v>
      </c>
      <c r="F306" s="15">
        <f t="shared" si="17"/>
        <v>4.8734274851834901E-4</v>
      </c>
      <c r="G306" s="95">
        <v>1.9762845849802372E-2</v>
      </c>
      <c r="H306" s="15">
        <f t="shared" si="18"/>
        <v>9.6312796149871343E-6</v>
      </c>
      <c r="I306" s="95">
        <v>7.0000000000000007E-2</v>
      </c>
      <c r="J306" s="15">
        <f t="shared" si="19"/>
        <v>3.4113992396284436E-5</v>
      </c>
      <c r="K306" s="16"/>
      <c r="L306" s="392"/>
    </row>
    <row r="307" spans="1:12">
      <c r="A307" s="1" t="s">
        <v>304</v>
      </c>
      <c r="B307" s="17" t="s">
        <v>606</v>
      </c>
      <c r="C307" s="387">
        <v>226.93700000000001</v>
      </c>
      <c r="D307" s="387">
        <v>196.7</v>
      </c>
      <c r="E307" s="387">
        <f t="shared" si="16"/>
        <v>44638.507899999997</v>
      </c>
      <c r="F307" s="15">
        <f t="shared" si="17"/>
        <v>1.4780792358757653E-3</v>
      </c>
      <c r="G307" s="95">
        <v>2.1962379257752927E-2</v>
      </c>
      <c r="H307" s="15">
        <f t="shared" si="18"/>
        <v>3.2462136751313204E-5</v>
      </c>
      <c r="I307" s="95">
        <v>0.08</v>
      </c>
      <c r="J307" s="15">
        <f t="shared" si="19"/>
        <v>1.1824633887006122E-4</v>
      </c>
      <c r="K307" s="16"/>
      <c r="L307" s="392"/>
    </row>
    <row r="308" spans="1:12">
      <c r="A308" s="1" t="s">
        <v>324</v>
      </c>
      <c r="B308" s="17" t="s">
        <v>629</v>
      </c>
      <c r="C308" s="387">
        <v>421.09899999999999</v>
      </c>
      <c r="D308" s="387">
        <v>149.36000000000001</v>
      </c>
      <c r="E308" s="387">
        <f t="shared" si="16"/>
        <v>62895.346640000003</v>
      </c>
      <c r="F308" s="15">
        <f t="shared" si="17"/>
        <v>2.0826033457492111E-3</v>
      </c>
      <c r="G308" s="95">
        <v>1.5399035886448843E-2</v>
      </c>
      <c r="H308" s="15">
        <f t="shared" si="18"/>
        <v>3.2070083658430528E-5</v>
      </c>
      <c r="I308" s="95">
        <v>7.4999999999999997E-2</v>
      </c>
      <c r="J308" s="15">
        <f t="shared" si="19"/>
        <v>1.5619525093119082E-4</v>
      </c>
      <c r="K308" s="16"/>
      <c r="L308" s="392"/>
    </row>
    <row r="309" spans="1:12">
      <c r="A309" s="1" t="s">
        <v>140</v>
      </c>
      <c r="B309" s="17" t="s">
        <v>418</v>
      </c>
      <c r="C309" s="387">
        <v>168.251</v>
      </c>
      <c r="D309" s="387">
        <v>210.69</v>
      </c>
      <c r="E309" s="387">
        <f t="shared" si="16"/>
        <v>35448.803189999999</v>
      </c>
      <c r="F309" s="15">
        <f t="shared" si="17"/>
        <v>1.173787888456406E-3</v>
      </c>
      <c r="G309" s="95">
        <v>1.4428781622288672E-2</v>
      </c>
      <c r="H309" s="15">
        <f t="shared" si="18"/>
        <v>1.6936329113424818E-5</v>
      </c>
      <c r="I309" s="95">
        <v>7.0000000000000007E-2</v>
      </c>
      <c r="J309" s="15">
        <f t="shared" si="19"/>
        <v>8.2165152191948426E-5</v>
      </c>
      <c r="K309" s="16"/>
      <c r="L309" s="392"/>
    </row>
    <row r="310" spans="1:12">
      <c r="A310" s="1" t="s">
        <v>335</v>
      </c>
      <c r="B310" s="17" t="s">
        <v>641</v>
      </c>
      <c r="C310" s="387">
        <v>247.46799999999999</v>
      </c>
      <c r="D310" s="387">
        <v>150.99</v>
      </c>
      <c r="E310" s="387">
        <f t="shared" si="16"/>
        <v>37365.193319999998</v>
      </c>
      <c r="F310" s="15">
        <f t="shared" si="17"/>
        <v>1.2372437832039601E-3</v>
      </c>
      <c r="G310" s="95" t="s">
        <v>719</v>
      </c>
      <c r="H310" s="15" t="str">
        <f t="shared" si="18"/>
        <v/>
      </c>
      <c r="I310" s="95">
        <v>0.08</v>
      </c>
      <c r="J310" s="15">
        <f t="shared" si="19"/>
        <v>9.8979502656316813E-5</v>
      </c>
      <c r="K310" s="16"/>
      <c r="L310" s="392"/>
    </row>
    <row r="311" spans="1:12">
      <c r="A311" s="1" t="s">
        <v>746</v>
      </c>
      <c r="B311" s="17" t="s">
        <v>429</v>
      </c>
      <c r="C311" s="387">
        <v>218.55099999999999</v>
      </c>
      <c r="D311" s="387">
        <v>58.05</v>
      </c>
      <c r="E311" s="387">
        <f t="shared" si="16"/>
        <v>12686.885549999999</v>
      </c>
      <c r="F311" s="15">
        <f t="shared" si="17"/>
        <v>4.2009070153949498E-4</v>
      </c>
      <c r="G311" s="95">
        <v>7.5796726959517658E-3</v>
      </c>
      <c r="H311" s="15">
        <f t="shared" si="18"/>
        <v>3.1841500202821326E-6</v>
      </c>
      <c r="I311" s="95">
        <v>5.5E-2</v>
      </c>
      <c r="J311" s="15">
        <f t="shared" si="19"/>
        <v>2.3104988584672224E-5</v>
      </c>
      <c r="K311" s="16"/>
      <c r="L311" s="392"/>
    </row>
    <row r="312" spans="1:12">
      <c r="A312" s="1" t="s">
        <v>1183</v>
      </c>
      <c r="B312" s="17" t="s">
        <v>644</v>
      </c>
      <c r="C312" s="387">
        <v>162.07</v>
      </c>
      <c r="D312" s="387">
        <v>61.89</v>
      </c>
      <c r="E312" s="387">
        <f t="shared" si="16"/>
        <v>10030.5123</v>
      </c>
      <c r="F312" s="15">
        <f t="shared" si="17"/>
        <v>3.3213233715248059E-4</v>
      </c>
      <c r="G312" s="95">
        <v>2.4559702698335757E-2</v>
      </c>
      <c r="H312" s="15">
        <f t="shared" si="18"/>
        <v>8.1570714569683382E-6</v>
      </c>
      <c r="I312" s="95">
        <v>8.5000000000000006E-2</v>
      </c>
      <c r="J312" s="15">
        <f t="shared" si="19"/>
        <v>2.8231248657960851E-5</v>
      </c>
      <c r="K312" s="16"/>
      <c r="L312" s="392"/>
    </row>
    <row r="313" spans="1:12">
      <c r="A313" s="1" t="s">
        <v>818</v>
      </c>
      <c r="B313" s="17" t="s">
        <v>819</v>
      </c>
      <c r="C313" s="387">
        <v>125.233</v>
      </c>
      <c r="D313" s="387">
        <v>58.6</v>
      </c>
      <c r="E313" s="387">
        <f t="shared" si="16"/>
        <v>7338.6538</v>
      </c>
      <c r="F313" s="15" t="str">
        <f t="shared" si="17"/>
        <v/>
      </c>
      <c r="G313" s="95" t="s">
        <v>719</v>
      </c>
      <c r="H313" s="15" t="str">
        <f t="shared" si="18"/>
        <v/>
      </c>
      <c r="I313" s="95">
        <v>0.8</v>
      </c>
      <c r="J313" s="15" t="str">
        <f t="shared" si="19"/>
        <v/>
      </c>
      <c r="K313" s="16"/>
      <c r="L313" s="392"/>
    </row>
    <row r="314" spans="1:12">
      <c r="A314" s="1" t="s">
        <v>207</v>
      </c>
      <c r="B314" s="17" t="s">
        <v>496</v>
      </c>
      <c r="C314" s="387">
        <v>461.392</v>
      </c>
      <c r="D314" s="387">
        <v>24.11</v>
      </c>
      <c r="E314" s="387">
        <f t="shared" si="16"/>
        <v>11124.161119999999</v>
      </c>
      <c r="F314" s="15">
        <f t="shared" si="17"/>
        <v>3.6834545645752863E-4</v>
      </c>
      <c r="G314" s="95">
        <v>2.8204064703442559E-2</v>
      </c>
      <c r="H314" s="15">
        <f t="shared" si="18"/>
        <v>1.0388839087147222E-5</v>
      </c>
      <c r="I314" s="95">
        <v>0.15</v>
      </c>
      <c r="J314" s="15">
        <f t="shared" si="19"/>
        <v>5.5251818468629294E-5</v>
      </c>
      <c r="K314" s="16"/>
      <c r="L314" s="392"/>
    </row>
    <row r="315" spans="1:12">
      <c r="A315" s="1" t="s">
        <v>1184</v>
      </c>
      <c r="B315" s="17" t="s">
        <v>1185</v>
      </c>
      <c r="C315" s="387">
        <v>515.11099999999999</v>
      </c>
      <c r="D315" s="387">
        <v>293.38</v>
      </c>
      <c r="E315" s="387">
        <f t="shared" si="16"/>
        <v>151123.26517999999</v>
      </c>
      <c r="F315" s="15" t="str">
        <f t="shared" si="17"/>
        <v/>
      </c>
      <c r="G315" s="95">
        <v>1.4452246233553755E-2</v>
      </c>
      <c r="H315" s="15" t="str">
        <f t="shared" si="18"/>
        <v/>
      </c>
      <c r="I315" s="95" t="s">
        <v>719</v>
      </c>
      <c r="J315" s="15" t="str">
        <f t="shared" si="19"/>
        <v/>
      </c>
      <c r="K315" s="16"/>
      <c r="L315" s="392"/>
    </row>
    <row r="316" spans="1:12">
      <c r="A316" s="1" t="s">
        <v>205</v>
      </c>
      <c r="B316" s="17" t="s">
        <v>494</v>
      </c>
      <c r="C316" s="387">
        <v>273.09199999999998</v>
      </c>
      <c r="D316" s="387">
        <v>539.51</v>
      </c>
      <c r="E316" s="387">
        <f t="shared" si="16"/>
        <v>147335.86491999999</v>
      </c>
      <c r="F316" s="15">
        <f t="shared" si="17"/>
        <v>4.8786147405713038E-3</v>
      </c>
      <c r="G316" s="95">
        <v>5.0416118329595369E-3</v>
      </c>
      <c r="H316" s="15">
        <f t="shared" si="18"/>
        <v>2.4596081804515106E-5</v>
      </c>
      <c r="I316" s="95">
        <v>0.16</v>
      </c>
      <c r="J316" s="15">
        <f t="shared" si="19"/>
        <v>7.8057835849140863E-4</v>
      </c>
      <c r="K316" s="16"/>
      <c r="L316" s="392"/>
    </row>
    <row r="317" spans="1:12">
      <c r="A317" s="1" t="s">
        <v>243</v>
      </c>
      <c r="B317" s="17" t="s">
        <v>38</v>
      </c>
      <c r="C317" s="387">
        <v>1824.5609999999999</v>
      </c>
      <c r="D317" s="387">
        <v>97.31</v>
      </c>
      <c r="E317" s="387">
        <f t="shared" si="16"/>
        <v>177548.03091</v>
      </c>
      <c r="F317" s="15">
        <f t="shared" si="17"/>
        <v>5.8790060466761161E-3</v>
      </c>
      <c r="G317" s="95">
        <v>2.8774021169458434E-2</v>
      </c>
      <c r="H317" s="15">
        <f t="shared" si="18"/>
        <v>1.691626444424327E-4</v>
      </c>
      <c r="I317" s="95">
        <v>8.5000000000000006E-2</v>
      </c>
      <c r="J317" s="15">
        <f t="shared" si="19"/>
        <v>4.997155139674699E-4</v>
      </c>
      <c r="K317" s="16"/>
      <c r="L317" s="392"/>
    </row>
    <row r="318" spans="1:12">
      <c r="A318" s="1" t="s">
        <v>237</v>
      </c>
      <c r="B318" s="17" t="s">
        <v>531</v>
      </c>
      <c r="C318" s="387">
        <v>274.04000000000002</v>
      </c>
      <c r="D318" s="387">
        <v>153.49</v>
      </c>
      <c r="E318" s="387">
        <f t="shared" si="16"/>
        <v>42062.399600000004</v>
      </c>
      <c r="F318" s="15">
        <f t="shared" si="17"/>
        <v>1.3927786206283366E-3</v>
      </c>
      <c r="G318" s="95">
        <v>1.1388364062805394E-2</v>
      </c>
      <c r="H318" s="15">
        <f t="shared" si="18"/>
        <v>1.5861469990607416E-5</v>
      </c>
      <c r="I318" s="95">
        <v>0.105</v>
      </c>
      <c r="J318" s="15">
        <f t="shared" si="19"/>
        <v>1.4624175516597535E-4</v>
      </c>
      <c r="K318" s="16"/>
      <c r="L318" s="392"/>
    </row>
    <row r="319" spans="1:12">
      <c r="A319" s="1" t="s">
        <v>749</v>
      </c>
      <c r="B319" s="17" t="s">
        <v>400</v>
      </c>
      <c r="C319" s="387">
        <v>431.57100000000003</v>
      </c>
      <c r="D319" s="387">
        <v>173.48</v>
      </c>
      <c r="E319" s="387">
        <f t="shared" si="16"/>
        <v>74868.937080000003</v>
      </c>
      <c r="F319" s="15">
        <f t="shared" si="17"/>
        <v>2.4790752763946479E-3</v>
      </c>
      <c r="G319" s="95">
        <v>1.8445930366612868E-2</v>
      </c>
      <c r="H319" s="15">
        <f t="shared" si="18"/>
        <v>4.5728849921967224E-5</v>
      </c>
      <c r="I319" s="95">
        <v>0.125</v>
      </c>
      <c r="J319" s="15">
        <f t="shared" si="19"/>
        <v>3.0988440954933099E-4</v>
      </c>
      <c r="K319" s="16"/>
      <c r="L319" s="392"/>
    </row>
    <row r="320" spans="1:12">
      <c r="A320" s="1" t="s">
        <v>747</v>
      </c>
      <c r="B320" s="17" t="s">
        <v>748</v>
      </c>
      <c r="C320" s="387">
        <v>253.48699999999999</v>
      </c>
      <c r="D320" s="387">
        <v>73.81</v>
      </c>
      <c r="E320" s="387">
        <f t="shared" si="16"/>
        <v>18709.875469999999</v>
      </c>
      <c r="F320" s="15" t="str">
        <f t="shared" si="17"/>
        <v/>
      </c>
      <c r="G320" s="95" t="s">
        <v>719</v>
      </c>
      <c r="H320" s="15" t="str">
        <f t="shared" si="18"/>
        <v/>
      </c>
      <c r="I320" s="95">
        <v>0.25</v>
      </c>
      <c r="J320" s="15" t="str">
        <f t="shared" si="19"/>
        <v/>
      </c>
      <c r="K320" s="16"/>
      <c r="L320" s="392"/>
    </row>
    <row r="321" spans="1:12">
      <c r="A321" s="1" t="s">
        <v>750</v>
      </c>
      <c r="B321" s="17" t="s">
        <v>751</v>
      </c>
      <c r="C321" s="387">
        <v>426.08300000000003</v>
      </c>
      <c r="D321" s="387">
        <v>46.98</v>
      </c>
      <c r="E321" s="387">
        <f t="shared" si="16"/>
        <v>20017.37934</v>
      </c>
      <c r="F321" s="15">
        <f t="shared" si="17"/>
        <v>6.628194836929694E-4</v>
      </c>
      <c r="G321" s="95">
        <v>3.3205619412515965E-2</v>
      </c>
      <c r="H321" s="15">
        <f t="shared" si="18"/>
        <v>2.2009331514709072E-5</v>
      </c>
      <c r="I321" s="95">
        <v>8.5000000000000006E-2</v>
      </c>
      <c r="J321" s="15">
        <f t="shared" si="19"/>
        <v>5.6339656113902402E-5</v>
      </c>
      <c r="K321" s="16"/>
      <c r="L321" s="392"/>
    </row>
    <row r="322" spans="1:12">
      <c r="A322" s="1" t="s">
        <v>258</v>
      </c>
      <c r="B322" s="17" t="s">
        <v>555</v>
      </c>
      <c r="C322" s="387">
        <v>68.951999999999998</v>
      </c>
      <c r="D322" s="387">
        <v>611.05999999999995</v>
      </c>
      <c r="E322" s="387">
        <f t="shared" si="16"/>
        <v>42133.809119999998</v>
      </c>
      <c r="F322" s="15">
        <f t="shared" si="17"/>
        <v>1.3951431469918141E-3</v>
      </c>
      <c r="G322" s="95" t="s">
        <v>719</v>
      </c>
      <c r="H322" s="15" t="str">
        <f t="shared" si="18"/>
        <v/>
      </c>
      <c r="I322" s="95">
        <v>0.11</v>
      </c>
      <c r="J322" s="15">
        <f t="shared" si="19"/>
        <v>1.5346574616909955E-4</v>
      </c>
      <c r="K322" s="16"/>
      <c r="L322" s="392"/>
    </row>
    <row r="323" spans="1:12">
      <c r="A323" s="1" t="s">
        <v>73</v>
      </c>
      <c r="B323" s="17" t="s">
        <v>347</v>
      </c>
      <c r="C323" s="387">
        <v>295.68099999999998</v>
      </c>
      <c r="D323" s="387">
        <v>127.31</v>
      </c>
      <c r="E323" s="387">
        <f t="shared" si="16"/>
        <v>37643.148110000002</v>
      </c>
      <c r="F323" s="15">
        <f t="shared" si="17"/>
        <v>1.2464474780167791E-3</v>
      </c>
      <c r="G323" s="95">
        <v>2.5449689733720839E-2</v>
      </c>
      <c r="H323" s="15">
        <f t="shared" si="18"/>
        <v>3.172170158490585E-5</v>
      </c>
      <c r="I323" s="95">
        <v>0.05</v>
      </c>
      <c r="J323" s="15">
        <f t="shared" si="19"/>
        <v>6.2322373900838951E-5</v>
      </c>
      <c r="K323" s="16"/>
      <c r="L323" s="392"/>
    </row>
    <row r="324" spans="1:12">
      <c r="A324" s="1" t="s">
        <v>167</v>
      </c>
      <c r="B324" s="17" t="s">
        <v>451</v>
      </c>
      <c r="C324" s="387">
        <v>374.45699999999999</v>
      </c>
      <c r="D324" s="387">
        <v>80.92</v>
      </c>
      <c r="E324" s="387">
        <f t="shared" si="16"/>
        <v>30301.060440000001</v>
      </c>
      <c r="F324" s="15">
        <f t="shared" si="17"/>
        <v>1.0033347969809849E-3</v>
      </c>
      <c r="G324" s="95">
        <v>2.9782501235788433E-2</v>
      </c>
      <c r="H324" s="15">
        <f t="shared" si="18"/>
        <v>2.9881819830995721E-5</v>
      </c>
      <c r="I324" s="95">
        <v>0.02</v>
      </c>
      <c r="J324" s="15">
        <f t="shared" si="19"/>
        <v>2.0066695939619698E-5</v>
      </c>
      <c r="K324" s="16"/>
      <c r="L324" s="392"/>
    </row>
    <row r="325" spans="1:12">
      <c r="A325" s="1" t="s">
        <v>106</v>
      </c>
      <c r="B325" s="17" t="s">
        <v>381</v>
      </c>
      <c r="C325" s="387">
        <v>239.79</v>
      </c>
      <c r="D325" s="387">
        <v>43.21</v>
      </c>
      <c r="E325" s="387">
        <f t="shared" si="16"/>
        <v>10361.3259</v>
      </c>
      <c r="F325" s="15">
        <f t="shared" si="17"/>
        <v>3.4308630349474067E-4</v>
      </c>
      <c r="G325" s="95">
        <v>1.5737097894006017E-2</v>
      </c>
      <c r="H325" s="15">
        <f t="shared" si="18"/>
        <v>5.3991827441893923E-6</v>
      </c>
      <c r="I325" s="95">
        <v>9.5000000000000001E-2</v>
      </c>
      <c r="J325" s="15">
        <f t="shared" si="19"/>
        <v>3.2593198832000362E-5</v>
      </c>
      <c r="K325" s="16"/>
      <c r="L325" s="392"/>
    </row>
    <row r="326" spans="1:12">
      <c r="A326" s="1" t="s">
        <v>1186</v>
      </c>
      <c r="B326" s="17" t="s">
        <v>1187</v>
      </c>
      <c r="C326" s="387">
        <v>253.54499999999999</v>
      </c>
      <c r="D326" s="387">
        <v>32.79</v>
      </c>
      <c r="E326" s="387">
        <f t="shared" si="16"/>
        <v>8313.7405499999986</v>
      </c>
      <c r="F326" s="15" t="str">
        <f t="shared" si="17"/>
        <v/>
      </c>
      <c r="G326" s="95">
        <v>3.4156755108264721E-2</v>
      </c>
      <c r="H326" s="15" t="str">
        <f t="shared" si="18"/>
        <v/>
      </c>
      <c r="I326" s="95" t="s">
        <v>719</v>
      </c>
      <c r="J326" s="15" t="str">
        <f t="shared" si="19"/>
        <v/>
      </c>
      <c r="K326" s="16"/>
      <c r="L326" s="392"/>
    </row>
    <row r="327" spans="1:12">
      <c r="A327" s="1" t="s">
        <v>196</v>
      </c>
      <c r="B327" s="17" t="s">
        <v>483</v>
      </c>
      <c r="C327" s="387">
        <v>713.97299999999996</v>
      </c>
      <c r="D327" s="387">
        <v>16.329999999999998</v>
      </c>
      <c r="E327" s="387">
        <f t="shared" si="16"/>
        <v>11659.179089999998</v>
      </c>
      <c r="F327" s="15">
        <f t="shared" si="17"/>
        <v>3.860610788983361E-4</v>
      </c>
      <c r="G327" s="95" t="s">
        <v>719</v>
      </c>
      <c r="H327" s="15" t="str">
        <f t="shared" si="18"/>
        <v/>
      </c>
      <c r="I327" s="95">
        <v>0.1</v>
      </c>
      <c r="J327" s="15">
        <f t="shared" si="19"/>
        <v>3.8606107889833612E-5</v>
      </c>
      <c r="K327" s="16"/>
      <c r="L327" s="392"/>
    </row>
    <row r="328" spans="1:12">
      <c r="A328" s="1" t="s">
        <v>820</v>
      </c>
      <c r="B328" s="17" t="s">
        <v>821</v>
      </c>
      <c r="C328" s="387">
        <v>220.83500000000001</v>
      </c>
      <c r="D328" s="387">
        <v>68.78</v>
      </c>
      <c r="E328" s="387">
        <f t="shared" si="16"/>
        <v>15189.031300000001</v>
      </c>
      <c r="F328" s="15" t="str">
        <f t="shared" si="17"/>
        <v/>
      </c>
      <c r="G328" s="95" t="s">
        <v>719</v>
      </c>
      <c r="H328" s="15" t="str">
        <f t="shared" si="18"/>
        <v/>
      </c>
      <c r="I328" s="95">
        <v>0.58499999999999996</v>
      </c>
      <c r="J328" s="15" t="str">
        <f t="shared" si="19"/>
        <v/>
      </c>
      <c r="K328" s="16"/>
      <c r="L328" s="392"/>
    </row>
    <row r="329" spans="1:12">
      <c r="A329" s="1" t="s">
        <v>295</v>
      </c>
      <c r="B329" s="17" t="s">
        <v>598</v>
      </c>
      <c r="C329" s="387">
        <v>328.61099999999999</v>
      </c>
      <c r="D329" s="387">
        <v>129.97</v>
      </c>
      <c r="E329" s="387">
        <f t="shared" si="16"/>
        <v>42709.571669999998</v>
      </c>
      <c r="F329" s="15">
        <f t="shared" si="17"/>
        <v>1.4142079121460696E-3</v>
      </c>
      <c r="G329" s="95">
        <v>4.616449949988459E-2</v>
      </c>
      <c r="H329" s="15">
        <f t="shared" si="18"/>
        <v>6.5286200453000063E-5</v>
      </c>
      <c r="I329" s="95">
        <v>1.4999999999999999E-2</v>
      </c>
      <c r="J329" s="15">
        <f t="shared" si="19"/>
        <v>2.1213118682191043E-5</v>
      </c>
      <c r="K329" s="16"/>
      <c r="L329" s="392"/>
    </row>
    <row r="330" spans="1:12">
      <c r="A330" s="1" t="s">
        <v>156</v>
      </c>
      <c r="B330" s="17" t="s">
        <v>439</v>
      </c>
      <c r="C330" s="387">
        <v>135.78299999999999</v>
      </c>
      <c r="D330" s="387">
        <v>100.74</v>
      </c>
      <c r="E330" s="387">
        <f t="shared" si="16"/>
        <v>13678.779419999997</v>
      </c>
      <c r="F330" s="15">
        <f t="shared" si="17"/>
        <v>4.5293449051030538E-4</v>
      </c>
      <c r="G330" s="95">
        <v>2.7397260273972601E-2</v>
      </c>
      <c r="H330" s="15">
        <f t="shared" si="18"/>
        <v>1.2409164123570009E-5</v>
      </c>
      <c r="I330" s="95">
        <v>0.105</v>
      </c>
      <c r="J330" s="15">
        <f t="shared" si="19"/>
        <v>4.7558121503582065E-5</v>
      </c>
      <c r="K330" s="16"/>
      <c r="L330" s="392"/>
    </row>
    <row r="331" spans="1:12">
      <c r="A331" s="1" t="s">
        <v>1038</v>
      </c>
      <c r="B331" s="17" t="s">
        <v>1039</v>
      </c>
      <c r="C331" s="387">
        <v>797.96699999999998</v>
      </c>
      <c r="D331" s="387">
        <v>60.39</v>
      </c>
      <c r="E331" s="387">
        <f t="shared" si="16"/>
        <v>48189.227129999999</v>
      </c>
      <c r="F331" s="15" t="str">
        <f t="shared" si="17"/>
        <v/>
      </c>
      <c r="G331" s="95" t="s">
        <v>719</v>
      </c>
      <c r="H331" s="15" t="str">
        <f t="shared" si="18"/>
        <v/>
      </c>
      <c r="I331" s="95">
        <v>0.35</v>
      </c>
      <c r="J331" s="15" t="str">
        <f t="shared" si="19"/>
        <v/>
      </c>
      <c r="K331" s="16"/>
      <c r="L331" s="392"/>
    </row>
    <row r="332" spans="1:12">
      <c r="A332" s="1" t="s">
        <v>95</v>
      </c>
      <c r="B332" s="17" t="s">
        <v>369</v>
      </c>
      <c r="C332" s="387">
        <v>139.61699999999999</v>
      </c>
      <c r="D332" s="387">
        <v>221.64</v>
      </c>
      <c r="E332" s="387">
        <f t="shared" si="16"/>
        <v>30944.711879999995</v>
      </c>
      <c r="F332" s="15">
        <f t="shared" si="17"/>
        <v>1.0246475126913037E-3</v>
      </c>
      <c r="G332" s="95">
        <v>2.8695181375203035E-2</v>
      </c>
      <c r="H332" s="15">
        <f t="shared" si="18"/>
        <v>2.9402446222327616E-5</v>
      </c>
      <c r="I332" s="95">
        <v>1.4999999999999999E-2</v>
      </c>
      <c r="J332" s="15">
        <f t="shared" si="19"/>
        <v>1.5369712690369554E-5</v>
      </c>
      <c r="K332" s="16"/>
      <c r="L332" s="392"/>
    </row>
    <row r="333" spans="1:12">
      <c r="A333" s="1" t="s">
        <v>279</v>
      </c>
      <c r="B333" s="17" t="s">
        <v>578</v>
      </c>
      <c r="C333" s="387">
        <v>386</v>
      </c>
      <c r="D333" s="387">
        <v>105.2</v>
      </c>
      <c r="E333" s="387">
        <f t="shared" si="16"/>
        <v>40607.200000000004</v>
      </c>
      <c r="F333" s="15">
        <f t="shared" si="17"/>
        <v>1.344593759305615E-3</v>
      </c>
      <c r="G333" s="95">
        <v>4.3726235741444859E-2</v>
      </c>
      <c r="H333" s="15">
        <f t="shared" si="18"/>
        <v>5.8794023695872887E-5</v>
      </c>
      <c r="I333" s="95">
        <v>4.4999999999999998E-2</v>
      </c>
      <c r="J333" s="15">
        <f t="shared" si="19"/>
        <v>6.0506719168752673E-5</v>
      </c>
      <c r="K333" s="16"/>
      <c r="L333" s="392"/>
    </row>
    <row r="334" spans="1:12">
      <c r="A334" s="1" t="s">
        <v>313</v>
      </c>
      <c r="B334" s="17" t="s">
        <v>616</v>
      </c>
      <c r="C334" s="387">
        <v>728.29</v>
      </c>
      <c r="D334" s="387">
        <v>182.1</v>
      </c>
      <c r="E334" s="387">
        <f t="shared" si="16"/>
        <v>132621.609</v>
      </c>
      <c r="F334" s="15">
        <f t="shared" si="17"/>
        <v>4.3913933442953305E-3</v>
      </c>
      <c r="G334" s="95">
        <v>2.2405271828665571E-2</v>
      </c>
      <c r="H334" s="15">
        <f t="shared" si="18"/>
        <v>9.839036158552965E-5</v>
      </c>
      <c r="I334" s="95">
        <v>0.105</v>
      </c>
      <c r="J334" s="15">
        <f t="shared" si="19"/>
        <v>4.6109630115100971E-4</v>
      </c>
      <c r="K334" s="16"/>
      <c r="L334" s="392"/>
    </row>
    <row r="335" spans="1:12">
      <c r="A335" s="1" t="s">
        <v>684</v>
      </c>
      <c r="B335" s="17" t="s">
        <v>685</v>
      </c>
      <c r="C335" s="387">
        <v>864.98699999999997</v>
      </c>
      <c r="D335" s="387">
        <v>47.05</v>
      </c>
      <c r="E335" s="387">
        <f t="shared" si="16"/>
        <v>40697.638349999994</v>
      </c>
      <c r="F335" s="15">
        <f t="shared" si="17"/>
        <v>1.3475883721085632E-3</v>
      </c>
      <c r="G335" s="95">
        <v>4.0595111583421897E-2</v>
      </c>
      <c r="H335" s="15">
        <f t="shared" si="18"/>
        <v>5.4705500334268989E-5</v>
      </c>
      <c r="I335" s="95">
        <v>0.06</v>
      </c>
      <c r="J335" s="15">
        <f t="shared" si="19"/>
        <v>8.0855302326513783E-5</v>
      </c>
      <c r="K335" s="16"/>
      <c r="L335" s="392"/>
    </row>
    <row r="336" spans="1:12">
      <c r="A336" s="1" t="s">
        <v>1188</v>
      </c>
      <c r="B336" s="17" t="s">
        <v>1189</v>
      </c>
      <c r="C336" s="387">
        <v>99.759</v>
      </c>
      <c r="D336" s="387">
        <v>204.28</v>
      </c>
      <c r="E336" s="387">
        <f t="shared" si="16"/>
        <v>20378.768520000001</v>
      </c>
      <c r="F336" s="15">
        <f t="shared" si="17"/>
        <v>6.7478587477899784E-4</v>
      </c>
      <c r="G336" s="95">
        <v>8.4198159389073813E-3</v>
      </c>
      <c r="H336" s="15">
        <f t="shared" si="18"/>
        <v>5.681572863813766E-6</v>
      </c>
      <c r="I336" s="95">
        <v>0.1</v>
      </c>
      <c r="J336" s="15">
        <f t="shared" si="19"/>
        <v>6.7478587477899789E-5</v>
      </c>
      <c r="K336" s="16"/>
      <c r="L336" s="392"/>
    </row>
    <row r="337" spans="1:12">
      <c r="A337" s="1" t="s">
        <v>234</v>
      </c>
      <c r="B337" s="17" t="s">
        <v>527</v>
      </c>
      <c r="C337" s="387">
        <v>154.67500000000001</v>
      </c>
      <c r="D337" s="387">
        <v>199.38</v>
      </c>
      <c r="E337" s="387">
        <f t="shared" si="16"/>
        <v>30839.101500000001</v>
      </c>
      <c r="F337" s="15">
        <f t="shared" si="17"/>
        <v>1.0211505205848328E-3</v>
      </c>
      <c r="G337" s="95">
        <v>9.4292306149062095E-3</v>
      </c>
      <c r="H337" s="15">
        <f t="shared" si="18"/>
        <v>9.6286637511259192E-6</v>
      </c>
      <c r="I337" s="95">
        <v>0.09</v>
      </c>
      <c r="J337" s="15">
        <f t="shared" si="19"/>
        <v>9.1903546852634943E-5</v>
      </c>
      <c r="K337" s="16"/>
      <c r="L337" s="392"/>
    </row>
    <row r="338" spans="1:12">
      <c r="A338" s="1" t="s">
        <v>223</v>
      </c>
      <c r="B338" s="17" t="s">
        <v>515</v>
      </c>
      <c r="C338" s="387">
        <v>276.916</v>
      </c>
      <c r="D338" s="387">
        <v>345.1</v>
      </c>
      <c r="E338" s="387">
        <f t="shared" si="16"/>
        <v>95563.71160000001</v>
      </c>
      <c r="F338" s="15">
        <f t="shared" si="17"/>
        <v>3.1643248052917118E-3</v>
      </c>
      <c r="G338" s="95">
        <v>3.2454361054766727E-2</v>
      </c>
      <c r="H338" s="15">
        <f t="shared" si="18"/>
        <v>1.0269613972549164E-4</v>
      </c>
      <c r="I338" s="95">
        <v>7.4999999999999997E-2</v>
      </c>
      <c r="J338" s="15">
        <f t="shared" si="19"/>
        <v>2.3732436039687838E-4</v>
      </c>
      <c r="K338" s="16"/>
      <c r="L338" s="392"/>
    </row>
    <row r="339" spans="1:12">
      <c r="A339" s="1" t="s">
        <v>82</v>
      </c>
      <c r="B339" s="17" t="s">
        <v>355</v>
      </c>
      <c r="C339" s="387">
        <v>207.78700000000001</v>
      </c>
      <c r="D339" s="387">
        <v>119.45</v>
      </c>
      <c r="E339" s="387">
        <f t="shared" si="16"/>
        <v>24820.157150000003</v>
      </c>
      <c r="F339" s="15">
        <f t="shared" si="17"/>
        <v>8.2185002681481702E-4</v>
      </c>
      <c r="G339" s="95">
        <v>1.4734198409376308E-2</v>
      </c>
      <c r="H339" s="15">
        <f t="shared" si="18"/>
        <v>1.2109301357840753E-5</v>
      </c>
      <c r="I339" s="95">
        <v>6.5000000000000002E-2</v>
      </c>
      <c r="J339" s="15">
        <f t="shared" si="19"/>
        <v>5.3420251742963112E-5</v>
      </c>
      <c r="K339" s="16"/>
      <c r="L339" s="392"/>
    </row>
    <row r="340" spans="1:12">
      <c r="A340" s="1" t="s">
        <v>113</v>
      </c>
      <c r="B340" s="17" t="s">
        <v>388</v>
      </c>
      <c r="C340" s="387">
        <v>446.11399999999998</v>
      </c>
      <c r="D340" s="387">
        <v>161.97</v>
      </c>
      <c r="E340" s="387">
        <f t="shared" ref="E340:E403" si="20">IFERROR(C340*D340,"")</f>
        <v>72257.084579999995</v>
      </c>
      <c r="F340" s="15">
        <f t="shared" ref="F340:F403" si="21">IF(AND(ISNUMBER($I340)), IF(AND($I340&lt;=20%,$I340&gt;0%), $E340/SUMIFS($E$19:$E$523,$I$19:$I$523, "&gt;"&amp;0%,$I$19:$I$523, "&lt;="&amp;20%),""),"")</f>
        <v>2.3925910920202811E-3</v>
      </c>
      <c r="G340" s="95">
        <v>1.4817558807186515E-2</v>
      </c>
      <c r="H340" s="15">
        <f t="shared" ref="H340:H403" si="22">IFERROR($G340*$F340,"")</f>
        <v>3.5452359207561115E-5</v>
      </c>
      <c r="I340" s="95">
        <v>5.5E-2</v>
      </c>
      <c r="J340" s="15">
        <f t="shared" ref="J340:J403" si="23">IFERROR($I340*$F340,"")</f>
        <v>1.3159251006111545E-4</v>
      </c>
      <c r="K340" s="16"/>
      <c r="L340" s="392"/>
    </row>
    <row r="341" spans="1:12">
      <c r="A341" s="1" t="s">
        <v>325</v>
      </c>
      <c r="B341" s="17" t="s">
        <v>630</v>
      </c>
      <c r="C341" s="387">
        <v>61.363</v>
      </c>
      <c r="D341" s="387">
        <v>357.3</v>
      </c>
      <c r="E341" s="387">
        <f t="shared" si="20"/>
        <v>21924.999899999999</v>
      </c>
      <c r="F341" s="15">
        <f t="shared" si="21"/>
        <v>7.2598499867797402E-4</v>
      </c>
      <c r="G341" s="95" t="s">
        <v>719</v>
      </c>
      <c r="H341" s="15" t="str">
        <f t="shared" si="22"/>
        <v/>
      </c>
      <c r="I341" s="95">
        <v>0.06</v>
      </c>
      <c r="J341" s="15">
        <f t="shared" si="23"/>
        <v>4.3559099920678442E-5</v>
      </c>
      <c r="K341" s="16"/>
      <c r="L341" s="392"/>
    </row>
    <row r="342" spans="1:12">
      <c r="A342" s="1" t="s">
        <v>151</v>
      </c>
      <c r="B342" s="17" t="s">
        <v>433</v>
      </c>
      <c r="C342" s="387">
        <v>224.91200000000001</v>
      </c>
      <c r="D342" s="387">
        <v>95.72</v>
      </c>
      <c r="E342" s="387">
        <f t="shared" si="20"/>
        <v>21528.576639999999</v>
      </c>
      <c r="F342" s="15">
        <f t="shared" si="21"/>
        <v>7.1285855210102248E-4</v>
      </c>
      <c r="G342" s="95" t="s">
        <v>719</v>
      </c>
      <c r="H342" s="15" t="str">
        <f t="shared" si="22"/>
        <v/>
      </c>
      <c r="I342" s="95">
        <v>9.5000000000000001E-2</v>
      </c>
      <c r="J342" s="15">
        <f t="shared" si="23"/>
        <v>6.7721562449597135E-5</v>
      </c>
      <c r="K342" s="16"/>
      <c r="L342" s="392"/>
    </row>
    <row r="343" spans="1:12">
      <c r="A343" s="1" t="s">
        <v>147</v>
      </c>
      <c r="B343" s="17" t="s">
        <v>426</v>
      </c>
      <c r="C343" s="387">
        <v>130.32</v>
      </c>
      <c r="D343" s="387">
        <v>151.47</v>
      </c>
      <c r="E343" s="387">
        <f t="shared" si="20"/>
        <v>19739.570400000001</v>
      </c>
      <c r="F343" s="15">
        <f t="shared" si="21"/>
        <v>6.5362061829463342E-4</v>
      </c>
      <c r="G343" s="95">
        <v>2.904865649963689E-2</v>
      </c>
      <c r="H343" s="15">
        <f t="shared" si="22"/>
        <v>1.8986800821921086E-5</v>
      </c>
      <c r="I343" s="95">
        <v>0.19</v>
      </c>
      <c r="J343" s="15">
        <f t="shared" si="23"/>
        <v>1.2418791747598036E-4</v>
      </c>
      <c r="K343" s="16"/>
      <c r="L343" s="392"/>
    </row>
    <row r="344" spans="1:12">
      <c r="A344" s="1" t="s">
        <v>1325</v>
      </c>
      <c r="B344" s="17" t="s">
        <v>1326</v>
      </c>
      <c r="C344" s="387">
        <v>276.81099999999998</v>
      </c>
      <c r="D344" s="387">
        <v>156.99</v>
      </c>
      <c r="E344" s="387">
        <f t="shared" si="20"/>
        <v>43456.55889</v>
      </c>
      <c r="F344" s="15">
        <f t="shared" si="21"/>
        <v>1.4389423029509776E-3</v>
      </c>
      <c r="G344" s="95" t="s">
        <v>719</v>
      </c>
      <c r="H344" s="15" t="str">
        <f t="shared" si="22"/>
        <v/>
      </c>
      <c r="I344" s="95">
        <v>0.15</v>
      </c>
      <c r="J344" s="15">
        <f t="shared" si="23"/>
        <v>2.1584134544264664E-4</v>
      </c>
      <c r="K344" s="16"/>
      <c r="L344" s="392"/>
    </row>
    <row r="345" spans="1:12">
      <c r="A345" s="1" t="s">
        <v>1190</v>
      </c>
      <c r="B345" s="17" t="s">
        <v>1191</v>
      </c>
      <c r="C345" s="387">
        <v>36.853999999999999</v>
      </c>
      <c r="D345" s="387">
        <v>476.96</v>
      </c>
      <c r="E345" s="387">
        <f t="shared" si="20"/>
        <v>17577.883839999999</v>
      </c>
      <c r="F345" s="15">
        <f t="shared" si="21"/>
        <v>5.8204241890755866E-4</v>
      </c>
      <c r="G345" s="95">
        <v>7.8832606507883256E-3</v>
      </c>
      <c r="H345" s="15">
        <f t="shared" si="22"/>
        <v>4.5883920980636121E-6</v>
      </c>
      <c r="I345" s="95">
        <v>0.15</v>
      </c>
      <c r="J345" s="15">
        <f t="shared" si="23"/>
        <v>8.7306362836133799E-5</v>
      </c>
      <c r="K345" s="16"/>
      <c r="L345" s="392"/>
    </row>
    <row r="346" spans="1:12">
      <c r="A346" s="1" t="s">
        <v>1192</v>
      </c>
      <c r="B346" s="17" t="s">
        <v>1193</v>
      </c>
      <c r="C346" s="387">
        <v>3.5640000000000001</v>
      </c>
      <c r="D346" s="387">
        <v>4794.08</v>
      </c>
      <c r="E346" s="387">
        <f t="shared" si="20"/>
        <v>17086.101119999999</v>
      </c>
      <c r="F346" s="15">
        <f t="shared" si="21"/>
        <v>5.6575841074530319E-4</v>
      </c>
      <c r="G346" s="95" t="s">
        <v>719</v>
      </c>
      <c r="H346" s="15" t="str">
        <f t="shared" si="22"/>
        <v/>
      </c>
      <c r="I346" s="95">
        <v>0.09</v>
      </c>
      <c r="J346" s="15">
        <f t="shared" si="23"/>
        <v>5.0918256967077285E-5</v>
      </c>
      <c r="K346" s="16"/>
      <c r="L346" s="392"/>
    </row>
    <row r="347" spans="1:12">
      <c r="A347" s="1" t="s">
        <v>246</v>
      </c>
      <c r="B347" s="17" t="s">
        <v>541</v>
      </c>
      <c r="C347" s="387">
        <v>223.62899999999999</v>
      </c>
      <c r="D347" s="387">
        <v>89.76</v>
      </c>
      <c r="E347" s="387">
        <f t="shared" si="20"/>
        <v>20072.939040000001</v>
      </c>
      <c r="F347" s="15">
        <f t="shared" si="21"/>
        <v>6.6465918763436134E-4</v>
      </c>
      <c r="G347" s="95">
        <v>2.2281639928698752E-2</v>
      </c>
      <c r="H347" s="15">
        <f t="shared" si="22"/>
        <v>1.4809696694170262E-5</v>
      </c>
      <c r="I347" s="95">
        <v>6.5000000000000002E-2</v>
      </c>
      <c r="J347" s="15">
        <f t="shared" si="23"/>
        <v>4.3202847196233486E-5</v>
      </c>
      <c r="K347" s="16"/>
      <c r="L347" s="392"/>
    </row>
    <row r="348" spans="1:12">
      <c r="A348" s="1" t="s">
        <v>130</v>
      </c>
      <c r="B348" s="17" t="s">
        <v>406</v>
      </c>
      <c r="C348" s="387">
        <v>124.232</v>
      </c>
      <c r="D348" s="387">
        <v>107.37</v>
      </c>
      <c r="E348" s="387">
        <f t="shared" si="20"/>
        <v>13338.789840000001</v>
      </c>
      <c r="F348" s="15">
        <f t="shared" si="21"/>
        <v>4.4167668727597919E-4</v>
      </c>
      <c r="G348" s="95">
        <v>1.3784111017975225E-2</v>
      </c>
      <c r="H348" s="15">
        <f t="shared" si="22"/>
        <v>6.0881204914636227E-6</v>
      </c>
      <c r="I348" s="95">
        <v>8.5000000000000006E-2</v>
      </c>
      <c r="J348" s="15">
        <f t="shared" si="23"/>
        <v>3.7542518418458234E-5</v>
      </c>
      <c r="K348" s="16"/>
      <c r="L348" s="392"/>
    </row>
    <row r="349" spans="1:12">
      <c r="A349" s="1" t="s">
        <v>822</v>
      </c>
      <c r="B349" s="17" t="s">
        <v>823</v>
      </c>
      <c r="C349" s="387">
        <v>251.904</v>
      </c>
      <c r="D349" s="387">
        <v>33.61</v>
      </c>
      <c r="E349" s="387">
        <f t="shared" si="20"/>
        <v>8466.4934400000002</v>
      </c>
      <c r="F349" s="15">
        <f t="shared" si="21"/>
        <v>2.8034423064446519E-4</v>
      </c>
      <c r="G349" s="95" t="s">
        <v>719</v>
      </c>
      <c r="H349" s="15" t="str">
        <f t="shared" si="22"/>
        <v/>
      </c>
      <c r="I349" s="95">
        <v>6.5000000000000002E-2</v>
      </c>
      <c r="J349" s="15">
        <f t="shared" si="23"/>
        <v>1.8222374991890237E-5</v>
      </c>
      <c r="K349" s="16"/>
      <c r="L349" s="392"/>
    </row>
    <row r="350" spans="1:12">
      <c r="A350" s="1" t="s">
        <v>1194</v>
      </c>
      <c r="B350" s="17" t="s">
        <v>1195</v>
      </c>
      <c r="C350" s="387">
        <v>115.81</v>
      </c>
      <c r="D350" s="387">
        <v>285.98</v>
      </c>
      <c r="E350" s="387">
        <f t="shared" si="20"/>
        <v>33119.343800000002</v>
      </c>
      <c r="F350" s="15">
        <f t="shared" si="21"/>
        <v>1.0966543614378019E-3</v>
      </c>
      <c r="G350" s="95">
        <v>2.7973984194698933E-3</v>
      </c>
      <c r="H350" s="15">
        <f t="shared" si="22"/>
        <v>3.0677791773908721E-6</v>
      </c>
      <c r="I350" s="95">
        <v>9.5000000000000001E-2</v>
      </c>
      <c r="J350" s="15">
        <f t="shared" si="23"/>
        <v>1.0418216433659118E-4</v>
      </c>
      <c r="K350" s="16"/>
      <c r="L350" s="392"/>
    </row>
    <row r="351" spans="1:12">
      <c r="A351" s="1" t="s">
        <v>824</v>
      </c>
      <c r="B351" s="17" t="s">
        <v>427</v>
      </c>
      <c r="C351" s="387">
        <v>104.8</v>
      </c>
      <c r="D351" s="387">
        <v>116.26</v>
      </c>
      <c r="E351" s="387">
        <f t="shared" si="20"/>
        <v>12184.048000000001</v>
      </c>
      <c r="F351" s="15">
        <f t="shared" si="21"/>
        <v>4.0344064362674741E-4</v>
      </c>
      <c r="G351" s="95" t="s">
        <v>719</v>
      </c>
      <c r="H351" s="15" t="str">
        <f t="shared" si="22"/>
        <v/>
      </c>
      <c r="I351" s="95">
        <v>0.16</v>
      </c>
      <c r="J351" s="15">
        <f t="shared" si="23"/>
        <v>6.4550502980279589E-5</v>
      </c>
      <c r="K351" s="16"/>
      <c r="L351" s="392"/>
    </row>
    <row r="352" spans="1:12">
      <c r="A352" s="1" t="s">
        <v>686</v>
      </c>
      <c r="B352" s="17" t="s">
        <v>475</v>
      </c>
      <c r="C352" s="387">
        <v>347.18599999999998</v>
      </c>
      <c r="D352" s="387">
        <v>70.25</v>
      </c>
      <c r="E352" s="387">
        <f t="shared" si="20"/>
        <v>24389.816499999997</v>
      </c>
      <c r="F352" s="15">
        <f t="shared" si="21"/>
        <v>8.0760050081042547E-4</v>
      </c>
      <c r="G352" s="95">
        <v>1.99288256227758E-2</v>
      </c>
      <c r="H352" s="15">
        <f t="shared" si="22"/>
        <v>1.6094529553517375E-5</v>
      </c>
      <c r="I352" s="95">
        <v>8.5000000000000006E-2</v>
      </c>
      <c r="J352" s="15">
        <f t="shared" si="23"/>
        <v>6.8646042568886167E-5</v>
      </c>
      <c r="K352" s="16"/>
      <c r="L352" s="392"/>
    </row>
    <row r="353" spans="1:12">
      <c r="A353" s="1" t="s">
        <v>208</v>
      </c>
      <c r="B353" s="17" t="s">
        <v>497</v>
      </c>
      <c r="C353" s="387">
        <v>289.45999999999998</v>
      </c>
      <c r="D353" s="387">
        <v>43.45</v>
      </c>
      <c r="E353" s="387">
        <f t="shared" si="20"/>
        <v>12577.037</v>
      </c>
      <c r="F353" s="15">
        <f t="shared" si="21"/>
        <v>4.1645337429706584E-4</v>
      </c>
      <c r="G353" s="95">
        <v>5.6939010356731871E-2</v>
      </c>
      <c r="H353" s="15">
        <f t="shared" si="22"/>
        <v>2.3712442992196568E-5</v>
      </c>
      <c r="I353" s="95">
        <v>0.08</v>
      </c>
      <c r="J353" s="15">
        <f t="shared" si="23"/>
        <v>3.3316269943765269E-5</v>
      </c>
      <c r="K353" s="16"/>
      <c r="L353" s="392"/>
    </row>
    <row r="354" spans="1:12">
      <c r="A354" s="1" t="s">
        <v>168</v>
      </c>
      <c r="B354" s="17" t="s">
        <v>452</v>
      </c>
      <c r="C354" s="387">
        <v>232.91200000000001</v>
      </c>
      <c r="D354" s="387">
        <v>299.93</v>
      </c>
      <c r="E354" s="387">
        <f t="shared" si="20"/>
        <v>69857.296159999998</v>
      </c>
      <c r="F354" s="15">
        <f t="shared" si="21"/>
        <v>2.3131288160400149E-3</v>
      </c>
      <c r="G354" s="95">
        <v>7.0683159403860905E-3</v>
      </c>
      <c r="H354" s="15">
        <f t="shared" si="22"/>
        <v>1.6349925282582042E-5</v>
      </c>
      <c r="I354" s="95">
        <v>0.115</v>
      </c>
      <c r="J354" s="15">
        <f t="shared" si="23"/>
        <v>2.6600981384460173E-4</v>
      </c>
      <c r="K354" s="16"/>
      <c r="L354" s="392"/>
    </row>
    <row r="355" spans="1:12">
      <c r="A355" s="1" t="s">
        <v>884</v>
      </c>
      <c r="B355" s="17" t="s">
        <v>885</v>
      </c>
      <c r="C355" s="387">
        <v>276.77999999999997</v>
      </c>
      <c r="D355" s="387">
        <v>151.44</v>
      </c>
      <c r="E355" s="387">
        <f t="shared" si="20"/>
        <v>41915.563199999997</v>
      </c>
      <c r="F355" s="15">
        <f t="shared" si="21"/>
        <v>1.3879165442704762E-3</v>
      </c>
      <c r="G355" s="95" t="s">
        <v>719</v>
      </c>
      <c r="H355" s="15" t="str">
        <f t="shared" si="22"/>
        <v/>
      </c>
      <c r="I355" s="95">
        <v>9.5000000000000001E-2</v>
      </c>
      <c r="J355" s="15">
        <f t="shared" si="23"/>
        <v>1.3185207170569524E-4</v>
      </c>
      <c r="K355" s="16"/>
      <c r="L355" s="392"/>
    </row>
    <row r="356" spans="1:12">
      <c r="A356" s="1" t="s">
        <v>1196</v>
      </c>
      <c r="B356" s="17" t="s">
        <v>1197</v>
      </c>
      <c r="C356" s="387">
        <v>40.843000000000004</v>
      </c>
      <c r="D356" s="387">
        <v>458.65</v>
      </c>
      <c r="E356" s="387">
        <f t="shared" si="20"/>
        <v>18732.641950000001</v>
      </c>
      <c r="F356" s="15">
        <f t="shared" si="21"/>
        <v>6.2027900129229705E-4</v>
      </c>
      <c r="G356" s="95" t="s">
        <v>719</v>
      </c>
      <c r="H356" s="15" t="str">
        <f t="shared" si="22"/>
        <v/>
      </c>
      <c r="I356" s="95">
        <v>0.125</v>
      </c>
      <c r="J356" s="15">
        <f t="shared" si="23"/>
        <v>7.7534875161537132E-5</v>
      </c>
      <c r="K356" s="16"/>
      <c r="L356" s="392"/>
    </row>
    <row r="357" spans="1:12">
      <c r="A357" s="1" t="s">
        <v>687</v>
      </c>
      <c r="B357" s="17" t="s">
        <v>688</v>
      </c>
      <c r="C357" s="387">
        <v>75.873999999999995</v>
      </c>
      <c r="D357" s="387">
        <v>138.37</v>
      </c>
      <c r="E357" s="387">
        <f t="shared" si="20"/>
        <v>10498.685379999999</v>
      </c>
      <c r="F357" s="15">
        <f t="shared" si="21"/>
        <v>3.4763457817483341E-4</v>
      </c>
      <c r="G357" s="95">
        <v>5.7816000578160007E-3</v>
      </c>
      <c r="H357" s="15">
        <f t="shared" si="22"/>
        <v>2.009884097274458E-6</v>
      </c>
      <c r="I357" s="95">
        <v>0.11</v>
      </c>
      <c r="J357" s="15">
        <f t="shared" si="23"/>
        <v>3.8239803599231677E-5</v>
      </c>
      <c r="K357" s="16"/>
      <c r="L357" s="392"/>
    </row>
    <row r="358" spans="1:12">
      <c r="A358" s="1" t="s">
        <v>752</v>
      </c>
      <c r="B358" s="17" t="s">
        <v>753</v>
      </c>
      <c r="C358" s="387">
        <v>165.14500000000001</v>
      </c>
      <c r="D358" s="387">
        <v>164.78</v>
      </c>
      <c r="E358" s="387">
        <f t="shared" si="20"/>
        <v>27212.593100000002</v>
      </c>
      <c r="F358" s="15">
        <f t="shared" si="21"/>
        <v>9.0106884633225231E-4</v>
      </c>
      <c r="G358" s="95">
        <v>1.3593882752761259E-2</v>
      </c>
      <c r="H358" s="15">
        <f t="shared" si="22"/>
        <v>1.224902424920649E-5</v>
      </c>
      <c r="I358" s="95">
        <v>0.13500000000000001</v>
      </c>
      <c r="J358" s="15">
        <f t="shared" si="23"/>
        <v>1.2164429425485407E-4</v>
      </c>
      <c r="K358" s="16"/>
      <c r="L358" s="392"/>
    </row>
    <row r="359" spans="1:12">
      <c r="A359" s="1" t="s">
        <v>285</v>
      </c>
      <c r="B359" s="17" t="s">
        <v>584</v>
      </c>
      <c r="C359" s="387">
        <v>122.181</v>
      </c>
      <c r="D359" s="387">
        <v>145.31</v>
      </c>
      <c r="E359" s="387">
        <f t="shared" si="20"/>
        <v>17754.12111</v>
      </c>
      <c r="F359" s="15">
        <f t="shared" si="21"/>
        <v>5.8787802277581499E-4</v>
      </c>
      <c r="G359" s="95">
        <v>1.7066960291789966E-2</v>
      </c>
      <c r="H359" s="15">
        <f t="shared" si="22"/>
        <v>1.0033290871130832E-5</v>
      </c>
      <c r="I359" s="95">
        <v>7.4999999999999997E-2</v>
      </c>
      <c r="J359" s="15">
        <f t="shared" si="23"/>
        <v>4.4090851708186122E-5</v>
      </c>
      <c r="K359" s="16"/>
      <c r="L359" s="392"/>
    </row>
    <row r="360" spans="1:12">
      <c r="A360" s="1" t="s">
        <v>754</v>
      </c>
      <c r="B360" s="17" t="s">
        <v>755</v>
      </c>
      <c r="C360" s="387">
        <v>777.70799999999997</v>
      </c>
      <c r="D360" s="387">
        <v>77.39</v>
      </c>
      <c r="E360" s="387">
        <f t="shared" si="20"/>
        <v>60186.822119999997</v>
      </c>
      <c r="F360" s="15">
        <f t="shared" si="21"/>
        <v>1.9929181380392916E-3</v>
      </c>
      <c r="G360" s="95">
        <v>6.0731360640909667E-3</v>
      </c>
      <c r="H360" s="15">
        <f t="shared" si="22"/>
        <v>1.2103263016907442E-5</v>
      </c>
      <c r="I360" s="95">
        <v>0.13</v>
      </c>
      <c r="J360" s="15">
        <f t="shared" si="23"/>
        <v>2.5907935794510791E-4</v>
      </c>
      <c r="K360" s="16"/>
      <c r="L360" s="392"/>
    </row>
    <row r="361" spans="1:12">
      <c r="A361" s="1" t="s">
        <v>290</v>
      </c>
      <c r="B361" s="17" t="s">
        <v>589</v>
      </c>
      <c r="C361" s="387">
        <v>116.026</v>
      </c>
      <c r="D361" s="387">
        <v>294.04000000000002</v>
      </c>
      <c r="E361" s="387">
        <f t="shared" si="20"/>
        <v>34116.285040000002</v>
      </c>
      <c r="F361" s="15">
        <f t="shared" si="21"/>
        <v>1.1296652799374373E-3</v>
      </c>
      <c r="G361" s="95">
        <v>1.4555842742484015E-2</v>
      </c>
      <c r="H361" s="15">
        <f t="shared" si="22"/>
        <v>1.6443230166413521E-5</v>
      </c>
      <c r="I361" s="95">
        <v>7.4999999999999997E-2</v>
      </c>
      <c r="J361" s="15">
        <f t="shared" si="23"/>
        <v>8.4724895995307798E-5</v>
      </c>
      <c r="K361" s="16"/>
      <c r="L361" s="392"/>
    </row>
    <row r="362" spans="1:12">
      <c r="A362" s="1" t="s">
        <v>756</v>
      </c>
      <c r="B362" s="17" t="s">
        <v>757</v>
      </c>
      <c r="C362" s="387">
        <v>1223.3869999999999</v>
      </c>
      <c r="D362" s="387">
        <v>36.82</v>
      </c>
      <c r="E362" s="387">
        <f t="shared" si="20"/>
        <v>45045.109339999995</v>
      </c>
      <c r="F362" s="15">
        <f t="shared" si="21"/>
        <v>1.4915427043923997E-3</v>
      </c>
      <c r="G362" s="95">
        <v>4.3454644215100501E-2</v>
      </c>
      <c r="H362" s="15">
        <f t="shared" si="22"/>
        <v>6.4814457551000539E-5</v>
      </c>
      <c r="I362" s="95">
        <v>1.4999999999999999E-2</v>
      </c>
      <c r="J362" s="15">
        <f t="shared" si="23"/>
        <v>2.2373140565885995E-5</v>
      </c>
      <c r="K362" s="16"/>
      <c r="L362" s="392"/>
    </row>
    <row r="363" spans="1:12">
      <c r="A363" s="1" t="s">
        <v>80</v>
      </c>
      <c r="B363" s="17" t="s">
        <v>353</v>
      </c>
      <c r="C363" s="387">
        <v>455.14100000000002</v>
      </c>
      <c r="D363" s="387">
        <v>265.41000000000003</v>
      </c>
      <c r="E363" s="387">
        <f t="shared" si="20"/>
        <v>120798.97281000002</v>
      </c>
      <c r="F363" s="15">
        <f t="shared" si="21"/>
        <v>3.9999198410837159E-3</v>
      </c>
      <c r="G363" s="95">
        <v>1.9743039071625033E-2</v>
      </c>
      <c r="H363" s="15">
        <f t="shared" si="22"/>
        <v>7.8970573705883999E-5</v>
      </c>
      <c r="I363" s="95">
        <v>9.5000000000000001E-2</v>
      </c>
      <c r="J363" s="15">
        <f t="shared" si="23"/>
        <v>3.7999238490295299E-4</v>
      </c>
      <c r="K363" s="16"/>
      <c r="L363" s="392"/>
    </row>
    <row r="364" spans="1:12">
      <c r="A364" s="1" t="s">
        <v>689</v>
      </c>
      <c r="B364" s="17" t="s">
        <v>690</v>
      </c>
      <c r="C364" s="387">
        <v>105.10599999999999</v>
      </c>
      <c r="D364" s="387">
        <v>605.17999999999995</v>
      </c>
      <c r="E364" s="387">
        <f t="shared" si="20"/>
        <v>63608.04907999999</v>
      </c>
      <c r="F364" s="15">
        <f t="shared" si="21"/>
        <v>2.1062024920352361E-3</v>
      </c>
      <c r="G364" s="95" t="s">
        <v>719</v>
      </c>
      <c r="H364" s="15" t="str">
        <f t="shared" si="22"/>
        <v/>
      </c>
      <c r="I364" s="95">
        <v>0.125</v>
      </c>
      <c r="J364" s="15">
        <f t="shared" si="23"/>
        <v>2.6327531150440451E-4</v>
      </c>
      <c r="K364" s="16"/>
      <c r="L364" s="392"/>
    </row>
    <row r="365" spans="1:12">
      <c r="A365" s="1" t="s">
        <v>75</v>
      </c>
      <c r="B365" s="17" t="s">
        <v>349</v>
      </c>
      <c r="C365" s="387">
        <v>506.44099999999997</v>
      </c>
      <c r="D365" s="387">
        <v>3285.04</v>
      </c>
      <c r="E365" s="387">
        <f t="shared" si="20"/>
        <v>1663678.9426399998</v>
      </c>
      <c r="F365" s="15" t="str">
        <f t="shared" si="21"/>
        <v/>
      </c>
      <c r="G365" s="95" t="s">
        <v>719</v>
      </c>
      <c r="H365" s="15" t="str">
        <f t="shared" si="22"/>
        <v/>
      </c>
      <c r="I365" s="95">
        <v>0.3</v>
      </c>
      <c r="J365" s="15" t="str">
        <f t="shared" si="23"/>
        <v/>
      </c>
      <c r="K365" s="16"/>
      <c r="L365" s="392"/>
    </row>
    <row r="366" spans="1:12">
      <c r="A366" s="1" t="s">
        <v>1198</v>
      </c>
      <c r="B366" s="17" t="s">
        <v>1199</v>
      </c>
      <c r="C366" s="387">
        <v>74.013999999999996</v>
      </c>
      <c r="D366" s="387">
        <v>164.06</v>
      </c>
      <c r="E366" s="387">
        <f t="shared" si="20"/>
        <v>12142.73684</v>
      </c>
      <c r="F366" s="15">
        <f t="shared" si="21"/>
        <v>4.0207274020258429E-4</v>
      </c>
      <c r="G366" s="95">
        <v>1.1215408996708521E-2</v>
      </c>
      <c r="H366" s="15">
        <f t="shared" si="22"/>
        <v>4.5094102277993114E-6</v>
      </c>
      <c r="I366" s="95">
        <v>9.5000000000000001E-2</v>
      </c>
      <c r="J366" s="15">
        <f t="shared" si="23"/>
        <v>3.8196910319245506E-5</v>
      </c>
      <c r="K366" s="16"/>
      <c r="L366" s="392"/>
    </row>
    <row r="367" spans="1:12">
      <c r="A367" s="1" t="s">
        <v>286</v>
      </c>
      <c r="B367" s="17" t="s">
        <v>585</v>
      </c>
      <c r="C367" s="387">
        <v>48.628</v>
      </c>
      <c r="D367" s="387">
        <v>111.04</v>
      </c>
      <c r="E367" s="387">
        <f t="shared" si="20"/>
        <v>5399.6531199999999</v>
      </c>
      <c r="F367" s="15">
        <f t="shared" si="21"/>
        <v>1.7879439822413492E-4</v>
      </c>
      <c r="G367" s="95">
        <v>2.4765850144092213E-2</v>
      </c>
      <c r="H367" s="15">
        <f t="shared" si="22"/>
        <v>4.4279952730220727E-6</v>
      </c>
      <c r="I367" s="95">
        <v>0.06</v>
      </c>
      <c r="J367" s="15">
        <f t="shared" si="23"/>
        <v>1.0727663893448096E-5</v>
      </c>
      <c r="K367" s="16"/>
      <c r="L367" s="392"/>
    </row>
    <row r="368" spans="1:12">
      <c r="A368" s="1" t="s">
        <v>107</v>
      </c>
      <c r="B368" s="17" t="s">
        <v>382</v>
      </c>
      <c r="C368" s="387">
        <v>156.16900000000001</v>
      </c>
      <c r="D368" s="387">
        <v>108.35</v>
      </c>
      <c r="E368" s="387">
        <f t="shared" si="20"/>
        <v>16920.91115</v>
      </c>
      <c r="F368" s="15" t="str">
        <f t="shared" si="21"/>
        <v/>
      </c>
      <c r="G368" s="95">
        <v>3.6179049377018921E-2</v>
      </c>
      <c r="H368" s="15" t="str">
        <f t="shared" si="22"/>
        <v/>
      </c>
      <c r="I368" s="95">
        <v>-0.02</v>
      </c>
      <c r="J368" s="15" t="str">
        <f t="shared" si="23"/>
        <v/>
      </c>
      <c r="K368" s="16"/>
      <c r="L368" s="392"/>
    </row>
    <row r="369" spans="1:12">
      <c r="A369" s="1" t="s">
        <v>84</v>
      </c>
      <c r="B369" s="17" t="s">
        <v>357</v>
      </c>
      <c r="C369" s="387">
        <v>598.18499999999995</v>
      </c>
      <c r="D369" s="387">
        <v>73.23</v>
      </c>
      <c r="E369" s="387">
        <f t="shared" si="20"/>
        <v>43805.087549999997</v>
      </c>
      <c r="F369" s="15">
        <f t="shared" si="21"/>
        <v>1.4504828539166966E-3</v>
      </c>
      <c r="G369" s="95">
        <v>7.9202512631435188E-3</v>
      </c>
      <c r="H369" s="15">
        <f t="shared" si="22"/>
        <v>1.1488188655901731E-5</v>
      </c>
      <c r="I369" s="95">
        <v>0.105</v>
      </c>
      <c r="J369" s="15">
        <f t="shared" si="23"/>
        <v>1.5230069966125313E-4</v>
      </c>
      <c r="K369" s="16"/>
      <c r="L369" s="392"/>
    </row>
    <row r="370" spans="1:12">
      <c r="A370" s="1" t="s">
        <v>1200</v>
      </c>
      <c r="B370" s="17" t="s">
        <v>1201</v>
      </c>
      <c r="C370" s="387">
        <v>428.91199999999998</v>
      </c>
      <c r="D370" s="387">
        <v>31.2</v>
      </c>
      <c r="E370" s="387">
        <f t="shared" si="20"/>
        <v>13382.054399999999</v>
      </c>
      <c r="F370" s="15">
        <f t="shared" si="21"/>
        <v>4.4310927207313585E-4</v>
      </c>
      <c r="G370" s="95">
        <v>2.5641025641025637E-3</v>
      </c>
      <c r="H370" s="15">
        <f t="shared" si="22"/>
        <v>1.1361776207003482E-6</v>
      </c>
      <c r="I370" s="95">
        <v>0.12</v>
      </c>
      <c r="J370" s="15">
        <f t="shared" si="23"/>
        <v>5.3173112648776301E-5</v>
      </c>
      <c r="K370" s="16"/>
      <c r="L370" s="392"/>
    </row>
    <row r="371" spans="1:12">
      <c r="A371" s="1" t="s">
        <v>272</v>
      </c>
      <c r="B371" s="17" t="s">
        <v>570</v>
      </c>
      <c r="C371" s="387">
        <v>243.959</v>
      </c>
      <c r="D371" s="387">
        <v>166.51</v>
      </c>
      <c r="E371" s="387">
        <f t="shared" si="20"/>
        <v>40621.613089999999</v>
      </c>
      <c r="F371" s="15">
        <f t="shared" si="21"/>
        <v>1.3450710084354812E-3</v>
      </c>
      <c r="G371" s="95">
        <v>1.3452645486757554E-2</v>
      </c>
      <c r="H371" s="15">
        <f t="shared" si="22"/>
        <v>1.8094763430998008E-5</v>
      </c>
      <c r="I371" s="95">
        <v>0.2</v>
      </c>
      <c r="J371" s="15">
        <f t="shared" si="23"/>
        <v>2.6901420168709626E-4</v>
      </c>
      <c r="K371" s="16"/>
      <c r="L371" s="392"/>
    </row>
    <row r="372" spans="1:12">
      <c r="A372" s="1" t="s">
        <v>315</v>
      </c>
      <c r="B372" s="17" t="s">
        <v>619</v>
      </c>
      <c r="C372" s="387">
        <v>408.82299999999998</v>
      </c>
      <c r="D372" s="387">
        <v>70.569999999999993</v>
      </c>
      <c r="E372" s="387">
        <f t="shared" si="20"/>
        <v>28850.639109999996</v>
      </c>
      <c r="F372" s="15">
        <f t="shared" si="21"/>
        <v>9.5530815469385948E-4</v>
      </c>
      <c r="G372" s="95">
        <v>5.5547683151480801E-2</v>
      </c>
      <c r="H372" s="15">
        <f t="shared" si="22"/>
        <v>5.3065154688960311E-5</v>
      </c>
      <c r="I372" s="95">
        <v>0.13</v>
      </c>
      <c r="J372" s="15">
        <f t="shared" si="23"/>
        <v>1.2419006011020174E-4</v>
      </c>
      <c r="K372" s="16"/>
      <c r="L372" s="392"/>
    </row>
    <row r="373" spans="1:12">
      <c r="A373" s="1" t="s">
        <v>825</v>
      </c>
      <c r="B373" s="17" t="s">
        <v>826</v>
      </c>
      <c r="C373" s="387">
        <v>152.50299999999999</v>
      </c>
      <c r="D373" s="387">
        <v>299.41000000000003</v>
      </c>
      <c r="E373" s="387">
        <f t="shared" si="20"/>
        <v>45660.92323</v>
      </c>
      <c r="F373" s="15">
        <f t="shared" si="21"/>
        <v>1.5119336575580384E-3</v>
      </c>
      <c r="G373" s="95" t="s">
        <v>719</v>
      </c>
      <c r="H373" s="15" t="str">
        <f t="shared" si="22"/>
        <v/>
      </c>
      <c r="I373" s="95">
        <v>0.125</v>
      </c>
      <c r="J373" s="15">
        <f t="shared" si="23"/>
        <v>1.889917071947548E-4</v>
      </c>
      <c r="K373" s="16"/>
      <c r="L373" s="392"/>
    </row>
    <row r="374" spans="1:12">
      <c r="A374" s="1" t="s">
        <v>328</v>
      </c>
      <c r="B374" s="17" t="s">
        <v>633</v>
      </c>
      <c r="C374" s="387">
        <v>406.34800000000001</v>
      </c>
      <c r="D374" s="387">
        <v>20.22</v>
      </c>
      <c r="E374" s="387">
        <f t="shared" si="20"/>
        <v>8216.3565600000002</v>
      </c>
      <c r="F374" s="15">
        <f t="shared" si="21"/>
        <v>2.7206164805270371E-4</v>
      </c>
      <c r="G374" s="95">
        <v>4.6488625123639958E-2</v>
      </c>
      <c r="H374" s="15">
        <f t="shared" si="22"/>
        <v>1.2647771966841814E-5</v>
      </c>
      <c r="I374" s="95">
        <v>0.06</v>
      </c>
      <c r="J374" s="15">
        <f t="shared" si="23"/>
        <v>1.6323698883162222E-5</v>
      </c>
      <c r="K374" s="16"/>
      <c r="L374" s="392"/>
    </row>
    <row r="375" spans="1:12">
      <c r="A375" s="1" t="s">
        <v>1202</v>
      </c>
      <c r="B375" s="17" t="s">
        <v>1203</v>
      </c>
      <c r="C375" s="387">
        <v>126.577</v>
      </c>
      <c r="D375" s="387">
        <v>207.96</v>
      </c>
      <c r="E375" s="387">
        <f t="shared" si="20"/>
        <v>26322.95292</v>
      </c>
      <c r="F375" s="15" t="str">
        <f t="shared" si="21"/>
        <v/>
      </c>
      <c r="G375" s="95" t="s">
        <v>719</v>
      </c>
      <c r="H375" s="15" t="str">
        <f t="shared" si="22"/>
        <v/>
      </c>
      <c r="I375" s="95">
        <v>0.3</v>
      </c>
      <c r="J375" s="15" t="str">
        <f t="shared" si="23"/>
        <v/>
      </c>
      <c r="K375" s="16"/>
      <c r="L375" s="392"/>
    </row>
    <row r="376" spans="1:12">
      <c r="A376" s="1" t="s">
        <v>122</v>
      </c>
      <c r="B376" s="17" t="s">
        <v>396</v>
      </c>
      <c r="C376" s="387">
        <v>131.71199999999999</v>
      </c>
      <c r="D376" s="387">
        <v>87</v>
      </c>
      <c r="E376" s="387">
        <f t="shared" si="20"/>
        <v>11458.944</v>
      </c>
      <c r="F376" s="15">
        <f t="shared" si="21"/>
        <v>3.7943085439608046E-4</v>
      </c>
      <c r="G376" s="95">
        <v>2.3448275862068969E-2</v>
      </c>
      <c r="H376" s="15">
        <f t="shared" si="22"/>
        <v>8.8969993444598193E-6</v>
      </c>
      <c r="I376" s="95">
        <v>0.08</v>
      </c>
      <c r="J376" s="15">
        <f t="shared" si="23"/>
        <v>3.0354468351686438E-5</v>
      </c>
      <c r="K376" s="16"/>
      <c r="L376" s="392"/>
    </row>
    <row r="377" spans="1:12">
      <c r="A377" s="1" t="s">
        <v>69</v>
      </c>
      <c r="B377" s="17" t="s">
        <v>340</v>
      </c>
      <c r="C377" s="387">
        <v>634.13699999999994</v>
      </c>
      <c r="D377" s="387">
        <v>319.92</v>
      </c>
      <c r="E377" s="387">
        <f t="shared" si="20"/>
        <v>202873.10903999998</v>
      </c>
      <c r="F377" s="15">
        <f t="shared" si="21"/>
        <v>6.7175751183561408E-3</v>
      </c>
      <c r="G377" s="95">
        <v>1.2128032008001999E-2</v>
      </c>
      <c r="H377" s="15">
        <f t="shared" si="22"/>
        <v>8.1470966051581088E-5</v>
      </c>
      <c r="I377" s="95">
        <v>0.1</v>
      </c>
      <c r="J377" s="15">
        <f t="shared" si="23"/>
        <v>6.7175751183561408E-4</v>
      </c>
      <c r="K377" s="16"/>
      <c r="L377" s="392"/>
    </row>
    <row r="378" spans="1:12">
      <c r="A378" s="1" t="s">
        <v>827</v>
      </c>
      <c r="B378" s="17" t="s">
        <v>828</v>
      </c>
      <c r="C378" s="387">
        <v>55.112000000000002</v>
      </c>
      <c r="D378" s="387">
        <v>624.57000000000005</v>
      </c>
      <c r="E378" s="387">
        <f t="shared" si="20"/>
        <v>34421.301840000007</v>
      </c>
      <c r="F378" s="15">
        <f t="shared" si="21"/>
        <v>1.1397650574587483E-3</v>
      </c>
      <c r="G378" s="95" t="s">
        <v>719</v>
      </c>
      <c r="H378" s="15" t="str">
        <f t="shared" si="22"/>
        <v/>
      </c>
      <c r="I378" s="95">
        <v>0.11</v>
      </c>
      <c r="J378" s="15">
        <f t="shared" si="23"/>
        <v>1.2537415632046231E-4</v>
      </c>
      <c r="K378" s="16"/>
      <c r="L378" s="392"/>
    </row>
    <row r="379" spans="1:12">
      <c r="A379" s="1" t="s">
        <v>337</v>
      </c>
      <c r="B379" s="17" t="s">
        <v>643</v>
      </c>
      <c r="C379" s="387">
        <v>295.64699999999999</v>
      </c>
      <c r="D379" s="387">
        <v>122.31</v>
      </c>
      <c r="E379" s="387">
        <f t="shared" si="20"/>
        <v>36160.584569999999</v>
      </c>
      <c r="F379" s="15">
        <f t="shared" si="21"/>
        <v>1.1973565364187856E-3</v>
      </c>
      <c r="G379" s="95">
        <v>1.6351892731583679E-2</v>
      </c>
      <c r="H379" s="15">
        <f t="shared" si="22"/>
        <v>1.9579045644980549E-5</v>
      </c>
      <c r="I379" s="95">
        <v>0.105</v>
      </c>
      <c r="J379" s="15">
        <f t="shared" si="23"/>
        <v>1.2572243632397249E-4</v>
      </c>
      <c r="K379" s="16"/>
      <c r="L379" s="392"/>
    </row>
    <row r="380" spans="1:12">
      <c r="A380" s="1" t="s">
        <v>278</v>
      </c>
      <c r="B380" s="17" t="s">
        <v>577</v>
      </c>
      <c r="C380" s="387">
        <v>739.745</v>
      </c>
      <c r="D380" s="387">
        <v>125.43</v>
      </c>
      <c r="E380" s="387">
        <f t="shared" si="20"/>
        <v>92786.215349999999</v>
      </c>
      <c r="F380" s="15">
        <f t="shared" si="21"/>
        <v>3.0723557918102416E-3</v>
      </c>
      <c r="G380" s="95">
        <v>2.0090887347524514E-2</v>
      </c>
      <c r="H380" s="15">
        <f t="shared" si="22"/>
        <v>6.1726354104774038E-5</v>
      </c>
      <c r="I380" s="95">
        <v>8.5000000000000006E-2</v>
      </c>
      <c r="J380" s="15">
        <f t="shared" si="23"/>
        <v>2.6115024230387058E-4</v>
      </c>
      <c r="K380" s="16"/>
      <c r="L380" s="392"/>
    </row>
    <row r="381" spans="1:12">
      <c r="A381" s="1" t="s">
        <v>177</v>
      </c>
      <c r="B381" s="17" t="s">
        <v>26</v>
      </c>
      <c r="C381" s="387">
        <v>544.19399999999996</v>
      </c>
      <c r="D381" s="387">
        <v>35.619999999999997</v>
      </c>
      <c r="E381" s="387">
        <f t="shared" si="20"/>
        <v>19384.190279999999</v>
      </c>
      <c r="F381" s="15">
        <f t="shared" si="21"/>
        <v>6.4185320040979321E-4</v>
      </c>
      <c r="G381" s="95">
        <v>4.3795620437956206E-2</v>
      </c>
      <c r="H381" s="15">
        <f t="shared" si="22"/>
        <v>2.8110359142034739E-5</v>
      </c>
      <c r="I381" s="95">
        <v>0.115</v>
      </c>
      <c r="J381" s="15">
        <f t="shared" si="23"/>
        <v>7.3813118047126225E-5</v>
      </c>
      <c r="K381" s="16"/>
      <c r="L381" s="392"/>
    </row>
    <row r="382" spans="1:12">
      <c r="A382" s="1" t="s">
        <v>317</v>
      </c>
      <c r="B382" s="17" t="s">
        <v>621</v>
      </c>
      <c r="C382" s="387">
        <v>111.874</v>
      </c>
      <c r="D382" s="387">
        <v>205.01</v>
      </c>
      <c r="E382" s="387">
        <f t="shared" si="20"/>
        <v>22935.288739999996</v>
      </c>
      <c r="F382" s="15">
        <f t="shared" si="21"/>
        <v>7.5943788558867223E-4</v>
      </c>
      <c r="G382" s="95" t="s">
        <v>719</v>
      </c>
      <c r="H382" s="15" t="str">
        <f t="shared" si="22"/>
        <v/>
      </c>
      <c r="I382" s="95">
        <v>8.5000000000000006E-2</v>
      </c>
      <c r="J382" s="15">
        <f t="shared" si="23"/>
        <v>6.4552220275037144E-5</v>
      </c>
      <c r="K382" s="16"/>
      <c r="L382" s="392"/>
    </row>
    <row r="383" spans="1:12">
      <c r="A383" s="1" t="s">
        <v>284</v>
      </c>
      <c r="B383" s="17" t="s">
        <v>583</v>
      </c>
      <c r="C383" s="387">
        <v>139.15199999999999</v>
      </c>
      <c r="D383" s="387">
        <v>113.82</v>
      </c>
      <c r="E383" s="387">
        <f t="shared" si="20"/>
        <v>15838.280639999997</v>
      </c>
      <c r="F383" s="15">
        <f t="shared" si="21"/>
        <v>5.2444032848053882E-4</v>
      </c>
      <c r="G383" s="95">
        <v>2.1085925144965737E-3</v>
      </c>
      <c r="H383" s="15">
        <f t="shared" si="22"/>
        <v>1.1058309509341883E-6</v>
      </c>
      <c r="I383" s="95">
        <v>0.125</v>
      </c>
      <c r="J383" s="15">
        <f t="shared" si="23"/>
        <v>6.5555041060067352E-5</v>
      </c>
      <c r="K383" s="16"/>
      <c r="L383" s="392"/>
    </row>
    <row r="384" spans="1:12">
      <c r="A384" s="1" t="s">
        <v>758</v>
      </c>
      <c r="B384" s="17" t="s">
        <v>759</v>
      </c>
      <c r="C384" s="387">
        <v>139.69300000000001</v>
      </c>
      <c r="D384" s="387">
        <v>76.16</v>
      </c>
      <c r="E384" s="387">
        <f t="shared" si="20"/>
        <v>10639.01888</v>
      </c>
      <c r="F384" s="15">
        <f t="shared" si="21"/>
        <v>3.5228132920227473E-4</v>
      </c>
      <c r="G384" s="95" t="s">
        <v>719</v>
      </c>
      <c r="H384" s="15" t="str">
        <f t="shared" si="22"/>
        <v/>
      </c>
      <c r="I384" s="95">
        <v>6.5000000000000002E-2</v>
      </c>
      <c r="J384" s="15">
        <f t="shared" si="23"/>
        <v>2.289828639814786E-5</v>
      </c>
      <c r="K384" s="16"/>
      <c r="L384" s="392"/>
    </row>
    <row r="385" spans="1:12">
      <c r="A385" s="1" t="s">
        <v>76</v>
      </c>
      <c r="B385" s="17" t="s">
        <v>350</v>
      </c>
      <c r="C385" s="387">
        <v>255.41</v>
      </c>
      <c r="D385" s="387">
        <v>81</v>
      </c>
      <c r="E385" s="387">
        <f t="shared" si="20"/>
        <v>20688.21</v>
      </c>
      <c r="F385" s="15">
        <f t="shared" si="21"/>
        <v>6.8503216319283308E-4</v>
      </c>
      <c r="G385" s="95">
        <v>2.7160493827160501E-2</v>
      </c>
      <c r="H385" s="15">
        <f t="shared" si="22"/>
        <v>1.8605811839805348E-5</v>
      </c>
      <c r="I385" s="95">
        <v>6.5000000000000002E-2</v>
      </c>
      <c r="J385" s="15">
        <f t="shared" si="23"/>
        <v>4.4527090607534153E-5</v>
      </c>
      <c r="K385" s="16"/>
      <c r="L385" s="392"/>
    </row>
    <row r="386" spans="1:12">
      <c r="A386" s="1" t="s">
        <v>886</v>
      </c>
      <c r="B386" s="17" t="s">
        <v>887</v>
      </c>
      <c r="C386" s="387">
        <v>87.253</v>
      </c>
      <c r="D386" s="387">
        <v>340.45</v>
      </c>
      <c r="E386" s="387">
        <f t="shared" si="20"/>
        <v>29705.28385</v>
      </c>
      <c r="F386" s="15">
        <f t="shared" si="21"/>
        <v>9.8360732291593277E-4</v>
      </c>
      <c r="G386" s="95" t="s">
        <v>719</v>
      </c>
      <c r="H386" s="15" t="str">
        <f t="shared" si="22"/>
        <v/>
      </c>
      <c r="I386" s="95">
        <v>0.08</v>
      </c>
      <c r="J386" s="15">
        <f t="shared" si="23"/>
        <v>7.8688585833274621E-5</v>
      </c>
      <c r="K386" s="16"/>
      <c r="L386" s="392"/>
    </row>
    <row r="387" spans="1:12">
      <c r="A387" s="1" t="s">
        <v>257</v>
      </c>
      <c r="B387" s="17" t="s">
        <v>554</v>
      </c>
      <c r="C387" s="387">
        <v>2500</v>
      </c>
      <c r="D387" s="387">
        <v>207.16</v>
      </c>
      <c r="E387" s="387">
        <f t="shared" si="20"/>
        <v>517900</v>
      </c>
      <c r="F387" s="15">
        <f t="shared" si="21"/>
        <v>1.7148808781309175E-2</v>
      </c>
      <c r="G387" s="95">
        <v>7.723498744931453E-4</v>
      </c>
      <c r="H387" s="15">
        <f t="shared" si="22"/>
        <v>1.324488030995109E-5</v>
      </c>
      <c r="I387" s="95">
        <v>0.17</v>
      </c>
      <c r="J387" s="15">
        <f t="shared" si="23"/>
        <v>2.91529749282256E-3</v>
      </c>
      <c r="K387" s="16"/>
      <c r="L387" s="392"/>
    </row>
    <row r="388" spans="1:12">
      <c r="A388" s="1" t="s">
        <v>292</v>
      </c>
      <c r="B388" s="17" t="s">
        <v>595</v>
      </c>
      <c r="C388" s="387">
        <v>149.893</v>
      </c>
      <c r="D388" s="387">
        <v>54.79</v>
      </c>
      <c r="E388" s="387">
        <f t="shared" si="20"/>
        <v>8212.6374699999997</v>
      </c>
      <c r="F388" s="15">
        <f t="shared" si="21"/>
        <v>2.7193850079792385E-4</v>
      </c>
      <c r="G388" s="95">
        <v>1.4601204599379448E-2</v>
      </c>
      <c r="H388" s="15">
        <f t="shared" si="22"/>
        <v>3.9706296885989978E-6</v>
      </c>
      <c r="I388" s="95">
        <v>0.13500000000000001</v>
      </c>
      <c r="J388" s="15">
        <f t="shared" si="23"/>
        <v>3.671169760771972E-5</v>
      </c>
      <c r="K388" s="16"/>
      <c r="L388" s="392"/>
    </row>
    <row r="389" spans="1:12">
      <c r="A389" s="1" t="s">
        <v>134</v>
      </c>
      <c r="B389" s="17" t="s">
        <v>411</v>
      </c>
      <c r="C389" s="387">
        <v>525.59699999999998</v>
      </c>
      <c r="D389" s="387">
        <v>74.209999999999994</v>
      </c>
      <c r="E389" s="387">
        <f t="shared" si="20"/>
        <v>39004.553369999994</v>
      </c>
      <c r="F389" s="15">
        <f t="shared" si="21"/>
        <v>1.2915266023218735E-3</v>
      </c>
      <c r="G389" s="95">
        <v>1.2936261959304675E-2</v>
      </c>
      <c r="H389" s="15">
        <f t="shared" si="22"/>
        <v>1.6707526455046469E-5</v>
      </c>
      <c r="I389" s="95">
        <v>6.5000000000000002E-2</v>
      </c>
      <c r="J389" s="15">
        <f t="shared" si="23"/>
        <v>8.3949229150921781E-5</v>
      </c>
      <c r="K389" s="16"/>
      <c r="L389" s="392"/>
    </row>
    <row r="390" spans="1:12">
      <c r="A390" s="1" t="s">
        <v>1009</v>
      </c>
      <c r="B390" s="17" t="s">
        <v>1010</v>
      </c>
      <c r="C390" s="387">
        <v>56.756999999999998</v>
      </c>
      <c r="D390" s="387">
        <v>646.88</v>
      </c>
      <c r="E390" s="387">
        <f t="shared" si="20"/>
        <v>36714.968159999997</v>
      </c>
      <c r="F390" s="15">
        <f t="shared" si="21"/>
        <v>1.2157133971571628E-3</v>
      </c>
      <c r="G390" s="95" t="s">
        <v>719</v>
      </c>
      <c r="H390" s="15" t="str">
        <f t="shared" si="22"/>
        <v/>
      </c>
      <c r="I390" s="95">
        <v>0.08</v>
      </c>
      <c r="J390" s="15">
        <f t="shared" si="23"/>
        <v>9.7257071772573027E-5</v>
      </c>
      <c r="K390" s="16"/>
      <c r="L390" s="392"/>
    </row>
    <row r="391" spans="1:12">
      <c r="A391" s="1" t="s">
        <v>206</v>
      </c>
      <c r="B391" s="17" t="s">
        <v>495</v>
      </c>
      <c r="C391" s="387">
        <v>118.899</v>
      </c>
      <c r="D391" s="387">
        <v>994.15</v>
      </c>
      <c r="E391" s="387">
        <f t="shared" si="20"/>
        <v>118203.44085</v>
      </c>
      <c r="F391" s="15">
        <f t="shared" si="21"/>
        <v>3.9139760657065838E-3</v>
      </c>
      <c r="G391" s="95" t="s">
        <v>719</v>
      </c>
      <c r="H391" s="15" t="str">
        <f t="shared" si="22"/>
        <v/>
      </c>
      <c r="I391" s="95">
        <v>0.15</v>
      </c>
      <c r="J391" s="15">
        <f t="shared" si="23"/>
        <v>5.8709640985598753E-4</v>
      </c>
      <c r="K391" s="16"/>
      <c r="L391" s="392"/>
    </row>
    <row r="392" spans="1:12">
      <c r="A392" s="1" t="s">
        <v>1011</v>
      </c>
      <c r="B392" s="17" t="s">
        <v>1012</v>
      </c>
      <c r="C392" s="387">
        <v>116.518</v>
      </c>
      <c r="D392" s="387">
        <v>154.07</v>
      </c>
      <c r="E392" s="387">
        <f t="shared" si="20"/>
        <v>17951.928260000001</v>
      </c>
      <c r="F392" s="15">
        <f t="shared" si="21"/>
        <v>5.9442785284132135E-4</v>
      </c>
      <c r="G392" s="95" t="s">
        <v>719</v>
      </c>
      <c r="H392" s="15" t="str">
        <f t="shared" si="22"/>
        <v/>
      </c>
      <c r="I392" s="95">
        <v>0.12</v>
      </c>
      <c r="J392" s="15">
        <f t="shared" si="23"/>
        <v>7.1331342340958558E-5</v>
      </c>
      <c r="K392" s="16"/>
      <c r="L392" s="392"/>
    </row>
    <row r="393" spans="1:12">
      <c r="A393" s="1" t="s">
        <v>288</v>
      </c>
      <c r="B393" s="17" t="s">
        <v>587</v>
      </c>
      <c r="C393" s="387">
        <v>318.36500000000001</v>
      </c>
      <c r="D393" s="387">
        <v>120.06</v>
      </c>
      <c r="E393" s="387">
        <f t="shared" si="20"/>
        <v>38222.901900000004</v>
      </c>
      <c r="F393" s="15">
        <f t="shared" si="21"/>
        <v>1.2656444019112554E-3</v>
      </c>
      <c r="G393" s="95">
        <v>1.5325670498084289E-2</v>
      </c>
      <c r="H393" s="15">
        <f t="shared" si="22"/>
        <v>1.9396849071436859E-5</v>
      </c>
      <c r="I393" s="95">
        <v>7.4999999999999997E-2</v>
      </c>
      <c r="J393" s="15">
        <f t="shared" si="23"/>
        <v>9.4923330143344153E-5</v>
      </c>
      <c r="K393" s="16"/>
      <c r="L393" s="392"/>
    </row>
    <row r="394" spans="1:12">
      <c r="A394" s="1" t="s">
        <v>157</v>
      </c>
      <c r="B394" s="17" t="s">
        <v>441</v>
      </c>
      <c r="C394" s="387">
        <v>650.05600000000004</v>
      </c>
      <c r="D394" s="387">
        <v>69.67</v>
      </c>
      <c r="E394" s="387">
        <f t="shared" si="20"/>
        <v>45289.401520000007</v>
      </c>
      <c r="F394" s="15">
        <f t="shared" si="21"/>
        <v>1.4996317561042926E-3</v>
      </c>
      <c r="G394" s="95">
        <v>1.033443375915028E-2</v>
      </c>
      <c r="H394" s="15">
        <f t="shared" si="22"/>
        <v>1.5497845046578019E-5</v>
      </c>
      <c r="I394" s="95">
        <v>0.16500000000000001</v>
      </c>
      <c r="J394" s="15">
        <f t="shared" si="23"/>
        <v>2.474392397572083E-4</v>
      </c>
      <c r="K394" s="16"/>
      <c r="L394" s="392"/>
    </row>
    <row r="395" spans="1:12">
      <c r="A395" s="1" t="s">
        <v>188</v>
      </c>
      <c r="B395" s="17" t="s">
        <v>472</v>
      </c>
      <c r="C395" s="387">
        <v>337.09699999999998</v>
      </c>
      <c r="D395" s="387">
        <v>378.03</v>
      </c>
      <c r="E395" s="387">
        <f t="shared" si="20"/>
        <v>127432.77890999998</v>
      </c>
      <c r="F395" s="15">
        <f t="shared" si="21"/>
        <v>4.2195797605685233E-3</v>
      </c>
      <c r="G395" s="95">
        <v>2.1162341613099492E-2</v>
      </c>
      <c r="H395" s="15">
        <f t="shared" si="22"/>
        <v>8.9296188356871651E-5</v>
      </c>
      <c r="I395" s="95">
        <v>7.0000000000000007E-2</v>
      </c>
      <c r="J395" s="15">
        <f t="shared" si="23"/>
        <v>2.9537058323979667E-4</v>
      </c>
      <c r="K395" s="16"/>
      <c r="L395" s="392"/>
    </row>
    <row r="396" spans="1:12">
      <c r="A396" s="1" t="s">
        <v>888</v>
      </c>
      <c r="B396" s="17" t="s">
        <v>889</v>
      </c>
      <c r="C396" s="387">
        <v>109.553</v>
      </c>
      <c r="D396" s="387">
        <v>330.57</v>
      </c>
      <c r="E396" s="387">
        <f t="shared" si="20"/>
        <v>36214.935209999996</v>
      </c>
      <c r="F396" s="15" t="str">
        <f t="shared" si="21"/>
        <v/>
      </c>
      <c r="G396" s="95">
        <v>7.0181807181534913E-3</v>
      </c>
      <c r="H396" s="15" t="str">
        <f t="shared" si="22"/>
        <v/>
      </c>
      <c r="I396" s="95">
        <v>0.45</v>
      </c>
      <c r="J396" s="15" t="str">
        <f t="shared" si="23"/>
        <v/>
      </c>
      <c r="K396" s="16"/>
      <c r="L396" s="392"/>
    </row>
    <row r="397" spans="1:12">
      <c r="A397" s="1" t="s">
        <v>293</v>
      </c>
      <c r="B397" s="17" t="s">
        <v>596</v>
      </c>
      <c r="C397" s="387">
        <v>315.07100000000003</v>
      </c>
      <c r="D397" s="387">
        <v>126.5</v>
      </c>
      <c r="E397" s="387">
        <f t="shared" si="20"/>
        <v>39856.481500000002</v>
      </c>
      <c r="F397" s="15">
        <f t="shared" si="21"/>
        <v>1.3197358176081997E-3</v>
      </c>
      <c r="G397" s="95">
        <v>3.4782608695652174E-2</v>
      </c>
      <c r="H397" s="15">
        <f t="shared" si="22"/>
        <v>4.5903854525502602E-5</v>
      </c>
      <c r="I397" s="95">
        <v>0.1</v>
      </c>
      <c r="J397" s="15">
        <f t="shared" si="23"/>
        <v>1.3197358176081998E-4</v>
      </c>
      <c r="K397" s="16"/>
      <c r="L397" s="392"/>
    </row>
    <row r="398" spans="1:12">
      <c r="A398" s="1" t="s">
        <v>242</v>
      </c>
      <c r="B398" s="17" t="s">
        <v>537</v>
      </c>
      <c r="C398" s="387">
        <v>186.2</v>
      </c>
      <c r="D398" s="387">
        <v>355.11</v>
      </c>
      <c r="E398" s="387">
        <f t="shared" si="20"/>
        <v>66121.482000000004</v>
      </c>
      <c r="F398" s="15">
        <f t="shared" si="21"/>
        <v>2.1894277875164638E-3</v>
      </c>
      <c r="G398" s="95">
        <v>6.9837515136154989E-3</v>
      </c>
      <c r="H398" s="15">
        <f t="shared" si="22"/>
        <v>1.5290419625019937E-5</v>
      </c>
      <c r="I398" s="95">
        <v>8.5000000000000006E-2</v>
      </c>
      <c r="J398" s="15">
        <f t="shared" si="23"/>
        <v>1.8610136193889944E-4</v>
      </c>
      <c r="K398" s="16"/>
      <c r="L398" s="392"/>
    </row>
    <row r="399" spans="1:12">
      <c r="A399" s="1" t="s">
        <v>1013</v>
      </c>
      <c r="B399" s="17" t="s">
        <v>1014</v>
      </c>
      <c r="C399" s="387">
        <v>41.06</v>
      </c>
      <c r="D399" s="387">
        <v>2373.87</v>
      </c>
      <c r="E399" s="387">
        <f t="shared" si="20"/>
        <v>97471.102199999994</v>
      </c>
      <c r="F399" s="15">
        <f t="shared" si="21"/>
        <v>3.227482705795026E-3</v>
      </c>
      <c r="G399" s="95" t="s">
        <v>719</v>
      </c>
      <c r="H399" s="15" t="str">
        <f t="shared" si="22"/>
        <v/>
      </c>
      <c r="I399" s="95">
        <v>0.14000000000000001</v>
      </c>
      <c r="J399" s="15">
        <f t="shared" si="23"/>
        <v>4.5184757881130369E-4</v>
      </c>
      <c r="K399" s="16"/>
      <c r="L399" s="392"/>
    </row>
    <row r="400" spans="1:12">
      <c r="A400" s="1" t="s">
        <v>172</v>
      </c>
      <c r="B400" s="17" t="s">
        <v>457</v>
      </c>
      <c r="C400" s="387">
        <v>60.311999999999998</v>
      </c>
      <c r="D400" s="387">
        <v>198.78</v>
      </c>
      <c r="E400" s="387">
        <f t="shared" si="20"/>
        <v>11988.81936</v>
      </c>
      <c r="F400" s="15">
        <f t="shared" si="21"/>
        <v>3.9697619370206107E-4</v>
      </c>
      <c r="G400" s="95" t="s">
        <v>719</v>
      </c>
      <c r="H400" s="15" t="str">
        <f t="shared" si="22"/>
        <v/>
      </c>
      <c r="I400" s="95">
        <v>7.0000000000000007E-2</v>
      </c>
      <c r="J400" s="15">
        <f t="shared" si="23"/>
        <v>2.7788333559144277E-5</v>
      </c>
      <c r="K400" s="16"/>
      <c r="L400" s="392"/>
    </row>
    <row r="401" spans="1:12">
      <c r="A401" s="1" t="s">
        <v>72</v>
      </c>
      <c r="B401" s="17" t="s">
        <v>346</v>
      </c>
      <c r="C401" s="387">
        <v>162.83000000000001</v>
      </c>
      <c r="D401" s="387">
        <v>104.59</v>
      </c>
      <c r="E401" s="387">
        <f t="shared" si="20"/>
        <v>17030.389700000003</v>
      </c>
      <c r="F401" s="15">
        <f t="shared" si="21"/>
        <v>5.639136830208097E-4</v>
      </c>
      <c r="G401" s="95" t="s">
        <v>719</v>
      </c>
      <c r="H401" s="15" t="str">
        <f t="shared" si="22"/>
        <v/>
      </c>
      <c r="I401" s="95">
        <v>9.5000000000000001E-2</v>
      </c>
      <c r="J401" s="15">
        <f t="shared" si="23"/>
        <v>5.3571799886976925E-5</v>
      </c>
      <c r="K401" s="16"/>
      <c r="L401" s="392"/>
    </row>
    <row r="402" spans="1:12">
      <c r="A402" s="1" t="s">
        <v>1204</v>
      </c>
      <c r="B402" s="17" t="s">
        <v>1205</v>
      </c>
      <c r="C402" s="387">
        <v>50.396999999999998</v>
      </c>
      <c r="D402" s="387">
        <v>412.67</v>
      </c>
      <c r="E402" s="387">
        <f t="shared" si="20"/>
        <v>20797.329989999998</v>
      </c>
      <c r="F402" s="15">
        <f t="shared" si="21"/>
        <v>6.8864536621026566E-4</v>
      </c>
      <c r="G402" s="95" t="s">
        <v>719</v>
      </c>
      <c r="H402" s="15" t="str">
        <f t="shared" si="22"/>
        <v/>
      </c>
      <c r="I402" s="95">
        <v>7.0000000000000007E-2</v>
      </c>
      <c r="J402" s="15">
        <f t="shared" si="23"/>
        <v>4.8205175634718598E-5</v>
      </c>
      <c r="K402" s="16"/>
      <c r="L402" s="392"/>
    </row>
    <row r="403" spans="1:12">
      <c r="A403" s="1" t="s">
        <v>1206</v>
      </c>
      <c r="B403" s="17" t="s">
        <v>1207</v>
      </c>
      <c r="C403" s="387">
        <v>38</v>
      </c>
      <c r="D403" s="387">
        <v>420.69</v>
      </c>
      <c r="E403" s="387">
        <f t="shared" si="20"/>
        <v>15986.22</v>
      </c>
      <c r="F403" s="15">
        <f t="shared" si="21"/>
        <v>5.2933892627136578E-4</v>
      </c>
      <c r="G403" s="95">
        <v>6.2754046922912365E-3</v>
      </c>
      <c r="H403" s="15">
        <f t="shared" si="22"/>
        <v>3.3218159817357336E-6</v>
      </c>
      <c r="I403" s="95">
        <v>0.14000000000000001</v>
      </c>
      <c r="J403" s="15">
        <f t="shared" si="23"/>
        <v>7.4107449677991214E-5</v>
      </c>
      <c r="K403" s="16"/>
      <c r="L403" s="392"/>
    </row>
    <row r="404" spans="1:12">
      <c r="A404" s="1" t="s">
        <v>149</v>
      </c>
      <c r="B404" s="17" t="s">
        <v>430</v>
      </c>
      <c r="C404" s="387">
        <v>677</v>
      </c>
      <c r="D404" s="387">
        <v>35.51</v>
      </c>
      <c r="E404" s="387">
        <f t="shared" ref="E404:E467" si="24">IFERROR(C404*D404,"")</f>
        <v>24040.27</v>
      </c>
      <c r="F404" s="15">
        <f t="shared" ref="F404:F467" si="25">IF(AND(ISNUMBER($I404)), IF(AND($I404&lt;=20%,$I404&gt;0%), $E404/SUMIFS($E$19:$E$523,$I$19:$I$523, "&gt;"&amp;0%,$I$19:$I$523, "&lt;="&amp;20%),""),"")</f>
        <v>7.9602624692226977E-4</v>
      </c>
      <c r="G404" s="95">
        <v>1.239087580963109E-2</v>
      </c>
      <c r="H404" s="15">
        <f t="shared" ref="H404:H467" si="26">IFERROR($G404*$F404,"")</f>
        <v>9.8634623668205781E-6</v>
      </c>
      <c r="I404" s="95">
        <v>0.2</v>
      </c>
      <c r="J404" s="15">
        <f t="shared" ref="J404:J467" si="27">IFERROR($I404*$F404,"")</f>
        <v>1.5920524938445397E-4</v>
      </c>
      <c r="K404" s="16"/>
      <c r="L404" s="392"/>
    </row>
    <row r="405" spans="1:12">
      <c r="A405" s="1" t="s">
        <v>760</v>
      </c>
      <c r="B405" s="17" t="s">
        <v>691</v>
      </c>
      <c r="C405" s="387">
        <v>301.08499999999998</v>
      </c>
      <c r="D405" s="387">
        <v>2673.52</v>
      </c>
      <c r="E405" s="387">
        <f t="shared" si="24"/>
        <v>804956.76919999998</v>
      </c>
      <c r="F405" s="15" t="str">
        <f t="shared" si="25"/>
        <v/>
      </c>
      <c r="G405" s="95" t="s">
        <v>719</v>
      </c>
      <c r="H405" s="15" t="str">
        <f t="shared" si="26"/>
        <v/>
      </c>
      <c r="I405" s="95" t="s">
        <v>719</v>
      </c>
      <c r="J405" s="15" t="str">
        <f t="shared" si="27"/>
        <v/>
      </c>
      <c r="K405" s="16"/>
      <c r="L405" s="392"/>
    </row>
    <row r="406" spans="1:12">
      <c r="A406" s="1" t="s">
        <v>1305</v>
      </c>
      <c r="B406" s="17" t="s">
        <v>1306</v>
      </c>
      <c r="C406" s="387">
        <v>39.238</v>
      </c>
      <c r="D406" s="387">
        <v>484.57</v>
      </c>
      <c r="E406" s="387">
        <f t="shared" si="24"/>
        <v>19013.557659999999</v>
      </c>
      <c r="F406" s="15">
        <f t="shared" si="25"/>
        <v>6.2958073868263429E-4</v>
      </c>
      <c r="G406" s="95">
        <v>2.6415172214540729E-3</v>
      </c>
      <c r="H406" s="15">
        <f t="shared" si="26"/>
        <v>1.6630483635259549E-6</v>
      </c>
      <c r="I406" s="95">
        <v>0.13</v>
      </c>
      <c r="J406" s="15">
        <f t="shared" si="27"/>
        <v>8.1845496028742467E-5</v>
      </c>
      <c r="K406" s="16"/>
      <c r="L406" s="392"/>
    </row>
    <row r="407" spans="1:12">
      <c r="A407" s="1" t="s">
        <v>1208</v>
      </c>
      <c r="B407" s="17" t="s">
        <v>1209</v>
      </c>
      <c r="C407" s="387">
        <v>46.801000000000002</v>
      </c>
      <c r="D407" s="387">
        <v>376.55</v>
      </c>
      <c r="E407" s="387">
        <f t="shared" si="24"/>
        <v>17622.916550000002</v>
      </c>
      <c r="F407" s="15">
        <f t="shared" si="25"/>
        <v>5.8353355104251556E-4</v>
      </c>
      <c r="G407" s="95">
        <v>3.611738148984198E-3</v>
      </c>
      <c r="H407" s="15">
        <f t="shared" si="26"/>
        <v>2.1075703875124712E-6</v>
      </c>
      <c r="I407" s="95">
        <v>0.14499999999999999</v>
      </c>
      <c r="J407" s="15">
        <f t="shared" si="27"/>
        <v>8.4612364901164754E-5</v>
      </c>
      <c r="K407" s="16"/>
      <c r="L407" s="392"/>
    </row>
    <row r="408" spans="1:12">
      <c r="A408" s="1" t="s">
        <v>247</v>
      </c>
      <c r="B408" s="17" t="s">
        <v>542</v>
      </c>
      <c r="C408" s="387">
        <v>442.596</v>
      </c>
      <c r="D408" s="387">
        <v>610.34</v>
      </c>
      <c r="E408" s="387">
        <f t="shared" si="24"/>
        <v>270134.04264</v>
      </c>
      <c r="F408" s="15" t="str">
        <f t="shared" si="25"/>
        <v/>
      </c>
      <c r="G408" s="95" t="s">
        <v>719</v>
      </c>
      <c r="H408" s="15" t="str">
        <f t="shared" si="26"/>
        <v/>
      </c>
      <c r="I408" s="95">
        <v>0.23499999999999999</v>
      </c>
      <c r="J408" s="15" t="str">
        <f t="shared" si="27"/>
        <v/>
      </c>
      <c r="K408" s="16"/>
      <c r="L408" s="392"/>
    </row>
    <row r="409" spans="1:12">
      <c r="A409" s="1" t="s">
        <v>1210</v>
      </c>
      <c r="B409" s="17" t="s">
        <v>692</v>
      </c>
      <c r="C409" s="387">
        <v>89.695999999999998</v>
      </c>
      <c r="D409" s="387">
        <v>132.18</v>
      </c>
      <c r="E409" s="387">
        <f t="shared" si="24"/>
        <v>11856.01728</v>
      </c>
      <c r="F409" s="15">
        <f t="shared" si="25"/>
        <v>3.9257882456577973E-4</v>
      </c>
      <c r="G409" s="95">
        <v>1.0894235133908308E-2</v>
      </c>
      <c r="H409" s="15">
        <f t="shared" si="26"/>
        <v>4.2768460234129439E-6</v>
      </c>
      <c r="I409" s="95">
        <v>9.5000000000000001E-2</v>
      </c>
      <c r="J409" s="15">
        <f t="shared" si="27"/>
        <v>3.7294988333749076E-5</v>
      </c>
      <c r="K409" s="16"/>
      <c r="L409" s="392"/>
    </row>
    <row r="410" spans="1:12">
      <c r="A410" s="1" t="s">
        <v>71</v>
      </c>
      <c r="B410" s="17" t="s">
        <v>344</v>
      </c>
      <c r="C410" s="387">
        <v>302.72300000000001</v>
      </c>
      <c r="D410" s="387">
        <v>157.53</v>
      </c>
      <c r="E410" s="387">
        <f t="shared" si="24"/>
        <v>47687.954190000004</v>
      </c>
      <c r="F410" s="15">
        <f t="shared" si="25"/>
        <v>1.5790531136824517E-3</v>
      </c>
      <c r="G410" s="95">
        <v>4.9260458325398335E-3</v>
      </c>
      <c r="H410" s="15">
        <f t="shared" si="26"/>
        <v>7.7784880100144881E-6</v>
      </c>
      <c r="I410" s="95">
        <v>0.115</v>
      </c>
      <c r="J410" s="15">
        <f t="shared" si="27"/>
        <v>1.8159110807348196E-4</v>
      </c>
      <c r="K410" s="16"/>
      <c r="L410" s="392"/>
    </row>
    <row r="411" spans="1:12">
      <c r="A411" s="1" t="s">
        <v>693</v>
      </c>
      <c r="B411" s="17" t="s">
        <v>694</v>
      </c>
      <c r="C411" s="387">
        <v>243.815</v>
      </c>
      <c r="D411" s="387">
        <v>372.8</v>
      </c>
      <c r="E411" s="387">
        <f t="shared" si="24"/>
        <v>90894.232000000004</v>
      </c>
      <c r="F411" s="15">
        <f t="shared" si="25"/>
        <v>3.0097080592623158E-3</v>
      </c>
      <c r="G411" s="95">
        <v>1.2124463519313303E-2</v>
      </c>
      <c r="H411" s="15">
        <f t="shared" si="26"/>
        <v>3.6491095568309187E-5</v>
      </c>
      <c r="I411" s="95">
        <v>0.13</v>
      </c>
      <c r="J411" s="15">
        <f t="shared" si="27"/>
        <v>3.9126204770410105E-4</v>
      </c>
      <c r="K411" s="16"/>
      <c r="L411" s="392"/>
    </row>
    <row r="412" spans="1:12">
      <c r="A412" s="1" t="s">
        <v>1211</v>
      </c>
      <c r="B412" s="17" t="s">
        <v>1212</v>
      </c>
      <c r="C412" s="387">
        <v>251.62</v>
      </c>
      <c r="D412" s="387">
        <v>82.25</v>
      </c>
      <c r="E412" s="387">
        <f t="shared" si="24"/>
        <v>20695.744999999999</v>
      </c>
      <c r="F412" s="15">
        <f t="shared" si="25"/>
        <v>6.8528166362567182E-4</v>
      </c>
      <c r="G412" s="95" t="s">
        <v>719</v>
      </c>
      <c r="H412" s="15" t="str">
        <f t="shared" si="26"/>
        <v/>
      </c>
      <c r="I412" s="95">
        <v>0.14000000000000001</v>
      </c>
      <c r="J412" s="15">
        <f t="shared" si="27"/>
        <v>9.5939432907594067E-5</v>
      </c>
      <c r="K412" s="16"/>
      <c r="L412" s="392"/>
    </row>
    <row r="413" spans="1:12">
      <c r="A413" s="1" t="s">
        <v>829</v>
      </c>
      <c r="B413" s="17" t="s">
        <v>408</v>
      </c>
      <c r="C413" s="387">
        <v>359.13499999999999</v>
      </c>
      <c r="D413" s="387">
        <v>193.38</v>
      </c>
      <c r="E413" s="387">
        <f t="shared" si="24"/>
        <v>69449.526299999998</v>
      </c>
      <c r="F413" s="15">
        <f t="shared" si="25"/>
        <v>2.2996266585657509E-3</v>
      </c>
      <c r="G413" s="95">
        <v>1.8616196090598822E-2</v>
      </c>
      <c r="H413" s="15">
        <f t="shared" si="26"/>
        <v>4.2810300811028564E-5</v>
      </c>
      <c r="I413" s="95">
        <v>8.5000000000000006E-2</v>
      </c>
      <c r="J413" s="15">
        <f t="shared" si="27"/>
        <v>1.9546826597808883E-4</v>
      </c>
      <c r="K413" s="16"/>
      <c r="L413" s="392"/>
    </row>
    <row r="414" spans="1:12">
      <c r="A414" s="1" t="s">
        <v>212</v>
      </c>
      <c r="B414" s="17" t="s">
        <v>502</v>
      </c>
      <c r="C414" s="387">
        <v>325.15199999999999</v>
      </c>
      <c r="D414" s="387">
        <v>27.52</v>
      </c>
      <c r="E414" s="387">
        <f t="shared" si="24"/>
        <v>8948.1830399999999</v>
      </c>
      <c r="F414" s="15">
        <f t="shared" si="25"/>
        <v>2.9629403339083573E-4</v>
      </c>
      <c r="G414" s="95">
        <v>2.9069767441860468E-2</v>
      </c>
      <c r="H414" s="15">
        <f t="shared" si="26"/>
        <v>8.6131986450824341E-6</v>
      </c>
      <c r="I414" s="95">
        <v>7.0000000000000007E-2</v>
      </c>
      <c r="J414" s="15">
        <f t="shared" si="27"/>
        <v>2.0740582337358501E-5</v>
      </c>
      <c r="K414" s="16"/>
      <c r="L414" s="392"/>
    </row>
    <row r="415" spans="1:12">
      <c r="A415" s="1" t="s">
        <v>104</v>
      </c>
      <c r="B415" s="17" t="s">
        <v>379</v>
      </c>
      <c r="C415" s="387">
        <v>152.196</v>
      </c>
      <c r="D415" s="387">
        <v>838.66</v>
      </c>
      <c r="E415" s="387">
        <f t="shared" si="24"/>
        <v>127640.69735999999</v>
      </c>
      <c r="F415" s="15">
        <f t="shared" si="25"/>
        <v>4.2264643980297247E-3</v>
      </c>
      <c r="G415" s="95">
        <v>1.9698089809934895E-2</v>
      </c>
      <c r="H415" s="15">
        <f t="shared" si="26"/>
        <v>8.3253275290881939E-5</v>
      </c>
      <c r="I415" s="95">
        <v>9.5000000000000001E-2</v>
      </c>
      <c r="J415" s="15">
        <f t="shared" si="27"/>
        <v>4.0151411781282385E-4</v>
      </c>
      <c r="K415" s="16"/>
      <c r="L415" s="392"/>
    </row>
    <row r="416" spans="1:12">
      <c r="A416" s="1" t="s">
        <v>154</v>
      </c>
      <c r="B416" s="17" t="s">
        <v>437</v>
      </c>
      <c r="C416" s="387">
        <v>193.75200000000001</v>
      </c>
      <c r="D416" s="387">
        <v>111.71</v>
      </c>
      <c r="E416" s="387">
        <f t="shared" si="24"/>
        <v>21644.035919999998</v>
      </c>
      <c r="F416" s="15">
        <f t="shared" si="25"/>
        <v>7.1668166296170533E-4</v>
      </c>
      <c r="G416" s="95">
        <v>2.9540775221555814E-2</v>
      </c>
      <c r="H416" s="15">
        <f t="shared" si="26"/>
        <v>2.1171331910962559E-5</v>
      </c>
      <c r="I416" s="95">
        <v>0.02</v>
      </c>
      <c r="J416" s="15">
        <f t="shared" si="27"/>
        <v>1.4333633259234106E-5</v>
      </c>
      <c r="K416" s="16"/>
      <c r="L416" s="392"/>
    </row>
    <row r="417" spans="1:12">
      <c r="A417" s="1" t="s">
        <v>761</v>
      </c>
      <c r="B417" s="17" t="s">
        <v>540</v>
      </c>
      <c r="C417" s="387">
        <v>167.20400000000001</v>
      </c>
      <c r="D417" s="387">
        <v>193.02</v>
      </c>
      <c r="E417" s="387">
        <f t="shared" si="24"/>
        <v>32273.716080000002</v>
      </c>
      <c r="F417" s="15">
        <f t="shared" si="25"/>
        <v>1.0686537665923598E-3</v>
      </c>
      <c r="G417" s="95">
        <v>1.1190550202051602E-2</v>
      </c>
      <c r="H417" s="15">
        <f t="shared" si="26"/>
        <v>1.1958823623663338E-5</v>
      </c>
      <c r="I417" s="95">
        <v>6.5000000000000002E-2</v>
      </c>
      <c r="J417" s="15">
        <f t="shared" si="27"/>
        <v>6.9462494828503388E-5</v>
      </c>
      <c r="K417" s="16"/>
      <c r="L417" s="392"/>
    </row>
    <row r="418" spans="1:12">
      <c r="A418" s="1" t="s">
        <v>1213</v>
      </c>
      <c r="B418" s="17" t="s">
        <v>1214</v>
      </c>
      <c r="C418" s="387">
        <v>111.11499999999999</v>
      </c>
      <c r="D418" s="387">
        <v>150.63999999999999</v>
      </c>
      <c r="E418" s="387">
        <f t="shared" si="24"/>
        <v>16738.363599999997</v>
      </c>
      <c r="F418" s="15">
        <f t="shared" si="25"/>
        <v>5.5424405616610504E-4</v>
      </c>
      <c r="G418" s="95">
        <v>1.8056293149229952E-2</v>
      </c>
      <c r="H418" s="15">
        <f t="shared" si="26"/>
        <v>1.0007593154353464E-5</v>
      </c>
      <c r="I418" s="95">
        <v>6.5000000000000002E-2</v>
      </c>
      <c r="J418" s="15">
        <f t="shared" si="27"/>
        <v>3.6025863650796829E-5</v>
      </c>
      <c r="K418" s="16"/>
      <c r="L418" s="392"/>
    </row>
    <row r="419" spans="1:12">
      <c r="A419" s="1" t="s">
        <v>269</v>
      </c>
      <c r="B419" s="17" t="s">
        <v>568</v>
      </c>
      <c r="C419" s="387">
        <v>1558.5409999999999</v>
      </c>
      <c r="D419" s="387">
        <v>94.79</v>
      </c>
      <c r="E419" s="387">
        <f t="shared" si="24"/>
        <v>147734.10139</v>
      </c>
      <c r="F419" s="15">
        <f t="shared" si="25"/>
        <v>4.8918012265218224E-3</v>
      </c>
      <c r="G419" s="95">
        <v>5.2748180187783517E-2</v>
      </c>
      <c r="H419" s="15">
        <f t="shared" si="26"/>
        <v>2.5803361253939352E-4</v>
      </c>
      <c r="I419" s="95">
        <v>6.5000000000000002E-2</v>
      </c>
      <c r="J419" s="15">
        <f t="shared" si="27"/>
        <v>3.1796707972391849E-4</v>
      </c>
      <c r="K419" s="16"/>
      <c r="L419" s="392"/>
    </row>
    <row r="420" spans="1:12">
      <c r="A420" s="1" t="s">
        <v>830</v>
      </c>
      <c r="B420" s="17" t="s">
        <v>592</v>
      </c>
      <c r="C420" s="387">
        <v>979</v>
      </c>
      <c r="D420" s="387">
        <v>271.22000000000003</v>
      </c>
      <c r="E420" s="387">
        <f t="shared" si="24"/>
        <v>265524.38</v>
      </c>
      <c r="F420" s="15">
        <f t="shared" si="25"/>
        <v>8.7920965811849276E-3</v>
      </c>
      <c r="G420" s="95" t="s">
        <v>719</v>
      </c>
      <c r="H420" s="15" t="str">
        <f t="shared" si="26"/>
        <v/>
      </c>
      <c r="I420" s="95">
        <v>0.2</v>
      </c>
      <c r="J420" s="15">
        <f t="shared" si="27"/>
        <v>1.7584193162369856E-3</v>
      </c>
      <c r="K420" s="16"/>
      <c r="L420" s="392"/>
    </row>
    <row r="421" spans="1:12">
      <c r="A421" s="1" t="s">
        <v>1215</v>
      </c>
      <c r="B421" s="17" t="s">
        <v>487</v>
      </c>
      <c r="C421" s="387">
        <v>420.15499999999997</v>
      </c>
      <c r="D421" s="387">
        <v>50.41</v>
      </c>
      <c r="E421" s="387">
        <f t="shared" si="24"/>
        <v>21180.013549999996</v>
      </c>
      <c r="F421" s="15" t="str">
        <f t="shared" si="25"/>
        <v/>
      </c>
      <c r="G421" s="95" t="s">
        <v>719</v>
      </c>
      <c r="H421" s="15" t="str">
        <f t="shared" si="26"/>
        <v/>
      </c>
      <c r="I421" s="95" t="s">
        <v>719</v>
      </c>
      <c r="J421" s="15" t="str">
        <f t="shared" si="27"/>
        <v/>
      </c>
      <c r="K421" s="16"/>
      <c r="L421" s="392"/>
    </row>
    <row r="422" spans="1:12">
      <c r="A422" s="1" t="s">
        <v>1015</v>
      </c>
      <c r="B422" s="17" t="s">
        <v>1016</v>
      </c>
      <c r="C422" s="387">
        <v>40.140999999999998</v>
      </c>
      <c r="D422" s="387">
        <v>193.06</v>
      </c>
      <c r="E422" s="387">
        <f t="shared" si="24"/>
        <v>7749.6214599999994</v>
      </c>
      <c r="F422" s="15">
        <f t="shared" si="25"/>
        <v>2.5660702171282105E-4</v>
      </c>
      <c r="G422" s="95">
        <v>2.3619600124313685E-2</v>
      </c>
      <c r="H422" s="15">
        <f t="shared" si="26"/>
        <v>6.0609552419479127E-6</v>
      </c>
      <c r="I422" s="95">
        <v>7.0000000000000007E-2</v>
      </c>
      <c r="J422" s="15">
        <f t="shared" si="27"/>
        <v>1.7962491519897474E-5</v>
      </c>
      <c r="K422" s="16"/>
      <c r="L422" s="392"/>
    </row>
    <row r="423" spans="1:12">
      <c r="A423" s="1" t="s">
        <v>236</v>
      </c>
      <c r="B423" s="17" t="s">
        <v>530</v>
      </c>
      <c r="C423" s="387">
        <v>856.89700000000005</v>
      </c>
      <c r="D423" s="387">
        <v>61.73</v>
      </c>
      <c r="E423" s="387">
        <f t="shared" si="24"/>
        <v>52896.251810000002</v>
      </c>
      <c r="F423" s="15">
        <f t="shared" si="25"/>
        <v>1.7515113101712093E-3</v>
      </c>
      <c r="G423" s="95">
        <v>3.1103191317025759E-2</v>
      </c>
      <c r="H423" s="15">
        <f t="shared" si="26"/>
        <v>5.4477591374189568E-5</v>
      </c>
      <c r="I423" s="95">
        <v>6.5000000000000002E-2</v>
      </c>
      <c r="J423" s="15">
        <f t="shared" si="27"/>
        <v>1.1384823516112861E-4</v>
      </c>
      <c r="K423" s="16"/>
      <c r="L423" s="392"/>
    </row>
    <row r="424" spans="1:12">
      <c r="A424" s="1" t="s">
        <v>665</v>
      </c>
      <c r="B424" s="17" t="s">
        <v>666</v>
      </c>
      <c r="C424" s="387">
        <v>245.18299999999999</v>
      </c>
      <c r="D424" s="387">
        <v>17.52</v>
      </c>
      <c r="E424" s="387">
        <f t="shared" si="24"/>
        <v>4295.6061599999994</v>
      </c>
      <c r="F424" s="15" t="str">
        <f t="shared" si="25"/>
        <v/>
      </c>
      <c r="G424" s="95" t="s">
        <v>719</v>
      </c>
      <c r="H424" s="15" t="str">
        <f t="shared" si="26"/>
        <v/>
      </c>
      <c r="I424" s="95" t="s">
        <v>719</v>
      </c>
      <c r="J424" s="15" t="str">
        <f t="shared" si="27"/>
        <v/>
      </c>
      <c r="K424" s="16"/>
      <c r="L424" s="392"/>
    </row>
    <row r="425" spans="1:12">
      <c r="A425" s="1" t="s">
        <v>890</v>
      </c>
      <c r="B425" s="17" t="s">
        <v>891</v>
      </c>
      <c r="C425" s="387">
        <v>278.32</v>
      </c>
      <c r="D425" s="387">
        <v>37.020000000000003</v>
      </c>
      <c r="E425" s="387">
        <f t="shared" si="24"/>
        <v>10303.4064</v>
      </c>
      <c r="F425" s="15">
        <f t="shared" si="25"/>
        <v>3.4116846138196013E-4</v>
      </c>
      <c r="G425" s="95">
        <v>2.7012425715829281E-2</v>
      </c>
      <c r="H425" s="15">
        <f t="shared" si="26"/>
        <v>9.2157877196639679E-6</v>
      </c>
      <c r="I425" s="95">
        <v>1.4999999999999999E-2</v>
      </c>
      <c r="J425" s="15">
        <f t="shared" si="27"/>
        <v>5.117526920729402E-6</v>
      </c>
      <c r="K425" s="16"/>
      <c r="L425" s="392"/>
    </row>
    <row r="426" spans="1:12">
      <c r="A426" s="1" t="s">
        <v>144</v>
      </c>
      <c r="B426" s="17" t="s">
        <v>422</v>
      </c>
      <c r="C426" s="387">
        <v>2254.4960000000001</v>
      </c>
      <c r="D426" s="387">
        <v>29.74</v>
      </c>
      <c r="E426" s="387">
        <f t="shared" si="24"/>
        <v>67048.711039999995</v>
      </c>
      <c r="F426" s="15">
        <f t="shared" si="25"/>
        <v>2.2201303816532405E-3</v>
      </c>
      <c r="G426" s="95">
        <v>1.2552118359112307E-2</v>
      </c>
      <c r="H426" s="15">
        <f t="shared" si="26"/>
        <v>2.7867339323172655E-5</v>
      </c>
      <c r="I426" s="95">
        <v>0.115</v>
      </c>
      <c r="J426" s="15">
        <f t="shared" si="27"/>
        <v>2.5531499389012268E-4</v>
      </c>
      <c r="K426" s="16"/>
      <c r="L426" s="392"/>
    </row>
    <row r="427" spans="1:12">
      <c r="A427" s="1" t="s">
        <v>160</v>
      </c>
      <c r="B427" s="17" t="s">
        <v>444</v>
      </c>
      <c r="C427" s="387">
        <v>623.32799999999997</v>
      </c>
      <c r="D427" s="387">
        <v>113.21</v>
      </c>
      <c r="E427" s="387">
        <f t="shared" si="24"/>
        <v>70566.962879999992</v>
      </c>
      <c r="F427" s="15">
        <f t="shared" si="25"/>
        <v>2.3366274429559033E-3</v>
      </c>
      <c r="G427" s="95" t="s">
        <v>719</v>
      </c>
      <c r="H427" s="15" t="str">
        <f t="shared" si="26"/>
        <v/>
      </c>
      <c r="I427" s="95">
        <v>0.13</v>
      </c>
      <c r="J427" s="15">
        <f t="shared" si="27"/>
        <v>3.0376156758426745E-4</v>
      </c>
      <c r="K427" s="16"/>
      <c r="L427" s="392"/>
    </row>
    <row r="428" spans="1:12">
      <c r="A428" s="1" t="s">
        <v>81</v>
      </c>
      <c r="B428" s="17" t="s">
        <v>354</v>
      </c>
      <c r="C428" s="387">
        <v>113.746</v>
      </c>
      <c r="D428" s="387">
        <v>264.12</v>
      </c>
      <c r="E428" s="387">
        <f t="shared" si="24"/>
        <v>30042.593519999999</v>
      </c>
      <c r="F428" s="15">
        <f t="shared" si="25"/>
        <v>9.9477638843228043E-4</v>
      </c>
      <c r="G428" s="95">
        <v>1.7113433287899438E-2</v>
      </c>
      <c r="H428" s="15">
        <f t="shared" si="26"/>
        <v>1.702403935981337E-5</v>
      </c>
      <c r="I428" s="95">
        <v>0.13500000000000001</v>
      </c>
      <c r="J428" s="15">
        <f t="shared" si="27"/>
        <v>1.3429481243835788E-4</v>
      </c>
      <c r="K428" s="16"/>
      <c r="L428" s="392"/>
    </row>
    <row r="429" spans="1:12">
      <c r="A429" s="1" t="s">
        <v>1216</v>
      </c>
      <c r="B429" s="17" t="s">
        <v>1217</v>
      </c>
      <c r="C429" s="387">
        <v>53.402999999999999</v>
      </c>
      <c r="D429" s="387">
        <v>515.41999999999996</v>
      </c>
      <c r="E429" s="387">
        <f t="shared" si="24"/>
        <v>27524.974259999995</v>
      </c>
      <c r="F429" s="15">
        <f t="shared" si="25"/>
        <v>9.1141247402046135E-4</v>
      </c>
      <c r="G429" s="95" t="s">
        <v>719</v>
      </c>
      <c r="H429" s="15" t="str">
        <f t="shared" si="26"/>
        <v/>
      </c>
      <c r="I429" s="95">
        <v>0.125</v>
      </c>
      <c r="J429" s="15">
        <f t="shared" si="27"/>
        <v>1.1392655925255767E-4</v>
      </c>
      <c r="K429" s="16"/>
      <c r="L429" s="392"/>
    </row>
    <row r="430" spans="1:12">
      <c r="A430" s="1" t="s">
        <v>762</v>
      </c>
      <c r="B430" s="17" t="s">
        <v>763</v>
      </c>
      <c r="C430" s="387">
        <v>208.84</v>
      </c>
      <c r="D430" s="387">
        <v>146.36000000000001</v>
      </c>
      <c r="E430" s="387">
        <f t="shared" si="24"/>
        <v>30565.822400000005</v>
      </c>
      <c r="F430" s="15">
        <f t="shared" si="25"/>
        <v>1.0121016481580551E-3</v>
      </c>
      <c r="G430" s="95">
        <v>6.5591691719048915E-3</v>
      </c>
      <c r="H430" s="15">
        <f t="shared" si="26"/>
        <v>6.638545929432446E-6</v>
      </c>
      <c r="I430" s="95">
        <v>8.5000000000000006E-2</v>
      </c>
      <c r="J430" s="15">
        <f t="shared" si="27"/>
        <v>8.6028640093434688E-5</v>
      </c>
      <c r="K430" s="16"/>
      <c r="L430" s="392"/>
    </row>
    <row r="431" spans="1:12">
      <c r="A431" s="1" t="s">
        <v>118</v>
      </c>
      <c r="B431" s="17" t="s">
        <v>1017</v>
      </c>
      <c r="C431" s="387">
        <v>335.73599999999999</v>
      </c>
      <c r="D431" s="387">
        <v>97.36</v>
      </c>
      <c r="E431" s="387">
        <f t="shared" si="24"/>
        <v>32687.256959999999</v>
      </c>
      <c r="F431" s="15">
        <f t="shared" si="25"/>
        <v>1.0823470152395392E-3</v>
      </c>
      <c r="G431" s="95" t="s">
        <v>719</v>
      </c>
      <c r="H431" s="15" t="str">
        <f t="shared" si="26"/>
        <v/>
      </c>
      <c r="I431" s="95">
        <v>0.105</v>
      </c>
      <c r="J431" s="15">
        <f t="shared" si="27"/>
        <v>1.1364643660015161E-4</v>
      </c>
      <c r="K431" s="16"/>
      <c r="L431" s="392"/>
    </row>
    <row r="432" spans="1:12">
      <c r="A432" s="1" t="s">
        <v>831</v>
      </c>
      <c r="B432" s="17" t="s">
        <v>524</v>
      </c>
      <c r="C432" s="387">
        <v>978.82899999999995</v>
      </c>
      <c r="D432" s="387">
        <v>347.68</v>
      </c>
      <c r="E432" s="387">
        <f t="shared" si="24"/>
        <v>340319.26672000001</v>
      </c>
      <c r="F432" s="15">
        <f t="shared" si="25"/>
        <v>1.1268719887191804E-2</v>
      </c>
      <c r="G432" s="95">
        <v>5.0621260929590425E-3</v>
      </c>
      <c r="H432" s="15">
        <f t="shared" si="26"/>
        <v>5.7043680975200114E-5</v>
      </c>
      <c r="I432" s="95">
        <v>0.125</v>
      </c>
      <c r="J432" s="15">
        <f t="shared" si="27"/>
        <v>1.4085899858989755E-3</v>
      </c>
      <c r="K432" s="16"/>
      <c r="L432" s="392"/>
    </row>
    <row r="433" spans="1:12">
      <c r="A433" s="1" t="s">
        <v>115</v>
      </c>
      <c r="B433" s="17" t="s">
        <v>390</v>
      </c>
      <c r="C433" s="387">
        <v>162.935</v>
      </c>
      <c r="D433" s="387">
        <v>127.96</v>
      </c>
      <c r="E433" s="387">
        <f t="shared" si="24"/>
        <v>20849.1626</v>
      </c>
      <c r="F433" s="15">
        <f t="shared" si="25"/>
        <v>6.9036165799927173E-4</v>
      </c>
      <c r="G433" s="95" t="s">
        <v>719</v>
      </c>
      <c r="H433" s="15" t="str">
        <f t="shared" si="26"/>
        <v/>
      </c>
      <c r="I433" s="95">
        <v>0.125</v>
      </c>
      <c r="J433" s="15">
        <f t="shared" si="27"/>
        <v>8.6295207249908966E-5</v>
      </c>
      <c r="K433" s="16"/>
      <c r="L433" s="392"/>
    </row>
    <row r="434" spans="1:12">
      <c r="A434" s="1" t="s">
        <v>695</v>
      </c>
      <c r="B434" s="17" t="s">
        <v>489</v>
      </c>
      <c r="C434" s="387">
        <v>563.15499999999997</v>
      </c>
      <c r="D434" s="387">
        <v>114.82</v>
      </c>
      <c r="E434" s="387">
        <f t="shared" si="24"/>
        <v>64661.457099999992</v>
      </c>
      <c r="F434" s="15">
        <f t="shared" si="25"/>
        <v>2.1410831498913426E-3</v>
      </c>
      <c r="G434" s="95">
        <v>1.1496255007838357E-2</v>
      </c>
      <c r="H434" s="15">
        <f t="shared" si="26"/>
        <v>2.461443788413667E-5</v>
      </c>
      <c r="I434" s="95">
        <v>0.08</v>
      </c>
      <c r="J434" s="15">
        <f t="shared" si="27"/>
        <v>1.7128665199130742E-4</v>
      </c>
      <c r="K434" s="16"/>
      <c r="L434" s="392"/>
    </row>
    <row r="435" spans="1:12">
      <c r="A435" s="1" t="s">
        <v>175</v>
      </c>
      <c r="B435" s="17" t="s">
        <v>460</v>
      </c>
      <c r="C435" s="387">
        <v>617.69100000000003</v>
      </c>
      <c r="D435" s="387">
        <v>121.68</v>
      </c>
      <c r="E435" s="387">
        <f t="shared" si="24"/>
        <v>75160.640880000006</v>
      </c>
      <c r="F435" s="15" t="str">
        <f t="shared" si="25"/>
        <v/>
      </c>
      <c r="G435" s="95">
        <v>1.282051282051282E-2</v>
      </c>
      <c r="H435" s="15" t="str">
        <f t="shared" si="26"/>
        <v/>
      </c>
      <c r="I435" s="95">
        <v>0.28000000000000003</v>
      </c>
      <c r="J435" s="15" t="str">
        <f t="shared" si="27"/>
        <v/>
      </c>
      <c r="K435" s="16"/>
      <c r="L435" s="392"/>
    </row>
    <row r="436" spans="1:12">
      <c r="A436" s="1" t="s">
        <v>125</v>
      </c>
      <c r="B436" s="17" t="s">
        <v>399</v>
      </c>
      <c r="C436" s="387">
        <v>28.094999999999999</v>
      </c>
      <c r="D436" s="387">
        <v>1817.52</v>
      </c>
      <c r="E436" s="387">
        <f t="shared" si="24"/>
        <v>51063.224399999999</v>
      </c>
      <c r="F436" s="15" t="str">
        <f t="shared" si="25"/>
        <v/>
      </c>
      <c r="G436" s="95" t="s">
        <v>719</v>
      </c>
      <c r="H436" s="15" t="str">
        <f t="shared" si="26"/>
        <v/>
      </c>
      <c r="I436" s="95">
        <v>0.22</v>
      </c>
      <c r="J436" s="15" t="str">
        <f t="shared" si="27"/>
        <v/>
      </c>
      <c r="K436" s="16"/>
      <c r="L436" s="392"/>
    </row>
    <row r="437" spans="1:12">
      <c r="A437" s="1" t="s">
        <v>333</v>
      </c>
      <c r="B437" s="17" t="s">
        <v>639</v>
      </c>
      <c r="C437" s="387">
        <v>115.672</v>
      </c>
      <c r="D437" s="387">
        <v>84.75</v>
      </c>
      <c r="E437" s="387">
        <f t="shared" si="24"/>
        <v>9803.2019999999993</v>
      </c>
      <c r="F437" s="15" t="str">
        <f t="shared" si="25"/>
        <v/>
      </c>
      <c r="G437" s="95" t="s">
        <v>719</v>
      </c>
      <c r="H437" s="15" t="str">
        <f t="shared" si="26"/>
        <v/>
      </c>
      <c r="I437" s="95">
        <v>0.27</v>
      </c>
      <c r="J437" s="15" t="str">
        <f t="shared" si="27"/>
        <v/>
      </c>
      <c r="K437" s="16"/>
      <c r="L437" s="392"/>
    </row>
    <row r="438" spans="1:12">
      <c r="A438" s="1" t="s">
        <v>1218</v>
      </c>
      <c r="B438" s="17" t="s">
        <v>1219</v>
      </c>
      <c r="C438" s="387">
        <v>221.42400000000001</v>
      </c>
      <c r="D438" s="387">
        <v>91.13</v>
      </c>
      <c r="E438" s="387">
        <f t="shared" si="24"/>
        <v>20178.369119999999</v>
      </c>
      <c r="F438" s="15" t="str">
        <f t="shared" si="25"/>
        <v/>
      </c>
      <c r="G438" s="95" t="s">
        <v>719</v>
      </c>
      <c r="H438" s="15" t="str">
        <f t="shared" si="26"/>
        <v/>
      </c>
      <c r="I438" s="95" t="s">
        <v>719</v>
      </c>
      <c r="J438" s="15" t="str">
        <f t="shared" si="27"/>
        <v/>
      </c>
      <c r="K438" s="16"/>
      <c r="L438" s="392"/>
    </row>
    <row r="439" spans="1:12">
      <c r="A439" s="1" t="s">
        <v>90</v>
      </c>
      <c r="B439" s="17" t="s">
        <v>364</v>
      </c>
      <c r="C439" s="387">
        <v>58.814</v>
      </c>
      <c r="D439" s="387">
        <v>157.75</v>
      </c>
      <c r="E439" s="387">
        <f t="shared" si="24"/>
        <v>9277.9084999999995</v>
      </c>
      <c r="F439" s="15">
        <f t="shared" si="25"/>
        <v>3.0721196902294462E-4</v>
      </c>
      <c r="G439" s="95">
        <v>1.6735340729001586E-2</v>
      </c>
      <c r="H439" s="15">
        <f t="shared" si="26"/>
        <v>5.1412969776264585E-6</v>
      </c>
      <c r="I439" s="95">
        <v>0.115</v>
      </c>
      <c r="J439" s="15">
        <f t="shared" si="27"/>
        <v>3.5329376437638636E-5</v>
      </c>
      <c r="K439" s="16"/>
      <c r="L439" s="392"/>
    </row>
    <row r="440" spans="1:12">
      <c r="A440" s="1" t="s">
        <v>255</v>
      </c>
      <c r="B440" s="17" t="s">
        <v>552</v>
      </c>
      <c r="C440" s="387">
        <v>244.77699999999999</v>
      </c>
      <c r="D440" s="387">
        <v>40.83</v>
      </c>
      <c r="E440" s="387">
        <f t="shared" si="24"/>
        <v>9994.2449099999994</v>
      </c>
      <c r="F440" s="15" t="str">
        <f t="shared" si="25"/>
        <v/>
      </c>
      <c r="G440" s="95">
        <v>3.1839333823169239E-2</v>
      </c>
      <c r="H440" s="15" t="str">
        <f t="shared" si="26"/>
        <v/>
      </c>
      <c r="I440" s="95">
        <v>-1.4999999999999999E-2</v>
      </c>
      <c r="J440" s="15" t="str">
        <f t="shared" si="27"/>
        <v/>
      </c>
      <c r="K440" s="16"/>
      <c r="L440" s="392"/>
    </row>
    <row r="441" spans="1:12">
      <c r="A441" s="1" t="s">
        <v>287</v>
      </c>
      <c r="B441" s="17" t="s">
        <v>586</v>
      </c>
      <c r="C441" s="387">
        <v>954.53899999999999</v>
      </c>
      <c r="D441" s="387">
        <v>21.31</v>
      </c>
      <c r="E441" s="387">
        <f t="shared" si="24"/>
        <v>20341.22609</v>
      </c>
      <c r="F441" s="15">
        <f t="shared" si="25"/>
        <v>6.73542762299261E-4</v>
      </c>
      <c r="G441" s="95">
        <v>3.1909901454716103E-2</v>
      </c>
      <c r="H441" s="15">
        <f t="shared" si="26"/>
        <v>2.1492683170506691E-5</v>
      </c>
      <c r="I441" s="95">
        <v>9.5000000000000001E-2</v>
      </c>
      <c r="J441" s="15">
        <f t="shared" si="27"/>
        <v>6.3986562418429801E-5</v>
      </c>
      <c r="K441" s="16"/>
      <c r="L441" s="392"/>
    </row>
    <row r="442" spans="1:12">
      <c r="A442" s="1" t="s">
        <v>241</v>
      </c>
      <c r="B442" s="17" t="s">
        <v>536</v>
      </c>
      <c r="C442" s="387">
        <v>528.88599999999997</v>
      </c>
      <c r="D442" s="387">
        <v>88.83</v>
      </c>
      <c r="E442" s="387">
        <f t="shared" si="24"/>
        <v>46980.943379999997</v>
      </c>
      <c r="F442" s="15">
        <f t="shared" si="25"/>
        <v>1.5556424297917225E-3</v>
      </c>
      <c r="G442" s="95" t="s">
        <v>719</v>
      </c>
      <c r="H442" s="15" t="str">
        <f t="shared" si="26"/>
        <v/>
      </c>
      <c r="I442" s="95">
        <v>0.115</v>
      </c>
      <c r="J442" s="15">
        <f t="shared" si="27"/>
        <v>1.788988794260481E-4</v>
      </c>
      <c r="K442" s="16"/>
      <c r="L442" s="392"/>
    </row>
    <row r="443" spans="1:12">
      <c r="A443" s="1" t="s">
        <v>244</v>
      </c>
      <c r="B443" s="17" t="s">
        <v>538</v>
      </c>
      <c r="C443" s="387">
        <v>379.89699999999999</v>
      </c>
      <c r="D443" s="387">
        <v>35.72</v>
      </c>
      <c r="E443" s="387">
        <f t="shared" si="24"/>
        <v>13569.920839999999</v>
      </c>
      <c r="F443" s="15" t="str">
        <f t="shared" si="25"/>
        <v/>
      </c>
      <c r="G443" s="95">
        <v>8.3986562150055993E-3</v>
      </c>
      <c r="H443" s="15" t="str">
        <f t="shared" si="26"/>
        <v/>
      </c>
      <c r="I443" s="95">
        <v>0.33500000000000002</v>
      </c>
      <c r="J443" s="15" t="str">
        <f t="shared" si="27"/>
        <v/>
      </c>
      <c r="K443" s="16"/>
      <c r="L443" s="392"/>
    </row>
    <row r="444" spans="1:12">
      <c r="A444" s="1" t="s">
        <v>1018</v>
      </c>
      <c r="B444" s="17" t="s">
        <v>454</v>
      </c>
      <c r="C444" s="387">
        <v>145.29599999999999</v>
      </c>
      <c r="D444" s="387">
        <v>163.9</v>
      </c>
      <c r="E444" s="387">
        <f t="shared" si="24"/>
        <v>23814.0144</v>
      </c>
      <c r="F444" s="15" t="str">
        <f t="shared" si="25"/>
        <v/>
      </c>
      <c r="G444" s="95" t="s">
        <v>719</v>
      </c>
      <c r="H444" s="15" t="str">
        <f t="shared" si="26"/>
        <v/>
      </c>
      <c r="I444" s="95" t="s">
        <v>719</v>
      </c>
      <c r="J444" s="15" t="str">
        <f t="shared" si="27"/>
        <v/>
      </c>
      <c r="K444" s="16"/>
      <c r="L444" s="392"/>
    </row>
    <row r="445" spans="1:12">
      <c r="A445" s="1" t="s">
        <v>1040</v>
      </c>
      <c r="B445" s="17" t="s">
        <v>1041</v>
      </c>
      <c r="C445" s="387">
        <v>226.99299999999999</v>
      </c>
      <c r="D445" s="387">
        <v>62.2</v>
      </c>
      <c r="E445" s="387">
        <f t="shared" si="24"/>
        <v>14118.964600000001</v>
      </c>
      <c r="F445" s="15">
        <f t="shared" si="25"/>
        <v>4.675099905685912E-4</v>
      </c>
      <c r="G445" s="95">
        <v>3.4405144694533762E-2</v>
      </c>
      <c r="H445" s="15">
        <f t="shared" si="26"/>
        <v>1.6084748871652495E-5</v>
      </c>
      <c r="I445" s="95">
        <v>0.08</v>
      </c>
      <c r="J445" s="15">
        <f t="shared" si="27"/>
        <v>3.7400799245487299E-5</v>
      </c>
      <c r="K445" s="16"/>
      <c r="L445" s="392"/>
    </row>
    <row r="446" spans="1:12">
      <c r="A446" s="1" t="s">
        <v>1019</v>
      </c>
      <c r="B446" s="17" t="s">
        <v>432</v>
      </c>
      <c r="C446" s="387">
        <v>169.08699999999999</v>
      </c>
      <c r="D446" s="387">
        <v>25.38</v>
      </c>
      <c r="E446" s="387">
        <f t="shared" si="24"/>
        <v>4291.4280599999993</v>
      </c>
      <c r="F446" s="15">
        <f t="shared" si="25"/>
        <v>1.4209862753366398E-4</v>
      </c>
      <c r="G446" s="95" t="s">
        <v>719</v>
      </c>
      <c r="H446" s="15" t="str">
        <f t="shared" si="26"/>
        <v/>
      </c>
      <c r="I446" s="95">
        <v>0.13500000000000001</v>
      </c>
      <c r="J446" s="15">
        <f t="shared" si="27"/>
        <v>1.918331471704464E-5</v>
      </c>
      <c r="K446" s="16"/>
      <c r="L446" s="392"/>
    </row>
    <row r="447" spans="1:12">
      <c r="A447" s="1" t="s">
        <v>121</v>
      </c>
      <c r="B447" s="17" t="s">
        <v>395</v>
      </c>
      <c r="C447" s="387">
        <v>215.1</v>
      </c>
      <c r="D447" s="387">
        <v>55.82</v>
      </c>
      <c r="E447" s="387">
        <f t="shared" si="24"/>
        <v>12006.882</v>
      </c>
      <c r="F447" s="15">
        <f t="shared" si="25"/>
        <v>3.9757428746426543E-4</v>
      </c>
      <c r="G447" s="95">
        <v>2.149767108563239E-2</v>
      </c>
      <c r="H447" s="15">
        <f t="shared" si="26"/>
        <v>8.5469212640114387E-6</v>
      </c>
      <c r="I447" s="95">
        <v>0.19500000000000001</v>
      </c>
      <c r="J447" s="15">
        <f t="shared" si="27"/>
        <v>7.7526986055531758E-5</v>
      </c>
      <c r="K447" s="16"/>
      <c r="L447" s="392"/>
    </row>
    <row r="448" spans="1:12">
      <c r="A448" s="1" t="s">
        <v>1221</v>
      </c>
      <c r="B448" s="17" t="s">
        <v>1222</v>
      </c>
      <c r="C448" s="387">
        <v>141.565</v>
      </c>
      <c r="D448" s="387">
        <v>96.13</v>
      </c>
      <c r="E448" s="387">
        <f t="shared" si="24"/>
        <v>13608.64345</v>
      </c>
      <c r="F448" s="15">
        <f t="shared" si="25"/>
        <v>4.506121341901247E-4</v>
      </c>
      <c r="G448" s="95">
        <v>1.4979714969312391E-2</v>
      </c>
      <c r="H448" s="15">
        <f t="shared" si="26"/>
        <v>6.7500413318816146E-6</v>
      </c>
      <c r="I448" s="95">
        <v>0.09</v>
      </c>
      <c r="J448" s="15">
        <f t="shared" si="27"/>
        <v>4.0555092077111222E-5</v>
      </c>
      <c r="K448" s="16"/>
      <c r="L448" s="392"/>
    </row>
    <row r="449" spans="1:12">
      <c r="A449" s="1" t="s">
        <v>1220</v>
      </c>
      <c r="B449" s="17" t="s">
        <v>360</v>
      </c>
      <c r="C449" s="387">
        <v>378.02199999999999</v>
      </c>
      <c r="D449" s="387">
        <v>21.43</v>
      </c>
      <c r="E449" s="387">
        <f t="shared" si="24"/>
        <v>8101.0114599999997</v>
      </c>
      <c r="F449" s="15" t="str">
        <f t="shared" si="25"/>
        <v/>
      </c>
      <c r="G449" s="95">
        <v>1.1665888940737284E-2</v>
      </c>
      <c r="H449" s="15" t="str">
        <f t="shared" si="26"/>
        <v/>
      </c>
      <c r="I449" s="95">
        <v>0.72499999999999998</v>
      </c>
      <c r="J449" s="15" t="str">
        <f t="shared" si="27"/>
        <v/>
      </c>
      <c r="K449" s="16"/>
      <c r="L449" s="392"/>
    </row>
    <row r="450" spans="1:12">
      <c r="A450" s="1" t="s">
        <v>760</v>
      </c>
      <c r="B450" s="17" t="s">
        <v>473</v>
      </c>
      <c r="C450" s="387">
        <v>320.16800000000001</v>
      </c>
      <c r="D450" s="387">
        <v>2665.31</v>
      </c>
      <c r="E450" s="387">
        <f t="shared" si="24"/>
        <v>853346.97207999998</v>
      </c>
      <c r="F450" s="15" t="str">
        <f t="shared" si="25"/>
        <v/>
      </c>
      <c r="G450" s="95" t="s">
        <v>719</v>
      </c>
      <c r="H450" s="15" t="str">
        <f t="shared" si="26"/>
        <v/>
      </c>
      <c r="I450" s="95">
        <v>0.21</v>
      </c>
      <c r="J450" s="15" t="str">
        <f t="shared" si="27"/>
        <v/>
      </c>
      <c r="K450" s="16"/>
      <c r="L450" s="392"/>
    </row>
    <row r="451" spans="1:12">
      <c r="A451" s="1" t="s">
        <v>306</v>
      </c>
      <c r="B451" s="17" t="s">
        <v>608</v>
      </c>
      <c r="C451" s="387">
        <v>327.99700000000001</v>
      </c>
      <c r="D451" s="387">
        <v>137.22</v>
      </c>
      <c r="E451" s="387">
        <f t="shared" si="24"/>
        <v>45007.748339999998</v>
      </c>
      <c r="F451" s="15">
        <f t="shared" si="25"/>
        <v>1.4903055994592495E-3</v>
      </c>
      <c r="G451" s="95">
        <v>1.4575134819997086E-2</v>
      </c>
      <c r="H451" s="15">
        <f t="shared" si="26"/>
        <v>2.1721405035115139E-5</v>
      </c>
      <c r="I451" s="95">
        <v>0.09</v>
      </c>
      <c r="J451" s="15">
        <f t="shared" si="27"/>
        <v>1.3412750395133246E-4</v>
      </c>
      <c r="K451" s="16"/>
      <c r="L451" s="392"/>
    </row>
    <row r="452" spans="1:12">
      <c r="A452" s="1" t="s">
        <v>832</v>
      </c>
      <c r="B452" s="17" t="s">
        <v>833</v>
      </c>
      <c r="C452" s="387">
        <v>49.304000000000002</v>
      </c>
      <c r="D452" s="387">
        <v>413.31</v>
      </c>
      <c r="E452" s="387">
        <f t="shared" si="24"/>
        <v>20377.836240000001</v>
      </c>
      <c r="F452" s="15">
        <f t="shared" si="25"/>
        <v>6.7475500493645942E-4</v>
      </c>
      <c r="G452" s="95">
        <v>1.4516948537417434E-4</v>
      </c>
      <c r="H452" s="15">
        <f t="shared" si="26"/>
        <v>9.7953836820274282E-8</v>
      </c>
      <c r="I452" s="95">
        <v>0.14499999999999999</v>
      </c>
      <c r="J452" s="15">
        <f t="shared" si="27"/>
        <v>9.7839475715786611E-5</v>
      </c>
      <c r="K452" s="16"/>
      <c r="L452" s="392"/>
    </row>
    <row r="453" spans="1:12">
      <c r="A453" s="1" t="s">
        <v>150</v>
      </c>
      <c r="B453" s="17" t="s">
        <v>431</v>
      </c>
      <c r="C453" s="387">
        <v>299.46800000000002</v>
      </c>
      <c r="D453" s="387">
        <v>122.85</v>
      </c>
      <c r="E453" s="387">
        <f t="shared" si="24"/>
        <v>36789.643799999998</v>
      </c>
      <c r="F453" s="15">
        <f t="shared" si="25"/>
        <v>1.2181860719418355E-3</v>
      </c>
      <c r="G453" s="95">
        <v>1.6280016280016282E-2</v>
      </c>
      <c r="H453" s="15">
        <f t="shared" si="26"/>
        <v>1.9832089083302169E-5</v>
      </c>
      <c r="I453" s="95">
        <v>0.16</v>
      </c>
      <c r="J453" s="15">
        <f t="shared" si="27"/>
        <v>1.9490977151069368E-4</v>
      </c>
      <c r="K453" s="16"/>
      <c r="L453" s="392"/>
    </row>
    <row r="454" spans="1:12">
      <c r="A454" s="1" t="s">
        <v>320</v>
      </c>
      <c r="B454" s="17" t="s">
        <v>624</v>
      </c>
      <c r="C454" s="387">
        <v>1687.643</v>
      </c>
      <c r="D454" s="387">
        <v>222.75</v>
      </c>
      <c r="E454" s="387">
        <f t="shared" si="24"/>
        <v>375922.47824999999</v>
      </c>
      <c r="F454" s="15">
        <f t="shared" si="25"/>
        <v>1.2447620575603604E-2</v>
      </c>
      <c r="G454" s="95">
        <v>5.7463524130190787E-3</v>
      </c>
      <c r="H454" s="15">
        <f t="shared" si="26"/>
        <v>7.1528414530965703E-5</v>
      </c>
      <c r="I454" s="95">
        <v>0.12</v>
      </c>
      <c r="J454" s="15">
        <f t="shared" si="27"/>
        <v>1.4937144690724325E-3</v>
      </c>
      <c r="K454" s="16"/>
      <c r="L454" s="392"/>
    </row>
    <row r="455" spans="1:12">
      <c r="A455" s="1" t="s">
        <v>834</v>
      </c>
      <c r="B455" s="17" t="s">
        <v>835</v>
      </c>
      <c r="C455" s="387">
        <v>116.02</v>
      </c>
      <c r="D455" s="387">
        <v>186.75</v>
      </c>
      <c r="E455" s="387">
        <f t="shared" si="24"/>
        <v>21666.735000000001</v>
      </c>
      <c r="F455" s="15">
        <f t="shared" si="25"/>
        <v>7.1743327945607033E-4</v>
      </c>
      <c r="G455" s="95">
        <v>2.1954484605087012E-2</v>
      </c>
      <c r="H455" s="15">
        <f t="shared" si="26"/>
        <v>1.5750877888995385E-5</v>
      </c>
      <c r="I455" s="95">
        <v>0.09</v>
      </c>
      <c r="J455" s="15">
        <f t="shared" si="27"/>
        <v>6.4568995151046321E-5</v>
      </c>
      <c r="K455" s="16"/>
      <c r="L455" s="392"/>
    </row>
    <row r="456" spans="1:12">
      <c r="A456" s="1" t="s">
        <v>336</v>
      </c>
      <c r="B456" s="17" t="s">
        <v>642</v>
      </c>
      <c r="C456" s="387">
        <v>180.16300000000001</v>
      </c>
      <c r="D456" s="387">
        <v>123.68</v>
      </c>
      <c r="E456" s="387">
        <f t="shared" si="24"/>
        <v>22282.559840000002</v>
      </c>
      <c r="F456" s="15">
        <f t="shared" si="25"/>
        <v>7.3782459520030732E-4</v>
      </c>
      <c r="G456" s="95">
        <v>9.05562742561449E-3</v>
      </c>
      <c r="H456" s="15">
        <f t="shared" si="26"/>
        <v>6.681464639588812E-6</v>
      </c>
      <c r="I456" s="95">
        <v>0.105</v>
      </c>
      <c r="J456" s="15">
        <f t="shared" si="27"/>
        <v>7.7471582496032261E-5</v>
      </c>
      <c r="K456" s="16"/>
      <c r="L456" s="392"/>
    </row>
    <row r="457" spans="1:12">
      <c r="A457" s="1" t="s">
        <v>229</v>
      </c>
      <c r="B457" s="17" t="s">
        <v>520</v>
      </c>
      <c r="C457" s="387">
        <v>638.202</v>
      </c>
      <c r="D457" s="387">
        <v>61.81</v>
      </c>
      <c r="E457" s="387">
        <f t="shared" si="24"/>
        <v>39447.265619999998</v>
      </c>
      <c r="F457" s="15" t="str">
        <f t="shared" si="25"/>
        <v/>
      </c>
      <c r="G457" s="95">
        <v>3.7534379550234587E-2</v>
      </c>
      <c r="H457" s="15" t="str">
        <f t="shared" si="26"/>
        <v/>
      </c>
      <c r="I457" s="95" t="s">
        <v>719</v>
      </c>
      <c r="J457" s="15" t="str">
        <f t="shared" si="27"/>
        <v/>
      </c>
      <c r="K457" s="16"/>
      <c r="L457" s="392"/>
    </row>
    <row r="458" spans="1:12">
      <c r="A458" s="1" t="s">
        <v>696</v>
      </c>
      <c r="B458" s="17" t="s">
        <v>697</v>
      </c>
      <c r="C458" s="387">
        <v>114.33799999999999</v>
      </c>
      <c r="D458" s="387">
        <v>202.61</v>
      </c>
      <c r="E458" s="387">
        <f t="shared" si="24"/>
        <v>23166.02218</v>
      </c>
      <c r="F458" s="15">
        <f t="shared" si="25"/>
        <v>7.6707797757943061E-4</v>
      </c>
      <c r="G458" s="95">
        <v>1.0266028330289717E-2</v>
      </c>
      <c r="H458" s="15">
        <f t="shared" si="26"/>
        <v>7.8748442493717749E-6</v>
      </c>
      <c r="I458" s="95">
        <v>0.11</v>
      </c>
      <c r="J458" s="15">
        <f t="shared" si="27"/>
        <v>8.437857753373737E-5</v>
      </c>
      <c r="K458" s="16"/>
      <c r="L458" s="392"/>
    </row>
    <row r="459" spans="1:12">
      <c r="A459" s="1" t="s">
        <v>796</v>
      </c>
      <c r="B459" s="17" t="s">
        <v>797</v>
      </c>
      <c r="C459" s="387">
        <v>1212.9649999999999</v>
      </c>
      <c r="D459" s="387">
        <v>102.9</v>
      </c>
      <c r="E459" s="387">
        <f t="shared" si="24"/>
        <v>124814.09849999999</v>
      </c>
      <c r="F459" s="15" t="str">
        <f t="shared" si="25"/>
        <v/>
      </c>
      <c r="G459" s="95" t="s">
        <v>719</v>
      </c>
      <c r="H459" s="15" t="str">
        <f t="shared" si="26"/>
        <v/>
      </c>
      <c r="I459" s="95">
        <v>0.28999999999999998</v>
      </c>
      <c r="J459" s="15" t="str">
        <f t="shared" si="27"/>
        <v/>
      </c>
      <c r="K459" s="16"/>
      <c r="L459" s="392"/>
    </row>
    <row r="460" spans="1:12">
      <c r="A460" s="1" t="s">
        <v>892</v>
      </c>
      <c r="B460" s="17" t="s">
        <v>893</v>
      </c>
      <c r="C460" s="387">
        <v>145.68100000000001</v>
      </c>
      <c r="D460" s="387">
        <v>263.55</v>
      </c>
      <c r="E460" s="387">
        <f t="shared" si="24"/>
        <v>38394.227550000003</v>
      </c>
      <c r="F460" s="15">
        <f t="shared" si="25"/>
        <v>1.2713173712319418E-3</v>
      </c>
      <c r="G460" s="95">
        <v>6.3745019920318727E-3</v>
      </c>
      <c r="H460" s="15">
        <f t="shared" si="26"/>
        <v>8.1040151154227369E-6</v>
      </c>
      <c r="I460" s="95">
        <v>8.5000000000000006E-2</v>
      </c>
      <c r="J460" s="15">
        <f t="shared" si="27"/>
        <v>1.0806197655471506E-4</v>
      </c>
      <c r="K460" s="16"/>
      <c r="L460" s="392"/>
    </row>
    <row r="461" spans="1:12">
      <c r="A461" s="1" t="s">
        <v>836</v>
      </c>
      <c r="B461" s="17" t="s">
        <v>837</v>
      </c>
      <c r="C461" s="387">
        <v>23.117000000000001</v>
      </c>
      <c r="D461" s="387">
        <v>1377.36</v>
      </c>
      <c r="E461" s="387">
        <f t="shared" si="24"/>
        <v>31840.431119999997</v>
      </c>
      <c r="F461" s="15">
        <f t="shared" si="25"/>
        <v>1.0543067480041047E-3</v>
      </c>
      <c r="G461" s="95" t="s">
        <v>719</v>
      </c>
      <c r="H461" s="15" t="str">
        <f t="shared" si="26"/>
        <v/>
      </c>
      <c r="I461" s="95">
        <v>0.12</v>
      </c>
      <c r="J461" s="15">
        <f t="shared" si="27"/>
        <v>1.2651680976049257E-4</v>
      </c>
      <c r="K461" s="16"/>
      <c r="L461" s="392"/>
    </row>
    <row r="462" spans="1:12">
      <c r="A462" s="1" t="s">
        <v>1042</v>
      </c>
      <c r="B462" s="17" t="s">
        <v>1043</v>
      </c>
      <c r="C462" s="387">
        <v>237.101</v>
      </c>
      <c r="D462" s="387">
        <v>138.72</v>
      </c>
      <c r="E462" s="387">
        <f t="shared" si="24"/>
        <v>32890.650719999998</v>
      </c>
      <c r="F462" s="15">
        <f t="shared" si="25"/>
        <v>1.0890818302570166E-3</v>
      </c>
      <c r="G462" s="95" t="s">
        <v>719</v>
      </c>
      <c r="H462" s="15" t="str">
        <f t="shared" si="26"/>
        <v/>
      </c>
      <c r="I462" s="95">
        <v>0.1</v>
      </c>
      <c r="J462" s="15">
        <f t="shared" si="27"/>
        <v>1.0890818302570166E-4</v>
      </c>
      <c r="K462" s="16"/>
      <c r="L462" s="392"/>
    </row>
    <row r="463" spans="1:12">
      <c r="A463" s="1" t="s">
        <v>838</v>
      </c>
      <c r="B463" s="17" t="s">
        <v>839</v>
      </c>
      <c r="C463" s="387">
        <v>116.95</v>
      </c>
      <c r="D463" s="387">
        <v>218.97</v>
      </c>
      <c r="E463" s="387">
        <f t="shared" si="24"/>
        <v>25608.541499999999</v>
      </c>
      <c r="F463" s="15">
        <f t="shared" si="25"/>
        <v>8.4795516769978836E-4</v>
      </c>
      <c r="G463" s="95">
        <v>7.1242635977531174E-3</v>
      </c>
      <c r="H463" s="15">
        <f t="shared" si="26"/>
        <v>6.0410561337702423E-6</v>
      </c>
      <c r="I463" s="95">
        <v>6.5000000000000002E-2</v>
      </c>
      <c r="J463" s="15">
        <f t="shared" si="27"/>
        <v>5.5117085900486242E-5</v>
      </c>
      <c r="K463" s="16"/>
      <c r="L463" s="392"/>
    </row>
    <row r="464" spans="1:12">
      <c r="A464" s="1" t="s">
        <v>1223</v>
      </c>
      <c r="B464" s="17" t="s">
        <v>1224</v>
      </c>
      <c r="C464" s="387">
        <v>163.32</v>
      </c>
      <c r="D464" s="387">
        <v>292.04000000000002</v>
      </c>
      <c r="E464" s="387">
        <f t="shared" si="24"/>
        <v>47695.972800000003</v>
      </c>
      <c r="F464" s="15">
        <f t="shared" si="25"/>
        <v>1.5793186275067071E-3</v>
      </c>
      <c r="G464" s="95" t="s">
        <v>719</v>
      </c>
      <c r="H464" s="15" t="str">
        <f t="shared" si="26"/>
        <v/>
      </c>
      <c r="I464" s="95">
        <v>0.2</v>
      </c>
      <c r="J464" s="15">
        <f t="shared" si="27"/>
        <v>3.1586372550134145E-4</v>
      </c>
      <c r="K464" s="16"/>
      <c r="L464" s="392"/>
    </row>
    <row r="465" spans="1:12">
      <c r="A465" s="1" t="s">
        <v>1294</v>
      </c>
      <c r="B465" s="17" t="s">
        <v>1295</v>
      </c>
      <c r="C465" s="387">
        <v>403.64600000000002</v>
      </c>
      <c r="D465" s="387">
        <v>384.86</v>
      </c>
      <c r="E465" s="387">
        <f t="shared" si="24"/>
        <v>155347.19956000001</v>
      </c>
      <c r="F465" s="15" t="str">
        <f t="shared" si="25"/>
        <v/>
      </c>
      <c r="G465" s="95" t="s">
        <v>719</v>
      </c>
      <c r="H465" s="15" t="str">
        <f t="shared" si="26"/>
        <v/>
      </c>
      <c r="I465" s="95" t="s">
        <v>719</v>
      </c>
      <c r="J465" s="15" t="str">
        <f t="shared" si="27"/>
        <v/>
      </c>
      <c r="K465" s="16"/>
      <c r="L465" s="392"/>
    </row>
    <row r="466" spans="1:12">
      <c r="A466" s="1" t="s">
        <v>698</v>
      </c>
      <c r="B466" s="17" t="s">
        <v>699</v>
      </c>
      <c r="C466" s="387">
        <v>65.034999999999997</v>
      </c>
      <c r="D466" s="387">
        <v>319.74</v>
      </c>
      <c r="E466" s="387">
        <f t="shared" si="24"/>
        <v>20794.2909</v>
      </c>
      <c r="F466" s="15" t="str">
        <f t="shared" si="25"/>
        <v/>
      </c>
      <c r="G466" s="95">
        <v>2.6146243823106274E-2</v>
      </c>
      <c r="H466" s="15" t="str">
        <f t="shared" si="26"/>
        <v/>
      </c>
      <c r="I466" s="95">
        <v>-5.0000000000000001E-3</v>
      </c>
      <c r="J466" s="15" t="str">
        <f t="shared" si="27"/>
        <v/>
      </c>
      <c r="K466" s="16"/>
      <c r="L466" s="392"/>
    </row>
    <row r="467" spans="1:12">
      <c r="A467" s="1" t="s">
        <v>764</v>
      </c>
      <c r="B467" s="17" t="s">
        <v>765</v>
      </c>
      <c r="C467" s="387">
        <v>389.38799999999998</v>
      </c>
      <c r="D467" s="387">
        <v>64.86</v>
      </c>
      <c r="E467" s="387">
        <f t="shared" si="24"/>
        <v>25255.705679999999</v>
      </c>
      <c r="F467" s="15">
        <f t="shared" si="25"/>
        <v>8.3627199718737974E-4</v>
      </c>
      <c r="G467" s="95">
        <v>4.3663274745605919E-2</v>
      </c>
      <c r="H467" s="15">
        <f t="shared" si="26"/>
        <v>3.6514373975249141E-5</v>
      </c>
      <c r="I467" s="95">
        <v>0.06</v>
      </c>
      <c r="J467" s="15">
        <f t="shared" si="27"/>
        <v>5.0176319831242784E-5</v>
      </c>
      <c r="K467" s="16"/>
      <c r="L467" s="392"/>
    </row>
    <row r="468" spans="1:12">
      <c r="A468" s="1" t="s">
        <v>1225</v>
      </c>
      <c r="B468" s="17" t="s">
        <v>766</v>
      </c>
      <c r="C468" s="387">
        <v>267.00599999999997</v>
      </c>
      <c r="D468" s="387">
        <v>49.83</v>
      </c>
      <c r="E468" s="387">
        <f t="shared" ref="E468:E523" si="28">IFERROR(C468*D468,"")</f>
        <v>13304.908979999998</v>
      </c>
      <c r="F468" s="15">
        <f t="shared" ref="F468:F523" si="29">IF(AND(ISNUMBER($I468)), IF(AND($I468&lt;=20%,$I468&gt;0%), $E468/SUMIFS($E$19:$E$523,$I$19:$I$523, "&gt;"&amp;0%,$I$19:$I$523, "&lt;="&amp;20%),""),"")</f>
        <v>4.4055481743723358E-4</v>
      </c>
      <c r="G468" s="95">
        <v>1.9265502709211318E-2</v>
      </c>
      <c r="H468" s="15">
        <f t="shared" ref="H468:H523" si="30">IFERROR($G468*$F468,"")</f>
        <v>8.4875100288931209E-6</v>
      </c>
      <c r="I468" s="95">
        <v>0.08</v>
      </c>
      <c r="J468" s="15">
        <f t="shared" ref="J468:J523" si="31">IFERROR($I468*$F468,"")</f>
        <v>3.524438539497869E-5</v>
      </c>
      <c r="K468" s="16"/>
      <c r="L468" s="392"/>
    </row>
    <row r="469" spans="1:12">
      <c r="A469" s="1" t="s">
        <v>894</v>
      </c>
      <c r="B469" s="17" t="s">
        <v>895</v>
      </c>
      <c r="C469" s="387">
        <v>398.84100000000001</v>
      </c>
      <c r="D469" s="387">
        <v>116.62</v>
      </c>
      <c r="E469" s="387">
        <f t="shared" si="28"/>
        <v>46512.837420000003</v>
      </c>
      <c r="F469" s="15">
        <f t="shared" si="29"/>
        <v>1.5401424112602858E-3</v>
      </c>
      <c r="G469" s="95">
        <v>6.8598868118676052E-3</v>
      </c>
      <c r="H469" s="15">
        <f t="shared" si="30"/>
        <v>1.0565202615402408E-5</v>
      </c>
      <c r="I469" s="95">
        <v>0.105</v>
      </c>
      <c r="J469" s="15">
        <f t="shared" si="31"/>
        <v>1.6171495318233E-4</v>
      </c>
      <c r="K469" s="16"/>
      <c r="L469" s="392"/>
    </row>
    <row r="470" spans="1:12">
      <c r="A470" s="1" t="s">
        <v>1226</v>
      </c>
      <c r="B470" s="17" t="s">
        <v>1227</v>
      </c>
      <c r="C470" s="387">
        <v>189.03399999999999</v>
      </c>
      <c r="D470" s="387">
        <v>86.21</v>
      </c>
      <c r="E470" s="387">
        <f t="shared" si="28"/>
        <v>16296.621139999997</v>
      </c>
      <c r="F470" s="15">
        <f t="shared" si="29"/>
        <v>5.3961699113979668E-4</v>
      </c>
      <c r="G470" s="95">
        <v>5.5677995592158681E-3</v>
      </c>
      <c r="H470" s="15">
        <f t="shared" si="30"/>
        <v>3.004479245413553E-6</v>
      </c>
      <c r="I470" s="95">
        <v>9.5000000000000001E-2</v>
      </c>
      <c r="J470" s="15">
        <f t="shared" si="31"/>
        <v>5.1263614158280683E-5</v>
      </c>
      <c r="K470" s="16"/>
      <c r="L470" s="392"/>
    </row>
    <row r="471" spans="1:12">
      <c r="A471" s="1" t="s">
        <v>1228</v>
      </c>
      <c r="B471" s="17" t="s">
        <v>1229</v>
      </c>
      <c r="C471" s="387">
        <v>40.100999999999999</v>
      </c>
      <c r="D471" s="387">
        <v>434.41</v>
      </c>
      <c r="E471" s="387">
        <f t="shared" si="28"/>
        <v>17420.275410000002</v>
      </c>
      <c r="F471" s="15">
        <f t="shared" si="29"/>
        <v>5.7682365692958545E-4</v>
      </c>
      <c r="G471" s="95">
        <v>7.3663129301811655E-3</v>
      </c>
      <c r="H471" s="15">
        <f t="shared" si="30"/>
        <v>4.2490635624747902E-6</v>
      </c>
      <c r="I471" s="95">
        <v>0.15</v>
      </c>
      <c r="J471" s="15">
        <f t="shared" si="31"/>
        <v>8.6523548539437815E-5</v>
      </c>
      <c r="K471" s="16"/>
      <c r="L471" s="392"/>
    </row>
    <row r="472" spans="1:12">
      <c r="A472" s="1" t="s">
        <v>327</v>
      </c>
      <c r="B472" s="17" t="s">
        <v>632</v>
      </c>
      <c r="C472" s="387">
        <v>308.74799999999999</v>
      </c>
      <c r="D472" s="387">
        <v>56.44</v>
      </c>
      <c r="E472" s="387">
        <f t="shared" si="28"/>
        <v>17425.737119999998</v>
      </c>
      <c r="F472" s="15">
        <f t="shared" si="29"/>
        <v>5.7700450616767949E-4</v>
      </c>
      <c r="G472" s="95" t="s">
        <v>719</v>
      </c>
      <c r="H472" s="15" t="str">
        <f t="shared" si="30"/>
        <v/>
      </c>
      <c r="I472" s="95">
        <v>0.01</v>
      </c>
      <c r="J472" s="15">
        <f t="shared" si="31"/>
        <v>5.7700450616767951E-6</v>
      </c>
      <c r="K472" s="16"/>
      <c r="L472" s="392"/>
    </row>
    <row r="473" spans="1:12">
      <c r="A473" s="1" t="s">
        <v>266</v>
      </c>
      <c r="B473" s="17" t="s">
        <v>565</v>
      </c>
      <c r="C473" s="387">
        <v>1382.115</v>
      </c>
      <c r="D473" s="387">
        <v>150.41</v>
      </c>
      <c r="E473" s="387">
        <f t="shared" si="28"/>
        <v>207883.91714999999</v>
      </c>
      <c r="F473" s="15">
        <f t="shared" si="29"/>
        <v>6.8834940025388472E-3</v>
      </c>
      <c r="G473" s="95">
        <v>2.858852469915564E-2</v>
      </c>
      <c r="H473" s="15">
        <f t="shared" si="30"/>
        <v>1.9678893830807155E-4</v>
      </c>
      <c r="I473" s="95">
        <v>6.5000000000000002E-2</v>
      </c>
      <c r="J473" s="15">
        <f t="shared" si="31"/>
        <v>4.4742711016502508E-4</v>
      </c>
      <c r="K473" s="16"/>
      <c r="L473" s="392"/>
    </row>
    <row r="474" spans="1:12">
      <c r="A474" s="1" t="s">
        <v>1230</v>
      </c>
      <c r="B474" s="17" t="s">
        <v>1231</v>
      </c>
      <c r="C474" s="387">
        <v>181.054</v>
      </c>
      <c r="D474" s="387">
        <v>94.67</v>
      </c>
      <c r="E474" s="387">
        <f t="shared" si="28"/>
        <v>17140.382180000001</v>
      </c>
      <c r="F474" s="15" t="str">
        <f t="shared" si="29"/>
        <v/>
      </c>
      <c r="G474" s="95">
        <v>1.9013415020597866E-2</v>
      </c>
      <c r="H474" s="15" t="str">
        <f t="shared" si="30"/>
        <v/>
      </c>
      <c r="I474" s="95" t="s">
        <v>719</v>
      </c>
      <c r="J474" s="15" t="str">
        <f t="shared" si="31"/>
        <v/>
      </c>
      <c r="K474" s="16"/>
      <c r="L474" s="392"/>
    </row>
    <row r="475" spans="1:12">
      <c r="A475" s="1" t="s">
        <v>1232</v>
      </c>
      <c r="B475" s="17" t="s">
        <v>1233</v>
      </c>
      <c r="C475" s="387">
        <v>198.1</v>
      </c>
      <c r="D475" s="387">
        <v>622.27</v>
      </c>
      <c r="E475" s="387">
        <f t="shared" si="28"/>
        <v>123271.68699999999</v>
      </c>
      <c r="F475" s="15" t="str">
        <f t="shared" si="29"/>
        <v/>
      </c>
      <c r="G475" s="95" t="s">
        <v>719</v>
      </c>
      <c r="H475" s="15" t="str">
        <f t="shared" si="30"/>
        <v/>
      </c>
      <c r="I475" s="95">
        <v>0.44500000000000001</v>
      </c>
      <c r="J475" s="15" t="str">
        <f t="shared" si="31"/>
        <v/>
      </c>
      <c r="K475" s="16"/>
      <c r="L475" s="392"/>
    </row>
    <row r="476" spans="1:12">
      <c r="A476" s="1" t="s">
        <v>767</v>
      </c>
      <c r="B476" s="17" t="s">
        <v>768</v>
      </c>
      <c r="C476" s="387">
        <v>245.54300000000001</v>
      </c>
      <c r="D476" s="387">
        <v>82.57</v>
      </c>
      <c r="E476" s="387">
        <f t="shared" si="28"/>
        <v>20274.485509999999</v>
      </c>
      <c r="F476" s="15">
        <f t="shared" si="29"/>
        <v>6.7133283481446914E-4</v>
      </c>
      <c r="G476" s="95">
        <v>1.2232045537120019E-2</v>
      </c>
      <c r="H476" s="15">
        <f t="shared" si="30"/>
        <v>8.2117738060144579E-6</v>
      </c>
      <c r="I476" s="95">
        <v>0.08</v>
      </c>
      <c r="J476" s="15">
        <f t="shared" si="31"/>
        <v>5.3706626785157532E-5</v>
      </c>
      <c r="K476" s="16"/>
      <c r="L476" s="392"/>
    </row>
    <row r="477" spans="1:12">
      <c r="A477" s="1" t="s">
        <v>896</v>
      </c>
      <c r="B477" s="17" t="s">
        <v>897</v>
      </c>
      <c r="C477" s="387">
        <v>378.34</v>
      </c>
      <c r="D477" s="387">
        <v>47.87</v>
      </c>
      <c r="E477" s="387">
        <f t="shared" si="28"/>
        <v>18111.135799999996</v>
      </c>
      <c r="F477" s="15" t="str">
        <f t="shared" si="29"/>
        <v/>
      </c>
      <c r="G477" s="95">
        <v>2.130770837685398E-2</v>
      </c>
      <c r="H477" s="15" t="str">
        <f t="shared" si="30"/>
        <v/>
      </c>
      <c r="I477" s="95">
        <v>-0.01</v>
      </c>
      <c r="J477" s="15" t="str">
        <f t="shared" si="31"/>
        <v/>
      </c>
      <c r="K477" s="16"/>
      <c r="L477" s="392"/>
    </row>
    <row r="478" spans="1:12">
      <c r="A478" s="1" t="s">
        <v>769</v>
      </c>
      <c r="B478" s="17" t="s">
        <v>770</v>
      </c>
      <c r="C478" s="387">
        <v>77.768000000000001</v>
      </c>
      <c r="D478" s="387">
        <v>117.99</v>
      </c>
      <c r="E478" s="387">
        <f t="shared" si="28"/>
        <v>9175.8463200000006</v>
      </c>
      <c r="F478" s="15">
        <f t="shared" si="29"/>
        <v>3.0383246562726296E-4</v>
      </c>
      <c r="G478" s="95">
        <v>3.6274260530553437E-2</v>
      </c>
      <c r="H478" s="15">
        <f t="shared" si="30"/>
        <v>1.1021298015803758E-5</v>
      </c>
      <c r="I478" s="95">
        <v>0.01</v>
      </c>
      <c r="J478" s="15">
        <f t="shared" si="31"/>
        <v>3.0383246562726297E-6</v>
      </c>
      <c r="K478" s="16"/>
      <c r="L478" s="392"/>
    </row>
    <row r="479" spans="1:12">
      <c r="A479" s="1" t="s">
        <v>898</v>
      </c>
      <c r="B479" s="17" t="s">
        <v>899</v>
      </c>
      <c r="C479" s="387">
        <v>481.88</v>
      </c>
      <c r="D479" s="387">
        <v>43.15</v>
      </c>
      <c r="E479" s="387">
        <f t="shared" si="28"/>
        <v>20793.121999999999</v>
      </c>
      <c r="F479" s="15" t="str">
        <f t="shared" si="29"/>
        <v/>
      </c>
      <c r="G479" s="95">
        <v>2.3174971031286211E-4</v>
      </c>
      <c r="H479" s="15" t="str">
        <f t="shared" si="30"/>
        <v/>
      </c>
      <c r="I479" s="95">
        <v>0.25</v>
      </c>
      <c r="J479" s="15" t="str">
        <f t="shared" si="31"/>
        <v/>
      </c>
      <c r="K479" s="16"/>
      <c r="L479" s="392"/>
    </row>
    <row r="480" spans="1:12">
      <c r="A480" s="1" t="s">
        <v>77</v>
      </c>
      <c r="B480" s="17" t="s">
        <v>19</v>
      </c>
      <c r="C480" s="387">
        <v>500.25099999999998</v>
      </c>
      <c r="D480" s="387">
        <v>81.180000000000007</v>
      </c>
      <c r="E480" s="387">
        <f t="shared" si="28"/>
        <v>40610.376179999999</v>
      </c>
      <c r="F480" s="15">
        <f t="shared" si="29"/>
        <v>1.3446989296154719E-3</v>
      </c>
      <c r="G480" s="95">
        <v>3.6462182803646215E-2</v>
      </c>
      <c r="H480" s="15">
        <f t="shared" si="30"/>
        <v>4.9030658187506731E-5</v>
      </c>
      <c r="I480" s="95">
        <v>6.5000000000000002E-2</v>
      </c>
      <c r="J480" s="15">
        <f t="shared" si="31"/>
        <v>8.7405430425005677E-5</v>
      </c>
      <c r="K480" s="16"/>
      <c r="L480" s="392"/>
    </row>
    <row r="481" spans="1:12">
      <c r="A481" s="1" t="s">
        <v>1234</v>
      </c>
      <c r="B481" s="17" t="s">
        <v>1235</v>
      </c>
      <c r="C481" s="387">
        <v>117.38200000000001</v>
      </c>
      <c r="D481" s="387">
        <v>119.79</v>
      </c>
      <c r="E481" s="387">
        <f t="shared" si="28"/>
        <v>14061.189780000001</v>
      </c>
      <c r="F481" s="15" t="str">
        <f t="shared" si="29"/>
        <v/>
      </c>
      <c r="G481" s="95" t="s">
        <v>719</v>
      </c>
      <c r="H481" s="15" t="str">
        <f t="shared" si="30"/>
        <v/>
      </c>
      <c r="I481" s="95" t="s">
        <v>719</v>
      </c>
      <c r="J481" s="15" t="str">
        <f t="shared" si="31"/>
        <v/>
      </c>
      <c r="K481" s="16"/>
      <c r="L481" s="392"/>
    </row>
    <row r="482" spans="1:12">
      <c r="A482" s="1" t="s">
        <v>772</v>
      </c>
      <c r="B482" s="17" t="s">
        <v>773</v>
      </c>
      <c r="C482" s="387">
        <v>105.196</v>
      </c>
      <c r="D482" s="387">
        <v>167.22</v>
      </c>
      <c r="E482" s="387">
        <f t="shared" si="28"/>
        <v>17590.875120000001</v>
      </c>
      <c r="F482" s="15">
        <f t="shared" si="29"/>
        <v>5.8247258877924129E-4</v>
      </c>
      <c r="G482" s="95">
        <v>7.176175098672407E-3</v>
      </c>
      <c r="H482" s="15">
        <f t="shared" si="30"/>
        <v>4.1799252872568445E-6</v>
      </c>
      <c r="I482" s="95">
        <v>0.08</v>
      </c>
      <c r="J482" s="15">
        <f t="shared" si="31"/>
        <v>4.6597807102339302E-5</v>
      </c>
      <c r="K482" s="16"/>
      <c r="L482" s="392"/>
    </row>
    <row r="483" spans="1:12">
      <c r="A483" s="1" t="s">
        <v>219</v>
      </c>
      <c r="B483" s="17" t="s">
        <v>511</v>
      </c>
      <c r="C483" s="387">
        <v>140.803</v>
      </c>
      <c r="D483" s="387">
        <v>569.15</v>
      </c>
      <c r="E483" s="387">
        <f t="shared" si="28"/>
        <v>80138.027449999994</v>
      </c>
      <c r="F483" s="15">
        <f t="shared" si="29"/>
        <v>2.6535464546270622E-3</v>
      </c>
      <c r="G483" s="95">
        <v>1.0542036370025477E-2</v>
      </c>
      <c r="H483" s="15">
        <f t="shared" si="30"/>
        <v>2.7973783234230648E-5</v>
      </c>
      <c r="I483" s="95">
        <v>0.17499999999999999</v>
      </c>
      <c r="J483" s="15">
        <f t="shared" si="31"/>
        <v>4.6437062955973586E-4</v>
      </c>
      <c r="K483" s="16"/>
      <c r="L483" s="392"/>
    </row>
    <row r="484" spans="1:12">
      <c r="A484" s="1" t="s">
        <v>700</v>
      </c>
      <c r="B484" s="17" t="s">
        <v>701</v>
      </c>
      <c r="C484" s="387">
        <v>69.028999999999996</v>
      </c>
      <c r="D484" s="387">
        <v>177.4</v>
      </c>
      <c r="E484" s="387">
        <f t="shared" si="28"/>
        <v>12245.7446</v>
      </c>
      <c r="F484" s="15">
        <f t="shared" si="29"/>
        <v>4.0548355383307472E-4</v>
      </c>
      <c r="G484" s="95" t="s">
        <v>719</v>
      </c>
      <c r="H484" s="15" t="str">
        <f t="shared" si="30"/>
        <v/>
      </c>
      <c r="I484" s="95">
        <v>0.105</v>
      </c>
      <c r="J484" s="15">
        <f t="shared" si="31"/>
        <v>4.2575773152472842E-5</v>
      </c>
      <c r="K484" s="16"/>
      <c r="L484" s="392"/>
    </row>
    <row r="485" spans="1:12">
      <c r="A485" s="1" t="s">
        <v>702</v>
      </c>
      <c r="B485" s="17" t="s">
        <v>563</v>
      </c>
      <c r="C485" s="387">
        <v>165.863</v>
      </c>
      <c r="D485" s="387">
        <v>72.63</v>
      </c>
      <c r="E485" s="387">
        <f t="shared" si="28"/>
        <v>12046.62969</v>
      </c>
      <c r="F485" s="15">
        <f t="shared" si="29"/>
        <v>3.98890420955883E-4</v>
      </c>
      <c r="G485" s="95">
        <v>1.1014732204323283E-2</v>
      </c>
      <c r="H485" s="15">
        <f t="shared" si="30"/>
        <v>4.3936711656988355E-6</v>
      </c>
      <c r="I485" s="95">
        <v>0.11</v>
      </c>
      <c r="J485" s="15">
        <f t="shared" si="31"/>
        <v>4.3877946305147131E-5</v>
      </c>
      <c r="K485" s="16"/>
      <c r="L485" s="392"/>
    </row>
    <row r="486" spans="1:12">
      <c r="A486" s="1" t="s">
        <v>703</v>
      </c>
      <c r="B486" s="17" t="s">
        <v>704</v>
      </c>
      <c r="C486" s="387">
        <v>259.428</v>
      </c>
      <c r="D486" s="387">
        <v>181.39</v>
      </c>
      <c r="E486" s="387">
        <f t="shared" si="28"/>
        <v>47057.644919999999</v>
      </c>
      <c r="F486" s="15">
        <f t="shared" si="29"/>
        <v>1.5581821865839449E-3</v>
      </c>
      <c r="G486" s="95" t="s">
        <v>719</v>
      </c>
      <c r="H486" s="15" t="str">
        <f t="shared" si="30"/>
        <v/>
      </c>
      <c r="I486" s="95">
        <v>0.17</v>
      </c>
      <c r="J486" s="15">
        <f t="shared" si="31"/>
        <v>2.6489097171927063E-4</v>
      </c>
      <c r="K486" s="16"/>
      <c r="L486" s="392"/>
    </row>
    <row r="487" spans="1:12">
      <c r="A487" s="1" t="s">
        <v>1236</v>
      </c>
      <c r="B487" s="17" t="s">
        <v>1237</v>
      </c>
      <c r="C487" s="387">
        <v>1535.0409999999999</v>
      </c>
      <c r="D487" s="387">
        <v>11.59</v>
      </c>
      <c r="E487" s="387">
        <f t="shared" si="28"/>
        <v>17791.125189999999</v>
      </c>
      <c r="F487" s="15">
        <f t="shared" si="29"/>
        <v>5.8910330930226457E-4</v>
      </c>
      <c r="G487" s="95">
        <v>4.0552200172562551E-2</v>
      </c>
      <c r="H487" s="15">
        <f t="shared" si="30"/>
        <v>2.3889435321144462E-5</v>
      </c>
      <c r="I487" s="95">
        <v>0.15</v>
      </c>
      <c r="J487" s="15">
        <f t="shared" si="31"/>
        <v>8.8365496395339681E-5</v>
      </c>
      <c r="K487" s="16"/>
      <c r="L487" s="392"/>
    </row>
    <row r="488" spans="1:12">
      <c r="A488" s="1" t="s">
        <v>705</v>
      </c>
      <c r="B488" s="17" t="s">
        <v>706</v>
      </c>
      <c r="C488" s="387">
        <v>2383.8119999999999</v>
      </c>
      <c r="D488" s="387">
        <v>339.39</v>
      </c>
      <c r="E488" s="387">
        <f t="shared" si="28"/>
        <v>809041.95467999997</v>
      </c>
      <c r="F488" s="15">
        <f t="shared" si="29"/>
        <v>2.6789159638663684E-2</v>
      </c>
      <c r="G488" s="95" t="s">
        <v>719</v>
      </c>
      <c r="H488" s="15" t="str">
        <f t="shared" si="30"/>
        <v/>
      </c>
      <c r="I488" s="95">
        <v>0.185</v>
      </c>
      <c r="J488" s="15">
        <f t="shared" si="31"/>
        <v>4.9559945331527815E-3</v>
      </c>
      <c r="K488" s="16"/>
      <c r="L488" s="392"/>
    </row>
    <row r="489" spans="1:12">
      <c r="A489" s="1" t="s">
        <v>1238</v>
      </c>
      <c r="B489" s="17" t="s">
        <v>1239</v>
      </c>
      <c r="C489" s="387">
        <v>1247.9659999999999</v>
      </c>
      <c r="D489" s="387">
        <v>127.76</v>
      </c>
      <c r="E489" s="387">
        <f t="shared" si="28"/>
        <v>159440.13615999999</v>
      </c>
      <c r="F489" s="15">
        <f t="shared" si="29"/>
        <v>5.2794138001037621E-3</v>
      </c>
      <c r="G489" s="95" t="s">
        <v>719</v>
      </c>
      <c r="H489" s="15" t="str">
        <f t="shared" si="30"/>
        <v/>
      </c>
      <c r="I489" s="95">
        <v>8.5000000000000006E-2</v>
      </c>
      <c r="J489" s="15">
        <f t="shared" si="31"/>
        <v>4.4875017300881982E-4</v>
      </c>
      <c r="K489" s="16"/>
      <c r="L489" s="392"/>
    </row>
    <row r="490" spans="1:12">
      <c r="A490" s="1" t="s">
        <v>707</v>
      </c>
      <c r="B490" s="17" t="s">
        <v>708</v>
      </c>
      <c r="C490" s="387">
        <v>72.39</v>
      </c>
      <c r="D490" s="387">
        <v>350.93</v>
      </c>
      <c r="E490" s="387">
        <f t="shared" si="28"/>
        <v>25403.822700000001</v>
      </c>
      <c r="F490" s="15">
        <f t="shared" si="29"/>
        <v>8.411764776917964E-4</v>
      </c>
      <c r="G490" s="95" t="s">
        <v>719</v>
      </c>
      <c r="H490" s="15" t="str">
        <f t="shared" si="30"/>
        <v/>
      </c>
      <c r="I490" s="95">
        <v>0.105</v>
      </c>
      <c r="J490" s="15">
        <f t="shared" si="31"/>
        <v>8.8323530157638616E-5</v>
      </c>
      <c r="K490" s="16"/>
      <c r="L490" s="392"/>
    </row>
    <row r="491" spans="1:12">
      <c r="A491" s="1" t="s">
        <v>1044</v>
      </c>
      <c r="B491" s="17" t="s">
        <v>1045</v>
      </c>
      <c r="C491" s="387">
        <v>45.38</v>
      </c>
      <c r="D491" s="387">
        <v>325.52</v>
      </c>
      <c r="E491" s="387">
        <f t="shared" si="28"/>
        <v>14772.097599999999</v>
      </c>
      <c r="F491" s="15">
        <f t="shared" si="29"/>
        <v>4.8913666159728936E-4</v>
      </c>
      <c r="G491" s="95" t="s">
        <v>719</v>
      </c>
      <c r="H491" s="15" t="str">
        <f t="shared" si="30"/>
        <v/>
      </c>
      <c r="I491" s="95">
        <v>9.5000000000000001E-2</v>
      </c>
      <c r="J491" s="15">
        <f t="shared" si="31"/>
        <v>4.6467982851742491E-5</v>
      </c>
      <c r="K491" s="16"/>
      <c r="L491" s="392"/>
    </row>
    <row r="492" spans="1:12">
      <c r="A492" s="1" t="s">
        <v>194</v>
      </c>
      <c r="B492" s="17" t="s">
        <v>481</v>
      </c>
      <c r="C492" s="387">
        <v>690.399</v>
      </c>
      <c r="D492" s="387">
        <v>212.28</v>
      </c>
      <c r="E492" s="387">
        <f t="shared" si="28"/>
        <v>146557.89971999999</v>
      </c>
      <c r="F492" s="15">
        <f t="shared" si="29"/>
        <v>4.8528546006730358E-3</v>
      </c>
      <c r="G492" s="95">
        <v>1.7524024872809494E-2</v>
      </c>
      <c r="H492" s="15">
        <f t="shared" si="30"/>
        <v>8.5041544726322264E-5</v>
      </c>
      <c r="I492" s="95">
        <v>9.5000000000000001E-2</v>
      </c>
      <c r="J492" s="15">
        <f t="shared" si="31"/>
        <v>4.6102118706393838E-4</v>
      </c>
      <c r="K492" s="16"/>
      <c r="L492" s="392"/>
    </row>
    <row r="493" spans="1:12">
      <c r="A493" s="1" t="s">
        <v>841</v>
      </c>
      <c r="B493" s="17" t="s">
        <v>842</v>
      </c>
      <c r="C493" s="387">
        <v>152.363</v>
      </c>
      <c r="D493" s="387">
        <v>191.07</v>
      </c>
      <c r="E493" s="387">
        <f t="shared" si="28"/>
        <v>29111.99841</v>
      </c>
      <c r="F493" s="15">
        <f t="shared" si="29"/>
        <v>9.6396233630984115E-4</v>
      </c>
      <c r="G493" s="95">
        <v>2.3446904275919823E-2</v>
      </c>
      <c r="H493" s="15">
        <f t="shared" si="30"/>
        <v>2.2601932625048877E-5</v>
      </c>
      <c r="I493" s="95">
        <v>0.12</v>
      </c>
      <c r="J493" s="15">
        <f t="shared" si="31"/>
        <v>1.1567548035718093E-4</v>
      </c>
      <c r="K493" s="16"/>
      <c r="L493" s="392"/>
    </row>
    <row r="494" spans="1:12">
      <c r="A494" s="1" t="s">
        <v>709</v>
      </c>
      <c r="B494" s="17" t="s">
        <v>710</v>
      </c>
      <c r="C494" s="387">
        <v>639.91499999999996</v>
      </c>
      <c r="D494" s="387">
        <v>42.61</v>
      </c>
      <c r="E494" s="387">
        <f t="shared" si="28"/>
        <v>27266.778149999998</v>
      </c>
      <c r="F494" s="15" t="str">
        <f t="shared" si="29"/>
        <v/>
      </c>
      <c r="G494" s="95" t="s">
        <v>719</v>
      </c>
      <c r="H494" s="15" t="str">
        <f t="shared" si="30"/>
        <v/>
      </c>
      <c r="I494" s="95">
        <v>0.49</v>
      </c>
      <c r="J494" s="15" t="str">
        <f t="shared" si="31"/>
        <v/>
      </c>
      <c r="K494" s="16"/>
      <c r="L494" s="392"/>
    </row>
    <row r="495" spans="1:12">
      <c r="A495" s="1" t="s">
        <v>1241</v>
      </c>
      <c r="B495" s="17" t="s">
        <v>594</v>
      </c>
      <c r="C495" s="387">
        <v>225.97200000000001</v>
      </c>
      <c r="D495" s="387">
        <v>82.52</v>
      </c>
      <c r="E495" s="387">
        <f t="shared" si="28"/>
        <v>18647.209439999999</v>
      </c>
      <c r="F495" s="15">
        <f t="shared" si="29"/>
        <v>6.1745014286847515E-4</v>
      </c>
      <c r="G495" s="95">
        <v>3.2476975278720316E-2</v>
      </c>
      <c r="H495" s="15">
        <f t="shared" si="30"/>
        <v>2.0052913025781794E-5</v>
      </c>
      <c r="I495" s="95">
        <v>0.04</v>
      </c>
      <c r="J495" s="15">
        <f t="shared" si="31"/>
        <v>2.4698005714739008E-5</v>
      </c>
      <c r="K495" s="16"/>
      <c r="L495" s="392"/>
    </row>
    <row r="496" spans="1:12">
      <c r="A496" s="1" t="s">
        <v>1240</v>
      </c>
      <c r="B496" s="17" t="s">
        <v>774</v>
      </c>
      <c r="C496" s="387">
        <v>323.61099999999999</v>
      </c>
      <c r="D496" s="387">
        <v>47.57</v>
      </c>
      <c r="E496" s="387">
        <f t="shared" si="28"/>
        <v>15394.17527</v>
      </c>
      <c r="F496" s="15" t="str">
        <f t="shared" si="29"/>
        <v/>
      </c>
      <c r="G496" s="95" t="s">
        <v>719</v>
      </c>
      <c r="H496" s="15" t="str">
        <f t="shared" si="30"/>
        <v/>
      </c>
      <c r="I496" s="95" t="s">
        <v>719</v>
      </c>
      <c r="J496" s="15" t="str">
        <f t="shared" si="31"/>
        <v/>
      </c>
      <c r="K496" s="16"/>
      <c r="L496" s="392"/>
    </row>
    <row r="497" spans="1:12">
      <c r="A497" s="1" t="s">
        <v>248</v>
      </c>
      <c r="B497" s="17" t="s">
        <v>775</v>
      </c>
      <c r="C497" s="387">
        <v>199.63</v>
      </c>
      <c r="D497" s="387">
        <v>23.23</v>
      </c>
      <c r="E497" s="387">
        <f t="shared" si="28"/>
        <v>4637.4048999999995</v>
      </c>
      <c r="F497" s="15" t="str">
        <f t="shared" si="29"/>
        <v/>
      </c>
      <c r="G497" s="95">
        <v>8.6095566078346966E-3</v>
      </c>
      <c r="H497" s="15" t="str">
        <f t="shared" si="30"/>
        <v/>
      </c>
      <c r="I497" s="95" t="s">
        <v>719</v>
      </c>
      <c r="J497" s="15" t="str">
        <f t="shared" si="31"/>
        <v/>
      </c>
      <c r="K497" s="16"/>
      <c r="L497" s="392"/>
    </row>
    <row r="498" spans="1:12">
      <c r="A498" s="1" t="s">
        <v>776</v>
      </c>
      <c r="B498" s="17" t="s">
        <v>777</v>
      </c>
      <c r="C498" s="387">
        <v>583.04399999999998</v>
      </c>
      <c r="D498" s="387">
        <v>62.31</v>
      </c>
      <c r="E498" s="387">
        <f t="shared" si="28"/>
        <v>36329.471640000003</v>
      </c>
      <c r="F498" s="15">
        <f t="shared" si="29"/>
        <v>1.2029487589889066E-3</v>
      </c>
      <c r="G498" s="95" t="s">
        <v>719</v>
      </c>
      <c r="H498" s="15" t="str">
        <f t="shared" si="30"/>
        <v/>
      </c>
      <c r="I498" s="95">
        <v>9.5000000000000001E-2</v>
      </c>
      <c r="J498" s="15">
        <f t="shared" si="31"/>
        <v>1.1428013210394612E-4</v>
      </c>
      <c r="K498" s="16"/>
      <c r="L498" s="392"/>
    </row>
    <row r="499" spans="1:12">
      <c r="A499" s="1" t="s">
        <v>711</v>
      </c>
      <c r="B499" s="17" t="s">
        <v>712</v>
      </c>
      <c r="C499" s="387">
        <v>62.377000000000002</v>
      </c>
      <c r="D499" s="387">
        <v>341.68</v>
      </c>
      <c r="E499" s="387">
        <f t="shared" si="28"/>
        <v>21312.97336</v>
      </c>
      <c r="F499" s="15">
        <f t="shared" si="29"/>
        <v>7.0571945300594032E-4</v>
      </c>
      <c r="G499" s="95">
        <v>7.1411847342542738E-3</v>
      </c>
      <c r="H499" s="15">
        <f t="shared" si="30"/>
        <v>5.0396729844722976E-6</v>
      </c>
      <c r="I499" s="95">
        <v>7.0000000000000007E-2</v>
      </c>
      <c r="J499" s="15">
        <f t="shared" si="31"/>
        <v>4.9400361710415825E-5</v>
      </c>
      <c r="K499" s="16"/>
      <c r="L499" s="392"/>
    </row>
    <row r="500" spans="1:12">
      <c r="A500" s="1" t="s">
        <v>1242</v>
      </c>
      <c r="B500" s="17" t="s">
        <v>1243</v>
      </c>
      <c r="C500" s="387">
        <v>164.97300000000001</v>
      </c>
      <c r="D500" s="387">
        <v>109.17</v>
      </c>
      <c r="E500" s="387">
        <f t="shared" si="28"/>
        <v>18010.102410000003</v>
      </c>
      <c r="F500" s="15">
        <f t="shared" si="29"/>
        <v>5.963541269760293E-4</v>
      </c>
      <c r="G500" s="95">
        <v>3.6640102592287258E-3</v>
      </c>
      <c r="H500" s="15">
        <f t="shared" si="30"/>
        <v>2.1850476393735618E-6</v>
      </c>
      <c r="I500" s="95">
        <v>0.13500000000000001</v>
      </c>
      <c r="J500" s="15">
        <f t="shared" si="31"/>
        <v>8.0507807141763955E-5</v>
      </c>
      <c r="K500" s="16"/>
      <c r="L500" s="392"/>
    </row>
    <row r="501" spans="1:12">
      <c r="A501" s="1" t="s">
        <v>778</v>
      </c>
      <c r="B501" s="17" t="s">
        <v>779</v>
      </c>
      <c r="C501" s="387">
        <v>1175.0319999999999</v>
      </c>
      <c r="D501" s="387">
        <v>260.20999999999998</v>
      </c>
      <c r="E501" s="387">
        <f t="shared" si="28"/>
        <v>305755.07671999995</v>
      </c>
      <c r="F501" s="15">
        <f t="shared" si="29"/>
        <v>1.0124223488290781E-2</v>
      </c>
      <c r="G501" s="95" t="s">
        <v>719</v>
      </c>
      <c r="H501" s="15" t="str">
        <f t="shared" si="30"/>
        <v/>
      </c>
      <c r="I501" s="95">
        <v>0.16</v>
      </c>
      <c r="J501" s="15">
        <f t="shared" si="31"/>
        <v>1.6198757581265249E-3</v>
      </c>
      <c r="K501" s="16"/>
      <c r="L501" s="392"/>
    </row>
    <row r="502" spans="1:12">
      <c r="A502" s="1" t="s">
        <v>1244</v>
      </c>
      <c r="B502" s="17" t="s">
        <v>1245</v>
      </c>
      <c r="C502" s="387">
        <v>1001.7670000000001</v>
      </c>
      <c r="D502" s="387">
        <v>775.48</v>
      </c>
      <c r="E502" s="387">
        <f t="shared" si="28"/>
        <v>776850.2731600001</v>
      </c>
      <c r="F502" s="15" t="str">
        <f t="shared" si="29"/>
        <v/>
      </c>
      <c r="G502" s="95" t="s">
        <v>719</v>
      </c>
      <c r="H502" s="15" t="str">
        <f t="shared" si="30"/>
        <v/>
      </c>
      <c r="I502" s="95" t="s">
        <v>719</v>
      </c>
      <c r="J502" s="15" t="str">
        <f t="shared" si="31"/>
        <v/>
      </c>
      <c r="K502" s="16"/>
      <c r="L502" s="392"/>
    </row>
    <row r="503" spans="1:12">
      <c r="A503" s="1" t="s">
        <v>845</v>
      </c>
      <c r="B503" s="17" t="s">
        <v>846</v>
      </c>
      <c r="C503" s="387">
        <v>289.45400000000001</v>
      </c>
      <c r="D503" s="387">
        <v>43.46</v>
      </c>
      <c r="E503" s="387">
        <f t="shared" si="28"/>
        <v>12579.670840000001</v>
      </c>
      <c r="F503" s="15">
        <f t="shared" si="29"/>
        <v>4.1654058653595475E-4</v>
      </c>
      <c r="G503" s="95" t="s">
        <v>719</v>
      </c>
      <c r="H503" s="15" t="str">
        <f t="shared" si="30"/>
        <v/>
      </c>
      <c r="I503" s="95">
        <v>2.5000000000000001E-2</v>
      </c>
      <c r="J503" s="15">
        <f t="shared" si="31"/>
        <v>1.041351466339887E-5</v>
      </c>
      <c r="K503" s="16"/>
      <c r="L503" s="392"/>
    </row>
    <row r="504" spans="1:12">
      <c r="A504" s="1" t="s">
        <v>1248</v>
      </c>
      <c r="B504" s="17" t="s">
        <v>1249</v>
      </c>
      <c r="C504" s="387">
        <v>745.22500000000002</v>
      </c>
      <c r="D504" s="387">
        <v>57.56</v>
      </c>
      <c r="E504" s="387">
        <f t="shared" si="28"/>
        <v>42895.151000000005</v>
      </c>
      <c r="F504" s="15" t="str">
        <f t="shared" si="29"/>
        <v/>
      </c>
      <c r="G504" s="95">
        <v>4.8644892286309929E-2</v>
      </c>
      <c r="H504" s="15" t="str">
        <f t="shared" si="30"/>
        <v/>
      </c>
      <c r="I504" s="95" t="s">
        <v>719</v>
      </c>
      <c r="J504" s="15" t="str">
        <f t="shared" si="31"/>
        <v/>
      </c>
      <c r="K504" s="16"/>
      <c r="L504" s="392"/>
    </row>
    <row r="505" spans="1:12">
      <c r="A505" s="1" t="s">
        <v>1246</v>
      </c>
      <c r="B505" s="17" t="s">
        <v>1247</v>
      </c>
      <c r="C505" s="387">
        <v>156.78899999999999</v>
      </c>
      <c r="D505" s="387">
        <v>72.459999999999994</v>
      </c>
      <c r="E505" s="387">
        <f t="shared" si="28"/>
        <v>11360.930939999998</v>
      </c>
      <c r="F505" s="15" t="str">
        <f t="shared" si="29"/>
        <v/>
      </c>
      <c r="G505" s="95" t="s">
        <v>719</v>
      </c>
      <c r="H505" s="15" t="str">
        <f t="shared" si="30"/>
        <v/>
      </c>
      <c r="I505" s="95">
        <v>0.3</v>
      </c>
      <c r="J505" s="15" t="str">
        <f t="shared" si="31"/>
        <v/>
      </c>
      <c r="K505" s="16"/>
      <c r="L505" s="392"/>
    </row>
    <row r="506" spans="1:12">
      <c r="A506" s="1" t="s">
        <v>900</v>
      </c>
      <c r="B506" s="17" t="s">
        <v>901</v>
      </c>
      <c r="C506" s="387">
        <v>39.872999999999998</v>
      </c>
      <c r="D506" s="387">
        <v>250.78</v>
      </c>
      <c r="E506" s="387">
        <f t="shared" si="28"/>
        <v>9999.3509400000003</v>
      </c>
      <c r="F506" s="15">
        <f t="shared" si="29"/>
        <v>3.3110051594374234E-4</v>
      </c>
      <c r="G506" s="95">
        <v>2.472286466225377E-2</v>
      </c>
      <c r="H506" s="15">
        <f t="shared" si="30"/>
        <v>8.1857532452795388E-6</v>
      </c>
      <c r="I506" s="95">
        <v>0.105</v>
      </c>
      <c r="J506" s="15">
        <f t="shared" si="31"/>
        <v>3.4765554174092944E-5</v>
      </c>
      <c r="K506" s="16"/>
      <c r="L506" s="392"/>
    </row>
    <row r="507" spans="1:12">
      <c r="A507" s="1" t="s">
        <v>1250</v>
      </c>
      <c r="B507" s="17" t="s">
        <v>1251</v>
      </c>
      <c r="C507" s="387">
        <v>46.606999999999999</v>
      </c>
      <c r="D507" s="387">
        <v>429.58</v>
      </c>
      <c r="E507" s="387">
        <f t="shared" si="28"/>
        <v>20021.43506</v>
      </c>
      <c r="F507" s="15">
        <f t="shared" si="29"/>
        <v>6.6295377750789604E-4</v>
      </c>
      <c r="G507" s="95" t="s">
        <v>719</v>
      </c>
      <c r="H507" s="15" t="str">
        <f t="shared" si="30"/>
        <v/>
      </c>
      <c r="I507" s="95">
        <v>0.14499999999999999</v>
      </c>
      <c r="J507" s="15">
        <f t="shared" si="31"/>
        <v>9.6128297738644922E-5</v>
      </c>
      <c r="K507" s="16"/>
      <c r="L507" s="392"/>
    </row>
    <row r="508" spans="1:12">
      <c r="A508" s="1" t="s">
        <v>248</v>
      </c>
      <c r="B508" s="17" t="s">
        <v>545</v>
      </c>
      <c r="C508" s="387">
        <v>391.21199999999999</v>
      </c>
      <c r="D508" s="387">
        <v>23.53</v>
      </c>
      <c r="E508" s="387">
        <f t="shared" si="28"/>
        <v>9205.2183600000008</v>
      </c>
      <c r="F508" s="15" t="str">
        <f t="shared" si="29"/>
        <v/>
      </c>
      <c r="G508" s="95">
        <v>8.4997875053123666E-3</v>
      </c>
      <c r="H508" s="15" t="str">
        <f t="shared" si="30"/>
        <v/>
      </c>
      <c r="I508" s="95" t="s">
        <v>719</v>
      </c>
      <c r="J508" s="15" t="str">
        <f t="shared" si="31"/>
        <v/>
      </c>
      <c r="K508" s="16"/>
      <c r="L508" s="392"/>
    </row>
    <row r="509" spans="1:12">
      <c r="A509" s="1" t="s">
        <v>169</v>
      </c>
      <c r="B509" s="17" t="s">
        <v>453</v>
      </c>
      <c r="C509" s="387">
        <v>976.76</v>
      </c>
      <c r="D509" s="387">
        <v>48.34</v>
      </c>
      <c r="E509" s="387">
        <f t="shared" si="28"/>
        <v>47216.578400000006</v>
      </c>
      <c r="F509" s="15">
        <f t="shared" si="29"/>
        <v>1.5634448238835551E-3</v>
      </c>
      <c r="G509" s="95">
        <v>3.1650806785270998E-2</v>
      </c>
      <c r="H509" s="15">
        <f t="shared" si="30"/>
        <v>4.9484290040170445E-5</v>
      </c>
      <c r="I509" s="95">
        <v>5.5E-2</v>
      </c>
      <c r="J509" s="15">
        <f t="shared" si="31"/>
        <v>8.5989465313595536E-5</v>
      </c>
      <c r="K509" s="16"/>
      <c r="L509" s="392"/>
    </row>
    <row r="510" spans="1:12">
      <c r="A510" s="1" t="s">
        <v>847</v>
      </c>
      <c r="B510" s="17" t="s">
        <v>848</v>
      </c>
      <c r="C510" s="387">
        <v>293.74799999999999</v>
      </c>
      <c r="D510" s="387">
        <v>157.58000000000001</v>
      </c>
      <c r="E510" s="387">
        <f t="shared" si="28"/>
        <v>46288.809840000002</v>
      </c>
      <c r="F510" s="15">
        <f t="shared" si="29"/>
        <v>1.5327243650522157E-3</v>
      </c>
      <c r="G510" s="95">
        <v>6.345982992765579E-3</v>
      </c>
      <c r="H510" s="15">
        <f t="shared" si="30"/>
        <v>9.7266427532187824E-6</v>
      </c>
      <c r="I510" s="95">
        <v>0.16500000000000001</v>
      </c>
      <c r="J510" s="15">
        <f t="shared" si="31"/>
        <v>2.5289952023361563E-4</v>
      </c>
      <c r="K510" s="16"/>
      <c r="L510" s="392"/>
    </row>
    <row r="511" spans="1:12">
      <c r="A511" s="1" t="s">
        <v>143</v>
      </c>
      <c r="B511" s="17" t="s">
        <v>421</v>
      </c>
      <c r="C511" s="387">
        <v>432.19600000000003</v>
      </c>
      <c r="D511" s="387">
        <v>173.32</v>
      </c>
      <c r="E511" s="387">
        <f t="shared" si="28"/>
        <v>74908.210720000003</v>
      </c>
      <c r="F511" s="15">
        <f t="shared" si="29"/>
        <v>2.4803757130474882E-3</v>
      </c>
      <c r="G511" s="95">
        <v>3.0694668820678516E-2</v>
      </c>
      <c r="H511" s="15">
        <f t="shared" si="30"/>
        <v>7.6134311062846976E-5</v>
      </c>
      <c r="I511" s="95">
        <v>8.5000000000000006E-2</v>
      </c>
      <c r="J511" s="15">
        <f t="shared" si="31"/>
        <v>2.1083193560903651E-4</v>
      </c>
      <c r="K511" s="16"/>
      <c r="L511" s="392"/>
    </row>
    <row r="512" spans="1:12">
      <c r="A512" s="1" t="s">
        <v>902</v>
      </c>
      <c r="B512" s="17" t="s">
        <v>903</v>
      </c>
      <c r="C512" s="387">
        <v>270.50799999999998</v>
      </c>
      <c r="D512" s="387">
        <v>148.97</v>
      </c>
      <c r="E512" s="387">
        <f t="shared" si="28"/>
        <v>40297.576759999996</v>
      </c>
      <c r="F512" s="15">
        <f t="shared" si="29"/>
        <v>1.3343414524181665E-3</v>
      </c>
      <c r="G512" s="95" t="s">
        <v>719</v>
      </c>
      <c r="H512" s="15" t="str">
        <f t="shared" si="30"/>
        <v/>
      </c>
      <c r="I512" s="95">
        <v>0.155</v>
      </c>
      <c r="J512" s="15">
        <f t="shared" si="31"/>
        <v>2.0682292512481579E-4</v>
      </c>
      <c r="K512" s="16"/>
      <c r="L512" s="392"/>
    </row>
    <row r="513" spans="1:12">
      <c r="A513" s="1" t="s">
        <v>780</v>
      </c>
      <c r="B513" s="17" t="s">
        <v>781</v>
      </c>
      <c r="C513" s="387">
        <v>63.000999999999998</v>
      </c>
      <c r="D513" s="387">
        <v>208.89</v>
      </c>
      <c r="E513" s="387">
        <f t="shared" si="28"/>
        <v>13160.278889999998</v>
      </c>
      <c r="F513" s="15">
        <f t="shared" si="29"/>
        <v>4.3576579685906491E-4</v>
      </c>
      <c r="G513" s="95">
        <v>1.9148834314711094E-2</v>
      </c>
      <c r="H513" s="15">
        <f t="shared" si="30"/>
        <v>8.3444070440722865E-6</v>
      </c>
      <c r="I513" s="95">
        <v>0.11</v>
      </c>
      <c r="J513" s="15">
        <f t="shared" si="31"/>
        <v>4.7934237654497141E-5</v>
      </c>
      <c r="K513" s="16"/>
      <c r="L513" s="392"/>
    </row>
    <row r="514" spans="1:12">
      <c r="A514" s="1" t="s">
        <v>904</v>
      </c>
      <c r="B514" s="17" t="s">
        <v>905</v>
      </c>
      <c r="C514" s="387">
        <v>79.012</v>
      </c>
      <c r="D514" s="387">
        <v>665.43</v>
      </c>
      <c r="E514" s="387">
        <f t="shared" si="28"/>
        <v>52576.955159999998</v>
      </c>
      <c r="F514" s="15">
        <f t="shared" si="29"/>
        <v>1.7409386953896634E-3</v>
      </c>
      <c r="G514" s="95" t="s">
        <v>719</v>
      </c>
      <c r="H514" s="15" t="str">
        <f t="shared" si="30"/>
        <v/>
      </c>
      <c r="I514" s="95">
        <v>0.17</v>
      </c>
      <c r="J514" s="15">
        <f t="shared" si="31"/>
        <v>2.9595957821624278E-4</v>
      </c>
      <c r="K514" s="16"/>
      <c r="L514" s="392"/>
    </row>
    <row r="515" spans="1:12">
      <c r="A515" s="1" t="s">
        <v>782</v>
      </c>
      <c r="B515" s="17" t="s">
        <v>783</v>
      </c>
      <c r="C515" s="387">
        <v>156.5</v>
      </c>
      <c r="D515" s="387">
        <v>405.61</v>
      </c>
      <c r="E515" s="387">
        <f t="shared" si="28"/>
        <v>63477.965000000004</v>
      </c>
      <c r="F515" s="15">
        <f t="shared" si="29"/>
        <v>2.1018951218606612E-3</v>
      </c>
      <c r="G515" s="95" t="s">
        <v>719</v>
      </c>
      <c r="H515" s="15" t="str">
        <f t="shared" si="30"/>
        <v/>
      </c>
      <c r="I515" s="95">
        <v>0.14000000000000001</v>
      </c>
      <c r="J515" s="15">
        <f t="shared" si="31"/>
        <v>2.942653170604926E-4</v>
      </c>
      <c r="K515" s="16"/>
      <c r="L515" s="392"/>
    </row>
    <row r="516" spans="1:12">
      <c r="A516" s="1" t="s">
        <v>849</v>
      </c>
      <c r="B516" s="17" t="s">
        <v>850</v>
      </c>
      <c r="C516" s="387">
        <v>293.875</v>
      </c>
      <c r="D516" s="387">
        <v>50.32</v>
      </c>
      <c r="E516" s="387">
        <f t="shared" si="28"/>
        <v>14787.79</v>
      </c>
      <c r="F516" s="15">
        <f t="shared" si="29"/>
        <v>4.8965627149672917E-4</v>
      </c>
      <c r="G516" s="95" t="s">
        <v>719</v>
      </c>
      <c r="H516" s="15" t="str">
        <f t="shared" si="30"/>
        <v/>
      </c>
      <c r="I516" s="95">
        <v>0.12</v>
      </c>
      <c r="J516" s="15">
        <f t="shared" si="31"/>
        <v>5.8758752579607501E-5</v>
      </c>
      <c r="K516" s="16"/>
      <c r="L516" s="392"/>
    </row>
    <row r="517" spans="1:12">
      <c r="A517" s="1" t="s">
        <v>784</v>
      </c>
      <c r="B517" s="17" t="s">
        <v>663</v>
      </c>
      <c r="C517" s="387">
        <v>358.8</v>
      </c>
      <c r="D517" s="387">
        <v>19.190000000000001</v>
      </c>
      <c r="E517" s="387">
        <f t="shared" si="28"/>
        <v>6885.3720000000003</v>
      </c>
      <c r="F517" s="15" t="str">
        <f t="shared" si="29"/>
        <v/>
      </c>
      <c r="G517" s="95">
        <v>1.2506513809275664E-2</v>
      </c>
      <c r="H517" s="15" t="str">
        <f t="shared" si="30"/>
        <v/>
      </c>
      <c r="I517" s="95" t="s">
        <v>719</v>
      </c>
      <c r="J517" s="15" t="str">
        <f t="shared" si="31"/>
        <v/>
      </c>
      <c r="K517" s="16"/>
      <c r="L517" s="392"/>
    </row>
    <row r="518" spans="1:12">
      <c r="A518" s="1" t="s">
        <v>713</v>
      </c>
      <c r="B518" s="17" t="s">
        <v>714</v>
      </c>
      <c r="C518" s="387">
        <v>192.322</v>
      </c>
      <c r="D518" s="387">
        <v>155.46</v>
      </c>
      <c r="E518" s="387">
        <f t="shared" si="28"/>
        <v>29898.378120000001</v>
      </c>
      <c r="F518" s="15">
        <f t="shared" si="29"/>
        <v>9.9000109915265127E-4</v>
      </c>
      <c r="G518" s="95">
        <v>1.7239161199022256E-2</v>
      </c>
      <c r="H518" s="15">
        <f t="shared" si="30"/>
        <v>1.7066788535501772E-5</v>
      </c>
      <c r="I518" s="95">
        <v>0.1</v>
      </c>
      <c r="J518" s="15">
        <f t="shared" si="31"/>
        <v>9.900010991526513E-5</v>
      </c>
      <c r="K518" s="16"/>
      <c r="L518" s="392"/>
    </row>
    <row r="519" spans="1:12">
      <c r="A519" s="1" t="s">
        <v>715</v>
      </c>
      <c r="B519" s="17" t="s">
        <v>716</v>
      </c>
      <c r="C519" s="387">
        <v>473.94400000000002</v>
      </c>
      <c r="D519" s="387">
        <v>194.14</v>
      </c>
      <c r="E519" s="387">
        <f t="shared" si="28"/>
        <v>92011.488159999994</v>
      </c>
      <c r="F519" s="15">
        <f t="shared" si="29"/>
        <v>3.0467028695492044E-3</v>
      </c>
      <c r="G519" s="95">
        <v>5.1509220150406923E-3</v>
      </c>
      <c r="H519" s="15">
        <f t="shared" si="30"/>
        <v>1.5693328884048647E-5</v>
      </c>
      <c r="I519" s="95">
        <v>0.11</v>
      </c>
      <c r="J519" s="15">
        <f t="shared" si="31"/>
        <v>3.3513731565041249E-4</v>
      </c>
      <c r="K519" s="16"/>
      <c r="L519" s="392"/>
    </row>
    <row r="520" spans="1:12">
      <c r="A520" s="1" t="s">
        <v>785</v>
      </c>
      <c r="B520" s="17" t="s">
        <v>786</v>
      </c>
      <c r="C520" s="387">
        <v>89.75</v>
      </c>
      <c r="D520" s="387">
        <v>790.13</v>
      </c>
      <c r="E520" s="387">
        <f t="shared" si="28"/>
        <v>70914.167499999996</v>
      </c>
      <c r="F520" s="15">
        <f t="shared" si="29"/>
        <v>2.3481241520433085E-3</v>
      </c>
      <c r="G520" s="95">
        <v>1.4529254679609685E-2</v>
      </c>
      <c r="H520" s="15">
        <f t="shared" si="30"/>
        <v>3.4116493824379761E-5</v>
      </c>
      <c r="I520" s="95">
        <v>0.17</v>
      </c>
      <c r="J520" s="15">
        <f t="shared" si="31"/>
        <v>3.9918110584736248E-4</v>
      </c>
      <c r="K520" s="16"/>
      <c r="L520" s="392"/>
    </row>
    <row r="521" spans="1:12">
      <c r="A521" s="1" t="s">
        <v>851</v>
      </c>
      <c r="B521" s="17" t="s">
        <v>852</v>
      </c>
      <c r="C521" s="387">
        <v>289.97399999999999</v>
      </c>
      <c r="D521" s="387">
        <v>144.44999999999999</v>
      </c>
      <c r="E521" s="387">
        <f t="shared" si="28"/>
        <v>41886.744299999998</v>
      </c>
      <c r="F521" s="15">
        <f t="shared" si="29"/>
        <v>1.3869622870675651E-3</v>
      </c>
      <c r="G521" s="95">
        <v>3.2121841467635859E-2</v>
      </c>
      <c r="H521" s="15">
        <f t="shared" si="30"/>
        <v>4.4551782706773981E-5</v>
      </c>
      <c r="I521" s="95">
        <v>0.08</v>
      </c>
      <c r="J521" s="15">
        <f t="shared" si="31"/>
        <v>1.1095698296540521E-4</v>
      </c>
      <c r="K521" s="16"/>
      <c r="L521" s="392"/>
    </row>
    <row r="522" spans="1:12">
      <c r="A522" s="1" t="s">
        <v>1252</v>
      </c>
      <c r="B522" s="17" t="s">
        <v>1253</v>
      </c>
      <c r="C522" s="387">
        <v>763.99</v>
      </c>
      <c r="D522" s="387">
        <v>36.6</v>
      </c>
      <c r="E522" s="387">
        <f t="shared" si="28"/>
        <v>27962.034</v>
      </c>
      <c r="F522" s="15">
        <f t="shared" si="29"/>
        <v>9.2588448388195726E-4</v>
      </c>
      <c r="G522" s="95" t="s">
        <v>719</v>
      </c>
      <c r="H522" s="15" t="str">
        <f t="shared" si="30"/>
        <v/>
      </c>
      <c r="I522" s="95">
        <v>0.17499999999999999</v>
      </c>
      <c r="J522" s="15">
        <f t="shared" si="31"/>
        <v>1.620297846793425E-4</v>
      </c>
      <c r="K522" s="16"/>
      <c r="L522" s="392"/>
    </row>
    <row r="523" spans="1:12">
      <c r="A523" s="1" t="s">
        <v>1019</v>
      </c>
      <c r="B523" s="17" t="s">
        <v>717</v>
      </c>
      <c r="C523" s="387">
        <v>330.14600000000002</v>
      </c>
      <c r="D523" s="387">
        <v>24.27</v>
      </c>
      <c r="E523" s="387">
        <f t="shared" si="28"/>
        <v>8012.6434200000003</v>
      </c>
      <c r="F523" s="15" t="str">
        <f t="shared" si="29"/>
        <v/>
      </c>
      <c r="G523" s="95" t="s">
        <v>719</v>
      </c>
      <c r="H523" s="15" t="str">
        <f t="shared" si="30"/>
        <v/>
      </c>
      <c r="I523" s="95" t="s">
        <v>719</v>
      </c>
      <c r="J523" s="15" t="str">
        <f t="shared" si="31"/>
        <v/>
      </c>
      <c r="K523" s="16"/>
      <c r="L523" s="392"/>
    </row>
    <row r="524" spans="1:12">
      <c r="A524" s="1"/>
      <c r="B524" s="17"/>
      <c r="C524" s="15"/>
      <c r="D524" s="15"/>
      <c r="E524" s="15"/>
      <c r="F524" s="15"/>
      <c r="G524" s="15"/>
      <c r="H524" s="16"/>
    </row>
    <row r="525" spans="1:12">
      <c r="A525" s="1"/>
      <c r="B525" s="17"/>
      <c r="C525" s="15"/>
      <c r="D525" s="15"/>
      <c r="E525" s="15"/>
      <c r="F525" s="15"/>
      <c r="G525" s="15"/>
      <c r="H525" s="16"/>
    </row>
    <row r="526" spans="1:12">
      <c r="A526" s="1"/>
      <c r="B526" s="17"/>
      <c r="C526" s="15"/>
      <c r="D526" s="15"/>
      <c r="E526" s="15"/>
      <c r="F526" s="15"/>
      <c r="G526" s="15"/>
      <c r="H526" s="16"/>
    </row>
    <row r="527" spans="1:12">
      <c r="A527" s="31" t="s">
        <v>22</v>
      </c>
      <c r="B527" s="17"/>
      <c r="C527" s="15"/>
      <c r="D527" s="15"/>
      <c r="E527" s="15"/>
      <c r="F527" s="15"/>
      <c r="G527" s="15"/>
      <c r="H527" s="16"/>
    </row>
    <row r="528" spans="1:12">
      <c r="A528" s="16" t="s">
        <v>1682</v>
      </c>
      <c r="B528" s="16"/>
      <c r="E528" s="10"/>
      <c r="H528" s="16"/>
    </row>
    <row r="529" spans="1:8">
      <c r="A529" s="16" t="s">
        <v>1683</v>
      </c>
      <c r="B529" s="16"/>
      <c r="H529" s="16"/>
    </row>
    <row r="530" spans="1:8">
      <c r="A530" s="16" t="s">
        <v>1299</v>
      </c>
      <c r="B530" s="16"/>
      <c r="H530" s="16"/>
    </row>
    <row r="531" spans="1:8">
      <c r="A531" s="390" t="s">
        <v>1684</v>
      </c>
      <c r="B531" s="16"/>
      <c r="H531" s="16"/>
    </row>
    <row r="532" spans="1:8">
      <c r="A532" s="390" t="s">
        <v>1685</v>
      </c>
      <c r="B532" s="16"/>
      <c r="H532" s="16"/>
    </row>
    <row r="533" spans="1:8">
      <c r="A533" s="390" t="s">
        <v>1300</v>
      </c>
      <c r="B533" s="16"/>
      <c r="H533" s="16"/>
    </row>
    <row r="534" spans="1:8" ht="13.15">
      <c r="A534" s="390" t="s">
        <v>1691</v>
      </c>
      <c r="B534" s="16"/>
      <c r="H534" s="16"/>
    </row>
    <row r="535" spans="1:8">
      <c r="A535" s="16" t="s">
        <v>1686</v>
      </c>
      <c r="B535" s="16"/>
      <c r="H535" s="16"/>
    </row>
    <row r="536" spans="1:8">
      <c r="A536" s="16" t="s">
        <v>1687</v>
      </c>
      <c r="B536" s="16"/>
      <c r="H536" s="16"/>
    </row>
    <row r="537" spans="1:8">
      <c r="A537" s="16" t="s">
        <v>1689</v>
      </c>
      <c r="B537" s="16"/>
      <c r="H537" s="16"/>
    </row>
    <row r="538" spans="1:8">
      <c r="A538" s="16" t="s">
        <v>1690</v>
      </c>
      <c r="B538" s="16"/>
      <c r="H538" s="16"/>
    </row>
    <row r="539" spans="1:8">
      <c r="A539" s="16"/>
      <c r="B539" s="16"/>
      <c r="H539" s="16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  <headerFooter>
    <oddHeader>&amp;LDRAFT- PRIVILEGED AND CONFIDENTIAL
PREPARED AT THE REQUEST OF COUNSEL
&amp;RSchedule AEB-6
Page &amp;P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CA55-8E2D-4951-B924-BA872A6A7718}">
  <sheetPr codeName="Sheet8"/>
  <dimension ref="B2:R135"/>
  <sheetViews>
    <sheetView zoomScale="85" zoomScaleNormal="85" zoomScaleSheetLayoutView="100" workbookViewId="0">
      <selection activeCell="J67" sqref="J67"/>
    </sheetView>
  </sheetViews>
  <sheetFormatPr defaultColWidth="9.1328125" defaultRowHeight="12.75"/>
  <cols>
    <col min="1" max="1" width="2.3984375" style="73" customWidth="1"/>
    <col min="2" max="2" width="9.86328125" style="73" customWidth="1"/>
    <col min="3" max="4" width="12.86328125" style="73" customWidth="1"/>
    <col min="5" max="5" width="12" style="73" bestFit="1" customWidth="1"/>
    <col min="6" max="6" width="7" style="73" bestFit="1" customWidth="1"/>
    <col min="7" max="7" width="40.265625" style="73" customWidth="1"/>
    <col min="8" max="8" width="12.73046875" style="73" bestFit="1" customWidth="1"/>
    <col min="9" max="9" width="14" style="73" bestFit="1" customWidth="1"/>
    <col min="10" max="10" width="12.3984375" style="73" bestFit="1" customWidth="1"/>
    <col min="11" max="11" width="13.86328125" style="73" bestFit="1" customWidth="1"/>
    <col min="12" max="12" width="14" style="73" bestFit="1" customWidth="1"/>
    <col min="13" max="13" width="11.1328125" style="73" bestFit="1" customWidth="1"/>
    <col min="14" max="14" width="12.3984375" style="73" bestFit="1" customWidth="1"/>
    <col min="15" max="15" width="12.59765625" style="73" bestFit="1" customWidth="1"/>
    <col min="16" max="16" width="3.265625" style="73" customWidth="1"/>
    <col min="17" max="16384" width="9.1328125" style="73"/>
  </cols>
  <sheetData>
    <row r="2" spans="2:18">
      <c r="B2" s="74" t="s">
        <v>1301</v>
      </c>
      <c r="C2" s="74"/>
      <c r="D2" s="74"/>
      <c r="E2" s="74"/>
    </row>
    <row r="4" spans="2:18" ht="13.15" thickBot="1">
      <c r="C4" s="75" t="s">
        <v>0</v>
      </c>
      <c r="D4" s="75" t="s">
        <v>1</v>
      </c>
      <c r="E4" s="75" t="s">
        <v>2</v>
      </c>
    </row>
    <row r="5" spans="2:18" ht="38.25">
      <c r="B5" s="129"/>
      <c r="C5" s="130" t="s">
        <v>1280</v>
      </c>
      <c r="D5" s="130" t="s">
        <v>1051</v>
      </c>
      <c r="E5" s="130" t="s">
        <v>39</v>
      </c>
    </row>
    <row r="6" spans="2:18">
      <c r="B6" s="78" t="s">
        <v>1055</v>
      </c>
      <c r="C6" s="131">
        <v>0.12380999999999998</v>
      </c>
      <c r="D6" s="131">
        <v>7.8020624999999968E-2</v>
      </c>
      <c r="E6" s="131">
        <f>C6-D6</f>
        <v>4.5789375000000007E-2</v>
      </c>
      <c r="Q6" s="76"/>
      <c r="R6" s="77"/>
    </row>
    <row r="7" spans="2:18">
      <c r="B7" s="78" t="s">
        <v>1056</v>
      </c>
      <c r="C7" s="131">
        <v>0.11827500000000002</v>
      </c>
      <c r="D7" s="131">
        <v>7.8934374999999987E-2</v>
      </c>
      <c r="E7" s="131">
        <f t="shared" ref="E7:E70" si="0">C7-D7</f>
        <v>3.9340625000000032E-2</v>
      </c>
      <c r="Q7" s="76"/>
      <c r="R7" s="77"/>
    </row>
    <row r="8" spans="2:18">
      <c r="B8" s="78" t="s">
        <v>1058</v>
      </c>
      <c r="C8" s="131">
        <v>0.1203125</v>
      </c>
      <c r="D8" s="131">
        <v>7.4454461538461553E-2</v>
      </c>
      <c r="E8" s="131">
        <f t="shared" si="0"/>
        <v>4.585803846153845E-2</v>
      </c>
      <c r="Q8" s="76"/>
      <c r="R8" s="77"/>
    </row>
    <row r="9" spans="2:18">
      <c r="B9" s="78" t="s">
        <v>1059</v>
      </c>
      <c r="C9" s="131">
        <v>0.12140666666666666</v>
      </c>
      <c r="D9" s="131">
        <v>7.5184696969696943E-2</v>
      </c>
      <c r="E9" s="131">
        <f t="shared" si="0"/>
        <v>4.622196969696972E-2</v>
      </c>
      <c r="Q9" s="76"/>
      <c r="R9" s="77"/>
    </row>
    <row r="10" spans="2:18">
      <c r="B10" s="78" t="s">
        <v>1057</v>
      </c>
      <c r="C10" s="131">
        <v>0.11835714285714286</v>
      </c>
      <c r="D10" s="131">
        <v>7.0683968253968263E-2</v>
      </c>
      <c r="E10" s="131">
        <f t="shared" si="0"/>
        <v>4.7673174603174592E-2</v>
      </c>
      <c r="Q10" s="76"/>
      <c r="R10" s="77"/>
    </row>
    <row r="11" spans="2:18">
      <c r="B11" s="75" t="s">
        <v>906</v>
      </c>
      <c r="C11" s="131">
        <v>0.11641111111111109</v>
      </c>
      <c r="D11" s="131">
        <v>6.8553230769230741E-2</v>
      </c>
      <c r="E11" s="131">
        <f t="shared" si="0"/>
        <v>4.7857880341880349E-2</v>
      </c>
      <c r="Q11" s="76"/>
      <c r="R11" s="77"/>
    </row>
    <row r="12" spans="2:18">
      <c r="B12" s="75" t="s">
        <v>907</v>
      </c>
      <c r="C12" s="131">
        <v>0.11151666666666667</v>
      </c>
      <c r="D12" s="131">
        <v>6.3142727272727309E-2</v>
      </c>
      <c r="E12" s="131">
        <f t="shared" si="0"/>
        <v>4.8373939393939358E-2</v>
      </c>
      <c r="Q12" s="76"/>
      <c r="R12" s="77"/>
    </row>
    <row r="13" spans="2:18">
      <c r="B13" s="75" t="s">
        <v>908</v>
      </c>
      <c r="C13" s="131">
        <v>0.11041666666666666</v>
      </c>
      <c r="D13" s="131">
        <v>6.1389999999999986E-2</v>
      </c>
      <c r="E13" s="131">
        <f t="shared" si="0"/>
        <v>4.9026666666666677E-2</v>
      </c>
      <c r="Q13" s="76"/>
      <c r="R13" s="77"/>
    </row>
    <row r="14" spans="2:18">
      <c r="B14" s="75" t="s">
        <v>909</v>
      </c>
      <c r="C14" s="131">
        <v>0.11067</v>
      </c>
      <c r="D14" s="131">
        <v>6.5745156249999992E-2</v>
      </c>
      <c r="E14" s="131">
        <f t="shared" si="0"/>
        <v>4.4924843750000013E-2</v>
      </c>
      <c r="Q14" s="76"/>
      <c r="R14" s="77"/>
    </row>
    <row r="15" spans="2:18">
      <c r="B15" s="75" t="s">
        <v>910</v>
      </c>
      <c r="C15" s="131">
        <v>0.1113</v>
      </c>
      <c r="D15" s="131">
        <v>7.3526307692307669E-2</v>
      </c>
      <c r="E15" s="131">
        <f t="shared" si="0"/>
        <v>3.7773692307692328E-2</v>
      </c>
      <c r="Q15" s="76"/>
      <c r="R15" s="77"/>
    </row>
    <row r="16" spans="2:18">
      <c r="B16" s="75" t="s">
        <v>1052</v>
      </c>
      <c r="C16" s="131">
        <v>0.1275</v>
      </c>
      <c r="D16" s="131">
        <v>7.5847727272727289E-2</v>
      </c>
      <c r="E16" s="131">
        <f t="shared" si="0"/>
        <v>5.1652272727272713E-2</v>
      </c>
      <c r="Q16" s="76"/>
      <c r="R16" s="77"/>
    </row>
    <row r="17" spans="2:18">
      <c r="B17" s="75" t="s">
        <v>911</v>
      </c>
      <c r="C17" s="131">
        <v>0.11238333333333335</v>
      </c>
      <c r="D17" s="131">
        <v>7.9568461538461532E-2</v>
      </c>
      <c r="E17" s="131">
        <f t="shared" si="0"/>
        <v>3.2814871794871817E-2</v>
      </c>
      <c r="Q17" s="76"/>
      <c r="R17" s="77"/>
    </row>
    <row r="18" spans="2:18">
      <c r="B18" s="75">
        <v>1995.1</v>
      </c>
      <c r="C18" s="131">
        <v>0.1196125</v>
      </c>
      <c r="D18" s="131">
        <v>7.6257230769230799E-2</v>
      </c>
      <c r="E18" s="131">
        <f t="shared" si="0"/>
        <v>4.3355269230769197E-2</v>
      </c>
      <c r="Q18" s="76"/>
      <c r="R18" s="77"/>
    </row>
    <row r="19" spans="2:18">
      <c r="B19" s="75" t="s">
        <v>912</v>
      </c>
      <c r="C19" s="131">
        <v>0.1131625</v>
      </c>
      <c r="D19" s="131">
        <v>6.9425846153846171E-2</v>
      </c>
      <c r="E19" s="131">
        <f t="shared" si="0"/>
        <v>4.3736653846153828E-2</v>
      </c>
      <c r="Q19" s="76"/>
      <c r="R19" s="77"/>
    </row>
    <row r="20" spans="2:18">
      <c r="B20" s="75" t="s">
        <v>913</v>
      </c>
      <c r="C20" s="131">
        <v>0.1137</v>
      </c>
      <c r="D20" s="131">
        <v>6.7118615384615374E-2</v>
      </c>
      <c r="E20" s="131">
        <f t="shared" si="0"/>
        <v>4.6581384615384622E-2</v>
      </c>
      <c r="Q20" s="76"/>
      <c r="R20" s="77"/>
    </row>
    <row r="21" spans="2:18">
      <c r="B21" s="75" t="s">
        <v>914</v>
      </c>
      <c r="C21" s="131">
        <v>0.11584285714285714</v>
      </c>
      <c r="D21" s="131">
        <v>6.2348153846153817E-2</v>
      </c>
      <c r="E21" s="131">
        <f t="shared" si="0"/>
        <v>5.3494703296703319E-2</v>
      </c>
      <c r="Q21" s="76"/>
      <c r="R21" s="77"/>
    </row>
    <row r="22" spans="2:18">
      <c r="B22" s="75" t="s">
        <v>915</v>
      </c>
      <c r="C22" s="131">
        <v>0.11460000000000001</v>
      </c>
      <c r="D22" s="131">
        <v>6.2925692307692321E-2</v>
      </c>
      <c r="E22" s="131">
        <f t="shared" si="0"/>
        <v>5.1674307692307686E-2</v>
      </c>
      <c r="Q22" s="76"/>
      <c r="R22" s="77"/>
    </row>
    <row r="23" spans="2:18">
      <c r="B23" s="75" t="s">
        <v>916</v>
      </c>
      <c r="C23" s="131">
        <v>0.11458888888888891</v>
      </c>
      <c r="D23" s="131">
        <v>6.9183230769230789E-2</v>
      </c>
      <c r="E23" s="131">
        <f t="shared" si="0"/>
        <v>4.5405658119658118E-2</v>
      </c>
      <c r="Q23" s="76"/>
      <c r="R23" s="77"/>
    </row>
    <row r="24" spans="2:18">
      <c r="B24" s="75" t="s">
        <v>917</v>
      </c>
      <c r="C24" s="131">
        <v>0.10700000000000001</v>
      </c>
      <c r="D24" s="131">
        <v>6.9644696969696968E-2</v>
      </c>
      <c r="E24" s="131">
        <f t="shared" si="0"/>
        <v>3.7355303030303044E-2</v>
      </c>
      <c r="G24" t="s">
        <v>40</v>
      </c>
      <c r="H24"/>
      <c r="I24"/>
      <c r="J24"/>
      <c r="K24"/>
      <c r="L24"/>
      <c r="M24"/>
      <c r="N24"/>
      <c r="O24"/>
      <c r="P24" s="126"/>
      <c r="Q24" s="76"/>
      <c r="R24" s="77"/>
    </row>
    <row r="25" spans="2:18" ht="13.15" thickBot="1">
      <c r="B25" s="75" t="s">
        <v>918</v>
      </c>
      <c r="C25" s="131">
        <v>0.11559999999999999</v>
      </c>
      <c r="D25" s="131">
        <v>6.6189999999999999E-2</v>
      </c>
      <c r="E25" s="131">
        <f t="shared" si="0"/>
        <v>4.9409999999999996E-2</v>
      </c>
      <c r="G25"/>
      <c r="H25"/>
      <c r="I25"/>
      <c r="J25"/>
      <c r="K25"/>
      <c r="L25"/>
      <c r="M25"/>
      <c r="N25"/>
      <c r="O25"/>
      <c r="P25" s="126"/>
      <c r="Q25" s="76"/>
      <c r="R25" s="77"/>
    </row>
    <row r="26" spans="2:18">
      <c r="B26" s="75" t="s">
        <v>919</v>
      </c>
      <c r="C26" s="131">
        <v>0.1108</v>
      </c>
      <c r="D26" s="131">
        <v>6.8133281250000011E-2</v>
      </c>
      <c r="E26" s="131">
        <f t="shared" si="0"/>
        <v>4.2666718749999985E-2</v>
      </c>
      <c r="G26" s="178" t="s">
        <v>41</v>
      </c>
      <c r="H26" s="178"/>
      <c r="I26"/>
      <c r="J26"/>
      <c r="K26"/>
      <c r="L26"/>
      <c r="M26"/>
      <c r="N26"/>
      <c r="O26"/>
      <c r="P26" s="126"/>
      <c r="Q26" s="76"/>
      <c r="R26" s="77"/>
    </row>
    <row r="27" spans="2:18">
      <c r="B27" s="75" t="s">
        <v>920</v>
      </c>
      <c r="C27" s="131">
        <v>0.11616666666666665</v>
      </c>
      <c r="D27" s="131">
        <v>6.9324153846153841E-2</v>
      </c>
      <c r="E27" s="131">
        <f t="shared" si="0"/>
        <v>4.6842512820512813E-2</v>
      </c>
      <c r="G27" t="s">
        <v>42</v>
      </c>
      <c r="H27" s="182">
        <v>0.91320107683155716</v>
      </c>
      <c r="I27"/>
      <c r="J27"/>
      <c r="K27"/>
      <c r="L27"/>
      <c r="M27"/>
      <c r="N27"/>
      <c r="O27"/>
      <c r="P27" s="126"/>
      <c r="Q27" s="76"/>
      <c r="R27" s="77"/>
    </row>
    <row r="28" spans="2:18">
      <c r="B28" s="75" t="s">
        <v>921</v>
      </c>
      <c r="C28" s="131">
        <v>0.12</v>
      </c>
      <c r="D28" s="131">
        <v>6.5281666666666668E-2</v>
      </c>
      <c r="E28" s="131">
        <f t="shared" si="0"/>
        <v>5.4718333333333327E-2</v>
      </c>
      <c r="G28" t="s">
        <v>43</v>
      </c>
      <c r="H28" s="182">
        <v>0.83393620672631552</v>
      </c>
      <c r="I28"/>
      <c r="J28"/>
      <c r="K28"/>
      <c r="L28"/>
      <c r="M28"/>
      <c r="N28"/>
      <c r="O28"/>
      <c r="P28" s="126"/>
      <c r="Q28" s="76"/>
      <c r="R28" s="77"/>
    </row>
    <row r="29" spans="2:18">
      <c r="B29" s="78" t="s">
        <v>922</v>
      </c>
      <c r="C29" s="131">
        <v>0.1106</v>
      </c>
      <c r="D29" s="131">
        <v>6.1372272727272741E-2</v>
      </c>
      <c r="E29" s="131">
        <f t="shared" si="0"/>
        <v>4.9227727272727263E-2</v>
      </c>
      <c r="G29" t="s">
        <v>44</v>
      </c>
      <c r="H29" s="182">
        <v>0.83251685806585674</v>
      </c>
      <c r="I29"/>
      <c r="J29"/>
      <c r="K29"/>
      <c r="L29"/>
      <c r="M29"/>
      <c r="N29"/>
      <c r="O29"/>
      <c r="P29" s="126"/>
      <c r="Q29" s="76"/>
      <c r="R29" s="77"/>
    </row>
    <row r="30" spans="2:18">
      <c r="B30" s="78">
        <v>1998.1</v>
      </c>
      <c r="C30" s="131">
        <v>0.113125</v>
      </c>
      <c r="D30" s="131">
        <v>5.8820156250000019E-2</v>
      </c>
      <c r="E30" s="131">
        <f t="shared" si="0"/>
        <v>5.4304843749999984E-2</v>
      </c>
      <c r="G30" t="s">
        <v>45</v>
      </c>
      <c r="H30" s="182">
        <v>4.2166728838183521E-3</v>
      </c>
      <c r="I30"/>
      <c r="J30"/>
      <c r="K30"/>
      <c r="L30"/>
      <c r="M30"/>
      <c r="N30"/>
      <c r="O30"/>
      <c r="P30" s="126"/>
      <c r="Q30" s="76"/>
      <c r="R30" s="77"/>
    </row>
    <row r="31" spans="2:18" ht="13.15" thickBot="1">
      <c r="B31" s="75" t="s">
        <v>923</v>
      </c>
      <c r="C31" s="131">
        <v>0.122</v>
      </c>
      <c r="D31" s="131">
        <v>5.8462461538461553E-2</v>
      </c>
      <c r="E31" s="131">
        <f t="shared" si="0"/>
        <v>6.3537538461538451E-2</v>
      </c>
      <c r="G31" s="114" t="s">
        <v>46</v>
      </c>
      <c r="H31" s="114">
        <v>119</v>
      </c>
      <c r="I31"/>
      <c r="J31"/>
      <c r="K31"/>
      <c r="L31"/>
      <c r="M31"/>
      <c r="N31"/>
      <c r="O31"/>
      <c r="P31" s="126"/>
      <c r="Q31" s="76"/>
      <c r="R31" s="77"/>
    </row>
    <row r="32" spans="2:18">
      <c r="B32" s="75" t="s">
        <v>924</v>
      </c>
      <c r="C32" s="131">
        <v>0.11650000000000001</v>
      </c>
      <c r="D32" s="131">
        <v>5.4731969696969689E-2</v>
      </c>
      <c r="E32" s="131">
        <f t="shared" si="0"/>
        <v>6.1768030303030318E-2</v>
      </c>
      <c r="G32"/>
      <c r="H32"/>
      <c r="I32"/>
      <c r="J32"/>
      <c r="K32"/>
      <c r="L32"/>
      <c r="M32"/>
      <c r="N32"/>
      <c r="O32"/>
      <c r="P32" s="126"/>
      <c r="Q32" s="76"/>
      <c r="R32" s="77"/>
    </row>
    <row r="33" spans="2:18" ht="13.15" thickBot="1">
      <c r="B33" s="75" t="s">
        <v>925</v>
      </c>
      <c r="C33" s="131">
        <v>0.123</v>
      </c>
      <c r="D33" s="131">
        <v>5.1047272727272747E-2</v>
      </c>
      <c r="E33" s="131">
        <f t="shared" si="0"/>
        <v>7.1952727272727252E-2</v>
      </c>
      <c r="G33" t="s">
        <v>47</v>
      </c>
      <c r="H33"/>
      <c r="I33"/>
      <c r="J33"/>
      <c r="K33"/>
      <c r="L33"/>
      <c r="M33"/>
      <c r="N33"/>
      <c r="O33"/>
      <c r="P33" s="126"/>
      <c r="Q33" s="76"/>
      <c r="R33" s="77"/>
    </row>
    <row r="34" spans="2:18">
      <c r="B34" s="78" t="s">
        <v>926</v>
      </c>
      <c r="C34" s="131">
        <v>0.10400000000000001</v>
      </c>
      <c r="D34" s="131">
        <v>5.3729687500000019E-2</v>
      </c>
      <c r="E34" s="131">
        <f t="shared" si="0"/>
        <v>5.027031249999999E-2</v>
      </c>
      <c r="G34" s="180"/>
      <c r="H34" s="180" t="s">
        <v>48</v>
      </c>
      <c r="I34" s="180" t="s">
        <v>49</v>
      </c>
      <c r="J34" s="180" t="s">
        <v>38</v>
      </c>
      <c r="K34" s="180" t="s">
        <v>37</v>
      </c>
      <c r="L34" s="180" t="s">
        <v>655</v>
      </c>
      <c r="M34"/>
      <c r="N34"/>
      <c r="O34"/>
      <c r="P34" s="126"/>
      <c r="Q34" s="76"/>
      <c r="R34" s="77"/>
    </row>
    <row r="35" spans="2:18">
      <c r="B35" s="78" t="s">
        <v>927</v>
      </c>
      <c r="C35" s="131">
        <v>0.1094</v>
      </c>
      <c r="D35" s="131">
        <v>5.794030769230768E-2</v>
      </c>
      <c r="E35" s="131">
        <f t="shared" si="0"/>
        <v>5.1459692307692317E-2</v>
      </c>
      <c r="G35" t="s">
        <v>50</v>
      </c>
      <c r="H35">
        <v>1</v>
      </c>
      <c r="I35" s="179">
        <v>1.0446806723408546E-2</v>
      </c>
      <c r="J35" s="179">
        <v>1.0446806723408546E-2</v>
      </c>
      <c r="K35" s="179">
        <v>587.54852134550504</v>
      </c>
      <c r="L35" s="179">
        <v>1.9575540874142305E-47</v>
      </c>
      <c r="M35"/>
      <c r="N35"/>
      <c r="O35"/>
      <c r="P35" s="126"/>
      <c r="Q35" s="76"/>
      <c r="R35" s="77"/>
    </row>
    <row r="36" spans="2:18">
      <c r="B36" s="78">
        <v>1999.3</v>
      </c>
      <c r="C36" s="131">
        <v>0.1075</v>
      </c>
      <c r="D36" s="131">
        <v>6.0375606060606074E-2</v>
      </c>
      <c r="E36" s="131">
        <f t="shared" si="0"/>
        <v>4.7124393939393924E-2</v>
      </c>
      <c r="G36" t="s">
        <v>51</v>
      </c>
      <c r="H36">
        <v>117</v>
      </c>
      <c r="I36" s="179">
        <v>2.0802986344680909E-3</v>
      </c>
      <c r="J36" s="179">
        <v>1.7780330209128981E-5</v>
      </c>
      <c r="K36" s="179"/>
      <c r="L36" s="179"/>
      <c r="M36"/>
      <c r="N36"/>
      <c r="O36"/>
      <c r="P36" s="126"/>
      <c r="Q36" s="76"/>
      <c r="R36" s="77"/>
    </row>
    <row r="37" spans="2:18" ht="13.15" thickBot="1">
      <c r="B37" s="78" t="s">
        <v>928</v>
      </c>
      <c r="C37" s="131">
        <v>0.111</v>
      </c>
      <c r="D37" s="131">
        <v>6.2528484848484861E-2</v>
      </c>
      <c r="E37" s="131">
        <f t="shared" si="0"/>
        <v>4.847151515151514E-2</v>
      </c>
      <c r="G37" s="114" t="s">
        <v>52</v>
      </c>
      <c r="H37" s="114">
        <v>118</v>
      </c>
      <c r="I37" s="197">
        <v>1.2527105357876636E-2</v>
      </c>
      <c r="J37" s="197"/>
      <c r="K37" s="197"/>
      <c r="L37" s="197"/>
      <c r="M37"/>
      <c r="N37"/>
      <c r="O37"/>
      <c r="P37" s="126"/>
      <c r="Q37" s="76"/>
      <c r="R37" s="77"/>
    </row>
    <row r="38" spans="2:18" ht="13.15" thickBot="1">
      <c r="B38" s="75" t="s">
        <v>929</v>
      </c>
      <c r="C38" s="131">
        <v>0.112125</v>
      </c>
      <c r="D38" s="131">
        <v>6.2912615384615386E-2</v>
      </c>
      <c r="E38" s="131">
        <f t="shared" si="0"/>
        <v>4.9212384615384616E-2</v>
      </c>
      <c r="G38"/>
      <c r="H38"/>
      <c r="I38"/>
      <c r="J38"/>
      <c r="K38"/>
      <c r="L38"/>
      <c r="M38"/>
      <c r="N38"/>
      <c r="O38"/>
      <c r="P38" s="126"/>
      <c r="Q38" s="76"/>
      <c r="R38" s="77"/>
    </row>
    <row r="39" spans="2:18">
      <c r="B39" s="78" t="s">
        <v>930</v>
      </c>
      <c r="C39" s="131">
        <v>0.11</v>
      </c>
      <c r="D39" s="131">
        <v>5.9723230769230765E-2</v>
      </c>
      <c r="E39" s="131">
        <f t="shared" si="0"/>
        <v>5.0276769230769236E-2</v>
      </c>
      <c r="G39" s="180"/>
      <c r="H39" s="180" t="s">
        <v>53</v>
      </c>
      <c r="I39" s="180" t="s">
        <v>45</v>
      </c>
      <c r="J39" s="180" t="s">
        <v>54</v>
      </c>
      <c r="K39" s="180" t="s">
        <v>55</v>
      </c>
      <c r="L39" s="180" t="s">
        <v>56</v>
      </c>
      <c r="M39" s="180" t="s">
        <v>57</v>
      </c>
      <c r="N39" s="180" t="s">
        <v>58</v>
      </c>
      <c r="O39" s="180" t="s">
        <v>59</v>
      </c>
      <c r="P39" s="126"/>
      <c r="Q39" s="76"/>
      <c r="R39" s="77"/>
    </row>
    <row r="40" spans="2:18">
      <c r="B40" s="75" t="s">
        <v>931</v>
      </c>
      <c r="C40" s="131">
        <v>0.1168</v>
      </c>
      <c r="D40" s="131">
        <v>5.7871875000000017E-2</v>
      </c>
      <c r="E40" s="131">
        <f t="shared" si="0"/>
        <v>5.8928124999999984E-2</v>
      </c>
      <c r="G40" t="s">
        <v>60</v>
      </c>
      <c r="H40" s="181">
        <v>8.666615734094732E-2</v>
      </c>
      <c r="I40" s="179">
        <v>1.1550537463581813E-3</v>
      </c>
      <c r="J40" s="183">
        <v>75.032142542458118</v>
      </c>
      <c r="K40" s="181">
        <v>8.5833702880663681E-101</v>
      </c>
      <c r="L40" s="181">
        <v>8.4378633922621987E-2</v>
      </c>
      <c r="M40" s="181">
        <v>8.8953680759272652E-2</v>
      </c>
      <c r="N40" s="181">
        <v>8.4378633922621987E-2</v>
      </c>
      <c r="O40" s="181">
        <v>8.8953680759272652E-2</v>
      </c>
      <c r="P40" s="126"/>
      <c r="Q40" s="76"/>
      <c r="R40" s="77"/>
    </row>
    <row r="41" spans="2:18" ht="13.15" thickBot="1">
      <c r="B41" s="75" t="s">
        <v>932</v>
      </c>
      <c r="C41" s="131">
        <v>0.125</v>
      </c>
      <c r="D41" s="131">
        <v>5.686107692307691E-2</v>
      </c>
      <c r="E41" s="131">
        <f t="shared" si="0"/>
        <v>6.8138923076923097E-2</v>
      </c>
      <c r="G41" s="114" t="s">
        <v>1051</v>
      </c>
      <c r="H41" s="198">
        <v>-0.57072323434297367</v>
      </c>
      <c r="I41" s="197">
        <v>2.3545270509124729E-2</v>
      </c>
      <c r="J41" s="199">
        <v>-24.239400185349144</v>
      </c>
      <c r="K41" s="198">
        <v>1.9575540874143703E-47</v>
      </c>
      <c r="L41" s="198">
        <v>-0.61735340878312095</v>
      </c>
      <c r="M41" s="198">
        <v>-0.5240930599028264</v>
      </c>
      <c r="N41" s="198">
        <v>-0.61735340878312095</v>
      </c>
      <c r="O41" s="198">
        <v>-0.5240930599028264</v>
      </c>
      <c r="P41" s="126"/>
      <c r="Q41" s="76"/>
      <c r="R41" s="77"/>
    </row>
    <row r="42" spans="2:18">
      <c r="B42" s="78" t="s">
        <v>933</v>
      </c>
      <c r="C42" s="131">
        <v>0.11375</v>
      </c>
      <c r="D42" s="131">
        <v>5.4425937500000014E-2</v>
      </c>
      <c r="E42" s="131">
        <f t="shared" si="0"/>
        <v>5.932406249999999E-2</v>
      </c>
      <c r="G42"/>
      <c r="H42"/>
      <c r="I42"/>
      <c r="J42"/>
      <c r="K42"/>
      <c r="L42"/>
      <c r="M42"/>
      <c r="N42"/>
      <c r="O42"/>
      <c r="Q42" s="76"/>
      <c r="R42" s="77"/>
    </row>
    <row r="43" spans="2:18">
      <c r="B43" s="75" t="s">
        <v>934</v>
      </c>
      <c r="C43" s="131">
        <v>0.11</v>
      </c>
      <c r="D43" s="131">
        <v>5.699338461538464E-2</v>
      </c>
      <c r="E43" s="131">
        <f t="shared" si="0"/>
        <v>5.300661538461536E-2</v>
      </c>
      <c r="G43"/>
      <c r="H43"/>
      <c r="I43"/>
      <c r="J43"/>
      <c r="K43"/>
      <c r="L43"/>
      <c r="M43"/>
      <c r="N43"/>
      <c r="O43"/>
      <c r="Q43" s="76"/>
      <c r="R43" s="77"/>
    </row>
    <row r="44" spans="2:18">
      <c r="B44" s="75">
        <v>2001.3</v>
      </c>
      <c r="C44" s="131">
        <v>0.10755714285714284</v>
      </c>
      <c r="D44" s="131">
        <v>5.5225625000000021E-2</v>
      </c>
      <c r="E44" s="131">
        <f t="shared" si="0"/>
        <v>5.2331517857142816E-2</v>
      </c>
      <c r="G44"/>
      <c r="H44"/>
      <c r="I44"/>
      <c r="J44"/>
      <c r="K44"/>
      <c r="L44"/>
      <c r="M44"/>
      <c r="N44"/>
      <c r="O44"/>
      <c r="Q44" s="76"/>
      <c r="R44" s="77"/>
    </row>
    <row r="45" spans="2:18" ht="13.15" thickBot="1">
      <c r="B45" s="75" t="s">
        <v>935</v>
      </c>
      <c r="C45" s="131">
        <v>0.11993333333333334</v>
      </c>
      <c r="D45" s="131">
        <v>5.2970909090909089E-2</v>
      </c>
      <c r="E45" s="131">
        <f t="shared" si="0"/>
        <v>6.696242424242424E-2</v>
      </c>
      <c r="G45" s="126"/>
      <c r="H45" s="126"/>
      <c r="I45" s="126"/>
      <c r="J45" s="132" t="s">
        <v>6</v>
      </c>
      <c r="K45" s="132" t="s">
        <v>7</v>
      </c>
      <c r="L45" s="132" t="s">
        <v>8</v>
      </c>
      <c r="Q45" s="76"/>
      <c r="R45" s="77"/>
    </row>
    <row r="46" spans="2:18">
      <c r="B46" s="78" t="s">
        <v>936</v>
      </c>
      <c r="C46" s="131">
        <v>0.10050000000000001</v>
      </c>
      <c r="D46" s="131">
        <v>5.5132187499999999E-2</v>
      </c>
      <c r="E46" s="131">
        <f t="shared" si="0"/>
        <v>4.5367812500000007E-2</v>
      </c>
      <c r="G46" s="133"/>
      <c r="H46" s="133"/>
      <c r="I46" s="133"/>
      <c r="J46" s="134" t="s">
        <v>1060</v>
      </c>
      <c r="K46" s="134"/>
      <c r="L46" s="134"/>
      <c r="Q46" s="76"/>
      <c r="R46" s="77"/>
    </row>
    <row r="47" spans="2:18">
      <c r="B47" s="75" t="s">
        <v>937</v>
      </c>
      <c r="C47" s="131">
        <v>0.11405</v>
      </c>
      <c r="D47" s="131">
        <v>5.6129153846153849E-2</v>
      </c>
      <c r="E47" s="131">
        <f t="shared" si="0"/>
        <v>5.7920846153846149E-2</v>
      </c>
      <c r="J47" s="75" t="s">
        <v>1061</v>
      </c>
      <c r="K47" s="75" t="s">
        <v>61</v>
      </c>
      <c r="L47" s="75"/>
      <c r="Q47" s="76"/>
      <c r="R47" s="77"/>
    </row>
    <row r="48" spans="2:18">
      <c r="B48" s="75" t="s">
        <v>938</v>
      </c>
      <c r="C48" s="131">
        <v>0.11650000000000001</v>
      </c>
      <c r="D48" s="131">
        <v>5.0848590909090899E-2</v>
      </c>
      <c r="E48" s="131">
        <f t="shared" si="0"/>
        <v>6.5651409090909107E-2</v>
      </c>
      <c r="G48" s="79"/>
      <c r="H48" s="79"/>
      <c r="I48" s="79"/>
      <c r="J48" s="135" t="s">
        <v>1062</v>
      </c>
      <c r="K48" s="135" t="s">
        <v>62</v>
      </c>
      <c r="L48" s="135" t="s">
        <v>27</v>
      </c>
      <c r="Q48" s="76"/>
      <c r="R48" s="77"/>
    </row>
    <row r="49" spans="2:18">
      <c r="B49" s="78" t="s">
        <v>939</v>
      </c>
      <c r="C49" s="131">
        <v>0.11566666666666665</v>
      </c>
      <c r="D49" s="131">
        <v>4.9307318181818195E-2</v>
      </c>
      <c r="E49" s="131">
        <f t="shared" si="0"/>
        <v>6.6359348484848452E-2</v>
      </c>
      <c r="Q49" s="76"/>
      <c r="R49" s="77"/>
    </row>
    <row r="50" spans="2:18">
      <c r="B50" s="75" t="s">
        <v>940</v>
      </c>
      <c r="C50" s="131">
        <v>0.1172</v>
      </c>
      <c r="D50" s="131">
        <v>4.8490953125E-2</v>
      </c>
      <c r="E50" s="131">
        <f t="shared" si="0"/>
        <v>6.8709046874999999E-2</v>
      </c>
      <c r="G50" s="73" t="s">
        <v>1281</v>
      </c>
      <c r="J50" s="136">
        <f>'AEB-4 CAPM'!D9</f>
        <v>1.9270000000000002E-2</v>
      </c>
      <c r="K50" s="131">
        <f>$H$40+($H$41*J50)</f>
        <v>7.5668320615158213E-2</v>
      </c>
      <c r="L50" s="131">
        <f>SUM(J50:K50)</f>
        <v>9.4938320615158223E-2</v>
      </c>
      <c r="Q50" s="76"/>
      <c r="R50" s="77"/>
    </row>
    <row r="51" spans="2:18">
      <c r="B51" s="75" t="s">
        <v>941</v>
      </c>
      <c r="C51" s="131">
        <v>0.111625</v>
      </c>
      <c r="D51" s="131">
        <v>4.5979046153846168E-2</v>
      </c>
      <c r="E51" s="131">
        <f t="shared" si="0"/>
        <v>6.5645953846153834E-2</v>
      </c>
      <c r="G51" s="73" t="s">
        <v>1333</v>
      </c>
      <c r="J51" s="136">
        <f>'AEB-4 CAPM'!D42</f>
        <v>2.5000000000000001E-2</v>
      </c>
      <c r="K51" s="131">
        <f>$H$40+($H$41*J51)</f>
        <v>7.2398076482372981E-2</v>
      </c>
      <c r="L51" s="131">
        <f>SUM(J51:K51)</f>
        <v>9.7398076482372975E-2</v>
      </c>
      <c r="Q51" s="76"/>
      <c r="R51" s="77"/>
    </row>
    <row r="52" spans="2:18">
      <c r="B52" s="75" t="s">
        <v>942</v>
      </c>
      <c r="C52" s="131">
        <v>0.105</v>
      </c>
      <c r="D52" s="131">
        <v>5.1104863636363636E-2</v>
      </c>
      <c r="E52" s="131">
        <f t="shared" si="0"/>
        <v>5.389513636363636E-2</v>
      </c>
      <c r="G52" s="79" t="s">
        <v>1282</v>
      </c>
      <c r="H52" s="79"/>
      <c r="I52" s="79"/>
      <c r="J52" s="200">
        <f>'AEB-4 CAPM'!D75</f>
        <v>3.5000000000000003E-2</v>
      </c>
      <c r="K52" s="137">
        <f>$H$40+($H$41*J52)</f>
        <v>6.6690844138943245E-2</v>
      </c>
      <c r="L52" s="137">
        <f>SUM(J52:K52)</f>
        <v>0.10169084413894325</v>
      </c>
      <c r="Q52" s="76"/>
      <c r="R52" s="77"/>
    </row>
    <row r="53" spans="2:18" ht="13.15" thickBot="1">
      <c r="B53" s="75" t="s">
        <v>943</v>
      </c>
      <c r="C53" s="131">
        <v>0.11339999999999999</v>
      </c>
      <c r="D53" s="131">
        <v>5.1142196969696983E-2</v>
      </c>
      <c r="E53" s="131">
        <f t="shared" si="0"/>
        <v>6.2257803030303004E-2</v>
      </c>
      <c r="G53" s="138" t="s">
        <v>63</v>
      </c>
      <c r="H53" s="138"/>
      <c r="I53" s="138"/>
      <c r="J53" s="139"/>
      <c r="K53" s="139"/>
      <c r="L53" s="139">
        <f>AVERAGE(L50:L52)</f>
        <v>9.8009080412158153E-2</v>
      </c>
      <c r="Q53" s="76"/>
      <c r="R53" s="77"/>
    </row>
    <row r="54" spans="2:18">
      <c r="B54" s="75" t="s">
        <v>944</v>
      </c>
      <c r="C54" s="131">
        <v>0.10999999999999999</v>
      </c>
      <c r="D54" s="131">
        <v>4.8753138461538476E-2</v>
      </c>
      <c r="E54" s="131">
        <f t="shared" si="0"/>
        <v>6.1246861538461511E-2</v>
      </c>
      <c r="Q54" s="76"/>
      <c r="R54" s="77"/>
    </row>
    <row r="55" spans="2:18">
      <c r="B55" s="75" t="s">
        <v>945</v>
      </c>
      <c r="C55" s="131">
        <v>0.10638571428571429</v>
      </c>
      <c r="D55" s="131">
        <v>5.3192861538461533E-2</v>
      </c>
      <c r="E55" s="131">
        <f t="shared" si="0"/>
        <v>5.3192852747252758E-2</v>
      </c>
      <c r="G55" s="140" t="s">
        <v>22</v>
      </c>
      <c r="Q55" s="76"/>
      <c r="R55" s="77"/>
    </row>
    <row r="56" spans="2:18">
      <c r="B56" s="75" t="s">
        <v>946</v>
      </c>
      <c r="C56" s="131">
        <v>0.1075</v>
      </c>
      <c r="D56" s="131">
        <v>5.0588015151515148E-2</v>
      </c>
      <c r="E56" s="131">
        <f t="shared" si="0"/>
        <v>5.6911984848484851E-2</v>
      </c>
      <c r="G56" s="128" t="s">
        <v>1334</v>
      </c>
      <c r="Q56" s="76"/>
      <c r="R56" s="77"/>
    </row>
    <row r="57" spans="2:18">
      <c r="B57" s="75" t="s">
        <v>947</v>
      </c>
      <c r="C57" s="131">
        <v>0.11244000000000001</v>
      </c>
      <c r="D57" s="131">
        <v>4.864845454545455E-2</v>
      </c>
      <c r="E57" s="131">
        <f t="shared" si="0"/>
        <v>6.3791545454545462E-2</v>
      </c>
      <c r="G57" s="128" t="s">
        <v>1001</v>
      </c>
      <c r="Q57" s="76"/>
      <c r="R57" s="77"/>
    </row>
    <row r="58" spans="2:18">
      <c r="B58" s="75" t="s">
        <v>948</v>
      </c>
      <c r="C58" s="131">
        <v>0.10625</v>
      </c>
      <c r="D58" s="131">
        <v>4.6927312499999985E-2</v>
      </c>
      <c r="E58" s="131">
        <f t="shared" si="0"/>
        <v>5.9322687500000013E-2</v>
      </c>
      <c r="G58" s="128" t="s">
        <v>64</v>
      </c>
      <c r="Q58" s="76"/>
      <c r="R58" s="77"/>
    </row>
    <row r="59" spans="2:18">
      <c r="B59" s="78" t="s">
        <v>949</v>
      </c>
      <c r="C59" s="131">
        <v>0.10312499999999999</v>
      </c>
      <c r="D59" s="131">
        <v>4.4650938461538468E-2</v>
      </c>
      <c r="E59" s="131">
        <f t="shared" si="0"/>
        <v>5.8474061538461526E-2</v>
      </c>
      <c r="G59" s="5" t="s">
        <v>1335</v>
      </c>
      <c r="Q59" s="76"/>
      <c r="R59" s="77"/>
    </row>
    <row r="60" spans="2:18">
      <c r="B60" s="75" t="s">
        <v>950</v>
      </c>
      <c r="C60" s="131">
        <v>0.11083333333333334</v>
      </c>
      <c r="D60" s="131">
        <v>4.4381742424242414E-2</v>
      </c>
      <c r="E60" s="131">
        <f t="shared" si="0"/>
        <v>6.6451590909090918E-2</v>
      </c>
      <c r="G60" s="5" t="s">
        <v>1336</v>
      </c>
      <c r="Q60" s="76"/>
      <c r="R60" s="77"/>
    </row>
    <row r="61" spans="2:18">
      <c r="B61" s="75" t="s">
        <v>951</v>
      </c>
      <c r="C61" s="131">
        <v>0.1063125</v>
      </c>
      <c r="D61" s="131">
        <v>4.6829078125E-2</v>
      </c>
      <c r="E61" s="131">
        <f t="shared" si="0"/>
        <v>5.9483421875000005E-2</v>
      </c>
      <c r="G61" s="5" t="s">
        <v>1337</v>
      </c>
      <c r="Q61" s="76"/>
      <c r="R61" s="77"/>
    </row>
    <row r="62" spans="2:18">
      <c r="B62" s="75" t="s">
        <v>952</v>
      </c>
      <c r="C62" s="131">
        <v>0.10695</v>
      </c>
      <c r="D62" s="131">
        <v>4.633183076923076E-2</v>
      </c>
      <c r="E62" s="131">
        <f t="shared" si="0"/>
        <v>6.0618169230769244E-2</v>
      </c>
      <c r="G62" s="126" t="s">
        <v>1278</v>
      </c>
      <c r="Q62" s="76"/>
      <c r="R62" s="77"/>
    </row>
    <row r="63" spans="2:18">
      <c r="B63" s="75" t="s">
        <v>953</v>
      </c>
      <c r="C63" s="131">
        <v>0.10787499999999998</v>
      </c>
      <c r="D63" s="131">
        <v>5.1406507692307687E-2</v>
      </c>
      <c r="E63" s="131">
        <f t="shared" si="0"/>
        <v>5.6468492307692297E-2</v>
      </c>
      <c r="G63" s="127" t="str">
        <f>"[8] Equals "&amp;TEXT(H40,"0.000000")&amp;" + ("&amp;TEXT(H41,"0.000000")&amp;" x Column [7])"</f>
        <v>[8] Equals 0.086666 + (-0.570723 x Column [7])</v>
      </c>
      <c r="Q63" s="76"/>
      <c r="R63" s="77"/>
    </row>
    <row r="64" spans="2:18">
      <c r="B64" s="75" t="s">
        <v>954</v>
      </c>
      <c r="C64" s="131">
        <v>0.10346666666666667</v>
      </c>
      <c r="D64" s="131">
        <v>4.9925692307692303E-2</v>
      </c>
      <c r="E64" s="131">
        <f t="shared" si="0"/>
        <v>5.3540974358974362E-2</v>
      </c>
      <c r="G64" s="128" t="s">
        <v>1279</v>
      </c>
      <c r="Q64" s="76"/>
      <c r="R64" s="77"/>
    </row>
    <row r="65" spans="2:18">
      <c r="B65" s="75" t="s">
        <v>955</v>
      </c>
      <c r="C65" s="131">
        <v>0.1065</v>
      </c>
      <c r="D65" s="131">
        <v>4.739560000000001E-2</v>
      </c>
      <c r="E65" s="131">
        <f t="shared" si="0"/>
        <v>5.9104399999999988E-2</v>
      </c>
      <c r="G65" s="128"/>
      <c r="Q65" s="76"/>
      <c r="R65" s="77"/>
    </row>
    <row r="66" spans="2:18">
      <c r="B66" s="75" t="s">
        <v>956</v>
      </c>
      <c r="C66" s="131">
        <v>0.10591666666666666</v>
      </c>
      <c r="D66" s="131">
        <v>4.7964107692307696E-2</v>
      </c>
      <c r="E66" s="131">
        <f t="shared" si="0"/>
        <v>5.7952558974358963E-2</v>
      </c>
      <c r="Q66" s="76"/>
      <c r="R66" s="77"/>
    </row>
    <row r="67" spans="2:18">
      <c r="B67" s="75" t="s">
        <v>957</v>
      </c>
      <c r="C67" s="131">
        <v>0.10324999999999999</v>
      </c>
      <c r="D67" s="131">
        <v>4.9891384615384615E-2</v>
      </c>
      <c r="E67" s="131">
        <f t="shared" si="0"/>
        <v>5.3358615384615379E-2</v>
      </c>
      <c r="Q67" s="76"/>
      <c r="R67" s="77"/>
    </row>
    <row r="68" spans="2:18">
      <c r="B68" s="75" t="s">
        <v>958</v>
      </c>
      <c r="C68" s="131">
        <v>0.10400000000000001</v>
      </c>
      <c r="D68" s="131">
        <v>4.9470430769230793E-2</v>
      </c>
      <c r="E68" s="131">
        <f t="shared" si="0"/>
        <v>5.4529569230769216E-2</v>
      </c>
      <c r="Q68" s="76"/>
      <c r="R68" s="77"/>
    </row>
    <row r="69" spans="2:18">
      <c r="B69" s="75" t="s">
        <v>959</v>
      </c>
      <c r="C69" s="131">
        <v>0.1065</v>
      </c>
      <c r="D69" s="131">
        <v>4.6137848484848476E-2</v>
      </c>
      <c r="E69" s="131">
        <f t="shared" si="0"/>
        <v>6.0362151515151521E-2</v>
      </c>
      <c r="Q69" s="76"/>
      <c r="R69" s="77"/>
    </row>
    <row r="70" spans="2:18">
      <c r="B70" s="75" t="s">
        <v>960</v>
      </c>
      <c r="C70" s="131">
        <v>0.10614999999999999</v>
      </c>
      <c r="D70" s="131">
        <v>4.4057984615384606E-2</v>
      </c>
      <c r="E70" s="131">
        <f t="shared" si="0"/>
        <v>6.2092015384615389E-2</v>
      </c>
      <c r="Q70" s="76"/>
      <c r="R70" s="77"/>
    </row>
    <row r="71" spans="2:18">
      <c r="B71" s="75" t="s">
        <v>961</v>
      </c>
      <c r="C71" s="131">
        <v>0.1053625</v>
      </c>
      <c r="D71" s="131">
        <v>4.5697861538461525E-2</v>
      </c>
      <c r="E71" s="131">
        <f t="shared" ref="E71:E124" si="1">C71-D71</f>
        <v>5.9664638461538473E-2</v>
      </c>
      <c r="Q71" s="76"/>
      <c r="R71" s="77"/>
    </row>
    <row r="72" spans="2:18">
      <c r="B72" s="75" t="s">
        <v>962</v>
      </c>
      <c r="C72" s="131">
        <v>0.10426666666666666</v>
      </c>
      <c r="D72" s="131">
        <v>4.4448575757575763E-2</v>
      </c>
      <c r="E72" s="131">
        <f t="shared" si="1"/>
        <v>5.9818090909090897E-2</v>
      </c>
      <c r="Q72" s="76"/>
      <c r="R72" s="77"/>
    </row>
    <row r="73" spans="2:18">
      <c r="B73" s="75" t="s">
        <v>963</v>
      </c>
      <c r="C73" s="131">
        <v>0.10387500000000001</v>
      </c>
      <c r="D73" s="131">
        <v>3.648545454545455E-2</v>
      </c>
      <c r="E73" s="131">
        <f t="shared" si="1"/>
        <v>6.7389545454545452E-2</v>
      </c>
      <c r="Q73" s="76"/>
      <c r="R73" s="77"/>
    </row>
    <row r="74" spans="2:18">
      <c r="B74" s="75" t="s">
        <v>964</v>
      </c>
      <c r="C74" s="131">
        <v>0.10751999999999999</v>
      </c>
      <c r="D74" s="131">
        <v>3.4371828125000004E-2</v>
      </c>
      <c r="E74" s="131">
        <f t="shared" si="1"/>
        <v>7.3148171874999987E-2</v>
      </c>
      <c r="Q74" s="76"/>
      <c r="R74" s="77"/>
    </row>
    <row r="75" spans="2:18">
      <c r="B75" s="75" t="s">
        <v>965</v>
      </c>
      <c r="C75" s="131">
        <v>0.1075</v>
      </c>
      <c r="D75" s="131">
        <v>4.1675338461538453E-2</v>
      </c>
      <c r="E75" s="131">
        <f t="shared" si="1"/>
        <v>6.5824661538461546E-2</v>
      </c>
      <c r="Q75" s="76"/>
      <c r="R75" s="77"/>
    </row>
    <row r="76" spans="2:18">
      <c r="B76" s="75" t="s">
        <v>966</v>
      </c>
      <c r="C76" s="131">
        <v>0.105</v>
      </c>
      <c r="D76" s="131">
        <v>4.3207924242424235E-2</v>
      </c>
      <c r="E76" s="131">
        <f t="shared" si="1"/>
        <v>6.1792075757575761E-2</v>
      </c>
      <c r="Q76" s="76"/>
      <c r="R76" s="77"/>
    </row>
    <row r="77" spans="2:18">
      <c r="B77" s="75" t="s">
        <v>967</v>
      </c>
      <c r="C77" s="131">
        <v>0.10592</v>
      </c>
      <c r="D77" s="131">
        <v>4.3369015151515151E-2</v>
      </c>
      <c r="E77" s="131">
        <f t="shared" si="1"/>
        <v>6.2550984848484842E-2</v>
      </c>
      <c r="Q77" s="76"/>
      <c r="R77" s="77"/>
    </row>
    <row r="78" spans="2:18">
      <c r="B78" s="75" t="s">
        <v>968</v>
      </c>
      <c r="C78" s="131">
        <v>0.10592500000000001</v>
      </c>
      <c r="D78" s="131">
        <v>4.6233281250000008E-2</v>
      </c>
      <c r="E78" s="131">
        <f t="shared" si="1"/>
        <v>5.9691718749999997E-2</v>
      </c>
      <c r="Q78" s="76"/>
      <c r="R78" s="77"/>
    </row>
    <row r="79" spans="2:18">
      <c r="B79" s="75" t="s">
        <v>969</v>
      </c>
      <c r="C79" s="131">
        <v>0.1018</v>
      </c>
      <c r="D79" s="131">
        <v>4.3635553846153849E-2</v>
      </c>
      <c r="E79" s="131">
        <f t="shared" si="1"/>
        <v>5.8164446153846153E-2</v>
      </c>
      <c r="Q79" s="76"/>
      <c r="R79" s="77"/>
    </row>
    <row r="80" spans="2:18">
      <c r="B80" s="75" t="s">
        <v>970</v>
      </c>
      <c r="C80" s="131">
        <v>0.10403333333333332</v>
      </c>
      <c r="D80" s="131">
        <v>3.855463636363636E-2</v>
      </c>
      <c r="E80" s="131">
        <f t="shared" si="1"/>
        <v>6.5478696969696965E-2</v>
      </c>
      <c r="Q80" s="76"/>
      <c r="R80" s="77"/>
    </row>
    <row r="81" spans="2:18">
      <c r="B81" s="75" t="s">
        <v>971</v>
      </c>
      <c r="C81" s="131">
        <v>0.10378666666666665</v>
      </c>
      <c r="D81" s="131">
        <v>4.1662787878787896E-2</v>
      </c>
      <c r="E81" s="131">
        <f t="shared" si="1"/>
        <v>6.2123878787878756E-2</v>
      </c>
      <c r="Q81" s="76"/>
      <c r="R81" s="77"/>
    </row>
    <row r="82" spans="2:18">
      <c r="B82" s="75" t="s">
        <v>972</v>
      </c>
      <c r="C82" s="131">
        <v>0.10091666666666667</v>
      </c>
      <c r="D82" s="131">
        <v>4.5583796874999978E-2</v>
      </c>
      <c r="E82" s="131">
        <f t="shared" si="1"/>
        <v>5.533286979166669E-2</v>
      </c>
      <c r="Q82" s="76"/>
      <c r="R82" s="77"/>
    </row>
    <row r="83" spans="2:18">
      <c r="B83" s="78" t="s">
        <v>973</v>
      </c>
      <c r="C83" s="131">
        <v>0.10262857142857143</v>
      </c>
      <c r="D83" s="131">
        <v>4.3380446153846154E-2</v>
      </c>
      <c r="E83" s="131">
        <f t="shared" si="1"/>
        <v>5.9248125274725276E-2</v>
      </c>
      <c r="Q83" s="76"/>
      <c r="R83" s="77"/>
    </row>
    <row r="84" spans="2:18">
      <c r="B84" s="78" t="s">
        <v>974</v>
      </c>
      <c r="C84" s="131">
        <v>0.10571666666666667</v>
      </c>
      <c r="D84" s="131">
        <v>3.692825757575758E-2</v>
      </c>
      <c r="E84" s="131">
        <f t="shared" si="1"/>
        <v>6.8788409090909081E-2</v>
      </c>
      <c r="Q84" s="76"/>
      <c r="R84" s="77"/>
    </row>
    <row r="85" spans="2:18">
      <c r="B85" s="78" t="s">
        <v>975</v>
      </c>
      <c r="C85" s="131">
        <v>0.10387777777777778</v>
      </c>
      <c r="D85" s="131">
        <v>3.0392815384615392E-2</v>
      </c>
      <c r="E85" s="131">
        <f t="shared" si="1"/>
        <v>7.3484962393162379E-2</v>
      </c>
      <c r="Q85" s="76"/>
      <c r="R85" s="77"/>
    </row>
    <row r="86" spans="2:18">
      <c r="B86" s="78" t="s">
        <v>976</v>
      </c>
      <c r="C86" s="131">
        <v>0.10302857142857143</v>
      </c>
      <c r="D86" s="131">
        <v>3.1351338461538467E-2</v>
      </c>
      <c r="E86" s="131">
        <f t="shared" si="1"/>
        <v>7.1677232967032961E-2</v>
      </c>
      <c r="Q86" s="76"/>
      <c r="R86" s="77"/>
    </row>
    <row r="87" spans="2:18">
      <c r="B87" s="78" t="s">
        <v>977</v>
      </c>
      <c r="C87" s="131">
        <v>9.9499999999999977E-2</v>
      </c>
      <c r="D87" s="131">
        <v>2.9340830769230764E-2</v>
      </c>
      <c r="E87" s="131">
        <f t="shared" si="1"/>
        <v>7.0159169230769217E-2</v>
      </c>
      <c r="Q87" s="76"/>
      <c r="R87" s="77"/>
    </row>
    <row r="88" spans="2:18">
      <c r="B88" s="78" t="s">
        <v>978</v>
      </c>
      <c r="C88" s="131">
        <v>9.9000000000000005E-2</v>
      </c>
      <c r="D88" s="131">
        <v>2.7412938461538462E-2</v>
      </c>
      <c r="E88" s="131">
        <f t="shared" si="1"/>
        <v>7.1587061538461547E-2</v>
      </c>
      <c r="Q88" s="76"/>
      <c r="R88" s="77"/>
    </row>
    <row r="89" spans="2:18">
      <c r="B89" s="78" t="s">
        <v>979</v>
      </c>
      <c r="C89" s="131">
        <v>0.10163529411764707</v>
      </c>
      <c r="D89" s="131">
        <v>2.8642166666666666E-2</v>
      </c>
      <c r="E89" s="131">
        <f t="shared" si="1"/>
        <v>7.2993127450980411E-2</v>
      </c>
      <c r="Q89" s="76"/>
      <c r="R89" s="77"/>
    </row>
    <row r="90" spans="2:18">
      <c r="B90" s="78" t="s">
        <v>980</v>
      </c>
      <c r="C90" s="131">
        <v>9.849999999999999E-2</v>
      </c>
      <c r="D90" s="131">
        <v>3.1295609374999998E-2</v>
      </c>
      <c r="E90" s="131">
        <f t="shared" si="1"/>
        <v>6.7204390624999999E-2</v>
      </c>
      <c r="Q90" s="76"/>
      <c r="R90" s="77"/>
    </row>
    <row r="91" spans="2:18">
      <c r="B91" s="78" t="s">
        <v>981</v>
      </c>
      <c r="C91" s="131">
        <v>9.8599999999999993E-2</v>
      </c>
      <c r="D91" s="131">
        <v>3.1398800000000004E-2</v>
      </c>
      <c r="E91" s="131">
        <f t="shared" si="1"/>
        <v>6.7201199999999989E-2</v>
      </c>
      <c r="Q91" s="76"/>
      <c r="R91" s="77"/>
    </row>
    <row r="92" spans="2:18">
      <c r="B92" s="78" t="s">
        <v>982</v>
      </c>
      <c r="C92" s="131">
        <v>0.1012</v>
      </c>
      <c r="D92" s="131">
        <v>3.7113621212121202E-2</v>
      </c>
      <c r="E92" s="131">
        <f t="shared" si="1"/>
        <v>6.4086378787878789E-2</v>
      </c>
      <c r="Q92" s="76"/>
      <c r="R92" s="77"/>
    </row>
    <row r="93" spans="2:18">
      <c r="B93" s="78" t="s">
        <v>983</v>
      </c>
      <c r="C93" s="131">
        <v>9.9668750000000028E-2</v>
      </c>
      <c r="D93" s="131">
        <v>3.7872272727272713E-2</v>
      </c>
      <c r="E93" s="131">
        <f t="shared" si="1"/>
        <v>6.1796477272727315E-2</v>
      </c>
      <c r="Q93" s="76"/>
    </row>
    <row r="94" spans="2:18">
      <c r="B94" s="78" t="s">
        <v>984</v>
      </c>
      <c r="C94" s="131">
        <v>9.8549999999999999E-2</v>
      </c>
      <c r="D94" s="131">
        <v>3.6892906249999989E-2</v>
      </c>
      <c r="E94" s="131">
        <f t="shared" si="1"/>
        <v>6.165709375000001E-2</v>
      </c>
      <c r="Q94" s="76"/>
    </row>
    <row r="95" spans="2:18">
      <c r="B95" s="78" t="s">
        <v>985</v>
      </c>
      <c r="C95" s="131">
        <v>0.10100000000000001</v>
      </c>
      <c r="D95" s="131">
        <v>3.4420169230769224E-2</v>
      </c>
      <c r="E95" s="131">
        <f t="shared" si="1"/>
        <v>6.6579830769230783E-2</v>
      </c>
      <c r="Q95" s="76"/>
    </row>
    <row r="96" spans="2:18">
      <c r="B96" s="78" t="s">
        <v>986</v>
      </c>
      <c r="C96" s="131">
        <v>9.8999999999999991E-2</v>
      </c>
      <c r="D96" s="131">
        <v>3.2637651515151515E-2</v>
      </c>
      <c r="E96" s="131">
        <f t="shared" si="1"/>
        <v>6.6362348484848482E-2</v>
      </c>
      <c r="Q96" s="76"/>
    </row>
    <row r="97" spans="2:17">
      <c r="B97" s="78" t="s">
        <v>987</v>
      </c>
      <c r="C97" s="131">
        <v>9.9440000000000001E-2</v>
      </c>
      <c r="D97" s="131">
        <v>2.9634439393939404E-2</v>
      </c>
      <c r="E97" s="131">
        <f t="shared" si="1"/>
        <v>6.9805560606060593E-2</v>
      </c>
      <c r="Q97" s="76"/>
    </row>
    <row r="98" spans="2:17">
      <c r="B98" s="78" t="s">
        <v>988</v>
      </c>
      <c r="C98" s="131">
        <v>9.6374999999999988E-2</v>
      </c>
      <c r="D98" s="131">
        <v>2.5536187500000005E-2</v>
      </c>
      <c r="E98" s="131">
        <f t="shared" si="1"/>
        <v>7.0838812499999987E-2</v>
      </c>
      <c r="Q98" s="76"/>
    </row>
    <row r="99" spans="2:17">
      <c r="B99" s="78" t="s">
        <v>989</v>
      </c>
      <c r="C99" s="131">
        <v>9.8266666666666669E-2</v>
      </c>
      <c r="D99" s="131">
        <v>2.8846923076923076E-2</v>
      </c>
      <c r="E99" s="131">
        <f t="shared" si="1"/>
        <v>6.9419743589743593E-2</v>
      </c>
    </row>
    <row r="100" spans="2:17">
      <c r="B100" s="78" t="s">
        <v>990</v>
      </c>
      <c r="C100" s="131">
        <v>9.4E-2</v>
      </c>
      <c r="D100" s="131">
        <v>2.9591227272727273E-2</v>
      </c>
      <c r="E100" s="131">
        <f t="shared" si="1"/>
        <v>6.4408772727272731E-2</v>
      </c>
    </row>
    <row r="101" spans="2:17">
      <c r="B101" s="78" t="s">
        <v>991</v>
      </c>
      <c r="C101" s="131">
        <v>9.862499999999999E-2</v>
      </c>
      <c r="D101" s="131">
        <v>2.9592590909090898E-2</v>
      </c>
      <c r="E101" s="131">
        <f t="shared" si="1"/>
        <v>6.9032409090909089E-2</v>
      </c>
    </row>
    <row r="102" spans="2:17">
      <c r="B102" s="78" t="s">
        <v>992</v>
      </c>
      <c r="C102" s="131">
        <v>9.7000000000000017E-2</v>
      </c>
      <c r="D102" s="131">
        <v>2.7197200000000001E-2</v>
      </c>
      <c r="E102" s="131">
        <f t="shared" si="1"/>
        <v>6.9802800000000012E-2</v>
      </c>
    </row>
    <row r="103" spans="2:17">
      <c r="B103" s="78" t="s">
        <v>993</v>
      </c>
      <c r="C103" s="131">
        <v>9.4800000000000009E-2</v>
      </c>
      <c r="D103" s="131">
        <v>2.5666046153846152E-2</v>
      </c>
      <c r="E103" s="131">
        <f t="shared" si="1"/>
        <v>6.9133953846153853E-2</v>
      </c>
    </row>
    <row r="104" spans="2:17">
      <c r="B104" s="78" t="s">
        <v>994</v>
      </c>
      <c r="C104" s="131">
        <v>9.7350000000000006E-2</v>
      </c>
      <c r="D104" s="131">
        <v>2.2773333333333333E-2</v>
      </c>
      <c r="E104" s="131">
        <f t="shared" si="1"/>
        <v>7.457666666666668E-2</v>
      </c>
    </row>
    <row r="105" spans="2:17">
      <c r="B105" s="78" t="s">
        <v>995</v>
      </c>
      <c r="C105" s="131">
        <v>9.8319999999999991E-2</v>
      </c>
      <c r="D105" s="131">
        <v>2.8326507692307684E-2</v>
      </c>
      <c r="E105" s="131">
        <f t="shared" si="1"/>
        <v>6.9993492307692307E-2</v>
      </c>
    </row>
    <row r="106" spans="2:17">
      <c r="B106" s="78" t="s">
        <v>996</v>
      </c>
      <c r="C106" s="131">
        <v>9.718333333333333E-2</v>
      </c>
      <c r="D106" s="131">
        <v>3.0435492307692304E-2</v>
      </c>
      <c r="E106" s="131">
        <f t="shared" si="1"/>
        <v>6.6747841025641019E-2</v>
      </c>
    </row>
    <row r="107" spans="2:17">
      <c r="B107" s="78" t="s">
        <v>997</v>
      </c>
      <c r="C107" s="131">
        <v>9.6428571428571419E-2</v>
      </c>
      <c r="D107" s="131">
        <v>2.8955353846153841E-2</v>
      </c>
      <c r="E107" s="131">
        <f t="shared" si="1"/>
        <v>6.7473217582417575E-2</v>
      </c>
    </row>
    <row r="108" spans="2:17">
      <c r="B108" s="78" t="s">
        <v>998</v>
      </c>
      <c r="C108" s="131">
        <v>0.1</v>
      </c>
      <c r="D108" s="131">
        <v>2.8157476923076918E-2</v>
      </c>
      <c r="E108" s="131">
        <f t="shared" si="1"/>
        <v>7.1842523076923084E-2</v>
      </c>
    </row>
    <row r="109" spans="2:17">
      <c r="B109" s="78" t="s">
        <v>999</v>
      </c>
      <c r="C109" s="131">
        <v>9.9064285714285716E-2</v>
      </c>
      <c r="D109" s="131">
        <v>2.8170630769230768E-2</v>
      </c>
      <c r="E109" s="131">
        <f t="shared" si="1"/>
        <v>7.0893654945054951E-2</v>
      </c>
    </row>
    <row r="110" spans="2:17">
      <c r="B110" s="78" t="s">
        <v>1020</v>
      </c>
      <c r="C110" s="131">
        <v>9.6883333333333335E-2</v>
      </c>
      <c r="D110" s="131">
        <v>3.0233969230769233E-2</v>
      </c>
      <c r="E110" s="131">
        <f t="shared" si="1"/>
        <v>6.6649364102564099E-2</v>
      </c>
    </row>
    <row r="111" spans="2:17">
      <c r="B111" s="78" t="s">
        <v>1021</v>
      </c>
      <c r="C111" s="131">
        <v>9.7475000000000006E-2</v>
      </c>
      <c r="D111" s="131">
        <v>3.0863630769230772E-2</v>
      </c>
      <c r="E111" s="131">
        <f t="shared" si="1"/>
        <v>6.6611369230769241E-2</v>
      </c>
    </row>
    <row r="112" spans="2:17">
      <c r="B112" s="78" t="s">
        <v>1283</v>
      </c>
      <c r="C112" s="131">
        <v>9.6860000000000016E-2</v>
      </c>
      <c r="D112" s="131">
        <v>3.0584523076923074E-2</v>
      </c>
      <c r="E112" s="131">
        <f t="shared" si="1"/>
        <v>6.6275476923076948E-2</v>
      </c>
    </row>
    <row r="113" spans="2:5">
      <c r="B113" s="78" t="s">
        <v>1284</v>
      </c>
      <c r="C113" s="131">
        <v>9.5225000000000004E-2</v>
      </c>
      <c r="D113" s="131">
        <v>3.270189393939394E-2</v>
      </c>
      <c r="E113" s="131">
        <f t="shared" si="1"/>
        <v>6.2523106060606071E-2</v>
      </c>
    </row>
    <row r="114" spans="2:5">
      <c r="B114" s="78" t="s">
        <v>1285</v>
      </c>
      <c r="C114" s="131">
        <v>9.7166666666666665E-2</v>
      </c>
      <c r="D114" s="131">
        <v>3.0102703124999998E-2</v>
      </c>
      <c r="E114" s="131">
        <f t="shared" si="1"/>
        <v>6.706396354166666E-2</v>
      </c>
    </row>
    <row r="115" spans="2:5">
      <c r="B115" s="78" t="s">
        <v>1286</v>
      </c>
      <c r="C115" s="131">
        <v>9.5762499999999973E-2</v>
      </c>
      <c r="D115" s="131">
        <v>2.7823599999999997E-2</v>
      </c>
      <c r="E115" s="131">
        <f t="shared" si="1"/>
        <v>6.7938899999999969E-2</v>
      </c>
    </row>
    <row r="116" spans="2:5">
      <c r="B116" s="78" t="s">
        <v>1287</v>
      </c>
      <c r="C116" s="131">
        <v>9.5299999999999996E-2</v>
      </c>
      <c r="D116" s="131">
        <v>2.2855318181818182E-2</v>
      </c>
      <c r="E116" s="131">
        <f t="shared" si="1"/>
        <v>7.2444681818181811E-2</v>
      </c>
    </row>
    <row r="117" spans="2:5">
      <c r="B117" s="78" t="s">
        <v>1288</v>
      </c>
      <c r="C117" s="131">
        <v>9.8875000000000005E-2</v>
      </c>
      <c r="D117" s="131">
        <v>2.2538393939393941E-2</v>
      </c>
      <c r="E117" s="131">
        <f t="shared" si="1"/>
        <v>7.6336606060606063E-2</v>
      </c>
    </row>
    <row r="118" spans="2:5">
      <c r="B118" s="78" t="s">
        <v>1289</v>
      </c>
      <c r="C118" s="131">
        <v>9.7185714285714292E-2</v>
      </c>
      <c r="D118" s="131">
        <v>1.888032307692307E-2</v>
      </c>
      <c r="E118" s="131">
        <f t="shared" si="1"/>
        <v>7.8305391208791222E-2</v>
      </c>
    </row>
    <row r="119" spans="2:5">
      <c r="B119" s="78" t="s">
        <v>1290</v>
      </c>
      <c r="C119" s="131">
        <v>9.5750000000000002E-2</v>
      </c>
      <c r="D119" s="131">
        <v>1.3756846153846161E-2</v>
      </c>
      <c r="E119" s="131">
        <f t="shared" si="1"/>
        <v>8.1993153846153841E-2</v>
      </c>
    </row>
    <row r="120" spans="2:5">
      <c r="B120" s="78">
        <v>2020.3</v>
      </c>
      <c r="C120" s="131">
        <v>9.2999999999999985E-2</v>
      </c>
      <c r="D120" s="131">
        <v>1.3650969696969693E-2</v>
      </c>
      <c r="E120" s="131">
        <f t="shared" si="1"/>
        <v>7.9349030303030296E-2</v>
      </c>
    </row>
    <row r="121" spans="2:5">
      <c r="B121" s="78">
        <v>2020.4</v>
      </c>
      <c r="C121" s="131">
        <v>9.5599999999999991E-2</v>
      </c>
      <c r="D121" s="131">
        <v>1.6167287878787885E-2</v>
      </c>
      <c r="E121" s="131">
        <f t="shared" si="1"/>
        <v>7.9432712121212112E-2</v>
      </c>
    </row>
    <row r="122" spans="2:5">
      <c r="B122" s="78">
        <v>2021.1</v>
      </c>
      <c r="C122" s="131">
        <v>9.4500000000000001E-2</v>
      </c>
      <c r="D122" s="131">
        <v>2.0693546874999996E-2</v>
      </c>
      <c r="E122" s="131">
        <f t="shared" si="1"/>
        <v>7.3806453125000004E-2</v>
      </c>
    </row>
    <row r="123" spans="2:5">
      <c r="B123" s="78">
        <v>2021.2</v>
      </c>
      <c r="C123" s="131">
        <v>9.4683333333333328E-2</v>
      </c>
      <c r="D123" s="131">
        <v>2.2536384615384621E-2</v>
      </c>
      <c r="E123" s="131">
        <f t="shared" si="1"/>
        <v>7.2146948717948703E-2</v>
      </c>
    </row>
    <row r="124" spans="2:5">
      <c r="B124" s="78">
        <v>2021.3</v>
      </c>
      <c r="C124" s="131">
        <v>9.2740000000000003E-2</v>
      </c>
      <c r="D124" s="131">
        <v>1.9311075757575756E-2</v>
      </c>
      <c r="E124" s="131">
        <f t="shared" si="1"/>
        <v>7.3428924242424254E-2</v>
      </c>
    </row>
    <row r="125" spans="2:5">
      <c r="B125" s="141" t="s">
        <v>63</v>
      </c>
      <c r="C125" s="142">
        <f>AVERAGE(C6:C124)</f>
        <v>0.10651084364137808</v>
      </c>
      <c r="D125" s="142">
        <f t="shared" ref="D125:E125" si="2">AVERAGE(D6:D124)</f>
        <v>4.6228186307865238E-2</v>
      </c>
      <c r="E125" s="142">
        <f t="shared" si="2"/>
        <v>6.0282657333512901E-2</v>
      </c>
    </row>
    <row r="126" spans="2:5" ht="13.15" thickBot="1">
      <c r="B126" s="143" t="s">
        <v>65</v>
      </c>
      <c r="C126" s="144">
        <f>MEDIAN(C6:C124)</f>
        <v>0.10592500000000001</v>
      </c>
      <c r="D126" s="144">
        <f t="shared" ref="D126:E126" si="3">MEDIAN(D6:D124)</f>
        <v>4.633183076923076E-2</v>
      </c>
      <c r="E126" s="144">
        <f t="shared" si="3"/>
        <v>6.1768030303030318E-2</v>
      </c>
    </row>
    <row r="127" spans="2:5">
      <c r="B127" s="78"/>
      <c r="C127" s="126"/>
      <c r="D127" s="131"/>
    </row>
    <row r="128" spans="2:5">
      <c r="C128" s="126"/>
      <c r="D128" s="131"/>
    </row>
    <row r="129" spans="2:4">
      <c r="B129" s="78"/>
      <c r="D129" s="131"/>
    </row>
    <row r="130" spans="2:4">
      <c r="B130" s="78"/>
      <c r="D130" s="131"/>
    </row>
    <row r="131" spans="2:4">
      <c r="D131" s="131"/>
    </row>
    <row r="132" spans="2:4">
      <c r="D132" s="131"/>
    </row>
    <row r="133" spans="2:4">
      <c r="D133" s="131"/>
    </row>
    <row r="134" spans="2:4">
      <c r="D134" s="131"/>
    </row>
    <row r="135" spans="2:4">
      <c r="D135" s="131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&amp;LDRAFT- PRIVILEGED AND CONFIDENTIAL
PREPARED AT THE REQUEST OF COUNSEL
&amp;RSchedule AEB-7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5A44-26C9-4919-A7F9-CA7CF6A25AEA}">
  <sheetPr codeName="Sheet3"/>
  <dimension ref="A2:T101"/>
  <sheetViews>
    <sheetView zoomScale="90" zoomScaleNormal="90" zoomScaleSheetLayoutView="90" workbookViewId="0">
      <pane ySplit="9" topLeftCell="A49" activePane="bottomLeft" state="frozen"/>
      <selection pane="bottomLeft" activeCell="J94" sqref="J94"/>
    </sheetView>
  </sheetViews>
  <sheetFormatPr defaultColWidth="9.1328125" defaultRowHeight="12.75"/>
  <cols>
    <col min="1" max="1" width="2.59765625" style="5" customWidth="1"/>
    <col min="2" max="2" width="33.1328125" style="5" customWidth="1"/>
    <col min="3" max="3" width="12" style="5" customWidth="1"/>
    <col min="4" max="4" width="13.3984375" style="5" customWidth="1"/>
    <col min="5" max="5" width="12.3984375" style="5" customWidth="1"/>
    <col min="6" max="6" width="11.265625" style="5" customWidth="1"/>
    <col min="7" max="9" width="11" style="5" customWidth="1"/>
    <col min="10" max="10" width="9.3984375" style="5" bestFit="1" customWidth="1"/>
    <col min="11" max="11" width="8" style="5" customWidth="1"/>
    <col min="12" max="15" width="9.1328125" style="5"/>
    <col min="16" max="16" width="9.1328125" style="5" customWidth="1"/>
    <col min="17" max="20" width="10.265625" style="5" bestFit="1" customWidth="1"/>
    <col min="21" max="16384" width="9.1328125" style="5"/>
  </cols>
  <sheetData>
    <row r="2" spans="1:13" s="229" customFormat="1" ht="11.25" customHeight="1">
      <c r="A2" s="501" t="s">
        <v>1369</v>
      </c>
      <c r="B2" s="501"/>
      <c r="C2" s="501"/>
      <c r="D2" s="501"/>
      <c r="E2" s="501"/>
      <c r="F2" s="501"/>
      <c r="G2" s="501"/>
      <c r="H2" s="501"/>
      <c r="I2" s="501"/>
      <c r="J2" s="501"/>
      <c r="K2" s="228"/>
    </row>
    <row r="3" spans="1:13" ht="12" customHeight="1">
      <c r="A3" s="502" t="s">
        <v>1355</v>
      </c>
      <c r="B3" s="502"/>
      <c r="C3" s="502"/>
      <c r="D3" s="502"/>
      <c r="E3" s="502"/>
      <c r="F3" s="502"/>
      <c r="G3" s="502"/>
      <c r="H3" s="502"/>
      <c r="I3" s="502"/>
      <c r="J3" s="502"/>
      <c r="K3" s="230"/>
    </row>
    <row r="4" spans="1:13">
      <c r="A4" s="231"/>
    </row>
    <row r="5" spans="1:13" ht="13.15" thickBot="1">
      <c r="A5" s="231"/>
      <c r="D5" s="232" t="s">
        <v>0</v>
      </c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5</v>
      </c>
      <c r="J5" s="232" t="s">
        <v>6</v>
      </c>
      <c r="K5" s="232"/>
    </row>
    <row r="6" spans="1:13" ht="12.75" customHeight="1">
      <c r="A6" s="233"/>
      <c r="B6" s="234"/>
      <c r="C6" s="234"/>
      <c r="D6" s="234"/>
      <c r="E6" s="234"/>
      <c r="F6" s="234"/>
      <c r="G6" s="234"/>
      <c r="H6" s="234"/>
      <c r="I6" s="234"/>
      <c r="J6" s="235" t="s">
        <v>1692</v>
      </c>
      <c r="K6" s="236"/>
    </row>
    <row r="7" spans="1:13">
      <c r="J7" s="236" t="s">
        <v>1356</v>
      </c>
      <c r="K7" s="236"/>
    </row>
    <row r="8" spans="1:13">
      <c r="J8" s="236">
        <v>2020</v>
      </c>
      <c r="K8" s="236"/>
    </row>
    <row r="9" spans="1:13">
      <c r="A9" s="20"/>
      <c r="B9" s="20"/>
      <c r="C9" s="20"/>
      <c r="D9" s="237">
        <v>2020</v>
      </c>
      <c r="E9" s="237">
        <v>2022</v>
      </c>
      <c r="F9" s="237">
        <v>2023</v>
      </c>
      <c r="G9" s="237">
        <f>F9+1</f>
        <v>2024</v>
      </c>
      <c r="H9" s="237">
        <v>2025</v>
      </c>
      <c r="I9" s="237">
        <v>2026</v>
      </c>
      <c r="J9" s="238" t="s">
        <v>1357</v>
      </c>
      <c r="K9" s="236"/>
      <c r="L9" s="239" t="s">
        <v>1358</v>
      </c>
    </row>
    <row r="10" spans="1:13">
      <c r="D10" s="232"/>
      <c r="E10" s="232"/>
      <c r="F10" s="232"/>
      <c r="G10" s="232"/>
      <c r="H10" s="232"/>
      <c r="I10" s="232"/>
      <c r="J10" s="232"/>
      <c r="K10" s="232"/>
    </row>
    <row r="11" spans="1:13">
      <c r="A11" s="5" t="s">
        <v>1022</v>
      </c>
      <c r="C11" s="5" t="s">
        <v>1023</v>
      </c>
    </row>
    <row r="12" spans="1:13">
      <c r="A12"/>
      <c r="B12" t="s">
        <v>1359</v>
      </c>
      <c r="E12" s="240">
        <v>3.7</v>
      </c>
      <c r="F12" s="240">
        <f>AVERAGE(E12,G12)</f>
        <v>4.0999999999999996</v>
      </c>
      <c r="G12" s="240">
        <v>4.5</v>
      </c>
      <c r="H12" s="240">
        <f>$G12</f>
        <v>4.5</v>
      </c>
      <c r="I12" s="240">
        <f>H12</f>
        <v>4.5</v>
      </c>
    </row>
    <row r="13" spans="1:13">
      <c r="A13"/>
      <c r="B13" t="s">
        <v>1360</v>
      </c>
      <c r="D13" s="20"/>
      <c r="E13" s="125">
        <v>52.75</v>
      </c>
      <c r="F13" s="241">
        <f>AVERAGE(E13,G13)</f>
        <v>53.375</v>
      </c>
      <c r="G13" s="241">
        <v>54</v>
      </c>
      <c r="H13" s="241">
        <f>$G13</f>
        <v>54</v>
      </c>
      <c r="I13" s="241">
        <f>H13</f>
        <v>54</v>
      </c>
      <c r="J13" s="20"/>
    </row>
    <row r="14" spans="1:13">
      <c r="A14"/>
      <c r="B14" t="s">
        <v>1361</v>
      </c>
      <c r="E14" s="242">
        <f>E12*E13</f>
        <v>195.17500000000001</v>
      </c>
      <c r="F14" s="242">
        <f>F12*F13</f>
        <v>218.83749999999998</v>
      </c>
      <c r="G14" s="242">
        <f>G12*G13</f>
        <v>243</v>
      </c>
      <c r="H14" s="242">
        <f t="shared" ref="H14:I14" si="0">H12*H13</f>
        <v>243</v>
      </c>
      <c r="I14" s="242">
        <f t="shared" si="0"/>
        <v>243</v>
      </c>
      <c r="J14" s="243">
        <f>SUM(E14:I14)/D15</f>
        <v>0.23612057924310031</v>
      </c>
      <c r="K14" s="243"/>
      <c r="L14" s="244">
        <f t="shared" ref="L14:L45" si="1">IFERROR(RANK(J14,$J$14:$J$90,1),"")</f>
        <v>1</v>
      </c>
      <c r="M14" s="5" t="str">
        <f>C11</f>
        <v>ALE</v>
      </c>
    </row>
    <row r="15" spans="1:13">
      <c r="A15"/>
      <c r="B15" t="s">
        <v>1357</v>
      </c>
      <c r="D15" s="242">
        <v>4840.8</v>
      </c>
      <c r="L15" s="244" t="str">
        <f t="shared" si="1"/>
        <v/>
      </c>
    </row>
    <row r="16" spans="1:13">
      <c r="A16" s="5" t="s">
        <v>1024</v>
      </c>
      <c r="B16"/>
      <c r="C16" s="5" t="s">
        <v>792</v>
      </c>
      <c r="L16" s="244" t="str">
        <f t="shared" si="1"/>
        <v/>
      </c>
    </row>
    <row r="17" spans="1:13">
      <c r="A17"/>
      <c r="B17" t="s">
        <v>1359</v>
      </c>
      <c r="E17" s="240">
        <v>6.6</v>
      </c>
      <c r="F17" s="240">
        <f>AVERAGE(E17,G17)</f>
        <v>6.3</v>
      </c>
      <c r="G17" s="240">
        <v>6</v>
      </c>
      <c r="H17" s="240">
        <f>$G17</f>
        <v>6</v>
      </c>
      <c r="I17" s="240">
        <f>H17</f>
        <v>6</v>
      </c>
      <c r="L17" s="244" t="str">
        <f t="shared" si="1"/>
        <v/>
      </c>
    </row>
    <row r="18" spans="1:13">
      <c r="A18"/>
      <c r="B18" t="s">
        <v>1360</v>
      </c>
      <c r="D18" s="20"/>
      <c r="E18" s="125">
        <v>251</v>
      </c>
      <c r="F18" s="241">
        <f>AVERAGE(E18,G18)</f>
        <v>251.75</v>
      </c>
      <c r="G18" s="241">
        <v>252.5</v>
      </c>
      <c r="H18" s="241">
        <f>$G18</f>
        <v>252.5</v>
      </c>
      <c r="I18" s="241">
        <f>H18</f>
        <v>252.5</v>
      </c>
      <c r="J18" s="20"/>
      <c r="L18" s="244" t="str">
        <f t="shared" si="1"/>
        <v/>
      </c>
    </row>
    <row r="19" spans="1:13">
      <c r="A19"/>
      <c r="B19" t="s">
        <v>1361</v>
      </c>
      <c r="E19" s="242">
        <f>E17*E18</f>
        <v>1656.6</v>
      </c>
      <c r="F19" s="242">
        <f>F17*F18</f>
        <v>1586.0249999999999</v>
      </c>
      <c r="G19" s="242">
        <f>G17*G18</f>
        <v>1515</v>
      </c>
      <c r="H19" s="242">
        <f t="shared" ref="H19:I19" si="2">H17*H18</f>
        <v>1515</v>
      </c>
      <c r="I19" s="242">
        <f t="shared" si="2"/>
        <v>1515</v>
      </c>
      <c r="J19" s="243">
        <f>SUM(E19:I19)/D20</f>
        <v>0.5432216099330357</v>
      </c>
      <c r="K19" s="243"/>
      <c r="L19" s="244">
        <f t="shared" si="1"/>
        <v>11</v>
      </c>
      <c r="M19" s="5" t="str">
        <f>C16</f>
        <v>LNT</v>
      </c>
    </row>
    <row r="20" spans="1:13">
      <c r="A20"/>
      <c r="B20" t="s">
        <v>1357</v>
      </c>
      <c r="D20" s="242">
        <v>14336</v>
      </c>
      <c r="L20" s="244" t="str">
        <f t="shared" si="1"/>
        <v/>
      </c>
    </row>
    <row r="21" spans="1:13">
      <c r="A21" s="5" t="s">
        <v>1025</v>
      </c>
      <c r="B21" s="245"/>
      <c r="C21" s="5" t="s">
        <v>350</v>
      </c>
      <c r="L21" s="244" t="str">
        <f t="shared" si="1"/>
        <v/>
      </c>
    </row>
    <row r="22" spans="1:13">
      <c r="A22"/>
      <c r="B22" t="s">
        <v>1359</v>
      </c>
      <c r="E22" s="240">
        <v>11.8</v>
      </c>
      <c r="F22" s="240">
        <f>AVERAGE(E22,G22)</f>
        <v>12.275</v>
      </c>
      <c r="G22" s="240">
        <v>12.75</v>
      </c>
      <c r="H22" s="240">
        <f>$G22</f>
        <v>12.75</v>
      </c>
      <c r="I22" s="240">
        <f>H22</f>
        <v>12.75</v>
      </c>
      <c r="L22" s="244" t="str">
        <f t="shared" si="1"/>
        <v/>
      </c>
    </row>
    <row r="23" spans="1:13">
      <c r="A23"/>
      <c r="B23" t="s">
        <v>1360</v>
      </c>
      <c r="D23" s="20"/>
      <c r="E23" s="125">
        <v>265</v>
      </c>
      <c r="F23" s="241">
        <f>AVERAGE(E23,G23)</f>
        <v>272.5</v>
      </c>
      <c r="G23" s="241">
        <v>280</v>
      </c>
      <c r="H23" s="241">
        <f>$G23</f>
        <v>280</v>
      </c>
      <c r="I23" s="241">
        <f>H23</f>
        <v>280</v>
      </c>
      <c r="J23" s="20"/>
      <c r="L23" s="244" t="str">
        <f t="shared" si="1"/>
        <v/>
      </c>
    </row>
    <row r="24" spans="1:13">
      <c r="A24"/>
      <c r="B24" t="s">
        <v>1361</v>
      </c>
      <c r="E24" s="242">
        <f>E22*E23</f>
        <v>3127</v>
      </c>
      <c r="F24" s="242">
        <f>F22*F23</f>
        <v>3344.9375</v>
      </c>
      <c r="G24" s="242">
        <f>G22*G23</f>
        <v>3570</v>
      </c>
      <c r="H24" s="242">
        <f t="shared" ref="H24:I24" si="3">H22*H23</f>
        <v>3570</v>
      </c>
      <c r="I24" s="242">
        <f t="shared" si="3"/>
        <v>3570</v>
      </c>
      <c r="J24" s="243">
        <f>SUM(E24:I24)/D25</f>
        <v>0.64094965867124254</v>
      </c>
      <c r="K24" s="243"/>
      <c r="L24" s="244">
        <f t="shared" si="1"/>
        <v>14</v>
      </c>
      <c r="M24" s="5" t="str">
        <f>C21</f>
        <v>AEE</v>
      </c>
    </row>
    <row r="25" spans="1:13">
      <c r="A25"/>
      <c r="B25" t="s">
        <v>1357</v>
      </c>
      <c r="D25" s="242">
        <v>26807</v>
      </c>
      <c r="L25" s="244" t="str">
        <f t="shared" si="1"/>
        <v/>
      </c>
    </row>
    <row r="26" spans="1:13">
      <c r="A26" s="5" t="s">
        <v>1026</v>
      </c>
      <c r="B26"/>
      <c r="C26" s="5" t="s">
        <v>19</v>
      </c>
      <c r="L26" s="244" t="str">
        <f t="shared" si="1"/>
        <v/>
      </c>
    </row>
    <row r="27" spans="1:13">
      <c r="A27"/>
      <c r="B27" t="s">
        <v>1359</v>
      </c>
      <c r="E27" s="240">
        <v>15.6</v>
      </c>
      <c r="F27" s="240">
        <f>AVERAGE(E27,G27)</f>
        <v>15.425000000000001</v>
      </c>
      <c r="G27" s="240">
        <v>15.25</v>
      </c>
      <c r="H27" s="240">
        <f>$G27</f>
        <v>15.25</v>
      </c>
      <c r="I27" s="240">
        <f>H27</f>
        <v>15.25</v>
      </c>
      <c r="L27" s="244" t="str">
        <f t="shared" si="1"/>
        <v/>
      </c>
    </row>
    <row r="28" spans="1:13">
      <c r="A28"/>
      <c r="B28" t="s">
        <v>1360</v>
      </c>
      <c r="D28" s="20"/>
      <c r="E28" s="125">
        <v>530</v>
      </c>
      <c r="F28" s="241">
        <f>AVERAGE(E28,G28)</f>
        <v>540</v>
      </c>
      <c r="G28" s="241">
        <v>550</v>
      </c>
      <c r="H28" s="241">
        <f>$G28</f>
        <v>550</v>
      </c>
      <c r="I28" s="241">
        <f>H28</f>
        <v>550</v>
      </c>
      <c r="J28" s="20"/>
      <c r="L28" s="244" t="str">
        <f t="shared" si="1"/>
        <v/>
      </c>
    </row>
    <row r="29" spans="1:13">
      <c r="A29"/>
      <c r="B29" t="s">
        <v>1361</v>
      </c>
      <c r="E29" s="242">
        <f>E27*E28</f>
        <v>8268</v>
      </c>
      <c r="F29" s="242">
        <f>F27*F28</f>
        <v>8329.5</v>
      </c>
      <c r="G29" s="242">
        <f>G27*G28</f>
        <v>8387.5</v>
      </c>
      <c r="H29" s="242">
        <f t="shared" ref="H29:I29" si="4">H27*H28</f>
        <v>8387.5</v>
      </c>
      <c r="I29" s="242">
        <f t="shared" si="4"/>
        <v>8387.5</v>
      </c>
      <c r="J29" s="243">
        <f>SUM(E29:I29)/D30</f>
        <v>0.65350067290538638</v>
      </c>
      <c r="K29" s="243"/>
      <c r="L29" s="244">
        <f t="shared" si="1"/>
        <v>15</v>
      </c>
      <c r="M29" s="5" t="str">
        <f>C26</f>
        <v>AEP</v>
      </c>
    </row>
    <row r="30" spans="1:13">
      <c r="A30"/>
      <c r="B30" t="s">
        <v>1357</v>
      </c>
      <c r="D30" s="242">
        <v>63902</v>
      </c>
      <c r="L30" s="244" t="str">
        <f t="shared" si="1"/>
        <v/>
      </c>
    </row>
    <row r="31" spans="1:13">
      <c r="A31" s="5" t="s">
        <v>1064</v>
      </c>
      <c r="C31" s="5" t="s">
        <v>1075</v>
      </c>
      <c r="L31" s="244" t="str">
        <f t="shared" si="1"/>
        <v/>
      </c>
    </row>
    <row r="32" spans="1:13">
      <c r="B32" s="5" t="s">
        <v>1359</v>
      </c>
      <c r="E32" s="240">
        <v>6.05</v>
      </c>
      <c r="F32" s="240">
        <f>AVERAGE(E32,G32)</f>
        <v>5.9</v>
      </c>
      <c r="G32" s="240">
        <v>5.75</v>
      </c>
      <c r="H32" s="240">
        <f>$G32</f>
        <v>5.75</v>
      </c>
      <c r="I32" s="240">
        <f>H32</f>
        <v>5.75</v>
      </c>
      <c r="L32" s="244" t="str">
        <f t="shared" si="1"/>
        <v/>
      </c>
    </row>
    <row r="33" spans="1:13">
      <c r="B33" s="5" t="s">
        <v>1360</v>
      </c>
      <c r="D33" s="20"/>
      <c r="E33" s="125">
        <v>72</v>
      </c>
      <c r="F33" s="241">
        <f>AVERAGE(E33,G33)</f>
        <v>73.5</v>
      </c>
      <c r="G33" s="241">
        <v>75</v>
      </c>
      <c r="H33" s="241">
        <f>$G33</f>
        <v>75</v>
      </c>
      <c r="I33" s="241">
        <f>H33</f>
        <v>75</v>
      </c>
      <c r="J33" s="20"/>
      <c r="L33" s="244" t="str">
        <f t="shared" si="1"/>
        <v/>
      </c>
    </row>
    <row r="34" spans="1:13">
      <c r="B34" s="5" t="s">
        <v>1361</v>
      </c>
      <c r="E34" s="242">
        <f>E32*E33</f>
        <v>435.59999999999997</v>
      </c>
      <c r="F34" s="242">
        <f>F32*F33</f>
        <v>433.65000000000003</v>
      </c>
      <c r="G34" s="242">
        <f>G32*G33</f>
        <v>431.25</v>
      </c>
      <c r="H34" s="242">
        <f t="shared" ref="H34:I34" si="5">H32*H33</f>
        <v>431.25</v>
      </c>
      <c r="I34" s="242">
        <f t="shared" si="5"/>
        <v>431.25</v>
      </c>
      <c r="J34" s="243">
        <f>SUM(E34:I34)/D35</f>
        <v>0.43332799102492181</v>
      </c>
      <c r="K34" s="243"/>
      <c r="L34" s="244">
        <f t="shared" si="1"/>
        <v>6</v>
      </c>
      <c r="M34" s="5" t="str">
        <f>C31</f>
        <v>AVA</v>
      </c>
    </row>
    <row r="35" spans="1:13">
      <c r="B35" s="5" t="s">
        <v>1357</v>
      </c>
      <c r="D35" s="242">
        <v>4991.6000000000004</v>
      </c>
      <c r="L35" s="244" t="str">
        <f t="shared" si="1"/>
        <v/>
      </c>
    </row>
    <row r="36" spans="1:13">
      <c r="A36" s="5" t="s">
        <v>1031</v>
      </c>
      <c r="C36" s="5" t="s">
        <v>438</v>
      </c>
      <c r="L36" s="244" t="str">
        <f t="shared" si="1"/>
        <v/>
      </c>
    </row>
    <row r="37" spans="1:13">
      <c r="B37" s="5" t="s">
        <v>1359</v>
      </c>
      <c r="E37" s="240">
        <v>16.600000000000001</v>
      </c>
      <c r="F37" s="240">
        <f>AVERAGE(E37,G37)</f>
        <v>16.05</v>
      </c>
      <c r="G37" s="240">
        <v>15.5</v>
      </c>
      <c r="H37" s="240">
        <f>$G37</f>
        <v>15.5</v>
      </c>
      <c r="I37" s="240">
        <f>H37</f>
        <v>15.5</v>
      </c>
      <c r="L37" s="244" t="str">
        <f t="shared" si="1"/>
        <v/>
      </c>
    </row>
    <row r="38" spans="1:13">
      <c r="B38" s="5" t="s">
        <v>1360</v>
      </c>
      <c r="D38" s="20"/>
      <c r="E38" s="125">
        <v>770</v>
      </c>
      <c r="F38" s="241">
        <f>AVERAGE(E38,G38)</f>
        <v>770</v>
      </c>
      <c r="G38" s="241">
        <v>770</v>
      </c>
      <c r="H38" s="241">
        <f>$G38</f>
        <v>770</v>
      </c>
      <c r="I38" s="241">
        <f>H38</f>
        <v>770</v>
      </c>
      <c r="J38" s="20"/>
      <c r="L38" s="244" t="str">
        <f t="shared" si="1"/>
        <v/>
      </c>
    </row>
    <row r="39" spans="1:13">
      <c r="B39" s="5" t="s">
        <v>1361</v>
      </c>
      <c r="E39" s="242">
        <f>E37*E38</f>
        <v>12782.000000000002</v>
      </c>
      <c r="F39" s="242">
        <f>F37*F38</f>
        <v>12358.5</v>
      </c>
      <c r="G39" s="242">
        <f>G37*G38</f>
        <v>11935</v>
      </c>
      <c r="H39" s="242">
        <f t="shared" ref="H39:I39" si="6">H37*H38</f>
        <v>11935</v>
      </c>
      <c r="I39" s="242">
        <f t="shared" si="6"/>
        <v>11935</v>
      </c>
      <c r="J39" s="243">
        <f>SUM(E39:I39)/D40</f>
        <v>0.57074694236856394</v>
      </c>
      <c r="K39" s="243"/>
      <c r="L39" s="244">
        <f t="shared" si="1"/>
        <v>13</v>
      </c>
      <c r="M39" s="5" t="str">
        <f>C36</f>
        <v>DUK</v>
      </c>
    </row>
    <row r="40" spans="1:13">
      <c r="B40" s="5" t="s">
        <v>1357</v>
      </c>
      <c r="D40" s="242">
        <v>106782</v>
      </c>
      <c r="L40" s="244" t="str">
        <f t="shared" si="1"/>
        <v/>
      </c>
    </row>
    <row r="41" spans="1:13">
      <c r="A41" s="5" t="s">
        <v>1065</v>
      </c>
      <c r="C41" s="5" t="s">
        <v>448</v>
      </c>
      <c r="L41" s="244" t="str">
        <f t="shared" si="1"/>
        <v/>
      </c>
    </row>
    <row r="42" spans="1:13">
      <c r="B42" s="5" t="s">
        <v>1359</v>
      </c>
      <c r="E42" s="240">
        <v>17.350000000000001</v>
      </c>
      <c r="F42" s="240">
        <f>AVERAGE(E42,G42)</f>
        <v>18.3</v>
      </c>
      <c r="G42" s="240">
        <v>19.25</v>
      </c>
      <c r="H42" s="240">
        <f>$G42</f>
        <v>19.25</v>
      </c>
      <c r="I42" s="240">
        <f>H42</f>
        <v>19.25</v>
      </c>
      <c r="L42" s="244" t="str">
        <f t="shared" si="1"/>
        <v/>
      </c>
    </row>
    <row r="43" spans="1:13">
      <c r="B43" s="5" t="s">
        <v>1360</v>
      </c>
      <c r="D43" s="20"/>
      <c r="E43" s="246">
        <v>205</v>
      </c>
      <c r="F43" s="241">
        <f>AVERAGE(E43,G43)</f>
        <v>206.5</v>
      </c>
      <c r="G43" s="241">
        <v>208</v>
      </c>
      <c r="H43" s="241">
        <f>$G43</f>
        <v>208</v>
      </c>
      <c r="I43" s="241">
        <f>H43</f>
        <v>208</v>
      </c>
      <c r="J43" s="20"/>
      <c r="L43" s="244" t="str">
        <f t="shared" si="1"/>
        <v/>
      </c>
    </row>
    <row r="44" spans="1:13">
      <c r="B44" s="5" t="s">
        <v>1361</v>
      </c>
      <c r="E44" s="242">
        <f>E42*E43</f>
        <v>3556.7500000000005</v>
      </c>
      <c r="F44" s="242">
        <f>F42*F43</f>
        <v>3778.9500000000003</v>
      </c>
      <c r="G44" s="242">
        <f>G42*G43</f>
        <v>4004</v>
      </c>
      <c r="H44" s="242">
        <f t="shared" ref="H44:I44" si="7">H42*H43</f>
        <v>4004</v>
      </c>
      <c r="I44" s="242">
        <f t="shared" si="7"/>
        <v>4004</v>
      </c>
      <c r="J44" s="243">
        <f>SUM(E44:I44)/D45</f>
        <v>0.49797184258615812</v>
      </c>
      <c r="K44" s="243"/>
      <c r="L44" s="244">
        <f t="shared" si="1"/>
        <v>8</v>
      </c>
      <c r="M44" s="5" t="str">
        <f>C41</f>
        <v>ETR</v>
      </c>
    </row>
    <row r="45" spans="1:13">
      <c r="B45" s="5" t="s">
        <v>1357</v>
      </c>
      <c r="D45" s="242">
        <v>38853</v>
      </c>
      <c r="L45" s="244" t="str">
        <f t="shared" si="1"/>
        <v/>
      </c>
    </row>
    <row r="46" spans="1:13">
      <c r="A46" s="5" t="s">
        <v>1362</v>
      </c>
      <c r="C46" s="5" t="s">
        <v>1076</v>
      </c>
      <c r="D46" s="242"/>
      <c r="L46" s="244" t="str">
        <f t="shared" ref="L46:L77" si="8">IFERROR(RANK(J46,$J$14:$J$90,1),"")</f>
        <v/>
      </c>
    </row>
    <row r="47" spans="1:13">
      <c r="B47" s="5" t="s">
        <v>1359</v>
      </c>
      <c r="E47" s="240">
        <v>7.7</v>
      </c>
      <c r="F47" s="240">
        <f>AVERAGE(E47,G47)</f>
        <v>8.85</v>
      </c>
      <c r="G47" s="240">
        <v>10</v>
      </c>
      <c r="H47" s="240">
        <f>$G47</f>
        <v>10</v>
      </c>
      <c r="I47" s="240">
        <f>H47</f>
        <v>10</v>
      </c>
      <c r="L47" s="244" t="str">
        <f t="shared" si="8"/>
        <v/>
      </c>
    </row>
    <row r="48" spans="1:13">
      <c r="B48" s="5" t="s">
        <v>1360</v>
      </c>
      <c r="D48" s="20"/>
      <c r="E48" s="125">
        <v>50.45</v>
      </c>
      <c r="F48" s="241">
        <f>AVERAGE(E48,G48)</f>
        <v>50.45</v>
      </c>
      <c r="G48" s="241">
        <v>50.45</v>
      </c>
      <c r="H48" s="241">
        <f>$G48</f>
        <v>50.45</v>
      </c>
      <c r="I48" s="241">
        <f>H48</f>
        <v>50.45</v>
      </c>
      <c r="J48" s="20"/>
      <c r="L48" s="244" t="str">
        <f t="shared" si="8"/>
        <v/>
      </c>
    </row>
    <row r="49" spans="1:16">
      <c r="B49" s="5" t="s">
        <v>1361</v>
      </c>
      <c r="E49" s="242">
        <f>E47*E48</f>
        <v>388.46500000000003</v>
      </c>
      <c r="F49" s="242">
        <f>F47*F48</f>
        <v>446.48250000000002</v>
      </c>
      <c r="G49" s="242">
        <f>G47*G48</f>
        <v>504.5</v>
      </c>
      <c r="H49" s="242">
        <f t="shared" ref="H49:I49" si="9">H47*H48</f>
        <v>504.5</v>
      </c>
      <c r="I49" s="242">
        <f t="shared" si="9"/>
        <v>504.5</v>
      </c>
      <c r="J49" s="243">
        <f>SUM(E49:I49)/D50</f>
        <v>0.49866174753158515</v>
      </c>
      <c r="K49" s="243"/>
      <c r="L49" s="244">
        <f t="shared" si="8"/>
        <v>9</v>
      </c>
      <c r="M49" s="5" t="str">
        <f>C46</f>
        <v>IDA</v>
      </c>
    </row>
    <row r="50" spans="1:16">
      <c r="B50" s="5" t="s">
        <v>1357</v>
      </c>
      <c r="D50" s="242">
        <v>4709.5</v>
      </c>
      <c r="L50" s="244" t="str">
        <f t="shared" si="8"/>
        <v/>
      </c>
    </row>
    <row r="51" spans="1:16">
      <c r="A51" s="5" t="s">
        <v>1363</v>
      </c>
      <c r="C51" s="5" t="s">
        <v>1077</v>
      </c>
      <c r="D51" s="242"/>
      <c r="L51" s="244" t="str">
        <f t="shared" si="8"/>
        <v/>
      </c>
    </row>
    <row r="52" spans="1:16">
      <c r="B52" s="5" t="s">
        <v>1359</v>
      </c>
      <c r="E52" s="240">
        <v>4.8499999999999996</v>
      </c>
      <c r="F52" s="240">
        <f>AVERAGE(E52,G52)</f>
        <v>4.6749999999999998</v>
      </c>
      <c r="G52" s="240">
        <v>4.5</v>
      </c>
      <c r="H52" s="240">
        <f>$G52</f>
        <v>4.5</v>
      </c>
      <c r="I52" s="240">
        <f>H52</f>
        <v>4.5</v>
      </c>
      <c r="L52" s="244" t="str">
        <f t="shared" si="8"/>
        <v/>
      </c>
    </row>
    <row r="53" spans="1:16">
      <c r="B53" s="5" t="s">
        <v>1360</v>
      </c>
      <c r="D53" s="20"/>
      <c r="E53" s="246">
        <v>36.159999999999997</v>
      </c>
      <c r="F53" s="241">
        <f>AVERAGE(E53,G53)</f>
        <v>36.159999999999997</v>
      </c>
      <c r="G53" s="241">
        <v>36.159999999999997</v>
      </c>
      <c r="H53" s="241">
        <f>$G53</f>
        <v>36.159999999999997</v>
      </c>
      <c r="I53" s="241">
        <f>H53</f>
        <v>36.159999999999997</v>
      </c>
      <c r="J53" s="20"/>
      <c r="L53" s="244" t="str">
        <f t="shared" si="8"/>
        <v/>
      </c>
    </row>
    <row r="54" spans="1:16">
      <c r="B54" s="5" t="s">
        <v>1361</v>
      </c>
      <c r="E54" s="242">
        <f>E52*E53</f>
        <v>175.37599999999998</v>
      </c>
      <c r="F54" s="242">
        <f>F52*F53</f>
        <v>169.04799999999997</v>
      </c>
      <c r="G54" s="242">
        <f>G52*G53</f>
        <v>162.71999999999997</v>
      </c>
      <c r="H54" s="242">
        <f t="shared" ref="H54:I54" si="10">H52*H53</f>
        <v>162.71999999999997</v>
      </c>
      <c r="I54" s="242">
        <f t="shared" si="10"/>
        <v>162.71999999999997</v>
      </c>
      <c r="J54" s="243">
        <f>SUM(E54:I54)/D55</f>
        <v>0.47054594777890796</v>
      </c>
      <c r="K54" s="243"/>
      <c r="L54" s="244">
        <f t="shared" si="8"/>
        <v>7</v>
      </c>
      <c r="M54" s="5" t="str">
        <f>C51</f>
        <v>MGEE</v>
      </c>
    </row>
    <row r="55" spans="1:16">
      <c r="B55" s="5" t="s">
        <v>1357</v>
      </c>
      <c r="D55" s="242">
        <v>1769.4</v>
      </c>
      <c r="L55" s="244" t="str">
        <f t="shared" si="8"/>
        <v/>
      </c>
    </row>
    <row r="56" spans="1:16">
      <c r="A56" s="5" t="s">
        <v>1068</v>
      </c>
      <c r="C56" s="5" t="s">
        <v>546</v>
      </c>
      <c r="D56" s="242"/>
      <c r="L56" s="244" t="str">
        <f t="shared" si="8"/>
        <v/>
      </c>
    </row>
    <row r="57" spans="1:16">
      <c r="B57" s="5" t="s">
        <v>1359</v>
      </c>
      <c r="E57" s="240">
        <v>7.6</v>
      </c>
      <c r="F57" s="240">
        <f>AVERAGE(E57,G57)</f>
        <v>8.3000000000000007</v>
      </c>
      <c r="G57" s="240">
        <v>9</v>
      </c>
      <c r="H57" s="240">
        <f>$G57</f>
        <v>9</v>
      </c>
      <c r="I57" s="240">
        <f>H57</f>
        <v>9</v>
      </c>
      <c r="L57" s="244" t="str">
        <f t="shared" si="8"/>
        <v/>
      </c>
    </row>
    <row r="58" spans="1:16">
      <c r="B58" s="5" t="s">
        <v>1360</v>
      </c>
      <c r="D58" s="20"/>
      <c r="E58" s="247">
        <v>1980</v>
      </c>
      <c r="F58" s="247">
        <f>AVERAGE(E58,G58)</f>
        <v>2002.5</v>
      </c>
      <c r="G58" s="247">
        <v>2025</v>
      </c>
      <c r="H58" s="241">
        <f>$G58</f>
        <v>2025</v>
      </c>
      <c r="I58" s="241">
        <f>H58</f>
        <v>2025</v>
      </c>
      <c r="J58" s="20"/>
      <c r="L58" s="244" t="str">
        <f t="shared" si="8"/>
        <v/>
      </c>
    </row>
    <row r="59" spans="1:16">
      <c r="B59" s="5" t="s">
        <v>1361</v>
      </c>
      <c r="E59" s="242">
        <f>E57*E58</f>
        <v>15048</v>
      </c>
      <c r="F59" s="242">
        <f>F57*F58</f>
        <v>16620.75</v>
      </c>
      <c r="G59" s="242">
        <f>G57*G58</f>
        <v>18225</v>
      </c>
      <c r="H59" s="242">
        <f t="shared" ref="H59:I59" si="11">H57*H58</f>
        <v>18225</v>
      </c>
      <c r="I59" s="242">
        <f t="shared" si="11"/>
        <v>18225</v>
      </c>
      <c r="J59" s="243">
        <f>SUM(E59:I59)/D60</f>
        <v>0.94053298911800265</v>
      </c>
      <c r="K59" s="243"/>
      <c r="L59" s="244">
        <f t="shared" si="8"/>
        <v>16</v>
      </c>
      <c r="M59" s="5" t="str">
        <f>C56</f>
        <v>NEE</v>
      </c>
    </row>
    <row r="60" spans="1:16">
      <c r="B60" s="5" t="s">
        <v>1357</v>
      </c>
      <c r="D60" s="242">
        <v>91803</v>
      </c>
      <c r="L60" s="244" t="str">
        <f t="shared" si="8"/>
        <v/>
      </c>
    </row>
    <row r="61" spans="1:16">
      <c r="A61" s="5" t="s">
        <v>1027</v>
      </c>
      <c r="C61" s="5" t="s">
        <v>1028</v>
      </c>
      <c r="L61" s="244" t="str">
        <f t="shared" si="8"/>
        <v/>
      </c>
    </row>
    <row r="62" spans="1:16">
      <c r="B62" s="5" t="s">
        <v>1359</v>
      </c>
      <c r="E62" s="240">
        <v>8.5</v>
      </c>
      <c r="F62" s="240">
        <f>AVERAGE(E62,G62)</f>
        <v>7.875</v>
      </c>
      <c r="G62" s="240">
        <v>7.25</v>
      </c>
      <c r="H62" s="240">
        <f>$G62</f>
        <v>7.25</v>
      </c>
      <c r="I62" s="240">
        <f>H62</f>
        <v>7.25</v>
      </c>
      <c r="L62" s="244" t="str">
        <f t="shared" si="8"/>
        <v/>
      </c>
    </row>
    <row r="63" spans="1:16">
      <c r="B63" s="5" t="s">
        <v>1360</v>
      </c>
      <c r="D63" s="20"/>
      <c r="E63" s="125">
        <v>53.5</v>
      </c>
      <c r="F63" s="241">
        <f>AVERAGE(E63,G63)</f>
        <v>54</v>
      </c>
      <c r="G63" s="241">
        <v>54.5</v>
      </c>
      <c r="H63" s="241">
        <f>$G63</f>
        <v>54.5</v>
      </c>
      <c r="I63" s="241">
        <f>H63</f>
        <v>54.5</v>
      </c>
      <c r="J63" s="20"/>
      <c r="L63" s="244" t="str">
        <f t="shared" si="8"/>
        <v/>
      </c>
      <c r="P63" s="248"/>
    </row>
    <row r="64" spans="1:16">
      <c r="B64" s="5" t="s">
        <v>1361</v>
      </c>
      <c r="E64" s="242">
        <f>E62*E63</f>
        <v>454.75</v>
      </c>
      <c r="F64" s="242">
        <f>F62*F63</f>
        <v>425.25</v>
      </c>
      <c r="G64" s="242">
        <f>G62*G63</f>
        <v>395.125</v>
      </c>
      <c r="H64" s="242">
        <f>H62*H63</f>
        <v>395.125</v>
      </c>
      <c r="I64" s="242">
        <f>I62*I63</f>
        <v>395.125</v>
      </c>
      <c r="J64" s="243">
        <f>SUM(E64:I64)/D65</f>
        <v>0.41700316986008201</v>
      </c>
      <c r="K64" s="243"/>
      <c r="L64" s="244">
        <f t="shared" si="8"/>
        <v>5</v>
      </c>
      <c r="M64" s="5" t="str">
        <f>C61</f>
        <v>NWE</v>
      </c>
    </row>
    <row r="65" spans="1:16">
      <c r="B65" s="5" t="s">
        <v>1357</v>
      </c>
      <c r="D65" s="242">
        <v>4952.8999999999996</v>
      </c>
      <c r="L65" s="244" t="str">
        <f t="shared" si="8"/>
        <v/>
      </c>
    </row>
    <row r="66" spans="1:16">
      <c r="A66" s="5" t="s">
        <v>1029</v>
      </c>
      <c r="C66" s="5" t="s">
        <v>1030</v>
      </c>
      <c r="L66" s="244" t="str">
        <f t="shared" si="8"/>
        <v/>
      </c>
      <c r="P66" s="249"/>
    </row>
    <row r="67" spans="1:16">
      <c r="B67" s="5" t="s">
        <v>1359</v>
      </c>
      <c r="E67" s="240">
        <v>5.55</v>
      </c>
      <c r="F67" s="240">
        <f>AVERAGE(E67,G67)</f>
        <v>4.1500000000000004</v>
      </c>
      <c r="G67" s="240">
        <v>2.75</v>
      </c>
      <c r="H67" s="240">
        <f>$G67</f>
        <v>2.75</v>
      </c>
      <c r="I67" s="240">
        <f>H67</f>
        <v>2.75</v>
      </c>
      <c r="L67" s="244" t="str">
        <f t="shared" si="8"/>
        <v/>
      </c>
      <c r="P67" s="249"/>
    </row>
    <row r="68" spans="1:16">
      <c r="B68" s="5" t="s">
        <v>1360</v>
      </c>
      <c r="D68" s="20"/>
      <c r="E68" s="246">
        <v>41.7</v>
      </c>
      <c r="F68" s="241">
        <f>AVERAGE(E68,G68)</f>
        <v>41.85</v>
      </c>
      <c r="G68" s="241">
        <v>42</v>
      </c>
      <c r="H68" s="241">
        <f>$G68</f>
        <v>42</v>
      </c>
      <c r="I68" s="241">
        <f>H68</f>
        <v>42</v>
      </c>
      <c r="J68" s="20"/>
      <c r="L68" s="244" t="str">
        <f t="shared" si="8"/>
        <v/>
      </c>
      <c r="P68" s="249"/>
    </row>
    <row r="69" spans="1:16">
      <c r="B69" s="5" t="s">
        <v>1361</v>
      </c>
      <c r="E69" s="242">
        <f>E67*E68</f>
        <v>231.435</v>
      </c>
      <c r="F69" s="242">
        <f>F67*F68</f>
        <v>173.67750000000001</v>
      </c>
      <c r="G69" s="242">
        <f>G67*G68</f>
        <v>115.5</v>
      </c>
      <c r="H69" s="242">
        <f t="shared" ref="H69:I69" si="12">H67*H68</f>
        <v>115.5</v>
      </c>
      <c r="I69" s="242">
        <f t="shared" si="12"/>
        <v>115.5</v>
      </c>
      <c r="J69" s="243">
        <f>SUM(E69:I69)/D70</f>
        <v>0.3667654808959156</v>
      </c>
      <c r="K69" s="243"/>
      <c r="L69" s="244">
        <f t="shared" si="8"/>
        <v>2</v>
      </c>
      <c r="M69" s="5" t="str">
        <f>C66</f>
        <v>OTTR</v>
      </c>
    </row>
    <row r="70" spans="1:16">
      <c r="B70" s="5" t="s">
        <v>1357</v>
      </c>
      <c r="D70" s="242">
        <v>2049.3000000000002</v>
      </c>
      <c r="L70" s="244" t="str">
        <f t="shared" si="8"/>
        <v/>
      </c>
      <c r="P70" s="249"/>
    </row>
    <row r="71" spans="1:16">
      <c r="A71" s="5" t="s">
        <v>1069</v>
      </c>
      <c r="C71" s="5" t="s">
        <v>1078</v>
      </c>
      <c r="L71" s="244" t="str">
        <f t="shared" si="8"/>
        <v/>
      </c>
    </row>
    <row r="72" spans="1:16">
      <c r="B72" s="5" t="s">
        <v>1359</v>
      </c>
      <c r="E72" s="240">
        <v>6.3</v>
      </c>
      <c r="F72" s="240">
        <f>AVERAGE(E72,G72)</f>
        <v>6.2750000000000004</v>
      </c>
      <c r="G72" s="240">
        <v>6.25</v>
      </c>
      <c r="H72" s="240">
        <f>$G72</f>
        <v>6.25</v>
      </c>
      <c r="I72" s="240">
        <f>H72</f>
        <v>6.25</v>
      </c>
      <c r="L72" s="244" t="str">
        <f t="shared" si="8"/>
        <v/>
      </c>
    </row>
    <row r="73" spans="1:16">
      <c r="B73" s="5" t="s">
        <v>1360</v>
      </c>
      <c r="D73" s="20"/>
      <c r="E73" s="125">
        <v>89.8</v>
      </c>
      <c r="F73" s="241">
        <f>AVERAGE(E73,G73)</f>
        <v>89.9</v>
      </c>
      <c r="G73" s="241">
        <v>90</v>
      </c>
      <c r="H73" s="241">
        <f>$G73</f>
        <v>90</v>
      </c>
      <c r="I73" s="241">
        <f>H73</f>
        <v>90</v>
      </c>
      <c r="J73" s="20"/>
      <c r="L73" s="244" t="str">
        <f t="shared" si="8"/>
        <v/>
      </c>
    </row>
    <row r="74" spans="1:16">
      <c r="B74" s="5" t="s">
        <v>1361</v>
      </c>
      <c r="E74" s="242">
        <f>E72*E73</f>
        <v>565.74</v>
      </c>
      <c r="F74" s="242">
        <f>F72*F73</f>
        <v>564.12250000000006</v>
      </c>
      <c r="G74" s="242">
        <f>G72*G73</f>
        <v>562.5</v>
      </c>
      <c r="H74" s="242">
        <f t="shared" ref="H74:I74" si="13">H72*H73</f>
        <v>562.5</v>
      </c>
      <c r="I74" s="242">
        <f t="shared" si="13"/>
        <v>562.5</v>
      </c>
      <c r="J74" s="243">
        <f>SUM(E74:I74)/D75</f>
        <v>0.37370506698501132</v>
      </c>
      <c r="K74" s="243"/>
      <c r="L74" s="244">
        <f t="shared" si="8"/>
        <v>3</v>
      </c>
      <c r="M74" s="5" t="str">
        <f>C71</f>
        <v>POR</v>
      </c>
    </row>
    <row r="75" spans="1:16">
      <c r="B75" s="5" t="s">
        <v>1357</v>
      </c>
      <c r="D75" s="242">
        <v>7539</v>
      </c>
      <c r="L75" s="244" t="str">
        <f t="shared" si="8"/>
        <v/>
      </c>
    </row>
    <row r="76" spans="1:16">
      <c r="A76" s="5" t="s">
        <v>1070</v>
      </c>
      <c r="C76" s="5" t="s">
        <v>21</v>
      </c>
      <c r="D76" s="242"/>
      <c r="L76" s="244" t="str">
        <f t="shared" si="8"/>
        <v/>
      </c>
    </row>
    <row r="77" spans="1:16">
      <c r="B77" s="5" t="s">
        <v>1359</v>
      </c>
      <c r="E77" s="240">
        <v>6.35</v>
      </c>
      <c r="F77" s="240">
        <f>AVERAGE(E77,G77)</f>
        <v>6.1749999999999998</v>
      </c>
      <c r="G77" s="240">
        <v>6</v>
      </c>
      <c r="H77" s="240">
        <f>$G77</f>
        <v>6</v>
      </c>
      <c r="I77" s="240">
        <f>H77</f>
        <v>6</v>
      </c>
      <c r="L77" s="244" t="str">
        <f t="shared" si="8"/>
        <v/>
      </c>
    </row>
    <row r="78" spans="1:16">
      <c r="B78" s="5" t="s">
        <v>1360</v>
      </c>
      <c r="D78" s="20"/>
      <c r="E78" s="247">
        <v>1105</v>
      </c>
      <c r="F78" s="241">
        <f>AVERAGE(E78,G78)</f>
        <v>1105</v>
      </c>
      <c r="G78" s="247">
        <v>1105</v>
      </c>
      <c r="H78" s="241">
        <f>$G78</f>
        <v>1105</v>
      </c>
      <c r="I78" s="241">
        <f>H78</f>
        <v>1105</v>
      </c>
      <c r="J78" s="20"/>
      <c r="L78" s="244" t="str">
        <f t="shared" ref="L78:L90" si="14">IFERROR(RANK(J78,$J$14:$J$90,1),"")</f>
        <v/>
      </c>
    </row>
    <row r="79" spans="1:16">
      <c r="B79" s="5" t="s">
        <v>1361</v>
      </c>
      <c r="E79" s="242">
        <f>E77*E78</f>
        <v>7016.75</v>
      </c>
      <c r="F79" s="242">
        <f>F77*F78</f>
        <v>6823.375</v>
      </c>
      <c r="G79" s="242">
        <f>G77*G78</f>
        <v>6630</v>
      </c>
      <c r="H79" s="242">
        <f t="shared" ref="H79:I79" si="15">H77*H78</f>
        <v>6630</v>
      </c>
      <c r="I79" s="242">
        <f t="shared" si="15"/>
        <v>6630</v>
      </c>
      <c r="J79" s="243">
        <f>SUM(E79:I79)/D80</f>
        <v>0.38489769952301617</v>
      </c>
      <c r="K79" s="243"/>
      <c r="L79" s="244">
        <f t="shared" si="14"/>
        <v>4</v>
      </c>
      <c r="M79" s="5" t="str">
        <f>C76</f>
        <v>SO</v>
      </c>
    </row>
    <row r="80" spans="1:16">
      <c r="B80" s="5" t="s">
        <v>1357</v>
      </c>
      <c r="D80" s="242">
        <v>87634</v>
      </c>
      <c r="L80" s="244" t="str">
        <f t="shared" si="14"/>
        <v/>
      </c>
    </row>
    <row r="81" spans="1:20">
      <c r="A81" s="5" t="s">
        <v>1032</v>
      </c>
      <c r="B81"/>
      <c r="C81" s="5" t="s">
        <v>640</v>
      </c>
      <c r="L81" s="244" t="str">
        <f t="shared" si="14"/>
        <v/>
      </c>
    </row>
    <row r="82" spans="1:20">
      <c r="A82"/>
      <c r="B82" t="s">
        <v>1359</v>
      </c>
      <c r="E82" s="240">
        <v>8.6999999999999993</v>
      </c>
      <c r="F82" s="240">
        <f>AVERAGE(E82,G82)</f>
        <v>8.6</v>
      </c>
      <c r="G82" s="240">
        <v>8.5</v>
      </c>
      <c r="H82" s="240">
        <f>$G82</f>
        <v>8.5</v>
      </c>
      <c r="I82" s="240">
        <f>H82</f>
        <v>8.5</v>
      </c>
      <c r="L82" s="244" t="str">
        <f t="shared" si="14"/>
        <v/>
      </c>
    </row>
    <row r="83" spans="1:20">
      <c r="A83"/>
      <c r="B83" t="s">
        <v>1360</v>
      </c>
      <c r="D83" s="20"/>
      <c r="E83" s="247">
        <v>544</v>
      </c>
      <c r="F83" s="241">
        <f>AVERAGE(E83,G83)</f>
        <v>548.5</v>
      </c>
      <c r="G83" s="247">
        <v>553</v>
      </c>
      <c r="H83" s="247">
        <f>$G83</f>
        <v>553</v>
      </c>
      <c r="I83" s="247">
        <f>H83</f>
        <v>553</v>
      </c>
      <c r="J83" s="20"/>
      <c r="L83" s="244" t="str">
        <f t="shared" si="14"/>
        <v/>
      </c>
    </row>
    <row r="84" spans="1:20">
      <c r="A84"/>
      <c r="B84" t="s">
        <v>1361</v>
      </c>
      <c r="E84" s="242">
        <f>E82*E83</f>
        <v>4732.7999999999993</v>
      </c>
      <c r="F84" s="242">
        <f>F82*F83</f>
        <v>4717.0999999999995</v>
      </c>
      <c r="G84" s="242">
        <f>G82*G83</f>
        <v>4700.5</v>
      </c>
      <c r="H84" s="242">
        <f t="shared" ref="H84:I84" si="16">H82*H83</f>
        <v>4700.5</v>
      </c>
      <c r="I84" s="242">
        <f t="shared" si="16"/>
        <v>4700.5</v>
      </c>
      <c r="J84" s="243">
        <f>SUM(E84:I84)/D85</f>
        <v>0.5483445867287543</v>
      </c>
      <c r="K84" s="243"/>
      <c r="L84" s="244">
        <f t="shared" si="14"/>
        <v>12</v>
      </c>
      <c r="M84" s="5" t="str">
        <f>C81</f>
        <v>XEL</v>
      </c>
    </row>
    <row r="85" spans="1:20">
      <c r="A85"/>
      <c r="B85" t="s">
        <v>1357</v>
      </c>
      <c r="C85" s="250"/>
      <c r="D85" s="242">
        <v>42950</v>
      </c>
      <c r="L85" s="244" t="str">
        <f t="shared" si="14"/>
        <v/>
      </c>
      <c r="P85" s="251"/>
      <c r="Q85" s="248"/>
    </row>
    <row r="86" spans="1:20">
      <c r="J86" s="243"/>
      <c r="K86" s="243"/>
      <c r="L86" s="244" t="str">
        <f t="shared" si="14"/>
        <v/>
      </c>
      <c r="P86" s="503"/>
      <c r="Q86" s="503"/>
      <c r="R86" s="503"/>
      <c r="S86" s="503"/>
      <c r="T86" s="503"/>
    </row>
    <row r="87" spans="1:20">
      <c r="A87" s="5" t="s">
        <v>1370</v>
      </c>
      <c r="C87" s="5" t="s">
        <v>1370</v>
      </c>
      <c r="E87" s="240"/>
      <c r="F87" s="240"/>
      <c r="G87" s="240"/>
      <c r="H87" s="240"/>
      <c r="I87" s="240"/>
      <c r="J87" s="243"/>
      <c r="K87" s="243"/>
      <c r="L87" s="244" t="str">
        <f t="shared" si="14"/>
        <v/>
      </c>
    </row>
    <row r="88" spans="1:20">
      <c r="B88" s="5" t="s">
        <v>1693</v>
      </c>
      <c r="C88" s="252"/>
      <c r="E88" s="240">
        <v>698</v>
      </c>
      <c r="F88" s="240">
        <v>551</v>
      </c>
      <c r="G88" s="240">
        <v>695</v>
      </c>
      <c r="H88" s="240">
        <v>707</v>
      </c>
      <c r="I88" s="240">
        <v>768</v>
      </c>
      <c r="J88" s="243"/>
      <c r="K88" s="243"/>
      <c r="L88" s="244" t="str">
        <f t="shared" si="14"/>
        <v/>
      </c>
    </row>
    <row r="89" spans="1:20">
      <c r="B89" s="5" t="s">
        <v>1694</v>
      </c>
      <c r="C89" s="252"/>
      <c r="E89" s="393">
        <v>0.53749999999999998</v>
      </c>
      <c r="F89" s="393">
        <f>E89</f>
        <v>0.53749999999999998</v>
      </c>
      <c r="G89" s="393">
        <f t="shared" ref="G89:I89" si="17">F89</f>
        <v>0.53749999999999998</v>
      </c>
      <c r="H89" s="393">
        <f t="shared" si="17"/>
        <v>0.53749999999999998</v>
      </c>
      <c r="I89" s="393">
        <f t="shared" si="17"/>
        <v>0.53749999999999998</v>
      </c>
      <c r="J89" s="243"/>
      <c r="K89" s="243"/>
      <c r="L89" s="244" t="str">
        <f t="shared" si="14"/>
        <v/>
      </c>
    </row>
    <row r="90" spans="1:20">
      <c r="B90" s="5" t="s">
        <v>1695</v>
      </c>
      <c r="D90" s="253"/>
      <c r="E90" s="394">
        <f>E88*E89</f>
        <v>375.17500000000001</v>
      </c>
      <c r="F90" s="394">
        <f t="shared" ref="F90:I90" si="18">F88*F89</f>
        <v>296.16249999999997</v>
      </c>
      <c r="G90" s="394">
        <f t="shared" si="18"/>
        <v>373.5625</v>
      </c>
      <c r="H90" s="394">
        <f t="shared" si="18"/>
        <v>380.01249999999999</v>
      </c>
      <c r="I90" s="394">
        <f t="shared" si="18"/>
        <v>412.79999999999995</v>
      </c>
      <c r="J90" s="254">
        <f>SUM(E90:I90)/D91</f>
        <v>0.53815867158550135</v>
      </c>
      <c r="K90" s="255"/>
      <c r="L90" s="244">
        <f t="shared" si="14"/>
        <v>10</v>
      </c>
      <c r="M90" s="5" t="str">
        <f>C87</f>
        <v>Evergy Metro</v>
      </c>
      <c r="P90" s="271"/>
      <c r="Q90" s="271"/>
      <c r="R90" s="271"/>
      <c r="S90" s="271"/>
      <c r="T90" s="271"/>
    </row>
    <row r="91" spans="1:20">
      <c r="B91" s="5" t="s">
        <v>1696</v>
      </c>
      <c r="D91" s="256">
        <f>3414815364/1000000</f>
        <v>3414.815364</v>
      </c>
      <c r="E91" s="242"/>
      <c r="F91" s="242"/>
      <c r="G91" s="242"/>
      <c r="H91" s="242"/>
      <c r="I91" s="242"/>
    </row>
    <row r="92" spans="1:20">
      <c r="D92" s="242"/>
      <c r="E92" s="5" t="s">
        <v>1374</v>
      </c>
      <c r="J92" s="257">
        <f>SUM(E90:I90)</f>
        <v>1837.7125000000001</v>
      </c>
      <c r="K92" s="257"/>
    </row>
    <row r="93" spans="1:20">
      <c r="E93" s="5" t="s">
        <v>1375</v>
      </c>
      <c r="J93" s="257">
        <f>AVERAGE(E90:I90)</f>
        <v>367.54250000000002</v>
      </c>
      <c r="K93" s="257"/>
    </row>
    <row r="94" spans="1:20">
      <c r="E94" s="5" t="s">
        <v>1364</v>
      </c>
      <c r="J94" s="482">
        <f>MEDIAN(J14:J84)</f>
        <v>0.49797184258615812</v>
      </c>
      <c r="K94" s="258"/>
    </row>
    <row r="95" spans="1:20">
      <c r="E95" s="5" t="s">
        <v>1376</v>
      </c>
      <c r="J95" s="259">
        <f>J90/J94</f>
        <v>1.080701006688727</v>
      </c>
      <c r="K95" s="259"/>
    </row>
    <row r="96" spans="1:20">
      <c r="J96" s="259"/>
      <c r="K96" s="259"/>
    </row>
    <row r="97" spans="1:2">
      <c r="A97" s="20" t="s">
        <v>22</v>
      </c>
      <c r="B97" s="20"/>
    </row>
    <row r="98" spans="1:2">
      <c r="A98" s="5" t="s">
        <v>1371</v>
      </c>
    </row>
    <row r="99" spans="1:2">
      <c r="A99" s="5" t="s">
        <v>1365</v>
      </c>
    </row>
    <row r="100" spans="1:2">
      <c r="A100" s="5" t="s">
        <v>1697</v>
      </c>
    </row>
    <row r="101" spans="1:2">
      <c r="B101"/>
    </row>
  </sheetData>
  <mergeCells count="3">
    <mergeCell ref="A2:J2"/>
    <mergeCell ref="A3:J3"/>
    <mergeCell ref="P86:T86"/>
  </mergeCells>
  <conditionalFormatting sqref="A21 A31 A36 A41 A61 A66 A81 A71 M14:M90">
    <cfRule type="expression" dxfId="15" priority="3">
      <formula>"(blank)"</formula>
    </cfRule>
  </conditionalFormatting>
  <conditionalFormatting sqref="A21 A31 A36 A41 A61 A66 A81 A71 M14:M90">
    <cfRule type="expression" dxfId="14" priority="4">
      <formula>#REF!</formula>
    </cfRule>
  </conditionalFormatting>
  <conditionalFormatting sqref="A26">
    <cfRule type="expression" dxfId="13" priority="1">
      <formula>"(blank)"</formula>
    </cfRule>
  </conditionalFormatting>
  <conditionalFormatting sqref="A26">
    <cfRule type="expression" dxfId="12" priority="2">
      <formula>#REF!</formula>
    </cfRule>
  </conditionalFormatting>
  <printOptions horizontalCentered="1"/>
  <pageMargins left="0.7" right="0.7" top="0.75" bottom="0.75" header="0.3" footer="0.3"/>
  <pageSetup scale="60" fitToHeight="0" orientation="portrait" useFirstPageNumber="1" r:id="rId1"/>
  <headerFooter>
    <oddHeader>&amp;LDRAFT- PRIVILEGED AND CONFIDENTIAL
PREPARED AT THE REQUEST OF COUNSEL&amp;RSchedule AEB-8
Page &amp;P of 3</oddHeader>
  </headerFooter>
  <rowBreaks count="1" manualBreakCount="1">
    <brk id="65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62E6-B8C5-41BF-A2F5-3037758EA3B5}">
  <sheetPr codeName="Sheet5"/>
  <dimension ref="A4:J70"/>
  <sheetViews>
    <sheetView zoomScaleNormal="100" zoomScaleSheetLayoutView="100" workbookViewId="0">
      <selection activeCell="H58" sqref="H58"/>
    </sheetView>
  </sheetViews>
  <sheetFormatPr defaultRowHeight="12.75"/>
  <cols>
    <col min="1" max="1" width="12.59765625" customWidth="1"/>
    <col min="2" max="2" width="8.86328125" customWidth="1"/>
    <col min="3" max="3" width="36.1328125" bestFit="1" customWidth="1"/>
    <col min="4" max="5" width="12.59765625" customWidth="1"/>
    <col min="6" max="7" width="11.265625" customWidth="1"/>
  </cols>
  <sheetData>
    <row r="4" spans="1:10" ht="12.75" customHeight="1">
      <c r="A4" s="504" t="s">
        <v>1369</v>
      </c>
      <c r="B4" s="504"/>
      <c r="C4" s="504"/>
      <c r="D4" s="504"/>
      <c r="E4" s="504"/>
      <c r="F4" s="504"/>
      <c r="G4" s="504"/>
      <c r="H4" s="504"/>
      <c r="I4" s="504"/>
      <c r="J4" s="504"/>
    </row>
    <row r="30" spans="3:5" ht="13.15">
      <c r="C30" s="260" t="s">
        <v>1366</v>
      </c>
      <c r="D30" s="228"/>
      <c r="E30" s="228"/>
    </row>
    <row r="32" spans="3:5" ht="13.15">
      <c r="C32" s="261" t="s">
        <v>11</v>
      </c>
      <c r="D32" s="262"/>
      <c r="E32" s="261" t="s">
        <v>1372</v>
      </c>
    </row>
    <row r="33" spans="2:8">
      <c r="B33">
        <v>1</v>
      </c>
      <c r="C33" t="str">
        <f>_xlfn.XLOOKUP(D33,'AEB-8 CapEx 1'!C:C,'AEB-8 CapEx 1'!A:A)</f>
        <v>ALLETE, Inc.</v>
      </c>
      <c r="D33" t="str">
        <f>_xlfn.XLOOKUP(B33,'AEB-8 CapEx 1'!L:L,'AEB-8 CapEx 1'!M:M)</f>
        <v>ALE</v>
      </c>
      <c r="E33" s="263">
        <f>_xlfn.XLOOKUP(D33,'AEB-8 CapEx 1'!M:M,'AEB-8 CapEx 1'!J:J)</f>
        <v>0.23612057924310031</v>
      </c>
      <c r="H33" s="264"/>
    </row>
    <row r="34" spans="2:8">
      <c r="B34">
        <f>B33+1</f>
        <v>2</v>
      </c>
      <c r="C34" t="str">
        <f>_xlfn.XLOOKUP(D34,'AEB-8 CapEx 1'!C:C,'AEB-8 CapEx 1'!A:A)</f>
        <v>Otter Tail Corporation</v>
      </c>
      <c r="D34" t="str">
        <f>_xlfn.XLOOKUP(B34,'AEB-8 CapEx 1'!L:L,'AEB-8 CapEx 1'!M:M)</f>
        <v>OTTR</v>
      </c>
      <c r="E34" s="263">
        <f>_xlfn.XLOOKUP(D34,'AEB-8 CapEx 1'!M:M,'AEB-8 CapEx 1'!J:J)</f>
        <v>0.3667654808959156</v>
      </c>
      <c r="H34" s="264"/>
    </row>
    <row r="35" spans="2:8">
      <c r="B35">
        <f t="shared" ref="B35:B48" si="0">B34+1</f>
        <v>3</v>
      </c>
      <c r="C35" t="str">
        <f>_xlfn.XLOOKUP(D35,'AEB-8 CapEx 1'!C:C,'AEB-8 CapEx 1'!A:A)</f>
        <v>Portland General Electric Company</v>
      </c>
      <c r="D35" t="str">
        <f>_xlfn.XLOOKUP(B35,'AEB-8 CapEx 1'!L:L,'AEB-8 CapEx 1'!M:M)</f>
        <v>POR</v>
      </c>
      <c r="E35" s="263">
        <f>_xlfn.XLOOKUP(D35,'AEB-8 CapEx 1'!M:M,'AEB-8 CapEx 1'!J:J)</f>
        <v>0.37370506698501132</v>
      </c>
      <c r="H35" s="264"/>
    </row>
    <row r="36" spans="2:8">
      <c r="B36">
        <f t="shared" si="0"/>
        <v>4</v>
      </c>
      <c r="C36" t="str">
        <f>_xlfn.XLOOKUP(D36,'AEB-8 CapEx 1'!C:C,'AEB-8 CapEx 1'!A:A)</f>
        <v>Southern Company</v>
      </c>
      <c r="D36" t="str">
        <f>_xlfn.XLOOKUP(B36,'AEB-8 CapEx 1'!L:L,'AEB-8 CapEx 1'!M:M)</f>
        <v>SO</v>
      </c>
      <c r="E36" s="263">
        <f>_xlfn.XLOOKUP(D36,'AEB-8 CapEx 1'!M:M,'AEB-8 CapEx 1'!J:J)</f>
        <v>0.38489769952301617</v>
      </c>
      <c r="H36" s="264"/>
    </row>
    <row r="37" spans="2:8">
      <c r="B37">
        <f t="shared" si="0"/>
        <v>5</v>
      </c>
      <c r="C37" t="str">
        <f>_xlfn.XLOOKUP(D37,'AEB-8 CapEx 1'!C:C,'AEB-8 CapEx 1'!A:A)</f>
        <v>NorthWestern Corporation</v>
      </c>
      <c r="D37" t="str">
        <f>_xlfn.XLOOKUP(B37,'AEB-8 CapEx 1'!L:L,'AEB-8 CapEx 1'!M:M)</f>
        <v>NWE</v>
      </c>
      <c r="E37" s="263">
        <f>_xlfn.XLOOKUP(D37,'AEB-8 CapEx 1'!M:M,'AEB-8 CapEx 1'!J:J)</f>
        <v>0.41700316986008201</v>
      </c>
      <c r="H37" s="264"/>
    </row>
    <row r="38" spans="2:8">
      <c r="B38">
        <f t="shared" si="0"/>
        <v>6</v>
      </c>
      <c r="C38" t="str">
        <f>_xlfn.XLOOKUP(D38,'AEB-8 CapEx 1'!C:C,'AEB-8 CapEx 1'!A:A)</f>
        <v>Avista Corporation</v>
      </c>
      <c r="D38" t="str">
        <f>_xlfn.XLOOKUP(B38,'AEB-8 CapEx 1'!L:L,'AEB-8 CapEx 1'!M:M)</f>
        <v>AVA</v>
      </c>
      <c r="E38" s="263">
        <f>_xlfn.XLOOKUP(D38,'AEB-8 CapEx 1'!M:M,'AEB-8 CapEx 1'!J:J)</f>
        <v>0.43332799102492181</v>
      </c>
      <c r="H38" s="264"/>
    </row>
    <row r="39" spans="2:8">
      <c r="B39">
        <f t="shared" si="0"/>
        <v>7</v>
      </c>
      <c r="C39" t="str">
        <f>_xlfn.XLOOKUP(D39,'AEB-8 CapEx 1'!C:C,'AEB-8 CapEx 1'!A:A)</f>
        <v xml:space="preserve">MGE Energy, Inc. </v>
      </c>
      <c r="D39" t="str">
        <f>_xlfn.XLOOKUP(B39,'AEB-8 CapEx 1'!L:L,'AEB-8 CapEx 1'!M:M)</f>
        <v>MGEE</v>
      </c>
      <c r="E39" s="263">
        <f>_xlfn.XLOOKUP(D39,'AEB-8 CapEx 1'!M:M,'AEB-8 CapEx 1'!J:J)</f>
        <v>0.47054594777890796</v>
      </c>
      <c r="H39" s="264"/>
    </row>
    <row r="40" spans="2:8">
      <c r="B40">
        <f t="shared" si="0"/>
        <v>8</v>
      </c>
      <c r="C40" t="str">
        <f>_xlfn.XLOOKUP(D40,'AEB-8 CapEx 1'!C:C,'AEB-8 CapEx 1'!A:A)</f>
        <v>Entergy Corporation</v>
      </c>
      <c r="D40" t="str">
        <f>_xlfn.XLOOKUP(B40,'AEB-8 CapEx 1'!L:L,'AEB-8 CapEx 1'!M:M)</f>
        <v>ETR</v>
      </c>
      <c r="E40" s="263">
        <f>_xlfn.XLOOKUP(D40,'AEB-8 CapEx 1'!M:M,'AEB-8 CapEx 1'!J:J)</f>
        <v>0.49797184258615812</v>
      </c>
      <c r="H40" s="264"/>
    </row>
    <row r="41" spans="2:8">
      <c r="B41">
        <f t="shared" si="0"/>
        <v>9</v>
      </c>
      <c r="C41" t="str">
        <f>_xlfn.XLOOKUP(D41,'AEB-8 CapEx 1'!C:C,'AEB-8 CapEx 1'!A:A)</f>
        <v>IDACORP, Inc</v>
      </c>
      <c r="D41" t="str">
        <f>_xlfn.XLOOKUP(B41,'AEB-8 CapEx 1'!L:L,'AEB-8 CapEx 1'!M:M)</f>
        <v>IDA</v>
      </c>
      <c r="E41" s="263">
        <f>_xlfn.XLOOKUP(D41,'AEB-8 CapEx 1'!M:M,'AEB-8 CapEx 1'!J:J)</f>
        <v>0.49866174753158515</v>
      </c>
      <c r="H41" s="264"/>
    </row>
    <row r="42" spans="2:8">
      <c r="B42">
        <f t="shared" si="0"/>
        <v>10</v>
      </c>
      <c r="C42" t="str">
        <f>_xlfn.XLOOKUP(D42,'AEB-8 CapEx 1'!C:C,'AEB-8 CapEx 1'!A:A)</f>
        <v>Evergy Metro</v>
      </c>
      <c r="D42" t="str">
        <f>_xlfn.XLOOKUP(B42,'AEB-8 CapEx 1'!L:L,'AEB-8 CapEx 1'!M:M)</f>
        <v>Evergy Metro</v>
      </c>
      <c r="E42" s="263">
        <f>_xlfn.XLOOKUP(D42,'AEB-8 CapEx 1'!M:M,'AEB-8 CapEx 1'!J:J)</f>
        <v>0.53815867158550135</v>
      </c>
      <c r="H42" s="264"/>
    </row>
    <row r="43" spans="2:8">
      <c r="B43">
        <f t="shared" si="0"/>
        <v>11</v>
      </c>
      <c r="C43" t="str">
        <f>_xlfn.XLOOKUP(D43,'AEB-8 CapEx 1'!C:C,'AEB-8 CapEx 1'!A:A)</f>
        <v>Alliant Energy Corporation</v>
      </c>
      <c r="D43" t="str">
        <f>_xlfn.XLOOKUP(B43,'AEB-8 CapEx 1'!L:L,'AEB-8 CapEx 1'!M:M)</f>
        <v>LNT</v>
      </c>
      <c r="E43" s="263">
        <f>_xlfn.XLOOKUP(D43,'AEB-8 CapEx 1'!M:M,'AEB-8 CapEx 1'!J:J)</f>
        <v>0.5432216099330357</v>
      </c>
      <c r="H43" s="264"/>
    </row>
    <row r="44" spans="2:8">
      <c r="B44">
        <f t="shared" si="0"/>
        <v>12</v>
      </c>
      <c r="C44" t="str">
        <f>_xlfn.XLOOKUP(D44,'AEB-8 CapEx 1'!C:C,'AEB-8 CapEx 1'!A:A)</f>
        <v>Xcel Energy Inc.</v>
      </c>
      <c r="D44" t="str">
        <f>_xlfn.XLOOKUP(B44,'AEB-8 CapEx 1'!L:L,'AEB-8 CapEx 1'!M:M)</f>
        <v>XEL</v>
      </c>
      <c r="E44" s="263">
        <f>_xlfn.XLOOKUP(D44,'AEB-8 CapEx 1'!M:M,'AEB-8 CapEx 1'!J:J)</f>
        <v>0.5483445867287543</v>
      </c>
      <c r="H44" s="264"/>
    </row>
    <row r="45" spans="2:8">
      <c r="B45">
        <f t="shared" si="0"/>
        <v>13</v>
      </c>
      <c r="C45" t="str">
        <f>_xlfn.XLOOKUP(D45,'AEB-8 CapEx 1'!C:C,'AEB-8 CapEx 1'!A:A)</f>
        <v>Duke Energy Corporation</v>
      </c>
      <c r="D45" t="str">
        <f>_xlfn.XLOOKUP(B45,'AEB-8 CapEx 1'!L:L,'AEB-8 CapEx 1'!M:M)</f>
        <v>DUK</v>
      </c>
      <c r="E45" s="263">
        <f>_xlfn.XLOOKUP(D45,'AEB-8 CapEx 1'!M:M,'AEB-8 CapEx 1'!J:J)</f>
        <v>0.57074694236856394</v>
      </c>
      <c r="H45" s="264"/>
    </row>
    <row r="46" spans="2:8">
      <c r="B46">
        <f t="shared" si="0"/>
        <v>14</v>
      </c>
      <c r="C46" t="str">
        <f>_xlfn.XLOOKUP(D46,'AEB-8 CapEx 1'!C:C,'AEB-8 CapEx 1'!A:A)</f>
        <v>Ameren Corporation</v>
      </c>
      <c r="D46" t="str">
        <f>_xlfn.XLOOKUP(B46,'AEB-8 CapEx 1'!L:L,'AEB-8 CapEx 1'!M:M)</f>
        <v>AEE</v>
      </c>
      <c r="E46" s="263">
        <f>_xlfn.XLOOKUP(D46,'AEB-8 CapEx 1'!M:M,'AEB-8 CapEx 1'!J:J)</f>
        <v>0.64094965867124254</v>
      </c>
      <c r="H46" s="264"/>
    </row>
    <row r="47" spans="2:8">
      <c r="B47">
        <f t="shared" si="0"/>
        <v>15</v>
      </c>
      <c r="C47" t="str">
        <f>_xlfn.XLOOKUP(D47,'AEB-8 CapEx 1'!C:C,'AEB-8 CapEx 1'!A:A)</f>
        <v>American Electric Power Company, Inc.</v>
      </c>
      <c r="D47" t="str">
        <f>_xlfn.XLOOKUP(B47,'AEB-8 CapEx 1'!L:L,'AEB-8 CapEx 1'!M:M)</f>
        <v>AEP</v>
      </c>
      <c r="E47" s="263">
        <f>_xlfn.XLOOKUP(D47,'AEB-8 CapEx 1'!M:M,'AEB-8 CapEx 1'!J:J)</f>
        <v>0.65350067290538638</v>
      </c>
      <c r="H47" s="264"/>
    </row>
    <row r="48" spans="2:8">
      <c r="B48">
        <f t="shared" si="0"/>
        <v>16</v>
      </c>
      <c r="C48" t="str">
        <f>_xlfn.XLOOKUP(D48,'AEB-8 CapEx 1'!C:C,'AEB-8 CapEx 1'!A:A)</f>
        <v xml:space="preserve">NextEra Energy, Inc. </v>
      </c>
      <c r="D48" t="str">
        <f>_xlfn.XLOOKUP(B48,'AEB-8 CapEx 1'!L:L,'AEB-8 CapEx 1'!M:M)</f>
        <v>NEE</v>
      </c>
      <c r="E48" s="263">
        <f>_xlfn.XLOOKUP(D48,'AEB-8 CapEx 1'!M:M,'AEB-8 CapEx 1'!J:J)</f>
        <v>0.94053298911800265</v>
      </c>
      <c r="H48" s="264"/>
    </row>
    <row r="49" spans="2:6">
      <c r="D49" s="5"/>
      <c r="E49" s="5"/>
    </row>
    <row r="50" spans="2:6">
      <c r="C50" s="253" t="s">
        <v>1364</v>
      </c>
      <c r="D50" s="204"/>
      <c r="E50" s="254">
        <f>MEDIAN(E33:E41,E43:E48)</f>
        <v>0.49797184258615812</v>
      </c>
      <c r="F50" s="265"/>
    </row>
    <row r="51" spans="2:6" ht="13.15" thickBot="1">
      <c r="C51" s="114" t="s">
        <v>1373</v>
      </c>
      <c r="D51" s="116"/>
      <c r="E51" s="266">
        <f>'AEB-8 CapEx 1'!J90/E50</f>
        <v>1.080701006688727</v>
      </c>
    </row>
    <row r="52" spans="2:6">
      <c r="D52" s="5"/>
      <c r="E52" s="124"/>
    </row>
    <row r="53" spans="2:6">
      <c r="D53" s="5"/>
      <c r="E53" s="124"/>
    </row>
    <row r="54" spans="2:6">
      <c r="C54" s="267" t="s">
        <v>22</v>
      </c>
    </row>
    <row r="55" spans="2:6">
      <c r="C55" t="s">
        <v>1377</v>
      </c>
    </row>
    <row r="57" spans="2:6">
      <c r="B57" s="5"/>
      <c r="C57" s="268" t="s">
        <v>1367</v>
      </c>
      <c r="D57" s="268"/>
    </row>
    <row r="58" spans="2:6">
      <c r="B58" s="245"/>
      <c r="C58" s="269" t="s">
        <v>1368</v>
      </c>
      <c r="D58" s="269" t="s">
        <v>853</v>
      </c>
      <c r="E58" s="268"/>
      <c r="F58" s="245"/>
    </row>
    <row r="59" spans="2:6">
      <c r="B59" s="245"/>
      <c r="C59" s="268">
        <v>0</v>
      </c>
      <c r="D59" s="270">
        <f>E50</f>
        <v>0.49797184258615812</v>
      </c>
      <c r="E59" s="268"/>
      <c r="F59" s="245"/>
    </row>
    <row r="60" spans="2:6">
      <c r="B60" s="245"/>
      <c r="C60" s="268">
        <v>10</v>
      </c>
      <c r="D60" s="270">
        <f>E50</f>
        <v>0.49797184258615812</v>
      </c>
      <c r="E60" s="268"/>
      <c r="F60" s="245"/>
    </row>
    <row r="61" spans="2:6">
      <c r="B61" s="245"/>
      <c r="C61" s="245"/>
      <c r="D61" s="245"/>
      <c r="E61" s="245"/>
      <c r="F61" s="245"/>
    </row>
    <row r="62" spans="2:6">
      <c r="B62" s="245"/>
      <c r="C62" s="245"/>
      <c r="D62" s="245"/>
      <c r="E62" s="245"/>
      <c r="F62" s="245"/>
    </row>
    <row r="63" spans="2:6">
      <c r="B63" s="245"/>
      <c r="C63" s="245"/>
      <c r="D63" s="245"/>
      <c r="E63" s="245"/>
      <c r="F63" s="245"/>
    </row>
    <row r="64" spans="2:6">
      <c r="B64" s="245"/>
      <c r="C64" s="245"/>
      <c r="D64" s="245"/>
      <c r="E64" s="245"/>
      <c r="F64" s="245"/>
    </row>
    <row r="65" spans="2:6">
      <c r="B65" s="245"/>
      <c r="C65" s="245"/>
      <c r="D65" s="245"/>
      <c r="E65" s="245"/>
      <c r="F65" s="245"/>
    </row>
    <row r="66" spans="2:6">
      <c r="C66" s="5"/>
      <c r="D66" s="5"/>
      <c r="E66" s="5"/>
    </row>
    <row r="67" spans="2:6">
      <c r="C67" s="5"/>
      <c r="D67" s="5"/>
      <c r="E67" s="5"/>
    </row>
    <row r="68" spans="2:6">
      <c r="C68" s="5"/>
      <c r="D68" s="5"/>
      <c r="E68" s="5"/>
    </row>
    <row r="69" spans="2:6">
      <c r="C69" s="5"/>
      <c r="D69" s="5"/>
      <c r="E69" s="5"/>
    </row>
    <row r="70" spans="2:6">
      <c r="C70" s="5"/>
      <c r="D70" s="5"/>
      <c r="E70" s="5"/>
    </row>
  </sheetData>
  <mergeCells count="1">
    <mergeCell ref="A4:J4"/>
  </mergeCells>
  <conditionalFormatting sqref="C33:D48">
    <cfRule type="expression" dxfId="11" priority="1">
      <formula>"(blank)"</formula>
    </cfRule>
  </conditionalFormatting>
  <conditionalFormatting sqref="C33:D48">
    <cfRule type="expression" dxfId="10" priority="2">
      <formula>#REF!</formula>
    </cfRule>
  </conditionalFormatting>
  <printOptions horizontalCentered="1"/>
  <pageMargins left="0.7" right="0.7" top="1.25" bottom="0.75" header="0.3" footer="0.3"/>
  <pageSetup scale="64" firstPageNumber="3" orientation="landscape" useFirstPageNumber="1" r:id="rId1"/>
  <headerFooter>
    <oddHeader>&amp;LDRAFT- PRIVILEGED AND CONFIDENTIAL
PREPARED AT THE REQUEST OF COUNSEL&amp;RSchedule AEB-8
Page &amp;P of 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C0E6-466A-496D-8A01-C68A0E028775}">
  <sheetPr codeName="Sheet9"/>
  <dimension ref="A2:AE162"/>
  <sheetViews>
    <sheetView zoomScale="85" zoomScaleNormal="85" zoomScaleSheetLayoutView="100" zoomScalePageLayoutView="90" workbookViewId="0">
      <pane xSplit="4" ySplit="7" topLeftCell="O50" activePane="bottomRight" state="frozen"/>
      <selection pane="topRight" activeCell="D1" sqref="D1"/>
      <selection pane="bottomLeft" activeCell="A8" sqref="A8"/>
      <selection pane="bottomRight" activeCell="R107" sqref="R107"/>
    </sheetView>
  </sheetViews>
  <sheetFormatPr defaultColWidth="9.1328125" defaultRowHeight="12.75"/>
  <cols>
    <col min="1" max="1" width="32.1328125" style="272" customWidth="1"/>
    <col min="2" max="2" width="44.59765625" style="272" customWidth="1"/>
    <col min="3" max="3" width="14.3984375" style="272" bestFit="1" customWidth="1"/>
    <col min="4" max="5" width="14.86328125" style="272" bestFit="1" customWidth="1"/>
    <col min="6" max="6" width="9.3984375" style="272" customWidth="1"/>
    <col min="7" max="7" width="10" style="272" customWidth="1"/>
    <col min="8" max="8" width="10.265625" style="272" customWidth="1"/>
    <col min="9" max="13" width="10.1328125" style="272" customWidth="1"/>
    <col min="14" max="14" width="11.59765625" style="272" customWidth="1"/>
    <col min="15" max="15" width="11.3984375" style="272" customWidth="1"/>
    <col min="16" max="16" width="8.265625" style="272" customWidth="1"/>
    <col min="17" max="17" width="14.3984375" style="272" customWidth="1"/>
    <col min="18" max="18" width="10.3984375" style="272" customWidth="1"/>
    <col min="19" max="19" width="10.1328125" style="272" customWidth="1"/>
    <col min="20" max="20" width="9.86328125" style="273" customWidth="1"/>
    <col min="21" max="21" width="11" style="272" customWidth="1"/>
    <col min="22" max="23" width="16.59765625" style="272" bestFit="1" customWidth="1"/>
    <col min="24" max="16384" width="9.1328125" style="272"/>
  </cols>
  <sheetData>
    <row r="2" spans="1:31" ht="13.15">
      <c r="A2" s="515" t="s">
        <v>1440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</row>
    <row r="3" spans="1:31" ht="13.15">
      <c r="A3" s="515" t="s">
        <v>1378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</row>
    <row r="5" spans="1:31" ht="13.15" thickBot="1">
      <c r="E5" s="274" t="s">
        <v>0</v>
      </c>
      <c r="F5" s="519" t="s">
        <v>1</v>
      </c>
      <c r="G5" s="514"/>
      <c r="H5" s="519" t="s">
        <v>2</v>
      </c>
      <c r="I5" s="514"/>
      <c r="J5" s="519" t="s">
        <v>3</v>
      </c>
      <c r="K5" s="514"/>
      <c r="L5" s="514" t="s">
        <v>4</v>
      </c>
      <c r="M5" s="514"/>
      <c r="N5" s="514" t="s">
        <v>5</v>
      </c>
      <c r="O5" s="514"/>
      <c r="P5" s="510" t="s">
        <v>6</v>
      </c>
      <c r="Q5" s="508"/>
      <c r="R5" s="508" t="s">
        <v>7</v>
      </c>
      <c r="S5" s="508"/>
      <c r="T5" s="508" t="s">
        <v>8</v>
      </c>
      <c r="U5" s="508"/>
      <c r="V5" s="514" t="s">
        <v>9</v>
      </c>
      <c r="W5" s="514"/>
    </row>
    <row r="6" spans="1:31" ht="13.15" customHeight="1">
      <c r="A6" s="516" t="s">
        <v>1344</v>
      </c>
      <c r="B6" s="516" t="s">
        <v>1445</v>
      </c>
      <c r="C6" s="516" t="s">
        <v>1444</v>
      </c>
      <c r="D6" s="516" t="s">
        <v>1443</v>
      </c>
      <c r="E6" s="516" t="s">
        <v>1379</v>
      </c>
      <c r="F6" s="516" t="s">
        <v>1380</v>
      </c>
      <c r="G6" s="516"/>
      <c r="H6" s="518" t="s">
        <v>1381</v>
      </c>
      <c r="I6" s="518"/>
      <c r="J6" s="518"/>
      <c r="K6" s="518"/>
      <c r="L6" s="518"/>
      <c r="M6" s="518"/>
      <c r="N6" s="518"/>
      <c r="O6" s="518"/>
      <c r="P6" s="506" t="s">
        <v>1428</v>
      </c>
      <c r="Q6" s="506"/>
      <c r="R6" s="506"/>
      <c r="S6" s="506"/>
      <c r="T6" s="506"/>
      <c r="U6" s="506"/>
      <c r="V6" s="513" t="s">
        <v>1439</v>
      </c>
      <c r="W6" s="513"/>
    </row>
    <row r="7" spans="1:31" ht="29.25" customHeight="1">
      <c r="A7" s="517"/>
      <c r="B7" s="517"/>
      <c r="C7" s="517"/>
      <c r="D7" s="517"/>
      <c r="E7" s="517"/>
      <c r="F7" s="517"/>
      <c r="G7" s="517"/>
      <c r="H7" s="509" t="s">
        <v>1383</v>
      </c>
      <c r="I7" s="509"/>
      <c r="J7" s="509" t="s">
        <v>1384</v>
      </c>
      <c r="K7" s="509"/>
      <c r="L7" s="509" t="s">
        <v>1385</v>
      </c>
      <c r="M7" s="509"/>
      <c r="N7" s="509" t="s">
        <v>1381</v>
      </c>
      <c r="O7" s="509"/>
      <c r="P7" s="509" t="s">
        <v>1382</v>
      </c>
      <c r="Q7" s="509"/>
      <c r="R7" s="511" t="s">
        <v>1438</v>
      </c>
      <c r="S7" s="511"/>
      <c r="T7" s="511" t="s">
        <v>1428</v>
      </c>
      <c r="U7" s="511"/>
      <c r="V7" s="511"/>
      <c r="W7" s="511"/>
    </row>
    <row r="8" spans="1:31" ht="12.75" customHeight="1">
      <c r="A8" s="5" t="s">
        <v>1022</v>
      </c>
      <c r="B8" s="5" t="s">
        <v>1446</v>
      </c>
      <c r="C8" s="276" t="s">
        <v>1386</v>
      </c>
      <c r="D8" s="110" t="s">
        <v>1387</v>
      </c>
      <c r="E8" s="277" t="s">
        <v>1388</v>
      </c>
      <c r="F8" s="277"/>
      <c r="G8" s="277" t="s">
        <v>1054</v>
      </c>
      <c r="H8" s="278"/>
      <c r="I8" s="278" t="s">
        <v>869</v>
      </c>
      <c r="J8" s="278"/>
      <c r="K8" s="278" t="s">
        <v>869</v>
      </c>
      <c r="L8" s="278"/>
      <c r="M8" s="278" t="s">
        <v>869</v>
      </c>
      <c r="N8" s="278"/>
      <c r="O8" s="278" t="str">
        <f>IF(AND(I8="No",K8="No",M8="No"),"No","Yes")</f>
        <v>No</v>
      </c>
      <c r="P8" s="278"/>
      <c r="Q8" s="278" t="s">
        <v>867</v>
      </c>
      <c r="S8" s="278" t="s">
        <v>867</v>
      </c>
      <c r="U8" s="252" t="str">
        <f>IF(AND(Q8="No",S8="No"),"No","Yes")</f>
        <v>Yes</v>
      </c>
      <c r="W8" s="277" t="s">
        <v>867</v>
      </c>
    </row>
    <row r="9" spans="1:31">
      <c r="A9" s="5" t="s">
        <v>1024</v>
      </c>
      <c r="B9" s="5" t="s">
        <v>1447</v>
      </c>
      <c r="C9" s="276" t="s">
        <v>1389</v>
      </c>
      <c r="D9" s="110" t="s">
        <v>1387</v>
      </c>
      <c r="E9" s="277" t="s">
        <v>1390</v>
      </c>
      <c r="F9" s="277"/>
      <c r="G9" s="277" t="s">
        <v>1054</v>
      </c>
      <c r="H9" s="278"/>
      <c r="I9" s="278" t="s">
        <v>869</v>
      </c>
      <c r="J9" s="278"/>
      <c r="K9" s="278" t="s">
        <v>869</v>
      </c>
      <c r="L9" s="278"/>
      <c r="M9" s="278" t="s">
        <v>869</v>
      </c>
      <c r="N9" s="278"/>
      <c r="O9" s="278" t="str">
        <f t="shared" ref="O9:O71" si="0">IF(AND(I9="No",K9="No",M9="No"),"No","Yes")</f>
        <v>No</v>
      </c>
      <c r="P9" s="278"/>
      <c r="Q9" s="278" t="s">
        <v>869</v>
      </c>
      <c r="S9" s="278" t="s">
        <v>869</v>
      </c>
      <c r="U9" s="252" t="str">
        <f t="shared" ref="U9:U71" si="1">IF(AND(Q9="No",S9="No"),"No","Yes")</f>
        <v>No</v>
      </c>
      <c r="W9" s="277" t="s">
        <v>867</v>
      </c>
    </row>
    <row r="10" spans="1:31">
      <c r="A10" s="5"/>
      <c r="B10" s="5" t="s">
        <v>1447</v>
      </c>
      <c r="C10" s="276" t="s">
        <v>1389</v>
      </c>
      <c r="D10" s="110" t="s">
        <v>1391</v>
      </c>
      <c r="E10" s="277" t="s">
        <v>1390</v>
      </c>
      <c r="F10" s="277"/>
      <c r="G10" s="277" t="s">
        <v>1054</v>
      </c>
      <c r="H10" s="278"/>
      <c r="I10" s="278" t="s">
        <v>869</v>
      </c>
      <c r="J10" s="278"/>
      <c r="K10" s="278" t="s">
        <v>869</v>
      </c>
      <c r="L10" s="278"/>
      <c r="M10" s="278" t="s">
        <v>869</v>
      </c>
      <c r="N10" s="278"/>
      <c r="O10" s="278" t="str">
        <f t="shared" si="0"/>
        <v>No</v>
      </c>
      <c r="P10" s="278"/>
      <c r="Q10" s="278" t="s">
        <v>869</v>
      </c>
      <c r="S10" s="278" t="s">
        <v>869</v>
      </c>
      <c r="U10" s="252" t="str">
        <f t="shared" si="1"/>
        <v>No</v>
      </c>
      <c r="W10" s="277" t="s">
        <v>867</v>
      </c>
    </row>
    <row r="11" spans="1:31">
      <c r="A11" s="5"/>
      <c r="B11" s="5" t="s">
        <v>1448</v>
      </c>
      <c r="C11" s="276" t="s">
        <v>1392</v>
      </c>
      <c r="D11" s="110" t="s">
        <v>1387</v>
      </c>
      <c r="E11" s="277" t="s">
        <v>1388</v>
      </c>
      <c r="F11" s="277"/>
      <c r="G11" s="277" t="s">
        <v>1054</v>
      </c>
      <c r="H11" s="278"/>
      <c r="I11" s="278" t="s">
        <v>869</v>
      </c>
      <c r="J11" s="278"/>
      <c r="K11" s="278" t="s">
        <v>869</v>
      </c>
      <c r="L11" s="278"/>
      <c r="M11" s="278" t="s">
        <v>869</v>
      </c>
      <c r="N11" s="278"/>
      <c r="O11" s="278" t="str">
        <f t="shared" si="0"/>
        <v>No</v>
      </c>
      <c r="P11" s="278"/>
      <c r="Q11" s="278" t="s">
        <v>869</v>
      </c>
      <c r="S11" s="278" t="s">
        <v>867</v>
      </c>
      <c r="U11" s="252" t="str">
        <f t="shared" si="1"/>
        <v>Yes</v>
      </c>
      <c r="W11" s="277" t="s">
        <v>867</v>
      </c>
      <c r="AE11"/>
    </row>
    <row r="12" spans="1:31">
      <c r="B12" s="272" t="s">
        <v>1448</v>
      </c>
      <c r="C12" s="276" t="s">
        <v>1392</v>
      </c>
      <c r="D12" s="110" t="s">
        <v>1391</v>
      </c>
      <c r="E12" s="277" t="s">
        <v>1388</v>
      </c>
      <c r="F12" s="277"/>
      <c r="G12" s="277" t="s">
        <v>1054</v>
      </c>
      <c r="H12" s="278"/>
      <c r="I12" s="278" t="s">
        <v>869</v>
      </c>
      <c r="J12" s="278"/>
      <c r="K12" s="278" t="s">
        <v>869</v>
      </c>
      <c r="L12" s="278"/>
      <c r="M12" s="278" t="s">
        <v>869</v>
      </c>
      <c r="N12" s="278"/>
      <c r="O12" s="278" t="str">
        <f t="shared" si="0"/>
        <v>No</v>
      </c>
      <c r="P12" s="278"/>
      <c r="Q12" s="278" t="s">
        <v>869</v>
      </c>
      <c r="S12" s="278" t="s">
        <v>867</v>
      </c>
      <c r="U12" s="252" t="str">
        <f t="shared" si="1"/>
        <v>Yes</v>
      </c>
      <c r="W12" s="277" t="s">
        <v>867</v>
      </c>
      <c r="AE12"/>
    </row>
    <row r="13" spans="1:31">
      <c r="A13" s="23" t="s">
        <v>1025</v>
      </c>
      <c r="B13" s="23" t="s">
        <v>1449</v>
      </c>
      <c r="C13" s="276" t="s">
        <v>1393</v>
      </c>
      <c r="D13" s="110" t="s">
        <v>1387</v>
      </c>
      <c r="E13" s="274" t="s">
        <v>1390</v>
      </c>
      <c r="F13" s="274"/>
      <c r="G13" s="274" t="s">
        <v>1394</v>
      </c>
      <c r="H13" s="278"/>
      <c r="I13" s="278" t="s">
        <v>869</v>
      </c>
      <c r="J13" s="278"/>
      <c r="K13" s="278" t="s">
        <v>867</v>
      </c>
      <c r="L13" s="278"/>
      <c r="M13" s="278" t="s">
        <v>869</v>
      </c>
      <c r="N13" s="278"/>
      <c r="O13" s="278" t="str">
        <f t="shared" si="0"/>
        <v>Yes</v>
      </c>
      <c r="P13" s="278"/>
      <c r="Q13" s="278" t="s">
        <v>869</v>
      </c>
      <c r="S13" s="278" t="s">
        <v>867</v>
      </c>
      <c r="T13" s="110"/>
      <c r="U13" s="252" t="str">
        <f t="shared" si="1"/>
        <v>Yes</v>
      </c>
      <c r="W13" s="277" t="s">
        <v>1451</v>
      </c>
      <c r="AE13"/>
    </row>
    <row r="14" spans="1:31">
      <c r="B14" s="272" t="s">
        <v>1449</v>
      </c>
      <c r="C14" s="276" t="s">
        <v>1393</v>
      </c>
      <c r="D14" s="110" t="s">
        <v>1391</v>
      </c>
      <c r="E14" s="274" t="s">
        <v>1388</v>
      </c>
      <c r="F14" s="274"/>
      <c r="G14" s="274" t="s">
        <v>1054</v>
      </c>
      <c r="H14" s="278"/>
      <c r="I14" s="278" t="s">
        <v>1395</v>
      </c>
      <c r="J14" s="278"/>
      <c r="K14" s="278" t="s">
        <v>869</v>
      </c>
      <c r="L14" s="278"/>
      <c r="M14" s="278" t="s">
        <v>869</v>
      </c>
      <c r="N14" s="278"/>
      <c r="O14" s="278" t="str">
        <f t="shared" si="0"/>
        <v>Yes</v>
      </c>
      <c r="P14" s="278"/>
      <c r="Q14" s="278" t="s">
        <v>867</v>
      </c>
      <c r="S14" s="278" t="s">
        <v>867</v>
      </c>
      <c r="T14" s="279"/>
      <c r="U14" s="252" t="str">
        <f t="shared" si="1"/>
        <v>Yes</v>
      </c>
      <c r="W14" s="277" t="s">
        <v>867</v>
      </c>
      <c r="AE14"/>
    </row>
    <row r="15" spans="1:31">
      <c r="B15" s="272" t="s">
        <v>1450</v>
      </c>
      <c r="C15" s="276" t="s">
        <v>1396</v>
      </c>
      <c r="D15" s="110" t="s">
        <v>1387</v>
      </c>
      <c r="E15" s="274" t="s">
        <v>1390</v>
      </c>
      <c r="F15" s="274"/>
      <c r="G15" s="274" t="s">
        <v>1394</v>
      </c>
      <c r="H15" s="278"/>
      <c r="I15" s="278" t="s">
        <v>1395</v>
      </c>
      <c r="J15" s="278"/>
      <c r="K15" s="278" t="s">
        <v>869</v>
      </c>
      <c r="L15" s="278"/>
      <c r="M15" s="278" t="s">
        <v>869</v>
      </c>
      <c r="N15" s="278"/>
      <c r="O15" s="278" t="str">
        <f t="shared" si="0"/>
        <v>Yes</v>
      </c>
      <c r="P15" s="278"/>
      <c r="Q15" s="278" t="s">
        <v>867</v>
      </c>
      <c r="S15" s="278" t="s">
        <v>869</v>
      </c>
      <c r="U15" s="252" t="str">
        <f t="shared" si="1"/>
        <v>Yes</v>
      </c>
      <c r="W15" s="277" t="s">
        <v>1452</v>
      </c>
      <c r="AE15"/>
    </row>
    <row r="16" spans="1:31">
      <c r="B16" s="272" t="s">
        <v>1450</v>
      </c>
      <c r="C16" s="276" t="s">
        <v>1396</v>
      </c>
      <c r="D16" s="110" t="s">
        <v>1391</v>
      </c>
      <c r="E16" s="274" t="s">
        <v>1390</v>
      </c>
      <c r="F16" s="274"/>
      <c r="G16" s="274" t="s">
        <v>1394</v>
      </c>
      <c r="H16" s="278"/>
      <c r="I16" s="278" t="s">
        <v>1395</v>
      </c>
      <c r="J16" s="278"/>
      <c r="K16" s="278" t="s">
        <v>869</v>
      </c>
      <c r="L16" s="278"/>
      <c r="M16" s="278" t="s">
        <v>869</v>
      </c>
      <c r="N16" s="278"/>
      <c r="O16" s="278" t="str">
        <f t="shared" si="0"/>
        <v>Yes</v>
      </c>
      <c r="P16" s="278"/>
      <c r="Q16" s="278" t="s">
        <v>867</v>
      </c>
      <c r="S16" s="278" t="s">
        <v>869</v>
      </c>
      <c r="T16" s="279"/>
      <c r="U16" s="252" t="str">
        <f t="shared" si="1"/>
        <v>Yes</v>
      </c>
      <c r="W16" s="277" t="s">
        <v>867</v>
      </c>
      <c r="AE16"/>
    </row>
    <row r="17" spans="1:31">
      <c r="A17" s="312" t="s">
        <v>1026</v>
      </c>
      <c r="B17" s="272" t="s">
        <v>1453</v>
      </c>
      <c r="C17" s="276" t="s">
        <v>1397</v>
      </c>
      <c r="D17" s="110" t="s">
        <v>1387</v>
      </c>
      <c r="E17" s="274" t="s">
        <v>1390</v>
      </c>
      <c r="F17" s="274"/>
      <c r="G17" s="274" t="s">
        <v>1394</v>
      </c>
      <c r="H17" s="278"/>
      <c r="I17" s="278" t="s">
        <v>1395</v>
      </c>
      <c r="J17" s="278"/>
      <c r="K17" s="278" t="s">
        <v>867</v>
      </c>
      <c r="L17" s="278"/>
      <c r="M17" s="278" t="s">
        <v>869</v>
      </c>
      <c r="N17" s="278"/>
      <c r="O17" s="278" t="str">
        <f t="shared" si="0"/>
        <v>Yes</v>
      </c>
      <c r="P17" s="278"/>
      <c r="Q17" s="278" t="s">
        <v>867</v>
      </c>
      <c r="S17" s="278" t="s">
        <v>867</v>
      </c>
      <c r="T17" s="280"/>
      <c r="U17" s="252" t="str">
        <f t="shared" si="1"/>
        <v>Yes</v>
      </c>
      <c r="W17" s="277" t="s">
        <v>867</v>
      </c>
      <c r="AE17"/>
    </row>
    <row r="18" spans="1:31">
      <c r="B18" s="272" t="s">
        <v>1454</v>
      </c>
      <c r="C18" s="276" t="s">
        <v>1398</v>
      </c>
      <c r="D18" s="110" t="s">
        <v>1387</v>
      </c>
      <c r="E18" s="274" t="s">
        <v>1388</v>
      </c>
      <c r="F18" s="274"/>
      <c r="G18" s="274" t="s">
        <v>1394</v>
      </c>
      <c r="H18" s="278"/>
      <c r="I18" s="278" t="s">
        <v>1395</v>
      </c>
      <c r="J18" s="278"/>
      <c r="K18" s="278" t="s">
        <v>869</v>
      </c>
      <c r="L18" s="278"/>
      <c r="M18" s="278" t="s">
        <v>869</v>
      </c>
      <c r="N18" s="278"/>
      <c r="O18" s="278" t="str">
        <f t="shared" si="0"/>
        <v>Yes</v>
      </c>
      <c r="P18" s="278"/>
      <c r="Q18" s="278" t="s">
        <v>867</v>
      </c>
      <c r="S18" s="278" t="s">
        <v>867</v>
      </c>
      <c r="T18" s="279"/>
      <c r="U18" s="252" t="str">
        <f t="shared" si="1"/>
        <v>Yes</v>
      </c>
      <c r="W18" s="277" t="s">
        <v>867</v>
      </c>
      <c r="AE18"/>
    </row>
    <row r="19" spans="1:31">
      <c r="B19" s="272" t="s">
        <v>1455</v>
      </c>
      <c r="C19" s="276" t="s">
        <v>1399</v>
      </c>
      <c r="D19" s="110" t="s">
        <v>1387</v>
      </c>
      <c r="E19" s="274" t="s">
        <v>1388</v>
      </c>
      <c r="F19" s="274"/>
      <c r="G19" s="274" t="s">
        <v>1394</v>
      </c>
      <c r="H19" s="278"/>
      <c r="I19" s="278" t="s">
        <v>1395</v>
      </c>
      <c r="J19" s="278"/>
      <c r="K19" s="278" t="s">
        <v>869</v>
      </c>
      <c r="L19" s="278"/>
      <c r="M19" s="278" t="s">
        <v>869</v>
      </c>
      <c r="N19" s="278"/>
      <c r="O19" s="278" t="str">
        <f t="shared" si="0"/>
        <v>Yes</v>
      </c>
      <c r="P19" s="278"/>
      <c r="Q19" s="278" t="s">
        <v>869</v>
      </c>
      <c r="S19" s="278" t="s">
        <v>869</v>
      </c>
      <c r="T19" s="279"/>
      <c r="U19" s="252" t="str">
        <f t="shared" si="1"/>
        <v>No</v>
      </c>
      <c r="W19" s="277" t="s">
        <v>867</v>
      </c>
      <c r="AE19"/>
    </row>
    <row r="20" spans="1:31">
      <c r="B20" s="272" t="s">
        <v>1453</v>
      </c>
      <c r="C20" s="276" t="s">
        <v>1400</v>
      </c>
      <c r="D20" s="110" t="s">
        <v>1387</v>
      </c>
      <c r="E20" s="274" t="s">
        <v>1390</v>
      </c>
      <c r="F20" s="274"/>
      <c r="G20" s="274" t="s">
        <v>1394</v>
      </c>
      <c r="H20" s="278"/>
      <c r="I20" s="278" t="s">
        <v>1395</v>
      </c>
      <c r="J20" s="278"/>
      <c r="K20" s="278" t="s">
        <v>867</v>
      </c>
      <c r="L20" s="278"/>
      <c r="M20" s="278" t="s">
        <v>869</v>
      </c>
      <c r="N20" s="278"/>
      <c r="O20" s="278" t="str">
        <f t="shared" si="0"/>
        <v>Yes</v>
      </c>
      <c r="P20" s="278"/>
      <c r="Q20" s="278" t="s">
        <v>869</v>
      </c>
      <c r="S20" s="278" t="s">
        <v>867</v>
      </c>
      <c r="U20" s="252" t="str">
        <f t="shared" si="1"/>
        <v>Yes</v>
      </c>
      <c r="W20" s="277" t="s">
        <v>867</v>
      </c>
      <c r="AE20"/>
    </row>
    <row r="21" spans="1:31">
      <c r="B21" s="272" t="s">
        <v>1454</v>
      </c>
      <c r="C21" s="276" t="s">
        <v>1401</v>
      </c>
      <c r="D21" s="110" t="s">
        <v>1387</v>
      </c>
      <c r="E21" s="274" t="s">
        <v>1388</v>
      </c>
      <c r="F21" s="274"/>
      <c r="G21" s="274" t="s">
        <v>1054</v>
      </c>
      <c r="H21" s="278"/>
      <c r="I21" s="278" t="s">
        <v>869</v>
      </c>
      <c r="J21" s="278"/>
      <c r="K21" s="278" t="s">
        <v>869</v>
      </c>
      <c r="L21" s="278"/>
      <c r="M21" s="278" t="s">
        <v>869</v>
      </c>
      <c r="N21" s="278"/>
      <c r="O21" s="278" t="str">
        <f t="shared" si="0"/>
        <v>No</v>
      </c>
      <c r="P21" s="278"/>
      <c r="Q21" s="278" t="s">
        <v>869</v>
      </c>
      <c r="S21" s="278" t="s">
        <v>867</v>
      </c>
      <c r="U21" s="252" t="str">
        <f t="shared" si="1"/>
        <v>Yes</v>
      </c>
      <c r="W21" s="277" t="s">
        <v>867</v>
      </c>
      <c r="AE21"/>
    </row>
    <row r="22" spans="1:31">
      <c r="B22" s="272" t="s">
        <v>1456</v>
      </c>
      <c r="C22" s="276" t="s">
        <v>1402</v>
      </c>
      <c r="D22" s="110" t="s">
        <v>1387</v>
      </c>
      <c r="E22" s="274" t="s">
        <v>1403</v>
      </c>
      <c r="F22" s="274"/>
      <c r="G22" s="274" t="s">
        <v>1394</v>
      </c>
      <c r="H22" s="278"/>
      <c r="I22" s="278" t="s">
        <v>1395</v>
      </c>
      <c r="J22" s="278"/>
      <c r="K22" s="278" t="s">
        <v>869</v>
      </c>
      <c r="L22" s="278"/>
      <c r="M22" s="278" t="s">
        <v>869</v>
      </c>
      <c r="N22" s="278"/>
      <c r="O22" s="278" t="str">
        <f t="shared" si="0"/>
        <v>Yes</v>
      </c>
      <c r="P22" s="278"/>
      <c r="Q22" s="278" t="s">
        <v>867</v>
      </c>
      <c r="S22" s="278" t="s">
        <v>867</v>
      </c>
      <c r="U22" s="252" t="str">
        <f t="shared" si="1"/>
        <v>Yes</v>
      </c>
      <c r="W22" s="277" t="s">
        <v>1451</v>
      </c>
      <c r="AE22"/>
    </row>
    <row r="23" spans="1:31">
      <c r="B23" s="272" t="s">
        <v>1457</v>
      </c>
      <c r="C23" s="276" t="s">
        <v>1404</v>
      </c>
      <c r="D23" s="110" t="s">
        <v>1387</v>
      </c>
      <c r="E23" s="274" t="s">
        <v>1390</v>
      </c>
      <c r="F23" s="274"/>
      <c r="G23" s="274" t="s">
        <v>1394</v>
      </c>
      <c r="H23" s="278"/>
      <c r="I23" s="278" t="s">
        <v>1395</v>
      </c>
      <c r="J23" s="278"/>
      <c r="K23" s="278" t="s">
        <v>869</v>
      </c>
      <c r="L23" s="278"/>
      <c r="M23" s="278" t="s">
        <v>869</v>
      </c>
      <c r="N23" s="278"/>
      <c r="O23" s="278" t="str">
        <f t="shared" si="0"/>
        <v>Yes</v>
      </c>
      <c r="P23" s="278"/>
      <c r="Q23" s="278" t="s">
        <v>867</v>
      </c>
      <c r="S23" s="278" t="s">
        <v>867</v>
      </c>
      <c r="U23" s="252" t="str">
        <f t="shared" si="1"/>
        <v>Yes</v>
      </c>
      <c r="W23" s="277" t="s">
        <v>867</v>
      </c>
      <c r="AE23"/>
    </row>
    <row r="24" spans="1:31">
      <c r="B24" s="272" t="s">
        <v>1458</v>
      </c>
      <c r="C24" s="276" t="s">
        <v>1405</v>
      </c>
      <c r="D24" s="110" t="s">
        <v>1387</v>
      </c>
      <c r="E24" s="274" t="s">
        <v>1388</v>
      </c>
      <c r="F24" s="274"/>
      <c r="G24" s="274" t="s">
        <v>1054</v>
      </c>
      <c r="H24" s="278"/>
      <c r="I24" s="278" t="s">
        <v>869</v>
      </c>
      <c r="J24" s="278"/>
      <c r="K24" s="278" t="s">
        <v>869</v>
      </c>
      <c r="L24" s="278"/>
      <c r="M24" s="278" t="s">
        <v>869</v>
      </c>
      <c r="N24" s="278"/>
      <c r="O24" s="278" t="str">
        <f t="shared" si="0"/>
        <v>No</v>
      </c>
      <c r="P24" s="278"/>
      <c r="Q24" s="278" t="s">
        <v>869</v>
      </c>
      <c r="S24" s="278" t="s">
        <v>869</v>
      </c>
      <c r="U24" s="252" t="str">
        <f t="shared" si="1"/>
        <v>No</v>
      </c>
      <c r="W24" s="277" t="s">
        <v>867</v>
      </c>
      <c r="AE24"/>
    </row>
    <row r="25" spans="1:31">
      <c r="B25" s="272" t="s">
        <v>1459</v>
      </c>
      <c r="C25" s="276" t="s">
        <v>1406</v>
      </c>
      <c r="D25" s="110" t="s">
        <v>1387</v>
      </c>
      <c r="E25" s="274" t="s">
        <v>1390</v>
      </c>
      <c r="F25" s="274"/>
      <c r="G25" s="274" t="s">
        <v>1394</v>
      </c>
      <c r="H25" s="278"/>
      <c r="I25" s="278" t="s">
        <v>869</v>
      </c>
      <c r="J25" s="278"/>
      <c r="K25" s="278" t="s">
        <v>869</v>
      </c>
      <c r="L25" s="278"/>
      <c r="M25" s="278" t="s">
        <v>869</v>
      </c>
      <c r="N25" s="278"/>
      <c r="O25" s="278" t="str">
        <f t="shared" si="0"/>
        <v>No</v>
      </c>
      <c r="P25" s="278"/>
      <c r="Q25" s="278" t="s">
        <v>867</v>
      </c>
      <c r="S25" s="278" t="s">
        <v>869</v>
      </c>
      <c r="U25" s="252" t="str">
        <f t="shared" si="1"/>
        <v>Yes</v>
      </c>
      <c r="W25" s="277" t="s">
        <v>1451</v>
      </c>
      <c r="AE25"/>
    </row>
    <row r="26" spans="1:31">
      <c r="B26" s="272" t="s">
        <v>1453</v>
      </c>
      <c r="C26" s="276" t="s">
        <v>1406</v>
      </c>
      <c r="D26" s="110" t="s">
        <v>1387</v>
      </c>
      <c r="E26" s="274" t="s">
        <v>1390</v>
      </c>
      <c r="F26" s="274"/>
      <c r="G26" s="274" t="s">
        <v>1394</v>
      </c>
      <c r="H26" s="278"/>
      <c r="I26" s="278" t="s">
        <v>869</v>
      </c>
      <c r="J26" s="278"/>
      <c r="K26" s="278" t="s">
        <v>869</v>
      </c>
      <c r="L26" s="278"/>
      <c r="M26" s="278" t="s">
        <v>869</v>
      </c>
      <c r="N26" s="278"/>
      <c r="O26" s="278" t="str">
        <f t="shared" si="0"/>
        <v>No</v>
      </c>
      <c r="P26" s="278"/>
      <c r="Q26" s="278" t="s">
        <v>867</v>
      </c>
      <c r="S26" s="278" t="s">
        <v>869</v>
      </c>
      <c r="U26" s="252" t="str">
        <f t="shared" si="1"/>
        <v>Yes</v>
      </c>
      <c r="W26" s="277" t="s">
        <v>867</v>
      </c>
      <c r="AE26"/>
    </row>
    <row r="27" spans="1:31">
      <c r="B27" s="272" t="s">
        <v>1460</v>
      </c>
      <c r="C27" s="276" t="s">
        <v>1407</v>
      </c>
      <c r="D27" s="110" t="s">
        <v>1387</v>
      </c>
      <c r="E27" s="274" t="s">
        <v>1390</v>
      </c>
      <c r="F27" s="274"/>
      <c r="G27" s="274" t="s">
        <v>1394</v>
      </c>
      <c r="H27" s="278"/>
      <c r="I27" s="278" t="s">
        <v>869</v>
      </c>
      <c r="J27" s="278"/>
      <c r="K27" s="278" t="s">
        <v>869</v>
      </c>
      <c r="L27" s="278"/>
      <c r="M27" s="278" t="s">
        <v>869</v>
      </c>
      <c r="N27" s="278"/>
      <c r="O27" s="278" t="str">
        <f t="shared" si="0"/>
        <v>No</v>
      </c>
      <c r="P27" s="278"/>
      <c r="Q27" s="278" t="s">
        <v>867</v>
      </c>
      <c r="S27" s="278" t="s">
        <v>867</v>
      </c>
      <c r="U27" s="252" t="str">
        <f t="shared" si="1"/>
        <v>Yes</v>
      </c>
      <c r="W27" s="277" t="s">
        <v>867</v>
      </c>
      <c r="AE27"/>
    </row>
    <row r="28" spans="1:31">
      <c r="B28" s="272" t="s">
        <v>1461</v>
      </c>
      <c r="C28" s="276" t="s">
        <v>1408</v>
      </c>
      <c r="D28" s="110" t="s">
        <v>1387</v>
      </c>
      <c r="E28" s="274" t="s">
        <v>1390</v>
      </c>
      <c r="F28" s="274"/>
      <c r="G28" s="274" t="s">
        <v>1054</v>
      </c>
      <c r="H28" s="278"/>
      <c r="I28" s="278" t="s">
        <v>869</v>
      </c>
      <c r="J28" s="278"/>
      <c r="K28" s="278" t="s">
        <v>869</v>
      </c>
      <c r="L28" s="278"/>
      <c r="M28" s="278" t="s">
        <v>869</v>
      </c>
      <c r="N28" s="278"/>
      <c r="O28" s="278" t="str">
        <f t="shared" si="0"/>
        <v>No</v>
      </c>
      <c r="P28" s="278"/>
      <c r="Q28" s="278" t="s">
        <v>869</v>
      </c>
      <c r="S28" s="278" t="s">
        <v>869</v>
      </c>
      <c r="U28" s="252" t="str">
        <f t="shared" si="1"/>
        <v>No</v>
      </c>
      <c r="W28" s="277" t="s">
        <v>867</v>
      </c>
      <c r="AE28"/>
    </row>
    <row r="29" spans="1:31">
      <c r="A29" s="5" t="s">
        <v>1064</v>
      </c>
      <c r="B29" s="5" t="s">
        <v>1462</v>
      </c>
      <c r="C29" s="281" t="s">
        <v>1409</v>
      </c>
      <c r="D29" s="110" t="s">
        <v>1387</v>
      </c>
      <c r="E29" s="274" t="s">
        <v>1390</v>
      </c>
      <c r="F29" s="274"/>
      <c r="G29" s="274" t="s">
        <v>1054</v>
      </c>
      <c r="H29" s="278"/>
      <c r="I29" s="278" t="s">
        <v>869</v>
      </c>
      <c r="J29" s="278"/>
      <c r="K29" s="278" t="s">
        <v>869</v>
      </c>
      <c r="L29" s="278"/>
      <c r="M29" s="278" t="s">
        <v>869</v>
      </c>
      <c r="N29" s="278"/>
      <c r="O29" s="278" t="str">
        <f t="shared" si="0"/>
        <v>No</v>
      </c>
      <c r="P29" s="278"/>
      <c r="Q29" s="278" t="s">
        <v>869</v>
      </c>
      <c r="S29" s="278" t="s">
        <v>869</v>
      </c>
      <c r="U29" s="252" t="str">
        <f t="shared" si="1"/>
        <v>No</v>
      </c>
      <c r="W29" s="313" t="s">
        <v>867</v>
      </c>
      <c r="AE29"/>
    </row>
    <row r="30" spans="1:31">
      <c r="A30" s="5"/>
      <c r="B30" s="5" t="s">
        <v>1463</v>
      </c>
      <c r="C30" s="281" t="s">
        <v>1410</v>
      </c>
      <c r="D30" s="110" t="s">
        <v>1387</v>
      </c>
      <c r="E30" s="274" t="s">
        <v>1390</v>
      </c>
      <c r="F30" s="274"/>
      <c r="G30" s="274" t="s">
        <v>1394</v>
      </c>
      <c r="H30" s="278"/>
      <c r="I30" s="278" t="s">
        <v>1411</v>
      </c>
      <c r="J30" s="278"/>
      <c r="K30" s="278" t="s">
        <v>869</v>
      </c>
      <c r="L30" s="278"/>
      <c r="M30" s="278" t="s">
        <v>869</v>
      </c>
      <c r="N30" s="278"/>
      <c r="O30" s="278" t="str">
        <f t="shared" si="0"/>
        <v>Yes</v>
      </c>
      <c r="P30" s="278"/>
      <c r="Q30" s="278" t="s">
        <v>869</v>
      </c>
      <c r="S30" s="278" t="s">
        <v>867</v>
      </c>
      <c r="U30" s="252" t="str">
        <f t="shared" si="1"/>
        <v>Yes</v>
      </c>
      <c r="W30" s="313" t="s">
        <v>1452</v>
      </c>
      <c r="AE30"/>
    </row>
    <row r="31" spans="1:31">
      <c r="A31" s="5"/>
      <c r="B31" s="5" t="s">
        <v>1463</v>
      </c>
      <c r="C31" s="281" t="s">
        <v>1410</v>
      </c>
      <c r="D31" s="110" t="s">
        <v>1391</v>
      </c>
      <c r="E31" s="274" t="s">
        <v>1390</v>
      </c>
      <c r="F31" s="274"/>
      <c r="G31" s="274" t="s">
        <v>1394</v>
      </c>
      <c r="H31" s="278"/>
      <c r="I31" s="278" t="s">
        <v>1411</v>
      </c>
      <c r="J31" s="278"/>
      <c r="K31" s="278" t="s">
        <v>869</v>
      </c>
      <c r="L31" s="278"/>
      <c r="M31" s="278" t="s">
        <v>869</v>
      </c>
      <c r="N31" s="278"/>
      <c r="O31" s="278" t="str">
        <f t="shared" si="0"/>
        <v>Yes</v>
      </c>
      <c r="P31" s="278"/>
      <c r="Q31" s="278" t="s">
        <v>869</v>
      </c>
      <c r="S31" s="278" t="s">
        <v>867</v>
      </c>
      <c r="U31" s="252" t="str">
        <f t="shared" si="1"/>
        <v>Yes</v>
      </c>
      <c r="W31" s="313" t="s">
        <v>867</v>
      </c>
      <c r="AE31"/>
    </row>
    <row r="32" spans="1:31">
      <c r="A32" s="5"/>
      <c r="B32" s="5" t="s">
        <v>1463</v>
      </c>
      <c r="C32" s="281" t="s">
        <v>1412</v>
      </c>
      <c r="D32" s="110" t="s">
        <v>1391</v>
      </c>
      <c r="E32" s="274" t="s">
        <v>1388</v>
      </c>
      <c r="F32" s="274"/>
      <c r="G32" s="274" t="s">
        <v>1394</v>
      </c>
      <c r="H32" s="278"/>
      <c r="I32" s="278" t="s">
        <v>1411</v>
      </c>
      <c r="J32" s="278"/>
      <c r="K32" s="278" t="s">
        <v>869</v>
      </c>
      <c r="L32" s="278"/>
      <c r="M32" s="278" t="s">
        <v>869</v>
      </c>
      <c r="N32" s="278"/>
      <c r="O32" s="278" t="str">
        <f t="shared" si="0"/>
        <v>Yes</v>
      </c>
      <c r="P32" s="278"/>
      <c r="Q32" s="278" t="s">
        <v>869</v>
      </c>
      <c r="S32" s="278" t="s">
        <v>869</v>
      </c>
      <c r="U32" s="252" t="str">
        <f t="shared" si="1"/>
        <v>No</v>
      </c>
      <c r="W32" s="313" t="s">
        <v>1452</v>
      </c>
      <c r="AE32"/>
    </row>
    <row r="33" spans="1:31">
      <c r="A33" s="5"/>
      <c r="B33" s="5" t="s">
        <v>1463</v>
      </c>
      <c r="C33" s="281" t="s">
        <v>1413</v>
      </c>
      <c r="D33" s="110" t="s">
        <v>1387</v>
      </c>
      <c r="E33" s="274" t="s">
        <v>1390</v>
      </c>
      <c r="F33" s="274"/>
      <c r="G33" s="274" t="s">
        <v>1054</v>
      </c>
      <c r="H33" s="278"/>
      <c r="I33" s="278" t="s">
        <v>1395</v>
      </c>
      <c r="J33" s="278"/>
      <c r="K33" s="278" t="s">
        <v>869</v>
      </c>
      <c r="L33" s="278"/>
      <c r="M33" s="278" t="s">
        <v>869</v>
      </c>
      <c r="N33" s="278"/>
      <c r="O33" s="278" t="str">
        <f t="shared" si="0"/>
        <v>Yes</v>
      </c>
      <c r="P33" s="278"/>
      <c r="Q33" s="278" t="s">
        <v>869</v>
      </c>
      <c r="S33" s="278" t="s">
        <v>867</v>
      </c>
      <c r="U33" s="252" t="str">
        <f t="shared" si="1"/>
        <v>Yes</v>
      </c>
      <c r="W33" s="313" t="s">
        <v>1452</v>
      </c>
      <c r="AE33"/>
    </row>
    <row r="34" spans="1:31">
      <c r="A34" s="5"/>
      <c r="B34" s="5" t="s">
        <v>1463</v>
      </c>
      <c r="C34" s="281" t="s">
        <v>1413</v>
      </c>
      <c r="D34" s="110" t="s">
        <v>1391</v>
      </c>
      <c r="E34" s="274" t="s">
        <v>1390</v>
      </c>
      <c r="F34" s="274"/>
      <c r="G34" s="274" t="s">
        <v>1054</v>
      </c>
      <c r="H34" s="278"/>
      <c r="I34" s="278" t="s">
        <v>1395</v>
      </c>
      <c r="J34" s="278"/>
      <c r="K34" s="278" t="s">
        <v>869</v>
      </c>
      <c r="L34" s="278"/>
      <c r="M34" s="278" t="s">
        <v>869</v>
      </c>
      <c r="N34" s="278"/>
      <c r="O34" s="278" t="str">
        <f t="shared" si="0"/>
        <v>Yes</v>
      </c>
      <c r="P34" s="278"/>
      <c r="Q34" s="278" t="s">
        <v>869</v>
      </c>
      <c r="S34" s="278" t="s">
        <v>867</v>
      </c>
      <c r="U34" s="252" t="str">
        <f t="shared" si="1"/>
        <v>Yes</v>
      </c>
      <c r="W34" s="313" t="s">
        <v>867</v>
      </c>
      <c r="AE34"/>
    </row>
    <row r="35" spans="1:31">
      <c r="A35" s="5" t="s">
        <v>1031</v>
      </c>
      <c r="B35" s="5" t="s">
        <v>1464</v>
      </c>
      <c r="C35" s="276" t="s">
        <v>1414</v>
      </c>
      <c r="D35" s="110" t="s">
        <v>1387</v>
      </c>
      <c r="E35" s="274" t="s">
        <v>1388</v>
      </c>
      <c r="F35" s="274"/>
      <c r="G35" s="274" t="s">
        <v>1394</v>
      </c>
      <c r="H35" s="278"/>
      <c r="I35" s="278" t="s">
        <v>869</v>
      </c>
      <c r="J35" s="278"/>
      <c r="K35" s="278" t="s">
        <v>869</v>
      </c>
      <c r="L35" s="278"/>
      <c r="M35" s="278" t="s">
        <v>869</v>
      </c>
      <c r="N35" s="278"/>
      <c r="O35" s="278" t="str">
        <f t="shared" si="0"/>
        <v>No</v>
      </c>
      <c r="P35" s="278"/>
      <c r="Q35" s="278" t="s">
        <v>867</v>
      </c>
      <c r="S35" s="278" t="s">
        <v>867</v>
      </c>
      <c r="U35" s="252" t="str">
        <f t="shared" si="1"/>
        <v>Yes</v>
      </c>
      <c r="W35" s="277" t="s">
        <v>867</v>
      </c>
      <c r="X35" s="314"/>
      <c r="Y35" s="315"/>
      <c r="Z35" s="313"/>
      <c r="AE35"/>
    </row>
    <row r="36" spans="1:31">
      <c r="A36" s="5"/>
      <c r="B36" s="5" t="s">
        <v>1465</v>
      </c>
      <c r="C36" s="276" t="s">
        <v>1398</v>
      </c>
      <c r="D36" s="110" t="s">
        <v>1387</v>
      </c>
      <c r="E36" s="274" t="s">
        <v>1390</v>
      </c>
      <c r="F36" s="274"/>
      <c r="G36" s="274" t="s">
        <v>1394</v>
      </c>
      <c r="H36" s="278"/>
      <c r="I36" s="278" t="s">
        <v>1395</v>
      </c>
      <c r="J36" s="278"/>
      <c r="K36" s="278" t="s">
        <v>869</v>
      </c>
      <c r="L36" s="278"/>
      <c r="M36" s="278" t="s">
        <v>869</v>
      </c>
      <c r="N36" s="278"/>
      <c r="O36" s="278" t="str">
        <f t="shared" si="0"/>
        <v>Yes</v>
      </c>
      <c r="P36" s="278"/>
      <c r="Q36" s="278" t="s">
        <v>867</v>
      </c>
      <c r="S36" s="278" t="s">
        <v>867</v>
      </c>
      <c r="U36" s="252" t="str">
        <f t="shared" si="1"/>
        <v>Yes</v>
      </c>
      <c r="W36" s="277" t="s">
        <v>867</v>
      </c>
      <c r="X36" s="314"/>
      <c r="Y36" s="315"/>
      <c r="Z36" s="313"/>
      <c r="AE36"/>
    </row>
    <row r="37" spans="1:31">
      <c r="A37" s="5"/>
      <c r="B37" s="5" t="s">
        <v>1466</v>
      </c>
      <c r="C37" s="276" t="s">
        <v>1399</v>
      </c>
      <c r="D37" s="110" t="s">
        <v>1387</v>
      </c>
      <c r="E37" s="274" t="s">
        <v>1388</v>
      </c>
      <c r="F37" s="274"/>
      <c r="G37" s="274" t="s">
        <v>1054</v>
      </c>
      <c r="H37" s="278"/>
      <c r="I37" s="278" t="s">
        <v>1395</v>
      </c>
      <c r="J37" s="278"/>
      <c r="K37" s="278" t="s">
        <v>869</v>
      </c>
      <c r="L37" s="278"/>
      <c r="M37" s="278" t="s">
        <v>869</v>
      </c>
      <c r="N37" s="278"/>
      <c r="O37" s="278" t="str">
        <f t="shared" si="0"/>
        <v>Yes</v>
      </c>
      <c r="P37" s="278"/>
      <c r="Q37" s="278" t="s">
        <v>869</v>
      </c>
      <c r="S37" s="278" t="s">
        <v>869</v>
      </c>
      <c r="U37" s="252" t="str">
        <f t="shared" si="1"/>
        <v>No</v>
      </c>
      <c r="W37" s="277" t="s">
        <v>867</v>
      </c>
      <c r="X37" s="314"/>
      <c r="Y37" s="315"/>
      <c r="Z37" s="313"/>
      <c r="AE37"/>
    </row>
    <row r="38" spans="1:31">
      <c r="A38" s="5"/>
      <c r="B38" s="5" t="s">
        <v>1466</v>
      </c>
      <c r="C38" s="276" t="s">
        <v>1399</v>
      </c>
      <c r="D38" s="110" t="s">
        <v>1391</v>
      </c>
      <c r="E38" s="274" t="s">
        <v>1388</v>
      </c>
      <c r="F38" s="274"/>
      <c r="G38" s="274" t="s">
        <v>1054</v>
      </c>
      <c r="H38" s="278"/>
      <c r="I38" s="278" t="s">
        <v>1395</v>
      </c>
      <c r="J38" s="278"/>
      <c r="K38" s="278" t="s">
        <v>869</v>
      </c>
      <c r="L38" s="278"/>
      <c r="M38" s="278" t="s">
        <v>869</v>
      </c>
      <c r="N38" s="278"/>
      <c r="O38" s="278" t="str">
        <f t="shared" si="0"/>
        <v>Yes</v>
      </c>
      <c r="P38" s="278"/>
      <c r="Q38" s="278" t="s">
        <v>869</v>
      </c>
      <c r="S38" s="278" t="s">
        <v>869</v>
      </c>
      <c r="U38" s="252" t="str">
        <f t="shared" si="1"/>
        <v>No</v>
      </c>
      <c r="W38" s="277" t="s">
        <v>867</v>
      </c>
      <c r="X38" s="314"/>
      <c r="Y38" s="315"/>
      <c r="Z38" s="313"/>
      <c r="AE38"/>
    </row>
    <row r="39" spans="1:31">
      <c r="A39" s="5"/>
      <c r="B39" s="5" t="s">
        <v>1467</v>
      </c>
      <c r="C39" s="276" t="s">
        <v>1415</v>
      </c>
      <c r="D39" s="110" t="s">
        <v>1387</v>
      </c>
      <c r="E39" s="274" t="s">
        <v>1390</v>
      </c>
      <c r="F39" s="274"/>
      <c r="G39" s="274" t="s">
        <v>1394</v>
      </c>
      <c r="H39" s="278"/>
      <c r="I39" s="278" t="s">
        <v>869</v>
      </c>
      <c r="J39" s="278"/>
      <c r="K39" s="278" t="s">
        <v>869</v>
      </c>
      <c r="L39" s="278"/>
      <c r="M39" s="278" t="s">
        <v>869</v>
      </c>
      <c r="N39" s="278"/>
      <c r="O39" s="278" t="str">
        <f t="shared" si="0"/>
        <v>No</v>
      </c>
      <c r="P39" s="278"/>
      <c r="Q39" s="278" t="s">
        <v>869</v>
      </c>
      <c r="S39" s="278" t="s">
        <v>867</v>
      </c>
      <c r="U39" s="252" t="str">
        <f t="shared" si="1"/>
        <v>Yes</v>
      </c>
      <c r="W39" s="277" t="s">
        <v>867</v>
      </c>
      <c r="X39" s="314"/>
      <c r="Y39" s="315"/>
      <c r="Z39" s="313"/>
      <c r="AE39"/>
    </row>
    <row r="40" spans="1:31">
      <c r="A40" s="5"/>
      <c r="B40" s="5" t="s">
        <v>1468</v>
      </c>
      <c r="C40" s="276" t="s">
        <v>1415</v>
      </c>
      <c r="D40" s="110" t="s">
        <v>1391</v>
      </c>
      <c r="E40" s="274" t="s">
        <v>1390</v>
      </c>
      <c r="F40" s="274"/>
      <c r="G40" s="274" t="s">
        <v>1394</v>
      </c>
      <c r="H40" s="278"/>
      <c r="I40" s="278" t="s">
        <v>1411</v>
      </c>
      <c r="J40" s="278"/>
      <c r="K40" s="278" t="s">
        <v>869</v>
      </c>
      <c r="L40" s="278"/>
      <c r="M40" s="278" t="s">
        <v>869</v>
      </c>
      <c r="N40" s="278"/>
      <c r="O40" s="278" t="str">
        <f t="shared" si="0"/>
        <v>Yes</v>
      </c>
      <c r="P40" s="278"/>
      <c r="Q40" s="278" t="s">
        <v>867</v>
      </c>
      <c r="S40" s="278" t="s">
        <v>867</v>
      </c>
      <c r="T40" s="279"/>
      <c r="U40" s="252" t="str">
        <f t="shared" si="1"/>
        <v>Yes</v>
      </c>
      <c r="W40" s="277" t="s">
        <v>867</v>
      </c>
      <c r="X40" s="314"/>
      <c r="Y40" s="315"/>
      <c r="Z40" s="313"/>
      <c r="AE40"/>
    </row>
    <row r="41" spans="1:31">
      <c r="A41" s="5"/>
      <c r="B41" s="5" t="s">
        <v>1469</v>
      </c>
      <c r="C41" s="276" t="s">
        <v>1402</v>
      </c>
      <c r="D41" s="110" t="s">
        <v>1387</v>
      </c>
      <c r="E41" s="274" t="s">
        <v>1403</v>
      </c>
      <c r="F41" s="274"/>
      <c r="G41" s="274" t="s">
        <v>1394</v>
      </c>
      <c r="H41" s="278"/>
      <c r="I41" s="278" t="s">
        <v>1395</v>
      </c>
      <c r="J41" s="278"/>
      <c r="K41" s="278" t="s">
        <v>869</v>
      </c>
      <c r="L41" s="278"/>
      <c r="M41" s="278" t="s">
        <v>869</v>
      </c>
      <c r="N41" s="278"/>
      <c r="O41" s="278" t="str">
        <f t="shared" si="0"/>
        <v>Yes</v>
      </c>
      <c r="P41" s="278"/>
      <c r="Q41" s="278" t="s">
        <v>867</v>
      </c>
      <c r="S41" s="278" t="s">
        <v>867</v>
      </c>
      <c r="U41" s="252" t="str">
        <f t="shared" si="1"/>
        <v>Yes</v>
      </c>
      <c r="W41" s="277" t="s">
        <v>1451</v>
      </c>
      <c r="X41" s="314"/>
      <c r="Y41" s="315"/>
      <c r="Z41" s="313"/>
      <c r="AE41"/>
    </row>
    <row r="42" spans="1:31">
      <c r="A42" s="5"/>
      <c r="B42" s="5" t="s">
        <v>1469</v>
      </c>
      <c r="C42" s="276" t="s">
        <v>1402</v>
      </c>
      <c r="D42" s="110" t="s">
        <v>1391</v>
      </c>
      <c r="E42" s="274" t="s">
        <v>1403</v>
      </c>
      <c r="F42" s="274"/>
      <c r="G42" s="274" t="s">
        <v>1394</v>
      </c>
      <c r="H42" s="278"/>
      <c r="I42" s="278" t="s">
        <v>869</v>
      </c>
      <c r="J42" s="278"/>
      <c r="K42" s="278" t="s">
        <v>869</v>
      </c>
      <c r="L42" s="278"/>
      <c r="M42" s="278" t="s">
        <v>867</v>
      </c>
      <c r="N42" s="278"/>
      <c r="O42" s="278" t="str">
        <f t="shared" si="0"/>
        <v>Yes</v>
      </c>
      <c r="P42" s="278"/>
      <c r="Q42" s="278" t="s">
        <v>867</v>
      </c>
      <c r="S42" s="278" t="s">
        <v>867</v>
      </c>
      <c r="U42" s="252" t="str">
        <f t="shared" si="1"/>
        <v>Yes</v>
      </c>
      <c r="W42" s="277" t="s">
        <v>867</v>
      </c>
      <c r="X42" s="314"/>
      <c r="Y42" s="315"/>
      <c r="Z42" s="313"/>
      <c r="AE42"/>
    </row>
    <row r="43" spans="1:31">
      <c r="A43" s="5"/>
      <c r="B43" s="5" t="s">
        <v>1467</v>
      </c>
      <c r="C43" s="276" t="s">
        <v>1416</v>
      </c>
      <c r="D43" s="110" t="s">
        <v>1387</v>
      </c>
      <c r="E43" s="274" t="s">
        <v>1390</v>
      </c>
      <c r="F43" s="274"/>
      <c r="G43" s="274" t="s">
        <v>1394</v>
      </c>
      <c r="H43" s="278"/>
      <c r="I43" s="278" t="s">
        <v>869</v>
      </c>
      <c r="J43" s="278"/>
      <c r="K43" s="278" t="s">
        <v>869</v>
      </c>
      <c r="L43" s="278"/>
      <c r="M43" s="278" t="s">
        <v>869</v>
      </c>
      <c r="N43" s="278"/>
      <c r="O43" s="278" t="str">
        <f t="shared" si="0"/>
        <v>No</v>
      </c>
      <c r="P43" s="278"/>
      <c r="Q43" s="278" t="s">
        <v>869</v>
      </c>
      <c r="S43" s="278" t="s">
        <v>867</v>
      </c>
      <c r="U43" s="252" t="str">
        <f t="shared" si="1"/>
        <v>Yes</v>
      </c>
      <c r="W43" s="277" t="s">
        <v>867</v>
      </c>
      <c r="X43" s="314"/>
      <c r="Y43" s="315"/>
      <c r="Z43" s="313"/>
      <c r="AE43"/>
    </row>
    <row r="44" spans="1:31">
      <c r="A44" s="5"/>
      <c r="B44" s="5" t="s">
        <v>1468</v>
      </c>
      <c r="C44" s="276" t="s">
        <v>1416</v>
      </c>
      <c r="D44" s="110" t="s">
        <v>1391</v>
      </c>
      <c r="E44" s="274" t="s">
        <v>1390</v>
      </c>
      <c r="F44" s="274"/>
      <c r="G44" s="274" t="s">
        <v>1394</v>
      </c>
      <c r="H44" s="278"/>
      <c r="I44" s="278" t="s">
        <v>1395</v>
      </c>
      <c r="J44" s="278"/>
      <c r="K44" s="278" t="s">
        <v>869</v>
      </c>
      <c r="L44" s="278"/>
      <c r="M44" s="278" t="s">
        <v>869</v>
      </c>
      <c r="N44" s="278"/>
      <c r="O44" s="278" t="str">
        <f t="shared" si="0"/>
        <v>Yes</v>
      </c>
      <c r="P44" s="278"/>
      <c r="Q44" s="278" t="s">
        <v>869</v>
      </c>
      <c r="S44" s="278" t="s">
        <v>867</v>
      </c>
      <c r="U44" s="252" t="str">
        <f t="shared" si="1"/>
        <v>Yes</v>
      </c>
      <c r="W44" s="277" t="s">
        <v>867</v>
      </c>
      <c r="X44" s="314"/>
      <c r="Y44" s="315"/>
      <c r="Z44" s="313"/>
      <c r="AE44"/>
    </row>
    <row r="45" spans="1:31">
      <c r="A45" s="5"/>
      <c r="B45" s="5" t="s">
        <v>1468</v>
      </c>
      <c r="C45" s="276" t="s">
        <v>1405</v>
      </c>
      <c r="D45" s="110" t="s">
        <v>1391</v>
      </c>
      <c r="E45" s="274" t="s">
        <v>1388</v>
      </c>
      <c r="F45" s="274"/>
      <c r="G45" s="274" t="s">
        <v>1054</v>
      </c>
      <c r="H45" s="278"/>
      <c r="I45" s="278" t="s">
        <v>1395</v>
      </c>
      <c r="J45" s="278"/>
      <c r="K45" s="278" t="s">
        <v>869</v>
      </c>
      <c r="L45" s="278"/>
      <c r="M45" s="278" t="s">
        <v>869</v>
      </c>
      <c r="N45" s="278"/>
      <c r="O45" s="278" t="str">
        <f t="shared" si="0"/>
        <v>Yes</v>
      </c>
      <c r="P45" s="278"/>
      <c r="Q45" s="278" t="s">
        <v>867</v>
      </c>
      <c r="S45" s="278" t="s">
        <v>869</v>
      </c>
      <c r="U45" s="252" t="str">
        <f t="shared" si="1"/>
        <v>Yes</v>
      </c>
      <c r="W45" s="277" t="s">
        <v>867</v>
      </c>
      <c r="X45" s="314"/>
      <c r="Y45" s="315"/>
      <c r="Z45" s="313"/>
      <c r="AE45"/>
    </row>
    <row r="46" spans="1:31">
      <c r="A46" s="5" t="s">
        <v>1065</v>
      </c>
      <c r="B46" s="5" t="s">
        <v>1470</v>
      </c>
      <c r="C46" s="276" t="s">
        <v>1397</v>
      </c>
      <c r="D46" s="110" t="s">
        <v>1387</v>
      </c>
      <c r="E46" s="274" t="s">
        <v>1388</v>
      </c>
      <c r="F46" s="274"/>
      <c r="G46" s="274" t="s">
        <v>1054</v>
      </c>
      <c r="H46" s="278"/>
      <c r="I46" s="278" t="s">
        <v>1395</v>
      </c>
      <c r="J46" s="278"/>
      <c r="K46" s="278" t="s">
        <v>867</v>
      </c>
      <c r="L46" s="278"/>
      <c r="M46" s="278" t="s">
        <v>869</v>
      </c>
      <c r="N46" s="278"/>
      <c r="O46" s="278" t="str">
        <f t="shared" si="0"/>
        <v>Yes</v>
      </c>
      <c r="P46" s="278"/>
      <c r="Q46" s="278" t="s">
        <v>867</v>
      </c>
      <c r="S46" s="252" t="s">
        <v>867</v>
      </c>
      <c r="U46" s="252" t="str">
        <f t="shared" si="1"/>
        <v>Yes</v>
      </c>
      <c r="W46" s="277" t="s">
        <v>867</v>
      </c>
      <c r="AE46"/>
    </row>
    <row r="47" spans="1:31">
      <c r="A47" s="5"/>
      <c r="B47" s="5" t="s">
        <v>1471</v>
      </c>
      <c r="C47" s="276" t="s">
        <v>1417</v>
      </c>
      <c r="D47" s="110" t="s">
        <v>1387</v>
      </c>
      <c r="E47" s="274" t="s">
        <v>1403</v>
      </c>
      <c r="F47" s="274"/>
      <c r="G47" s="274" t="s">
        <v>1394</v>
      </c>
      <c r="H47" s="278"/>
      <c r="I47" s="278" t="s">
        <v>1395</v>
      </c>
      <c r="J47" s="278"/>
      <c r="K47" s="278" t="s">
        <v>867</v>
      </c>
      <c r="L47" s="278"/>
      <c r="M47" s="278" t="s">
        <v>869</v>
      </c>
      <c r="N47" s="278"/>
      <c r="O47" s="278" t="str">
        <f t="shared" si="0"/>
        <v>Yes</v>
      </c>
      <c r="P47" s="278"/>
      <c r="Q47" s="278" t="s">
        <v>867</v>
      </c>
      <c r="S47" s="252" t="s">
        <v>869</v>
      </c>
      <c r="U47" s="252" t="str">
        <f t="shared" si="1"/>
        <v>Yes</v>
      </c>
      <c r="W47" s="277" t="s">
        <v>867</v>
      </c>
      <c r="AE47"/>
    </row>
    <row r="48" spans="1:31">
      <c r="A48" s="5"/>
      <c r="B48" s="5" t="s">
        <v>1471</v>
      </c>
      <c r="C48" s="276" t="s">
        <v>1417</v>
      </c>
      <c r="D48" s="110" t="s">
        <v>1391</v>
      </c>
      <c r="E48" s="274" t="s">
        <v>1403</v>
      </c>
      <c r="F48" s="274"/>
      <c r="G48" s="274" t="s">
        <v>1394</v>
      </c>
      <c r="H48" s="278"/>
      <c r="I48" s="278" t="s">
        <v>869</v>
      </c>
      <c r="J48" s="278"/>
      <c r="K48" s="278" t="s">
        <v>867</v>
      </c>
      <c r="L48" s="278"/>
      <c r="M48" s="278" t="s">
        <v>869</v>
      </c>
      <c r="N48" s="278"/>
      <c r="O48" s="278" t="str">
        <f t="shared" si="0"/>
        <v>Yes</v>
      </c>
      <c r="P48" s="278"/>
      <c r="Q48" s="278" t="s">
        <v>869</v>
      </c>
      <c r="S48" s="252" t="s">
        <v>869</v>
      </c>
      <c r="U48" s="252" t="str">
        <f t="shared" si="1"/>
        <v>No</v>
      </c>
      <c r="W48" s="277" t="s">
        <v>867</v>
      </c>
      <c r="AE48"/>
    </row>
    <row r="49" spans="1:31">
      <c r="A49" s="5"/>
      <c r="B49" s="5" t="s">
        <v>1472</v>
      </c>
      <c r="C49" s="276" t="s">
        <v>1400</v>
      </c>
      <c r="D49" s="110" t="s">
        <v>1387</v>
      </c>
      <c r="E49" s="274" t="s">
        <v>1390</v>
      </c>
      <c r="F49" s="274"/>
      <c r="G49" s="274" t="s">
        <v>1054</v>
      </c>
      <c r="H49" s="278"/>
      <c r="I49" s="278" t="s">
        <v>1395</v>
      </c>
      <c r="J49" s="278"/>
      <c r="K49" s="278" t="s">
        <v>867</v>
      </c>
      <c r="L49" s="278"/>
      <c r="M49" s="278" t="s">
        <v>869</v>
      </c>
      <c r="N49" s="278"/>
      <c r="O49" s="278" t="str">
        <f t="shared" si="0"/>
        <v>Yes</v>
      </c>
      <c r="P49" s="278"/>
      <c r="Q49" s="278" t="s">
        <v>867</v>
      </c>
      <c r="S49" s="252" t="s">
        <v>867</v>
      </c>
      <c r="U49" s="252" t="str">
        <f t="shared" si="1"/>
        <v>Yes</v>
      </c>
      <c r="W49" s="277" t="s">
        <v>867</v>
      </c>
      <c r="AE49"/>
    </row>
    <row r="50" spans="1:31">
      <c r="A50" s="5"/>
      <c r="B50" s="5" t="s">
        <v>1472</v>
      </c>
      <c r="C50" s="276" t="s">
        <v>1400</v>
      </c>
      <c r="D50" s="110" t="s">
        <v>1391</v>
      </c>
      <c r="E50" s="274" t="s">
        <v>1390</v>
      </c>
      <c r="F50" s="274"/>
      <c r="G50" s="274" t="s">
        <v>1054</v>
      </c>
      <c r="H50" s="278"/>
      <c r="I50" s="278" t="s">
        <v>1395</v>
      </c>
      <c r="J50" s="278"/>
      <c r="K50" s="278" t="s">
        <v>867</v>
      </c>
      <c r="L50" s="278"/>
      <c r="M50" s="278" t="s">
        <v>869</v>
      </c>
      <c r="N50" s="278"/>
      <c r="O50" s="278" t="str">
        <f t="shared" si="0"/>
        <v>Yes</v>
      </c>
      <c r="P50" s="278"/>
      <c r="Q50" s="278" t="s">
        <v>867</v>
      </c>
      <c r="S50" s="252" t="s">
        <v>867</v>
      </c>
      <c r="U50" s="252" t="str">
        <f t="shared" si="1"/>
        <v>Yes</v>
      </c>
      <c r="W50" s="277" t="s">
        <v>867</v>
      </c>
      <c r="AE50"/>
    </row>
    <row r="51" spans="1:31">
      <c r="A51" s="5"/>
      <c r="B51" s="5" t="s">
        <v>1473</v>
      </c>
      <c r="C51" s="276" t="s">
        <v>1418</v>
      </c>
      <c r="D51" s="110" t="s">
        <v>1387</v>
      </c>
      <c r="E51" s="274" t="s">
        <v>1388</v>
      </c>
      <c r="F51" s="274"/>
      <c r="G51" s="274" t="s">
        <v>1054</v>
      </c>
      <c r="H51" s="278"/>
      <c r="I51" s="278" t="s">
        <v>1395</v>
      </c>
      <c r="J51" s="278"/>
      <c r="K51" s="278" t="s">
        <v>867</v>
      </c>
      <c r="L51" s="278"/>
      <c r="M51" s="278" t="s">
        <v>869</v>
      </c>
      <c r="N51" s="278"/>
      <c r="O51" s="278" t="str">
        <f t="shared" si="0"/>
        <v>Yes</v>
      </c>
      <c r="P51" s="278"/>
      <c r="Q51" s="278" t="s">
        <v>869</v>
      </c>
      <c r="S51" s="252" t="s">
        <v>867</v>
      </c>
      <c r="U51" s="252" t="str">
        <f t="shared" si="1"/>
        <v>Yes</v>
      </c>
      <c r="W51" s="277" t="s">
        <v>867</v>
      </c>
      <c r="AE51"/>
    </row>
    <row r="52" spans="1:31">
      <c r="A52" s="5"/>
      <c r="B52" s="5" t="s">
        <v>1474</v>
      </c>
      <c r="C52" s="276" t="s">
        <v>1406</v>
      </c>
      <c r="D52" s="110" t="s">
        <v>1387</v>
      </c>
      <c r="E52" s="274" t="s">
        <v>1390</v>
      </c>
      <c r="F52" s="274"/>
      <c r="G52" s="274" t="s">
        <v>1394</v>
      </c>
      <c r="H52" s="278"/>
      <c r="I52" s="278" t="s">
        <v>869</v>
      </c>
      <c r="J52" s="278"/>
      <c r="K52" s="278" t="s">
        <v>869</v>
      </c>
      <c r="L52" s="278"/>
      <c r="M52" s="278" t="s">
        <v>869</v>
      </c>
      <c r="N52" s="278"/>
      <c r="O52" s="278" t="str">
        <f t="shared" si="0"/>
        <v>No</v>
      </c>
      <c r="P52" s="278"/>
      <c r="Q52" s="278" t="s">
        <v>867</v>
      </c>
      <c r="S52" s="252" t="s">
        <v>869</v>
      </c>
      <c r="U52" s="252" t="str">
        <f t="shared" si="1"/>
        <v>Yes</v>
      </c>
      <c r="W52" s="277" t="s">
        <v>867</v>
      </c>
      <c r="AE52"/>
    </row>
    <row r="53" spans="1:31">
      <c r="A53" s="5" t="s">
        <v>1066</v>
      </c>
      <c r="B53" s="5" t="s">
        <v>1475</v>
      </c>
      <c r="C53" s="276" t="s">
        <v>1410</v>
      </c>
      <c r="D53" s="272" t="s">
        <v>1387</v>
      </c>
      <c r="E53" s="274" t="s">
        <v>1403</v>
      </c>
      <c r="F53" s="274"/>
      <c r="G53" s="274" t="s">
        <v>1394</v>
      </c>
      <c r="H53" s="278"/>
      <c r="I53" s="278" t="s">
        <v>1411</v>
      </c>
      <c r="J53" s="278"/>
      <c r="K53" s="278" t="s">
        <v>869</v>
      </c>
      <c r="L53" s="278"/>
      <c r="M53" s="278" t="s">
        <v>869</v>
      </c>
      <c r="N53" s="278"/>
      <c r="O53" s="278" t="str">
        <f t="shared" si="0"/>
        <v>Yes</v>
      </c>
      <c r="P53" s="278"/>
      <c r="Q53" s="278" t="s">
        <v>869</v>
      </c>
      <c r="S53" s="278" t="s">
        <v>867</v>
      </c>
      <c r="T53" s="280"/>
      <c r="U53" s="252" t="str">
        <f t="shared" si="1"/>
        <v>Yes</v>
      </c>
      <c r="V53" s="23"/>
      <c r="W53" s="277" t="s">
        <v>1452</v>
      </c>
      <c r="AE53"/>
    </row>
    <row r="54" spans="1:31">
      <c r="A54" s="5"/>
      <c r="B54" s="5" t="s">
        <v>1475</v>
      </c>
      <c r="C54" s="276" t="s">
        <v>1412</v>
      </c>
      <c r="D54" s="272" t="s">
        <v>1387</v>
      </c>
      <c r="E54" s="274" t="s">
        <v>1403</v>
      </c>
      <c r="F54" s="274"/>
      <c r="G54" s="274" t="s">
        <v>1054</v>
      </c>
      <c r="H54" s="278"/>
      <c r="I54" s="278" t="s">
        <v>869</v>
      </c>
      <c r="J54" s="278"/>
      <c r="K54" s="278" t="s">
        <v>869</v>
      </c>
      <c r="L54" s="278"/>
      <c r="M54" s="278" t="s">
        <v>869</v>
      </c>
      <c r="N54" s="278"/>
      <c r="O54" s="278" t="str">
        <f t="shared" si="0"/>
        <v>No</v>
      </c>
      <c r="P54" s="278"/>
      <c r="Q54" s="278" t="s">
        <v>869</v>
      </c>
      <c r="S54" s="278" t="s">
        <v>869</v>
      </c>
      <c r="U54" s="252" t="str">
        <f t="shared" si="1"/>
        <v>No</v>
      </c>
      <c r="V54" s="23"/>
      <c r="W54" s="277" t="s">
        <v>1452</v>
      </c>
      <c r="AE54"/>
    </row>
    <row r="55" spans="1:31">
      <c r="A55" s="6" t="s">
        <v>1067</v>
      </c>
      <c r="B55" s="5" t="s">
        <v>1476</v>
      </c>
      <c r="C55" s="276" t="s">
        <v>1392</v>
      </c>
      <c r="D55" s="272" t="s">
        <v>1387</v>
      </c>
      <c r="E55" s="274" t="s">
        <v>1388</v>
      </c>
      <c r="F55" s="274"/>
      <c r="G55" s="274" t="s">
        <v>1054</v>
      </c>
      <c r="H55" s="278"/>
      <c r="I55" s="278" t="s">
        <v>869</v>
      </c>
      <c r="J55" s="278"/>
      <c r="K55" s="278" t="s">
        <v>869</v>
      </c>
      <c r="L55" s="278"/>
      <c r="M55" s="278" t="s">
        <v>869</v>
      </c>
      <c r="N55" s="278"/>
      <c r="O55" s="278" t="str">
        <f t="shared" si="0"/>
        <v>No</v>
      </c>
      <c r="P55" s="278"/>
      <c r="Q55" s="278" t="s">
        <v>869</v>
      </c>
      <c r="S55" s="278" t="s">
        <v>867</v>
      </c>
      <c r="U55" s="252" t="str">
        <f t="shared" si="1"/>
        <v>Yes</v>
      </c>
      <c r="V55" s="23"/>
      <c r="W55" s="277" t="s">
        <v>867</v>
      </c>
      <c r="AE55"/>
    </row>
    <row r="56" spans="1:31">
      <c r="A56" s="5"/>
      <c r="B56" s="5" t="s">
        <v>1476</v>
      </c>
      <c r="C56" s="276" t="s">
        <v>1392</v>
      </c>
      <c r="D56" s="272" t="s">
        <v>1391</v>
      </c>
      <c r="E56" s="274" t="s">
        <v>1388</v>
      </c>
      <c r="F56" s="274"/>
      <c r="G56" s="274" t="s">
        <v>1054</v>
      </c>
      <c r="H56" s="278"/>
      <c r="I56" s="278" t="s">
        <v>869</v>
      </c>
      <c r="J56" s="278"/>
      <c r="K56" s="278" t="s">
        <v>869</v>
      </c>
      <c r="L56" s="278"/>
      <c r="M56" s="278" t="s">
        <v>869</v>
      </c>
      <c r="N56" s="278"/>
      <c r="O56" s="278" t="str">
        <f t="shared" si="0"/>
        <v>No</v>
      </c>
      <c r="P56" s="278"/>
      <c r="Q56" s="278" t="s">
        <v>869</v>
      </c>
      <c r="S56" s="278" t="s">
        <v>867</v>
      </c>
      <c r="U56" s="252" t="str">
        <f t="shared" si="1"/>
        <v>Yes</v>
      </c>
      <c r="V56" s="23"/>
      <c r="W56" s="277" t="s">
        <v>867</v>
      </c>
      <c r="AE56"/>
    </row>
    <row r="57" spans="1:31">
      <c r="A57" s="5" t="s">
        <v>1291</v>
      </c>
      <c r="B57" s="5" t="s">
        <v>1477</v>
      </c>
      <c r="C57" s="276" t="s">
        <v>1414</v>
      </c>
      <c r="D57" s="272" t="s">
        <v>1387</v>
      </c>
      <c r="E57" s="274" t="s">
        <v>1388</v>
      </c>
      <c r="F57" s="274"/>
      <c r="G57" s="274" t="s">
        <v>1054</v>
      </c>
      <c r="H57" s="278"/>
      <c r="I57" s="278" t="s">
        <v>869</v>
      </c>
      <c r="J57" s="278"/>
      <c r="K57" s="278" t="s">
        <v>869</v>
      </c>
      <c r="L57" s="278"/>
      <c r="M57" s="278" t="s">
        <v>869</v>
      </c>
      <c r="N57" s="278"/>
      <c r="O57" s="278" t="str">
        <f t="shared" si="0"/>
        <v>No</v>
      </c>
      <c r="P57" s="278"/>
      <c r="Q57" s="278" t="s">
        <v>867</v>
      </c>
      <c r="S57" s="278" t="s">
        <v>867</v>
      </c>
      <c r="U57" s="252" t="str">
        <f t="shared" si="1"/>
        <v>Yes</v>
      </c>
      <c r="V57" s="23"/>
      <c r="W57" s="277" t="s">
        <v>867</v>
      </c>
      <c r="AE57"/>
    </row>
    <row r="58" spans="1:31">
      <c r="A58" s="5"/>
      <c r="B58" s="5" t="s">
        <v>1478</v>
      </c>
      <c r="C58" s="276" t="s">
        <v>1414</v>
      </c>
      <c r="D58" s="272" t="s">
        <v>1387</v>
      </c>
      <c r="E58" s="274" t="s">
        <v>1388</v>
      </c>
      <c r="F58" s="274"/>
      <c r="G58" s="274" t="s">
        <v>1054</v>
      </c>
      <c r="H58" s="278"/>
      <c r="I58" s="278" t="s">
        <v>869</v>
      </c>
      <c r="J58" s="278"/>
      <c r="K58" s="278" t="s">
        <v>869</v>
      </c>
      <c r="L58" s="278"/>
      <c r="M58" s="278" t="s">
        <v>869</v>
      </c>
      <c r="N58" s="278"/>
      <c r="O58" s="278" t="str">
        <f t="shared" si="0"/>
        <v>No</v>
      </c>
      <c r="P58" s="278"/>
      <c r="Q58" s="278" t="s">
        <v>867</v>
      </c>
      <c r="S58" s="278" t="s">
        <v>867</v>
      </c>
      <c r="U58" s="252" t="str">
        <f t="shared" si="1"/>
        <v>Yes</v>
      </c>
      <c r="V58" s="23"/>
      <c r="W58" s="277" t="s">
        <v>867</v>
      </c>
      <c r="AE58"/>
    </row>
    <row r="59" spans="1:31">
      <c r="A59" s="5"/>
      <c r="B59" s="5" t="s">
        <v>1479</v>
      </c>
      <c r="C59" s="276" t="s">
        <v>1414</v>
      </c>
      <c r="D59" s="272" t="s">
        <v>1391</v>
      </c>
      <c r="E59" s="274" t="s">
        <v>1388</v>
      </c>
      <c r="F59" s="274"/>
      <c r="G59" s="274" t="s">
        <v>1054</v>
      </c>
      <c r="H59" s="278"/>
      <c r="I59" s="278" t="s">
        <v>869</v>
      </c>
      <c r="J59" s="278"/>
      <c r="K59" s="278" t="s">
        <v>869</v>
      </c>
      <c r="L59" s="278"/>
      <c r="M59" s="278" t="s">
        <v>869</v>
      </c>
      <c r="N59" s="278"/>
      <c r="O59" s="278" t="str">
        <f t="shared" si="0"/>
        <v>No</v>
      </c>
      <c r="P59" s="278"/>
      <c r="Q59" s="278" t="s">
        <v>867</v>
      </c>
      <c r="S59" s="278" t="s">
        <v>867</v>
      </c>
      <c r="U59" s="252" t="str">
        <f t="shared" si="1"/>
        <v>Yes</v>
      </c>
      <c r="V59" s="23"/>
      <c r="W59" s="277" t="s">
        <v>867</v>
      </c>
      <c r="AE59"/>
    </row>
    <row r="60" spans="1:31" ht="12" customHeight="1">
      <c r="A60" s="5"/>
      <c r="B60" s="5" t="s">
        <v>1480</v>
      </c>
      <c r="C60" s="276" t="s">
        <v>1406</v>
      </c>
      <c r="D60" s="272" t="s">
        <v>1387</v>
      </c>
      <c r="E60" s="274" t="s">
        <v>1390</v>
      </c>
      <c r="F60" s="274"/>
      <c r="G60" s="274" t="s">
        <v>1394</v>
      </c>
      <c r="H60" s="278"/>
      <c r="I60" s="278" t="s">
        <v>869</v>
      </c>
      <c r="J60" s="278"/>
      <c r="K60" s="278" t="s">
        <v>869</v>
      </c>
      <c r="L60" s="278"/>
      <c r="M60" s="278" t="s">
        <v>869</v>
      </c>
      <c r="N60" s="278"/>
      <c r="O60" s="278" t="str">
        <f t="shared" si="0"/>
        <v>No</v>
      </c>
      <c r="P60" s="278"/>
      <c r="Q60" s="278" t="s">
        <v>867</v>
      </c>
      <c r="S60" s="278" t="s">
        <v>869</v>
      </c>
      <c r="U60" s="252" t="str">
        <f t="shared" si="1"/>
        <v>Yes</v>
      </c>
      <c r="V60" s="23"/>
      <c r="W60" s="277" t="s">
        <v>1451</v>
      </c>
      <c r="AE60"/>
    </row>
    <row r="61" spans="1:31">
      <c r="A61" s="5" t="s">
        <v>1027</v>
      </c>
      <c r="B61" s="5" t="s">
        <v>1027</v>
      </c>
      <c r="C61" s="276" t="s">
        <v>1419</v>
      </c>
      <c r="D61" s="272" t="s">
        <v>1387</v>
      </c>
      <c r="E61" s="274" t="s">
        <v>1390</v>
      </c>
      <c r="F61" s="274"/>
      <c r="G61" s="274" t="s">
        <v>1054</v>
      </c>
      <c r="H61" s="278"/>
      <c r="I61" s="278" t="s">
        <v>1395</v>
      </c>
      <c r="J61" s="278"/>
      <c r="K61" s="278" t="s">
        <v>869</v>
      </c>
      <c r="L61" s="278"/>
      <c r="M61" s="278" t="s">
        <v>869</v>
      </c>
      <c r="N61" s="278"/>
      <c r="O61" s="278" t="str">
        <f t="shared" si="0"/>
        <v>Yes</v>
      </c>
      <c r="P61" s="278"/>
      <c r="Q61" s="278" t="s">
        <v>869</v>
      </c>
      <c r="S61" s="278" t="s">
        <v>869</v>
      </c>
      <c r="U61" s="252" t="str">
        <f t="shared" si="1"/>
        <v>No</v>
      </c>
      <c r="V61" s="23"/>
      <c r="W61" s="316" t="s">
        <v>1452</v>
      </c>
      <c r="AE61"/>
    </row>
    <row r="62" spans="1:31">
      <c r="A62" s="5"/>
      <c r="B62" s="5" t="s">
        <v>1027</v>
      </c>
      <c r="C62" s="276" t="s">
        <v>1419</v>
      </c>
      <c r="D62" s="272" t="s">
        <v>1391</v>
      </c>
      <c r="E62" s="274" t="s">
        <v>1390</v>
      </c>
      <c r="F62" s="274"/>
      <c r="G62" s="274" t="s">
        <v>1054</v>
      </c>
      <c r="H62" s="278"/>
      <c r="I62" s="278" t="s">
        <v>869</v>
      </c>
      <c r="J62" s="278"/>
      <c r="K62" s="278" t="s">
        <v>869</v>
      </c>
      <c r="L62" s="278"/>
      <c r="M62" s="278" t="s">
        <v>869</v>
      </c>
      <c r="N62" s="278"/>
      <c r="O62" s="278" t="str">
        <f t="shared" si="0"/>
        <v>No</v>
      </c>
      <c r="P62" s="278"/>
      <c r="Q62" s="278" t="s">
        <v>869</v>
      </c>
      <c r="S62" s="278" t="s">
        <v>869</v>
      </c>
      <c r="T62" s="272"/>
      <c r="U62" s="252" t="str">
        <f t="shared" si="1"/>
        <v>No</v>
      </c>
      <c r="V62" s="23"/>
      <c r="W62" s="252" t="s">
        <v>867</v>
      </c>
      <c r="AE62"/>
    </row>
    <row r="63" spans="1:31">
      <c r="A63" s="5"/>
      <c r="B63" s="5" t="s">
        <v>1027</v>
      </c>
      <c r="C63" s="276" t="s">
        <v>1420</v>
      </c>
      <c r="D63" s="272" t="s">
        <v>1391</v>
      </c>
      <c r="E63" s="274" t="s">
        <v>1390</v>
      </c>
      <c r="F63" s="274"/>
      <c r="G63" s="274" t="s">
        <v>1394</v>
      </c>
      <c r="H63" s="278"/>
      <c r="I63" s="278" t="s">
        <v>869</v>
      </c>
      <c r="J63" s="278"/>
      <c r="K63" s="278" t="s">
        <v>869</v>
      </c>
      <c r="L63" s="278"/>
      <c r="M63" s="278" t="s">
        <v>869</v>
      </c>
      <c r="N63" s="278"/>
      <c r="O63" s="278" t="str">
        <f t="shared" si="0"/>
        <v>No</v>
      </c>
      <c r="P63" s="278"/>
      <c r="Q63" s="278" t="s">
        <v>869</v>
      </c>
      <c r="S63" s="278" t="s">
        <v>867</v>
      </c>
      <c r="T63" s="272"/>
      <c r="U63" s="252" t="str">
        <f t="shared" si="1"/>
        <v>Yes</v>
      </c>
      <c r="V63" s="23"/>
      <c r="W63" s="252" t="s">
        <v>867</v>
      </c>
      <c r="AE63"/>
    </row>
    <row r="64" spans="1:31">
      <c r="A64" s="5"/>
      <c r="B64" s="5" t="s">
        <v>1027</v>
      </c>
      <c r="C64" s="276" t="s">
        <v>1421</v>
      </c>
      <c r="D64" s="272" t="s">
        <v>1387</v>
      </c>
      <c r="E64" s="274" t="s">
        <v>1390</v>
      </c>
      <c r="F64" s="274"/>
      <c r="G64" s="274" t="s">
        <v>1054</v>
      </c>
      <c r="H64" s="278"/>
      <c r="I64" s="278" t="s">
        <v>869</v>
      </c>
      <c r="J64" s="278"/>
      <c r="K64" s="278" t="s">
        <v>869</v>
      </c>
      <c r="L64" s="278"/>
      <c r="M64" s="278" t="s">
        <v>869</v>
      </c>
      <c r="N64" s="278"/>
      <c r="O64" s="278" t="str">
        <f t="shared" si="0"/>
        <v>No</v>
      </c>
      <c r="P64" s="278"/>
      <c r="Q64" s="278" t="s">
        <v>869</v>
      </c>
      <c r="S64" s="278" t="s">
        <v>867</v>
      </c>
      <c r="T64" s="272"/>
      <c r="U64" s="252" t="str">
        <f t="shared" si="1"/>
        <v>Yes</v>
      </c>
      <c r="V64" s="23"/>
      <c r="W64" s="252" t="s">
        <v>867</v>
      </c>
      <c r="AE64"/>
    </row>
    <row r="65" spans="1:31">
      <c r="A65" s="5"/>
      <c r="B65" s="5" t="s">
        <v>1027</v>
      </c>
      <c r="C65" s="276" t="s">
        <v>1421</v>
      </c>
      <c r="D65" s="272" t="s">
        <v>1391</v>
      </c>
      <c r="E65" s="274" t="s">
        <v>1390</v>
      </c>
      <c r="F65" s="274"/>
      <c r="G65" s="274" t="s">
        <v>1054</v>
      </c>
      <c r="H65" s="278"/>
      <c r="I65" s="278" t="s">
        <v>869</v>
      </c>
      <c r="J65" s="278"/>
      <c r="K65" s="278" t="s">
        <v>869</v>
      </c>
      <c r="L65" s="278"/>
      <c r="M65" s="278" t="s">
        <v>869</v>
      </c>
      <c r="N65" s="278"/>
      <c r="O65" s="278" t="str">
        <f t="shared" si="0"/>
        <v>No</v>
      </c>
      <c r="P65" s="278"/>
      <c r="Q65" s="278" t="s">
        <v>869</v>
      </c>
      <c r="S65" s="278" t="s">
        <v>867</v>
      </c>
      <c r="T65" s="272"/>
      <c r="U65" s="252" t="str">
        <f t="shared" si="1"/>
        <v>Yes</v>
      </c>
      <c r="V65" s="23"/>
      <c r="W65" s="252" t="s">
        <v>867</v>
      </c>
      <c r="AE65"/>
    </row>
    <row r="66" spans="1:31">
      <c r="A66" s="272" t="s">
        <v>1029</v>
      </c>
      <c r="B66" s="272" t="s">
        <v>1481</v>
      </c>
      <c r="C66" s="276" t="s">
        <v>1386</v>
      </c>
      <c r="D66" s="110" t="s">
        <v>1387</v>
      </c>
      <c r="E66" s="277" t="s">
        <v>1388</v>
      </c>
      <c r="F66" s="277"/>
      <c r="G66" s="277" t="s">
        <v>1054</v>
      </c>
      <c r="H66" s="278"/>
      <c r="I66" s="278" t="s">
        <v>869</v>
      </c>
      <c r="J66" s="278"/>
      <c r="K66" s="278" t="s">
        <v>869</v>
      </c>
      <c r="L66" s="278"/>
      <c r="M66" s="278" t="s">
        <v>869</v>
      </c>
      <c r="N66" s="278"/>
      <c r="O66" s="278" t="str">
        <f t="shared" si="0"/>
        <v>No</v>
      </c>
      <c r="P66" s="278"/>
      <c r="Q66" s="278" t="s">
        <v>869</v>
      </c>
      <c r="S66" s="278" t="s">
        <v>867</v>
      </c>
      <c r="U66" s="252" t="str">
        <f t="shared" si="1"/>
        <v>Yes</v>
      </c>
      <c r="V66" s="282"/>
      <c r="W66" s="277" t="s">
        <v>867</v>
      </c>
      <c r="AE66"/>
    </row>
    <row r="67" spans="1:31">
      <c r="B67" s="272" t="s">
        <v>1481</v>
      </c>
      <c r="C67" s="276" t="s">
        <v>1422</v>
      </c>
      <c r="D67" s="110" t="s">
        <v>1387</v>
      </c>
      <c r="E67" s="277" t="s">
        <v>1388</v>
      </c>
      <c r="F67" s="277"/>
      <c r="G67" s="277" t="s">
        <v>1054</v>
      </c>
      <c r="H67" s="278"/>
      <c r="I67" s="278" t="s">
        <v>869</v>
      </c>
      <c r="J67" s="278"/>
      <c r="K67" s="278" t="s">
        <v>869</v>
      </c>
      <c r="L67" s="278"/>
      <c r="M67" s="278" t="s">
        <v>869</v>
      </c>
      <c r="N67" s="278"/>
      <c r="O67" s="278" t="str">
        <f t="shared" si="0"/>
        <v>No</v>
      </c>
      <c r="P67" s="278"/>
      <c r="Q67" s="278" t="s">
        <v>867</v>
      </c>
      <c r="S67" s="278" t="s">
        <v>867</v>
      </c>
      <c r="U67" s="252" t="str">
        <f t="shared" si="1"/>
        <v>Yes</v>
      </c>
      <c r="V67" s="282"/>
      <c r="W67" s="277" t="s">
        <v>867</v>
      </c>
      <c r="AE67"/>
    </row>
    <row r="68" spans="1:31">
      <c r="B68" s="272" t="s">
        <v>1481</v>
      </c>
      <c r="C68" s="276" t="s">
        <v>1421</v>
      </c>
      <c r="D68" s="110" t="s">
        <v>1387</v>
      </c>
      <c r="E68" s="277" t="s">
        <v>1390</v>
      </c>
      <c r="F68" s="277"/>
      <c r="G68" s="277" t="s">
        <v>1054</v>
      </c>
      <c r="H68" s="278"/>
      <c r="I68" s="278" t="s">
        <v>869</v>
      </c>
      <c r="J68" s="278"/>
      <c r="K68" s="278" t="s">
        <v>869</v>
      </c>
      <c r="L68" s="278"/>
      <c r="M68" s="278" t="s">
        <v>869</v>
      </c>
      <c r="N68" s="278"/>
      <c r="O68" s="278" t="str">
        <f t="shared" si="0"/>
        <v>No</v>
      </c>
      <c r="P68" s="278"/>
      <c r="Q68" s="278" t="s">
        <v>867</v>
      </c>
      <c r="S68" s="278" t="s">
        <v>867</v>
      </c>
      <c r="U68" s="252" t="str">
        <f t="shared" si="1"/>
        <v>Yes</v>
      </c>
      <c r="V68" s="282"/>
      <c r="W68" s="277" t="s">
        <v>867</v>
      </c>
      <c r="AE68"/>
    </row>
    <row r="69" spans="1:31">
      <c r="A69" s="272" t="s">
        <v>1069</v>
      </c>
      <c r="B69" s="272" t="s">
        <v>1482</v>
      </c>
      <c r="C69" s="276" t="s">
        <v>1412</v>
      </c>
      <c r="D69" s="110" t="s">
        <v>1387</v>
      </c>
      <c r="E69" s="277" t="s">
        <v>1388</v>
      </c>
      <c r="F69" s="277"/>
      <c r="G69" s="277" t="s">
        <v>1394</v>
      </c>
      <c r="H69" s="278"/>
      <c r="I69" s="278" t="s">
        <v>1395</v>
      </c>
      <c r="J69" s="278"/>
      <c r="K69" s="278" t="s">
        <v>869</v>
      </c>
      <c r="L69" s="278"/>
      <c r="M69" s="278" t="s">
        <v>869</v>
      </c>
      <c r="N69" s="278"/>
      <c r="O69" s="278" t="str">
        <f t="shared" si="0"/>
        <v>Yes</v>
      </c>
      <c r="P69" s="278"/>
      <c r="Q69" s="278" t="s">
        <v>867</v>
      </c>
      <c r="S69" s="278" t="s">
        <v>869</v>
      </c>
      <c r="U69" s="252" t="str">
        <f t="shared" si="1"/>
        <v>Yes</v>
      </c>
      <c r="V69" s="282"/>
      <c r="W69" s="277" t="s">
        <v>1452</v>
      </c>
      <c r="AE69"/>
    </row>
    <row r="70" spans="1:31">
      <c r="A70" s="272" t="s">
        <v>1070</v>
      </c>
      <c r="B70" s="272" t="s">
        <v>1483</v>
      </c>
      <c r="C70" s="276" t="s">
        <v>1423</v>
      </c>
      <c r="D70" s="110" t="s">
        <v>1387</v>
      </c>
      <c r="E70" s="277" t="s">
        <v>1388</v>
      </c>
      <c r="F70" s="277"/>
      <c r="G70" s="277" t="s">
        <v>1054</v>
      </c>
      <c r="H70" s="278"/>
      <c r="I70" s="278" t="s">
        <v>869</v>
      </c>
      <c r="J70" s="278"/>
      <c r="K70" s="278" t="s">
        <v>867</v>
      </c>
      <c r="L70" s="278"/>
      <c r="M70" s="278" t="s">
        <v>869</v>
      </c>
      <c r="N70" s="278"/>
      <c r="O70" s="278" t="str">
        <f t="shared" si="0"/>
        <v>Yes</v>
      </c>
      <c r="P70" s="278"/>
      <c r="Q70" s="278" t="s">
        <v>867</v>
      </c>
      <c r="S70" s="278" t="s">
        <v>869</v>
      </c>
      <c r="T70" s="276"/>
      <c r="U70" s="252" t="str">
        <f t="shared" si="1"/>
        <v>Yes</v>
      </c>
      <c r="V70" s="282"/>
      <c r="W70" s="277" t="s">
        <v>867</v>
      </c>
      <c r="AE70"/>
    </row>
    <row r="71" spans="1:31">
      <c r="B71" s="272" t="s">
        <v>1484</v>
      </c>
      <c r="C71" s="276" t="s">
        <v>1424</v>
      </c>
      <c r="D71" s="110" t="s">
        <v>1387</v>
      </c>
      <c r="E71" s="277" t="s">
        <v>1388</v>
      </c>
      <c r="F71" s="277"/>
      <c r="G71" s="277" t="s">
        <v>1054</v>
      </c>
      <c r="H71" s="278"/>
      <c r="I71" s="278" t="s">
        <v>869</v>
      </c>
      <c r="J71" s="278"/>
      <c r="K71" s="278" t="s">
        <v>867</v>
      </c>
      <c r="L71" s="278"/>
      <c r="M71" s="278" t="s">
        <v>869</v>
      </c>
      <c r="N71" s="278"/>
      <c r="O71" s="278" t="str">
        <f t="shared" si="0"/>
        <v>Yes</v>
      </c>
      <c r="P71" s="278"/>
      <c r="Q71" s="278" t="s">
        <v>867</v>
      </c>
      <c r="S71" s="278" t="s">
        <v>867</v>
      </c>
      <c r="U71" s="252" t="str">
        <f t="shared" si="1"/>
        <v>Yes</v>
      </c>
      <c r="V71" s="282"/>
      <c r="W71" s="277" t="s">
        <v>867</v>
      </c>
      <c r="AE71"/>
    </row>
    <row r="72" spans="1:31">
      <c r="B72" s="272" t="s">
        <v>1485</v>
      </c>
      <c r="C72" s="276" t="s">
        <v>1424</v>
      </c>
      <c r="D72" s="110" t="s">
        <v>1391</v>
      </c>
      <c r="E72" s="277" t="s">
        <v>1388</v>
      </c>
      <c r="F72" s="277"/>
      <c r="G72" s="277" t="s">
        <v>1054</v>
      </c>
      <c r="H72" s="278"/>
      <c r="I72" s="278" t="s">
        <v>869</v>
      </c>
      <c r="J72" s="278"/>
      <c r="K72" s="278" t="s">
        <v>867</v>
      </c>
      <c r="L72" s="278"/>
      <c r="M72" s="278" t="s">
        <v>867</v>
      </c>
      <c r="N72" s="278"/>
      <c r="O72" s="278" t="str">
        <f t="shared" ref="O72:O87" si="2">IF(AND(I72="No",K72="No",M72="No"),"No","Yes")</f>
        <v>Yes</v>
      </c>
      <c r="P72" s="278"/>
      <c r="Q72" s="278" t="s">
        <v>867</v>
      </c>
      <c r="S72" s="278" t="s">
        <v>867</v>
      </c>
      <c r="U72" s="252" t="str">
        <f t="shared" ref="U72:U87" si="3">IF(AND(Q72="No",S72="No"),"No","Yes")</f>
        <v>Yes</v>
      </c>
      <c r="V72" s="282"/>
      <c r="W72" s="277" t="s">
        <v>1451</v>
      </c>
      <c r="AE72"/>
    </row>
    <row r="73" spans="1:31">
      <c r="B73" s="272" t="s">
        <v>1486</v>
      </c>
      <c r="C73" s="276" t="s">
        <v>1393</v>
      </c>
      <c r="D73" s="110" t="s">
        <v>1391</v>
      </c>
      <c r="E73" s="277" t="s">
        <v>1388</v>
      </c>
      <c r="F73" s="277"/>
      <c r="G73" s="277" t="s">
        <v>1054</v>
      </c>
      <c r="H73" s="278"/>
      <c r="I73" s="278" t="s">
        <v>1395</v>
      </c>
      <c r="J73" s="278"/>
      <c r="K73" s="278" t="s">
        <v>869</v>
      </c>
      <c r="L73" s="278"/>
      <c r="M73" s="278" t="s">
        <v>869</v>
      </c>
      <c r="N73" s="278"/>
      <c r="O73" s="278" t="str">
        <f t="shared" si="2"/>
        <v>Yes</v>
      </c>
      <c r="P73" s="278"/>
      <c r="Q73" s="278" t="s">
        <v>867</v>
      </c>
      <c r="S73" s="278" t="s">
        <v>867</v>
      </c>
      <c r="U73" s="252" t="str">
        <f t="shared" si="3"/>
        <v>Yes</v>
      </c>
      <c r="V73" s="282"/>
      <c r="W73" s="277" t="s">
        <v>867</v>
      </c>
      <c r="AE73"/>
    </row>
    <row r="74" spans="1:31">
      <c r="B74" s="272" t="s">
        <v>1487</v>
      </c>
      <c r="C74" s="276" t="s">
        <v>1418</v>
      </c>
      <c r="D74" s="110" t="s">
        <v>1387</v>
      </c>
      <c r="E74" s="277" t="s">
        <v>1388</v>
      </c>
      <c r="F74" s="277"/>
      <c r="G74" s="277" t="s">
        <v>1394</v>
      </c>
      <c r="H74" s="278"/>
      <c r="I74" s="278" t="s">
        <v>1395</v>
      </c>
      <c r="J74" s="278"/>
      <c r="K74" s="278" t="s">
        <v>867</v>
      </c>
      <c r="L74" s="278"/>
      <c r="M74" s="278" t="s">
        <v>869</v>
      </c>
      <c r="N74" s="278"/>
      <c r="O74" s="278" t="str">
        <f t="shared" si="2"/>
        <v>Yes</v>
      </c>
      <c r="P74" s="278"/>
      <c r="Q74" s="278" t="s">
        <v>869</v>
      </c>
      <c r="S74" s="278" t="s">
        <v>867</v>
      </c>
      <c r="T74" s="276"/>
      <c r="U74" s="252" t="str">
        <f t="shared" si="3"/>
        <v>Yes</v>
      </c>
      <c r="V74" s="282"/>
      <c r="W74" s="277" t="s">
        <v>867</v>
      </c>
      <c r="AE74"/>
    </row>
    <row r="75" spans="1:31">
      <c r="B75" s="272" t="s">
        <v>1488</v>
      </c>
      <c r="C75" s="276" t="s">
        <v>1405</v>
      </c>
      <c r="D75" s="110" t="s">
        <v>1391</v>
      </c>
      <c r="E75" s="277" t="s">
        <v>1388</v>
      </c>
      <c r="F75" s="277"/>
      <c r="G75" s="277" t="s">
        <v>1054</v>
      </c>
      <c r="H75" s="278"/>
      <c r="I75" s="278" t="s">
        <v>1395</v>
      </c>
      <c r="J75" s="278"/>
      <c r="K75" s="278" t="s">
        <v>867</v>
      </c>
      <c r="L75" s="278"/>
      <c r="M75" s="278" t="s">
        <v>869</v>
      </c>
      <c r="N75" s="278"/>
      <c r="O75" s="278" t="str">
        <f t="shared" si="2"/>
        <v>Yes</v>
      </c>
      <c r="P75" s="278"/>
      <c r="Q75" s="278" t="s">
        <v>869</v>
      </c>
      <c r="S75" s="278" t="s">
        <v>869</v>
      </c>
      <c r="U75" s="252" t="str">
        <f t="shared" si="3"/>
        <v>No</v>
      </c>
      <c r="V75" s="282"/>
      <c r="W75" s="277" t="s">
        <v>867</v>
      </c>
      <c r="AE75"/>
    </row>
    <row r="76" spans="1:31">
      <c r="B76" s="272" t="s">
        <v>1489</v>
      </c>
      <c r="C76" s="276" t="s">
        <v>1407</v>
      </c>
      <c r="D76" s="110" t="s">
        <v>1391</v>
      </c>
      <c r="E76" s="277" t="s">
        <v>1390</v>
      </c>
      <c r="F76" s="277"/>
      <c r="G76" s="277" t="s">
        <v>1054</v>
      </c>
      <c r="H76" s="278"/>
      <c r="I76" s="278" t="s">
        <v>1395</v>
      </c>
      <c r="J76" s="278"/>
      <c r="K76" s="278" t="s">
        <v>869</v>
      </c>
      <c r="L76" s="278"/>
      <c r="M76" s="278" t="s">
        <v>869</v>
      </c>
      <c r="N76" s="278"/>
      <c r="O76" s="278" t="str">
        <f t="shared" si="2"/>
        <v>Yes</v>
      </c>
      <c r="P76" s="278"/>
      <c r="Q76" s="278" t="s">
        <v>867</v>
      </c>
      <c r="S76" s="278" t="s">
        <v>867</v>
      </c>
      <c r="U76" s="252" t="str">
        <f t="shared" si="3"/>
        <v>Yes</v>
      </c>
      <c r="V76" s="282"/>
      <c r="W76" s="277" t="s">
        <v>867</v>
      </c>
      <c r="AE76"/>
    </row>
    <row r="77" spans="1:31">
      <c r="A77" s="272" t="s">
        <v>1032</v>
      </c>
      <c r="B77" s="272" t="s">
        <v>1490</v>
      </c>
      <c r="C77" s="276" t="s">
        <v>1425</v>
      </c>
      <c r="D77" s="110" t="s">
        <v>1387</v>
      </c>
      <c r="E77" s="277" t="s">
        <v>1390</v>
      </c>
      <c r="F77" s="277"/>
      <c r="G77" s="277" t="s">
        <v>1054</v>
      </c>
      <c r="H77" s="278"/>
      <c r="I77" s="278" t="s">
        <v>1395</v>
      </c>
      <c r="J77" s="278"/>
      <c r="K77" s="278" t="s">
        <v>869</v>
      </c>
      <c r="L77" s="278"/>
      <c r="M77" s="278" t="s">
        <v>869</v>
      </c>
      <c r="N77" s="278"/>
      <c r="O77" s="278" t="str">
        <f t="shared" si="2"/>
        <v>Yes</v>
      </c>
      <c r="P77" s="278"/>
      <c r="Q77" s="278" t="s">
        <v>867</v>
      </c>
      <c r="S77" s="278" t="s">
        <v>867</v>
      </c>
      <c r="U77" s="252" t="str">
        <f t="shared" si="3"/>
        <v>Yes</v>
      </c>
      <c r="V77" s="282"/>
      <c r="W77" s="277" t="s">
        <v>867</v>
      </c>
      <c r="AE77"/>
    </row>
    <row r="78" spans="1:31">
      <c r="B78" s="272" t="s">
        <v>1490</v>
      </c>
      <c r="C78" s="276" t="s">
        <v>1425</v>
      </c>
      <c r="D78" s="110" t="s">
        <v>1391</v>
      </c>
      <c r="E78" s="277" t="s">
        <v>1390</v>
      </c>
      <c r="F78" s="277"/>
      <c r="G78" s="277" t="s">
        <v>1394</v>
      </c>
      <c r="H78" s="278"/>
      <c r="I78" s="278" t="s">
        <v>1395</v>
      </c>
      <c r="J78" s="278"/>
      <c r="K78" s="278" t="s">
        <v>869</v>
      </c>
      <c r="L78" s="278"/>
      <c r="M78" s="278" t="s">
        <v>869</v>
      </c>
      <c r="N78" s="278"/>
      <c r="O78" s="278" t="str">
        <f t="shared" si="2"/>
        <v>Yes</v>
      </c>
      <c r="P78" s="278"/>
      <c r="Q78" s="278" t="s">
        <v>867</v>
      </c>
      <c r="S78" s="278" t="s">
        <v>867</v>
      </c>
      <c r="U78" s="252" t="str">
        <f t="shared" si="3"/>
        <v>Yes</v>
      </c>
      <c r="V78" s="282"/>
      <c r="W78" s="277" t="s">
        <v>867</v>
      </c>
      <c r="AE78"/>
    </row>
    <row r="79" spans="1:31">
      <c r="B79" s="272" t="s">
        <v>1491</v>
      </c>
      <c r="C79" s="276" t="s">
        <v>1386</v>
      </c>
      <c r="D79" s="110" t="s">
        <v>1387</v>
      </c>
      <c r="E79" s="277" t="s">
        <v>1388</v>
      </c>
      <c r="F79" s="277"/>
      <c r="G79" s="277" t="s">
        <v>1054</v>
      </c>
      <c r="H79" s="278"/>
      <c r="I79" s="278" t="s">
        <v>1395</v>
      </c>
      <c r="J79" s="278"/>
      <c r="K79" s="278" t="s">
        <v>867</v>
      </c>
      <c r="L79" s="278"/>
      <c r="M79" s="278" t="s">
        <v>869</v>
      </c>
      <c r="N79" s="278"/>
      <c r="O79" s="278" t="str">
        <f t="shared" si="2"/>
        <v>Yes</v>
      </c>
      <c r="P79" s="278"/>
      <c r="Q79" s="278" t="s">
        <v>869</v>
      </c>
      <c r="S79" s="278" t="s">
        <v>867</v>
      </c>
      <c r="T79" s="283"/>
      <c r="U79" s="252" t="str">
        <f t="shared" si="3"/>
        <v>Yes</v>
      </c>
      <c r="V79" s="282"/>
      <c r="W79" s="277" t="s">
        <v>867</v>
      </c>
      <c r="AE79"/>
    </row>
    <row r="80" spans="1:31">
      <c r="B80" s="272" t="s">
        <v>1491</v>
      </c>
      <c r="C80" s="276" t="s">
        <v>1386</v>
      </c>
      <c r="D80" s="110" t="s">
        <v>1391</v>
      </c>
      <c r="E80" s="277" t="s">
        <v>1388</v>
      </c>
      <c r="F80" s="277"/>
      <c r="G80" s="277" t="s">
        <v>1054</v>
      </c>
      <c r="H80" s="278"/>
      <c r="I80" s="278" t="s">
        <v>869</v>
      </c>
      <c r="J80" s="278"/>
      <c r="K80" s="278" t="s">
        <v>869</v>
      </c>
      <c r="L80" s="278"/>
      <c r="M80" s="278" t="s">
        <v>869</v>
      </c>
      <c r="N80" s="278"/>
      <c r="O80" s="278" t="str">
        <f t="shared" si="2"/>
        <v>No</v>
      </c>
      <c r="P80" s="278"/>
      <c r="Q80" s="278" t="s">
        <v>867</v>
      </c>
      <c r="S80" s="278" t="s">
        <v>867</v>
      </c>
      <c r="U80" s="252" t="str">
        <f t="shared" si="3"/>
        <v>Yes</v>
      </c>
      <c r="V80" s="282"/>
      <c r="W80" s="277" t="s">
        <v>867</v>
      </c>
      <c r="AE80"/>
    </row>
    <row r="81" spans="1:31">
      <c r="B81" s="272" t="s">
        <v>1492</v>
      </c>
      <c r="C81" s="276" t="s">
        <v>1426</v>
      </c>
      <c r="D81" s="110" t="s">
        <v>1387</v>
      </c>
      <c r="E81" s="277" t="s">
        <v>1390</v>
      </c>
      <c r="F81" s="277"/>
      <c r="G81" s="277" t="s">
        <v>1394</v>
      </c>
      <c r="H81" s="278"/>
      <c r="I81" s="278" t="s">
        <v>869</v>
      </c>
      <c r="J81" s="278"/>
      <c r="K81" s="278" t="s">
        <v>869</v>
      </c>
      <c r="L81" s="278"/>
      <c r="M81" s="278" t="s">
        <v>869</v>
      </c>
      <c r="N81" s="278"/>
      <c r="O81" s="278" t="str">
        <f t="shared" si="2"/>
        <v>No</v>
      </c>
      <c r="P81" s="278"/>
      <c r="Q81" s="278" t="s">
        <v>869</v>
      </c>
      <c r="S81" s="278" t="s">
        <v>869</v>
      </c>
      <c r="U81" s="252" t="str">
        <f t="shared" si="3"/>
        <v>No</v>
      </c>
      <c r="V81" s="282"/>
      <c r="W81" s="277" t="s">
        <v>867</v>
      </c>
      <c r="AE81"/>
    </row>
    <row r="82" spans="1:31">
      <c r="B82" s="272" t="s">
        <v>1491</v>
      </c>
      <c r="C82" s="276" t="s">
        <v>1422</v>
      </c>
      <c r="D82" s="110" t="s">
        <v>1387</v>
      </c>
      <c r="E82" s="277" t="s">
        <v>1388</v>
      </c>
      <c r="F82" s="277"/>
      <c r="G82" s="277" t="s">
        <v>1054</v>
      </c>
      <c r="H82" s="278"/>
      <c r="I82" s="278" t="s">
        <v>869</v>
      </c>
      <c r="J82" s="278"/>
      <c r="K82" s="278" t="s">
        <v>869</v>
      </c>
      <c r="L82" s="278"/>
      <c r="M82" s="278" t="s">
        <v>869</v>
      </c>
      <c r="N82" s="278"/>
      <c r="O82" s="278" t="str">
        <f t="shared" si="2"/>
        <v>No</v>
      </c>
      <c r="P82" s="278"/>
      <c r="Q82" s="278" t="s">
        <v>867</v>
      </c>
      <c r="S82" s="278" t="s">
        <v>867</v>
      </c>
      <c r="T82" s="280"/>
      <c r="U82" s="252" t="str">
        <f t="shared" si="3"/>
        <v>Yes</v>
      </c>
      <c r="V82" s="282"/>
      <c r="W82" s="277" t="s">
        <v>867</v>
      </c>
      <c r="AE82"/>
    </row>
    <row r="83" spans="1:31">
      <c r="B83" s="272" t="s">
        <v>1491</v>
      </c>
      <c r="C83" s="276" t="s">
        <v>1422</v>
      </c>
      <c r="D83" s="110" t="s">
        <v>1391</v>
      </c>
      <c r="E83" s="277" t="s">
        <v>1388</v>
      </c>
      <c r="F83" s="277"/>
      <c r="G83" s="277" t="s">
        <v>1054</v>
      </c>
      <c r="H83" s="278"/>
      <c r="I83" s="278" t="s">
        <v>869</v>
      </c>
      <c r="J83" s="278"/>
      <c r="K83" s="278" t="s">
        <v>869</v>
      </c>
      <c r="L83" s="278"/>
      <c r="M83" s="278" t="s">
        <v>867</v>
      </c>
      <c r="N83" s="278"/>
      <c r="O83" s="278" t="str">
        <f t="shared" si="2"/>
        <v>Yes</v>
      </c>
      <c r="P83" s="278"/>
      <c r="Q83" s="278" t="s">
        <v>869</v>
      </c>
      <c r="S83" s="278" t="s">
        <v>867</v>
      </c>
      <c r="T83" s="280"/>
      <c r="U83" s="252" t="str">
        <f t="shared" si="3"/>
        <v>Yes</v>
      </c>
      <c r="V83" s="282"/>
      <c r="W83" s="277" t="s">
        <v>867</v>
      </c>
      <c r="AE83"/>
    </row>
    <row r="84" spans="1:31">
      <c r="B84" s="272" t="s">
        <v>1491</v>
      </c>
      <c r="C84" s="276" t="s">
        <v>1421</v>
      </c>
      <c r="D84" s="110" t="s">
        <v>1387</v>
      </c>
      <c r="E84" s="277" t="s">
        <v>1390</v>
      </c>
      <c r="F84" s="277"/>
      <c r="G84" s="277" t="s">
        <v>1054</v>
      </c>
      <c r="H84" s="278"/>
      <c r="I84" s="278" t="s">
        <v>1395</v>
      </c>
      <c r="J84" s="278"/>
      <c r="K84" s="278" t="s">
        <v>869</v>
      </c>
      <c r="L84" s="278"/>
      <c r="M84" s="278" t="s">
        <v>869</v>
      </c>
      <c r="N84" s="278"/>
      <c r="O84" s="278" t="str">
        <f t="shared" si="2"/>
        <v>Yes</v>
      </c>
      <c r="P84" s="278"/>
      <c r="Q84" s="278" t="s">
        <v>867</v>
      </c>
      <c r="S84" s="278" t="s">
        <v>867</v>
      </c>
      <c r="T84" s="280"/>
      <c r="U84" s="252" t="str">
        <f t="shared" si="3"/>
        <v>Yes</v>
      </c>
      <c r="V84" s="282"/>
      <c r="W84" s="277" t="s">
        <v>867</v>
      </c>
      <c r="AE84"/>
    </row>
    <row r="85" spans="1:31">
      <c r="B85" s="272" t="s">
        <v>1493</v>
      </c>
      <c r="C85" s="276" t="s">
        <v>1406</v>
      </c>
      <c r="D85" s="110" t="s">
        <v>1387</v>
      </c>
      <c r="E85" s="277" t="s">
        <v>1390</v>
      </c>
      <c r="F85" s="277"/>
      <c r="G85" s="277" t="s">
        <v>1394</v>
      </c>
      <c r="H85" s="278"/>
      <c r="I85" s="278" t="s">
        <v>869</v>
      </c>
      <c r="J85" s="278"/>
      <c r="K85" s="278" t="s">
        <v>869</v>
      </c>
      <c r="L85" s="278"/>
      <c r="M85" s="278" t="s">
        <v>869</v>
      </c>
      <c r="N85" s="278"/>
      <c r="O85" s="278" t="str">
        <f t="shared" si="2"/>
        <v>No</v>
      </c>
      <c r="P85" s="278"/>
      <c r="Q85" s="278" t="s">
        <v>867</v>
      </c>
      <c r="S85" s="278" t="s">
        <v>869</v>
      </c>
      <c r="U85" s="252" t="str">
        <f t="shared" si="3"/>
        <v>Yes</v>
      </c>
      <c r="V85" s="282"/>
      <c r="W85" s="277" t="s">
        <v>867</v>
      </c>
      <c r="AE85"/>
    </row>
    <row r="86" spans="1:31">
      <c r="B86" s="272" t="s">
        <v>1494</v>
      </c>
      <c r="C86" s="276" t="s">
        <v>1392</v>
      </c>
      <c r="D86" s="110" t="s">
        <v>1387</v>
      </c>
      <c r="E86" s="277" t="s">
        <v>1388</v>
      </c>
      <c r="F86" s="277"/>
      <c r="G86" s="277" t="s">
        <v>1054</v>
      </c>
      <c r="H86" s="278"/>
      <c r="I86" s="278" t="s">
        <v>869</v>
      </c>
      <c r="J86" s="278"/>
      <c r="K86" s="278" t="s">
        <v>869</v>
      </c>
      <c r="L86" s="278"/>
      <c r="M86" s="278" t="s">
        <v>869</v>
      </c>
      <c r="N86" s="278"/>
      <c r="O86" s="278" t="str">
        <f t="shared" si="2"/>
        <v>No</v>
      </c>
      <c r="P86" s="278"/>
      <c r="Q86" s="278" t="s">
        <v>869</v>
      </c>
      <c r="S86" s="278" t="s">
        <v>867</v>
      </c>
      <c r="T86" s="280"/>
      <c r="U86" s="252" t="str">
        <f t="shared" si="3"/>
        <v>Yes</v>
      </c>
      <c r="V86" s="282"/>
      <c r="W86" s="277" t="s">
        <v>867</v>
      </c>
      <c r="AE86"/>
    </row>
    <row r="87" spans="1:31">
      <c r="B87" s="272" t="s">
        <v>1494</v>
      </c>
      <c r="C87" s="276" t="s">
        <v>1392</v>
      </c>
      <c r="D87" s="110" t="s">
        <v>1391</v>
      </c>
      <c r="E87" s="277" t="s">
        <v>1388</v>
      </c>
      <c r="F87" s="277"/>
      <c r="G87" s="277" t="s">
        <v>1054</v>
      </c>
      <c r="H87" s="278"/>
      <c r="I87" s="278" t="s">
        <v>869</v>
      </c>
      <c r="J87" s="278"/>
      <c r="K87" s="278" t="s">
        <v>869</v>
      </c>
      <c r="L87" s="278"/>
      <c r="M87" s="278" t="s">
        <v>869</v>
      </c>
      <c r="N87" s="278"/>
      <c r="O87" s="278" t="str">
        <f t="shared" si="2"/>
        <v>No</v>
      </c>
      <c r="P87" s="278"/>
      <c r="Q87" s="278" t="s">
        <v>869</v>
      </c>
      <c r="S87" s="278" t="s">
        <v>867</v>
      </c>
      <c r="T87" s="280"/>
      <c r="U87" s="252" t="str">
        <f t="shared" si="3"/>
        <v>Yes</v>
      </c>
      <c r="V87" s="282"/>
      <c r="W87" s="277" t="s">
        <v>867</v>
      </c>
      <c r="AE87"/>
    </row>
    <row r="88" spans="1:31">
      <c r="C88" s="276"/>
      <c r="D88" s="110"/>
      <c r="E88" s="277"/>
      <c r="F88" s="277"/>
      <c r="G88" s="277"/>
      <c r="H88" s="278"/>
      <c r="I88" s="278"/>
      <c r="J88" s="278"/>
      <c r="K88" s="278"/>
      <c r="L88" s="278"/>
      <c r="M88" s="278"/>
      <c r="N88" s="278"/>
      <c r="O88" s="278"/>
      <c r="P88" s="278"/>
      <c r="Q88" s="278"/>
    </row>
    <row r="89" spans="1:31">
      <c r="A89" s="317"/>
      <c r="B89" s="317"/>
      <c r="C89" s="318"/>
      <c r="D89" s="319"/>
      <c r="E89" s="320"/>
      <c r="F89" s="320"/>
      <c r="G89" s="320"/>
      <c r="H89" s="512" t="s">
        <v>1383</v>
      </c>
      <c r="I89" s="512"/>
      <c r="J89" s="512" t="s">
        <v>1384</v>
      </c>
      <c r="K89" s="512"/>
      <c r="L89" s="512" t="s">
        <v>1427</v>
      </c>
      <c r="M89" s="512"/>
      <c r="N89" s="512" t="s">
        <v>1381</v>
      </c>
      <c r="O89" s="512"/>
      <c r="P89" s="512" t="s">
        <v>1432</v>
      </c>
      <c r="Q89" s="512"/>
      <c r="R89" s="505" t="s">
        <v>1495</v>
      </c>
      <c r="S89" s="505"/>
      <c r="T89" s="505" t="s">
        <v>1428</v>
      </c>
      <c r="U89" s="505"/>
      <c r="V89" s="317"/>
      <c r="W89" s="317"/>
    </row>
    <row r="90" spans="1:31">
      <c r="C90" s="276"/>
      <c r="D90" s="110"/>
      <c r="E90" s="277"/>
      <c r="F90" s="277"/>
      <c r="G90" s="277"/>
      <c r="H90" s="278"/>
      <c r="I90" s="278"/>
      <c r="J90" s="278"/>
      <c r="K90" s="278"/>
      <c r="L90" s="278"/>
      <c r="M90" s="278"/>
      <c r="N90" s="278"/>
      <c r="O90" s="278"/>
      <c r="P90" s="278"/>
      <c r="Q90" s="278"/>
    </row>
    <row r="91" spans="1:31">
      <c r="A91" s="284" t="s">
        <v>1429</v>
      </c>
      <c r="B91" s="284"/>
      <c r="D91" s="284" t="s">
        <v>1388</v>
      </c>
      <c r="E91" s="285">
        <f>COUNTIF($E$8:$E$87,"Fully Forecast")</f>
        <v>35</v>
      </c>
      <c r="F91" s="286" t="s">
        <v>1394</v>
      </c>
      <c r="G91" s="285">
        <f>COUNTIF($G$8:$G$87,F91)</f>
        <v>34</v>
      </c>
      <c r="H91" s="285" t="s">
        <v>1411</v>
      </c>
      <c r="I91" s="285">
        <f>COUNTIF($I$8:$I$87,"Full")</f>
        <v>5</v>
      </c>
      <c r="J91" s="285" t="s">
        <v>867</v>
      </c>
      <c r="K91" s="285">
        <f>COUNTIF($K$8:$K$87,"Yes")</f>
        <v>15</v>
      </c>
      <c r="L91" s="285" t="s">
        <v>867</v>
      </c>
      <c r="M91" s="285">
        <f>COUNTIF($M$8:$M$87,"Yes")</f>
        <v>3</v>
      </c>
      <c r="N91" s="285" t="s">
        <v>867</v>
      </c>
      <c r="O91" s="285">
        <f>COUNTIF($O$8:$O$87,"Yes")</f>
        <v>44</v>
      </c>
      <c r="P91" s="285" t="s">
        <v>867</v>
      </c>
      <c r="Q91" s="285">
        <f>COUNTIF($Q$8:$Q$87,"Yes")</f>
        <v>40</v>
      </c>
      <c r="R91" s="311" t="s">
        <v>867</v>
      </c>
      <c r="S91" s="311">
        <f>COUNTIF($S$8:$S$87,"Yes")</f>
        <v>54</v>
      </c>
      <c r="T91" s="311" t="s">
        <v>867</v>
      </c>
      <c r="U91" s="311">
        <f>COUNTIF($U$8:$U$87,"Yes")</f>
        <v>65</v>
      </c>
      <c r="V91" s="323" t="s">
        <v>867</v>
      </c>
      <c r="W91" s="311">
        <f>COUNTIF($W$8:$W$87,V91)</f>
        <v>66</v>
      </c>
    </row>
    <row r="92" spans="1:31">
      <c r="A92" s="284"/>
      <c r="B92" s="284"/>
      <c r="D92" s="284" t="s">
        <v>1403</v>
      </c>
      <c r="E92" s="285">
        <f>COUNTIF($E$8:$E$87,"Partially Forecast")</f>
        <v>7</v>
      </c>
      <c r="F92" s="286" t="s">
        <v>1054</v>
      </c>
      <c r="G92" s="285">
        <f>COUNTIF($G$8:$G$87,F92)</f>
        <v>46</v>
      </c>
      <c r="H92" s="285" t="s">
        <v>1395</v>
      </c>
      <c r="I92" s="285">
        <f>COUNTIF($I$8:$I$87,"Partial")</f>
        <v>32</v>
      </c>
      <c r="J92" s="285" t="s">
        <v>869</v>
      </c>
      <c r="K92" s="285">
        <f>COUNTIF($K$8:$K$87,"No")</f>
        <v>65</v>
      </c>
      <c r="L92" s="285" t="s">
        <v>869</v>
      </c>
      <c r="M92" s="285">
        <f>COUNTIF($M$8:$M$87,"No")</f>
        <v>77</v>
      </c>
      <c r="N92" s="285" t="s">
        <v>869</v>
      </c>
      <c r="O92" s="285">
        <f>COUNTIF($O$8:$O$87,"No")</f>
        <v>36</v>
      </c>
      <c r="P92" s="285" t="s">
        <v>869</v>
      </c>
      <c r="Q92" s="285">
        <f>COUNTIF($Q$8:$Q$87,"No")</f>
        <v>40</v>
      </c>
      <c r="R92" s="311" t="s">
        <v>869</v>
      </c>
      <c r="S92" s="311">
        <f>COUNTIF($S$8:$S$87,"No")</f>
        <v>26</v>
      </c>
      <c r="T92" s="311" t="s">
        <v>869</v>
      </c>
      <c r="U92" s="311">
        <f>COUNTIF($U$8:$U$87,"No")</f>
        <v>15</v>
      </c>
      <c r="V92" s="252" t="s">
        <v>1452</v>
      </c>
      <c r="W92" s="311">
        <f>COUNTIF($W$8:$W$87,V92)</f>
        <v>8</v>
      </c>
    </row>
    <row r="93" spans="1:31">
      <c r="A93" s="287"/>
      <c r="B93" s="287"/>
      <c r="D93" s="288" t="s">
        <v>1390</v>
      </c>
      <c r="E93" s="285">
        <f>COUNTIF($E$9:$E$87,"Historical")</f>
        <v>38</v>
      </c>
      <c r="F93" s="286"/>
      <c r="G93" s="286"/>
      <c r="H93" s="285" t="s">
        <v>869</v>
      </c>
      <c r="I93" s="285">
        <f>COUNTIF($I$8:$I$87,"No")</f>
        <v>43</v>
      </c>
      <c r="J93" s="285"/>
      <c r="K93" s="285"/>
      <c r="L93" s="285"/>
      <c r="M93" s="285"/>
      <c r="N93" s="285"/>
      <c r="O93" s="285"/>
      <c r="P93" s="285"/>
      <c r="Q93" s="284"/>
      <c r="R93" s="311"/>
      <c r="S93" s="284"/>
      <c r="T93" s="311"/>
      <c r="U93" s="284"/>
      <c r="V93" s="252" t="s">
        <v>1451</v>
      </c>
      <c r="W93" s="311">
        <f>COUNTIF($W$8:$W$87,V93)</f>
        <v>6</v>
      </c>
    </row>
    <row r="94" spans="1:31">
      <c r="A94" s="290"/>
      <c r="B94" s="290"/>
      <c r="D94" s="288"/>
      <c r="E94" s="285"/>
      <c r="F94" s="286"/>
      <c r="G94" s="286"/>
      <c r="H94" s="285"/>
      <c r="I94" s="285"/>
      <c r="J94" s="285"/>
      <c r="K94" s="285"/>
      <c r="L94" s="285"/>
      <c r="M94" s="285"/>
      <c r="N94" s="285"/>
      <c r="O94" s="285"/>
      <c r="P94" s="285"/>
      <c r="Q94" s="284"/>
      <c r="R94" s="311"/>
      <c r="S94" s="284"/>
      <c r="T94" s="311"/>
      <c r="U94" s="284"/>
    </row>
    <row r="95" spans="1:31">
      <c r="A95" s="276"/>
      <c r="B95" s="276"/>
      <c r="D95" s="291" t="s">
        <v>1430</v>
      </c>
      <c r="E95" s="292">
        <f>(E91+E92)/(E91+E92+E93)</f>
        <v>0.52500000000000002</v>
      </c>
      <c r="F95" s="293" t="s">
        <v>1394</v>
      </c>
      <c r="G95" s="286">
        <f>G91/(G91+G92)</f>
        <v>0.42499999999999999</v>
      </c>
      <c r="H95" s="294" t="s">
        <v>1431</v>
      </c>
      <c r="I95" s="292">
        <f>(I91+I92)/(I91+I92+I93)</f>
        <v>0.46250000000000002</v>
      </c>
      <c r="J95" s="292" t="s">
        <v>867</v>
      </c>
      <c r="K95" s="292">
        <f>K91/(K91+K92)</f>
        <v>0.1875</v>
      </c>
      <c r="L95" s="292" t="s">
        <v>867</v>
      </c>
      <c r="M95" s="292">
        <f>M91/(M91+M92)</f>
        <v>3.7499999999999999E-2</v>
      </c>
      <c r="N95" s="292" t="s">
        <v>867</v>
      </c>
      <c r="O95" s="292">
        <f>O91/(O91+O92)</f>
        <v>0.55000000000000004</v>
      </c>
      <c r="P95" s="294" t="s">
        <v>1432</v>
      </c>
      <c r="Q95" s="292">
        <f>Q91/(Q91+Q92)</f>
        <v>0.5</v>
      </c>
      <c r="R95" s="321" t="s">
        <v>867</v>
      </c>
      <c r="S95" s="322">
        <f>S91/(S91+S92)</f>
        <v>0.67500000000000004</v>
      </c>
      <c r="T95" s="321" t="s">
        <v>867</v>
      </c>
      <c r="U95" s="322">
        <f>U91/(U91+U92)</f>
        <v>0.8125</v>
      </c>
      <c r="V95" s="324" t="s">
        <v>1497</v>
      </c>
      <c r="W95" s="324">
        <f>SUM(W91,W93)/SUM(W91:W93)</f>
        <v>0.9</v>
      </c>
    </row>
    <row r="96" spans="1:31">
      <c r="A96" s="295"/>
      <c r="B96" s="295"/>
      <c r="C96" s="296"/>
      <c r="D96" s="297"/>
      <c r="E96" s="298"/>
      <c r="F96" s="298"/>
      <c r="G96" s="298"/>
      <c r="H96" s="299"/>
      <c r="I96" s="299"/>
      <c r="J96" s="299"/>
      <c r="K96" s="299"/>
      <c r="L96" s="299"/>
      <c r="M96" s="299"/>
      <c r="N96" s="299"/>
      <c r="O96" s="299"/>
      <c r="P96" s="299"/>
      <c r="Q96" s="299"/>
    </row>
    <row r="97" spans="1:23" ht="13.15" thickBot="1">
      <c r="A97" s="300" t="s">
        <v>1498</v>
      </c>
      <c r="B97" s="300" t="s">
        <v>1496</v>
      </c>
      <c r="C97" s="300" t="s">
        <v>1396</v>
      </c>
      <c r="D97" s="301" t="s">
        <v>1387</v>
      </c>
      <c r="E97" s="302" t="s">
        <v>1390</v>
      </c>
      <c r="F97" s="302"/>
      <c r="G97" s="302" t="s">
        <v>1394</v>
      </c>
      <c r="H97" s="303"/>
      <c r="I97" s="302" t="s">
        <v>1395</v>
      </c>
      <c r="J97" s="302"/>
      <c r="K97" s="302" t="s">
        <v>869</v>
      </c>
      <c r="L97" s="302"/>
      <c r="M97" s="302" t="s">
        <v>869</v>
      </c>
      <c r="N97" s="302"/>
      <c r="O97" s="302" t="str">
        <f>IF(AND(I97="No",K97="No",M97="No"),"No","Yes")</f>
        <v>Yes</v>
      </c>
      <c r="P97" s="302"/>
      <c r="Q97" s="302" t="s">
        <v>867</v>
      </c>
      <c r="R97" s="302"/>
      <c r="S97" s="302" t="s">
        <v>869</v>
      </c>
      <c r="T97" s="302"/>
      <c r="U97" s="302" t="str">
        <f>IF(AND(Q97="No",S97="No"),"No","Yes")</f>
        <v>Yes</v>
      </c>
      <c r="V97" s="302"/>
      <c r="W97" s="302" t="s">
        <v>1452</v>
      </c>
    </row>
    <row r="98" spans="1:23">
      <c r="G98" s="277"/>
    </row>
    <row r="100" spans="1:23">
      <c r="A100" s="304" t="s">
        <v>22</v>
      </c>
      <c r="B100" s="309"/>
    </row>
    <row r="101" spans="1:23">
      <c r="A101" s="507" t="s">
        <v>1441</v>
      </c>
      <c r="B101" s="507"/>
      <c r="C101" s="507"/>
      <c r="D101" s="507"/>
      <c r="E101" s="507"/>
      <c r="F101" s="507"/>
      <c r="G101" s="507"/>
      <c r="H101" s="507"/>
      <c r="I101" s="507"/>
      <c r="J101" s="507"/>
      <c r="K101" s="507"/>
      <c r="L101" s="507"/>
      <c r="M101" s="507"/>
      <c r="N101" s="507"/>
      <c r="O101" s="507"/>
      <c r="P101" s="507"/>
      <c r="Q101" s="507"/>
    </row>
    <row r="102" spans="1:23">
      <c r="A102" s="305" t="s">
        <v>1442</v>
      </c>
      <c r="B102" s="305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</row>
    <row r="103" spans="1:23" ht="24.75" customHeight="1">
      <c r="A103" s="507" t="s">
        <v>1433</v>
      </c>
      <c r="B103" s="507"/>
      <c r="C103" s="507"/>
      <c r="D103" s="507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325"/>
      <c r="Q103" s="325"/>
    </row>
    <row r="104" spans="1:23">
      <c r="A104" s="287" t="s">
        <v>1434</v>
      </c>
      <c r="B104" s="287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</row>
    <row r="105" spans="1:23">
      <c r="A105" s="287" t="s">
        <v>1435</v>
      </c>
      <c r="B105" s="287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</row>
    <row r="106" spans="1:23">
      <c r="A106" s="287" t="s">
        <v>1436</v>
      </c>
      <c r="B106" s="287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23">
      <c r="A107" s="287" t="s">
        <v>1437</v>
      </c>
      <c r="B107" s="287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23" ht="24" customHeight="1">
      <c r="A108" s="507" t="s">
        <v>1499</v>
      </c>
      <c r="B108" s="507"/>
      <c r="C108" s="507"/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325"/>
      <c r="Q108" s="325"/>
      <c r="R108" s="325"/>
      <c r="S108" s="325"/>
      <c r="T108" s="325"/>
      <c r="U108" s="325"/>
      <c r="V108" s="325"/>
      <c r="W108" s="325"/>
    </row>
    <row r="109" spans="1:23">
      <c r="A109" s="315" t="s">
        <v>1500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</row>
    <row r="110" spans="1:23" ht="12.75" customHeight="1">
      <c r="A110" s="326" t="s">
        <v>1501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10"/>
      <c r="S110" s="310"/>
      <c r="T110" s="310"/>
      <c r="U110" s="310"/>
      <c r="V110" s="310"/>
      <c r="W110" s="310"/>
    </row>
    <row r="111" spans="1:23">
      <c r="A111" s="305" t="s">
        <v>1502</v>
      </c>
      <c r="B111" s="305"/>
    </row>
    <row r="115" spans="1:7">
      <c r="A115" s="276"/>
      <c r="B115" s="276"/>
      <c r="C115" s="276"/>
    </row>
    <row r="118" spans="1:7">
      <c r="E118" s="277"/>
      <c r="F118" s="277"/>
      <c r="G118" s="277"/>
    </row>
    <row r="119" spans="1:7">
      <c r="E119" s="277"/>
      <c r="F119" s="277"/>
      <c r="G119" s="277"/>
    </row>
    <row r="120" spans="1:7">
      <c r="A120" s="307"/>
      <c r="B120" s="307"/>
      <c r="C120" s="307"/>
      <c r="D120" s="275"/>
      <c r="E120" s="308"/>
      <c r="F120" s="308"/>
      <c r="G120" s="308"/>
    </row>
    <row r="121" spans="1:7">
      <c r="E121" s="277"/>
      <c r="F121" s="277"/>
      <c r="G121" s="277"/>
    </row>
    <row r="122" spans="1:7">
      <c r="E122" s="277"/>
      <c r="F122" s="277"/>
      <c r="G122" s="277"/>
    </row>
    <row r="158" spans="18:20">
      <c r="R158" s="278"/>
      <c r="S158" s="278"/>
      <c r="T158" s="289"/>
    </row>
    <row r="162" ht="15.75" customHeight="1"/>
  </sheetData>
  <mergeCells count="37">
    <mergeCell ref="P89:Q89"/>
    <mergeCell ref="A6:A7"/>
    <mergeCell ref="C6:C7"/>
    <mergeCell ref="R5:S5"/>
    <mergeCell ref="R89:S89"/>
    <mergeCell ref="V6:W7"/>
    <mergeCell ref="V5:W5"/>
    <mergeCell ref="A2:W2"/>
    <mergeCell ref="A3:W3"/>
    <mergeCell ref="B6:B7"/>
    <mergeCell ref="D6:D7"/>
    <mergeCell ref="E6:E7"/>
    <mergeCell ref="F6:G7"/>
    <mergeCell ref="H6:O6"/>
    <mergeCell ref="F5:G5"/>
    <mergeCell ref="H5:I5"/>
    <mergeCell ref="J5:K5"/>
    <mergeCell ref="L5:M5"/>
    <mergeCell ref="N5:O5"/>
    <mergeCell ref="T7:U7"/>
    <mergeCell ref="H7:I7"/>
    <mergeCell ref="T89:U89"/>
    <mergeCell ref="P6:U6"/>
    <mergeCell ref="A108:O108"/>
    <mergeCell ref="A103:O103"/>
    <mergeCell ref="T5:U5"/>
    <mergeCell ref="J7:K7"/>
    <mergeCell ref="L7:M7"/>
    <mergeCell ref="N7:O7"/>
    <mergeCell ref="P5:Q5"/>
    <mergeCell ref="A101:Q101"/>
    <mergeCell ref="P7:Q7"/>
    <mergeCell ref="R7:S7"/>
    <mergeCell ref="H89:I89"/>
    <mergeCell ref="J89:K89"/>
    <mergeCell ref="L89:M89"/>
    <mergeCell ref="N89:O89"/>
  </mergeCells>
  <conditionalFormatting sqref="A9:B11">
    <cfRule type="expression" dxfId="9" priority="9">
      <formula>#REF!</formula>
    </cfRule>
  </conditionalFormatting>
  <conditionalFormatting sqref="A9:B11">
    <cfRule type="expression" dxfId="8" priority="10">
      <formula>"(blank)"</formula>
    </cfRule>
  </conditionalFormatting>
  <conditionalFormatting sqref="A29:C34">
    <cfRule type="expression" dxfId="7" priority="7">
      <formula>#REF!</formula>
    </cfRule>
  </conditionalFormatting>
  <conditionalFormatting sqref="A29:C34">
    <cfRule type="expression" dxfId="6" priority="8">
      <formula>"(blank)"</formula>
    </cfRule>
  </conditionalFormatting>
  <conditionalFormatting sqref="A35:B45">
    <cfRule type="expression" dxfId="5" priority="5">
      <formula>#REF!</formula>
    </cfRule>
  </conditionalFormatting>
  <conditionalFormatting sqref="A35:B45">
    <cfRule type="expression" dxfId="4" priority="6">
      <formula>"(blank)"</formula>
    </cfRule>
  </conditionalFormatting>
  <conditionalFormatting sqref="A46:B52">
    <cfRule type="expression" dxfId="3" priority="3">
      <formula>#REF!</formula>
    </cfRule>
  </conditionalFormatting>
  <conditionalFormatting sqref="A46:B52">
    <cfRule type="expression" dxfId="2" priority="4">
      <formula>"(blank)"</formula>
    </cfRule>
  </conditionalFormatting>
  <conditionalFormatting sqref="A53:B65">
    <cfRule type="expression" dxfId="1" priority="1">
      <formula>#REF!</formula>
    </cfRule>
  </conditionalFormatting>
  <conditionalFormatting sqref="A53:B65">
    <cfRule type="expression" dxfId="0" priority="2">
      <formula>"(blank)"</formula>
    </cfRule>
  </conditionalFormatting>
  <printOptions horizontalCentered="1"/>
  <pageMargins left="0.7" right="0.7" top="0.75" bottom="0.75" header="0.3" footer="0.3"/>
  <pageSetup scale="55" fitToWidth="0" fitToHeight="0" pageOrder="overThenDown" orientation="landscape" useFirstPageNumber="1" r:id="rId1"/>
  <headerFooter>
    <oddHeader>&amp;LDRAFT- PRIVILEGED AND CONFIDENTIAL
PREPARED AT THE REQUEST OF COUNSEL&amp;CCOMPARISON OF EVERGY METRO AND PROXY GROUP COMPANIES  
RISK ASSESSMENT&amp;RSchedule AEB-9
Page &amp;P of 4</oddHeader>
  </headerFooter>
  <rowBreaks count="2" manualBreakCount="2">
    <brk id="69" max="16383" man="1"/>
    <brk id="1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3C7C-4947-48FE-BFCB-4C164B877714}">
  <sheetPr codeName="Sheet10"/>
  <dimension ref="A2:N164"/>
  <sheetViews>
    <sheetView zoomScale="85" zoomScaleNormal="85" zoomScaleSheetLayoutView="100" zoomScalePageLayoutView="90" workbookViewId="0">
      <pane ySplit="7" topLeftCell="A56" activePane="bottomLeft" state="frozen"/>
      <selection activeCell="B33" sqref="B33"/>
      <selection pane="bottomLeft" activeCell="C122" sqref="C122"/>
    </sheetView>
  </sheetViews>
  <sheetFormatPr defaultColWidth="9.1328125" defaultRowHeight="12.75"/>
  <cols>
    <col min="1" max="1" width="34.73046875" style="272" customWidth="1"/>
    <col min="2" max="2" width="41.265625" style="272" customWidth="1"/>
    <col min="3" max="3" width="14.1328125" style="272" bestFit="1" customWidth="1"/>
    <col min="4" max="4" width="9" style="272" bestFit="1" customWidth="1"/>
    <col min="5" max="5" width="4.73046875" style="272" customWidth="1"/>
    <col min="6" max="6" width="8.265625" style="272" customWidth="1"/>
    <col min="7" max="7" width="19.1328125" style="352" customWidth="1"/>
    <col min="8" max="8" width="20.1328125" style="272" bestFit="1" customWidth="1"/>
    <col min="9" max="9" width="15.265625" style="277" bestFit="1" customWidth="1"/>
    <col min="10" max="10" width="71.1328125" style="277" bestFit="1" customWidth="1"/>
    <col min="11" max="11" width="2.265625" style="272" customWidth="1"/>
    <col min="12" max="16384" width="9.1328125" style="272"/>
  </cols>
  <sheetData>
    <row r="2" spans="1:10" ht="13.15">
      <c r="A2" s="515" t="s">
        <v>1440</v>
      </c>
      <c r="B2" s="515"/>
      <c r="C2" s="515"/>
      <c r="D2" s="515"/>
      <c r="E2" s="515"/>
      <c r="F2" s="515"/>
      <c r="G2" s="515"/>
      <c r="H2" s="515"/>
      <c r="I2" s="515"/>
      <c r="J2" s="515"/>
    </row>
    <row r="3" spans="1:10" ht="13.15">
      <c r="A3" s="515" t="s">
        <v>1503</v>
      </c>
      <c r="B3" s="515"/>
      <c r="C3" s="515"/>
      <c r="D3" s="515"/>
      <c r="E3" s="515"/>
      <c r="F3" s="515"/>
      <c r="G3" s="515"/>
      <c r="H3" s="515"/>
      <c r="I3" s="515"/>
      <c r="J3" s="515"/>
    </row>
    <row r="5" spans="1:10" ht="13.15" thickBot="1">
      <c r="G5" s="327" t="s">
        <v>0</v>
      </c>
      <c r="I5" s="277" t="s">
        <v>1</v>
      </c>
    </row>
    <row r="6" spans="1:10" ht="14.25" customHeight="1">
      <c r="A6" s="328"/>
      <c r="B6" s="328"/>
      <c r="C6" s="328"/>
      <c r="D6" s="328"/>
      <c r="E6" s="328"/>
      <c r="F6" s="328"/>
      <c r="G6" s="329"/>
      <c r="H6" s="328"/>
      <c r="I6" s="330"/>
      <c r="J6" s="330"/>
    </row>
    <row r="7" spans="1:10" ht="15" customHeight="1">
      <c r="A7" s="331" t="s">
        <v>1344</v>
      </c>
      <c r="B7" s="331" t="s">
        <v>1445</v>
      </c>
      <c r="C7" s="331" t="s">
        <v>1504</v>
      </c>
      <c r="D7" s="331" t="s">
        <v>1505</v>
      </c>
      <c r="E7" s="331"/>
      <c r="F7" s="520" t="s">
        <v>1506</v>
      </c>
      <c r="G7" s="520"/>
      <c r="H7" s="520" t="s">
        <v>1507</v>
      </c>
      <c r="I7" s="520"/>
      <c r="J7" s="332" t="s">
        <v>1508</v>
      </c>
    </row>
    <row r="8" spans="1:10">
      <c r="C8" s="272" t="s">
        <v>1509</v>
      </c>
      <c r="D8" s="273"/>
      <c r="E8" s="277" t="s">
        <v>1509</v>
      </c>
      <c r="F8" s="277"/>
      <c r="G8" s="327"/>
      <c r="H8" s="277"/>
      <c r="J8" s="278"/>
    </row>
    <row r="9" spans="1:10">
      <c r="A9" s="272" t="s">
        <v>1022</v>
      </c>
      <c r="B9" s="272" t="s">
        <v>1510</v>
      </c>
      <c r="C9" s="276" t="s">
        <v>1386</v>
      </c>
      <c r="D9" s="280" t="s">
        <v>1387</v>
      </c>
      <c r="E9" s="277">
        <v>1</v>
      </c>
      <c r="F9" s="277"/>
      <c r="G9" s="327">
        <v>8</v>
      </c>
      <c r="H9" s="277"/>
      <c r="I9" s="274" t="s">
        <v>1511</v>
      </c>
      <c r="J9" s="278" t="s">
        <v>1512</v>
      </c>
    </row>
    <row r="10" spans="1:10">
      <c r="D10" s="273"/>
      <c r="E10" s="277"/>
      <c r="F10" s="277"/>
      <c r="G10" s="327"/>
      <c r="H10" s="277"/>
      <c r="J10" s="278"/>
    </row>
    <row r="11" spans="1:10">
      <c r="A11" s="272" t="s">
        <v>1024</v>
      </c>
      <c r="B11" s="272" t="s">
        <v>1513</v>
      </c>
      <c r="C11" s="272" t="s">
        <v>1389</v>
      </c>
      <c r="D11" s="273" t="s">
        <v>1387</v>
      </c>
      <c r="E11" s="277">
        <v>1</v>
      </c>
      <c r="F11" s="277"/>
      <c r="G11" s="333">
        <v>13</v>
      </c>
      <c r="H11" s="277"/>
      <c r="I11" s="277" t="s">
        <v>1514</v>
      </c>
      <c r="J11" s="278" t="s">
        <v>1515</v>
      </c>
    </row>
    <row r="12" spans="1:10">
      <c r="B12" s="272" t="s">
        <v>1513</v>
      </c>
      <c r="C12" s="272" t="s">
        <v>1389</v>
      </c>
      <c r="D12" s="273" t="s">
        <v>1391</v>
      </c>
      <c r="E12" s="277">
        <v>1</v>
      </c>
      <c r="F12" s="277"/>
      <c r="G12" s="333">
        <v>13</v>
      </c>
      <c r="H12" s="277"/>
      <c r="I12" s="277" t="s">
        <v>1514</v>
      </c>
      <c r="J12" s="278" t="s">
        <v>1516</v>
      </c>
    </row>
    <row r="13" spans="1:10">
      <c r="B13" s="272" t="s">
        <v>1517</v>
      </c>
      <c r="C13" s="272" t="s">
        <v>1392</v>
      </c>
      <c r="D13" s="273" t="s">
        <v>1387</v>
      </c>
      <c r="E13" s="277">
        <v>1</v>
      </c>
      <c r="F13" s="277" t="s">
        <v>3</v>
      </c>
      <c r="G13" s="334">
        <v>15</v>
      </c>
      <c r="H13" s="277"/>
      <c r="I13" s="277" t="s">
        <v>1514</v>
      </c>
      <c r="J13" s="278" t="s">
        <v>1518</v>
      </c>
    </row>
    <row r="14" spans="1:10">
      <c r="B14" s="272" t="s">
        <v>1517</v>
      </c>
      <c r="C14" s="272" t="s">
        <v>1392</v>
      </c>
      <c r="D14" s="273" t="s">
        <v>1391</v>
      </c>
      <c r="E14" s="277">
        <v>1</v>
      </c>
      <c r="F14" s="277" t="s">
        <v>3</v>
      </c>
      <c r="G14" s="334">
        <v>12.51</v>
      </c>
      <c r="H14" s="277"/>
      <c r="I14" s="277" t="s">
        <v>1514</v>
      </c>
      <c r="J14" s="278" t="s">
        <v>1519</v>
      </c>
    </row>
    <row r="15" spans="1:10">
      <c r="D15" s="273"/>
      <c r="E15" s="277"/>
      <c r="F15" s="277"/>
      <c r="G15" s="333"/>
      <c r="H15" s="277"/>
      <c r="J15" s="278"/>
    </row>
    <row r="16" spans="1:10">
      <c r="A16" s="23" t="s">
        <v>1025</v>
      </c>
      <c r="B16" s="23" t="s">
        <v>1520</v>
      </c>
      <c r="C16" s="272" t="s">
        <v>1393</v>
      </c>
      <c r="D16" s="273" t="s">
        <v>1387</v>
      </c>
      <c r="E16" s="277">
        <v>1</v>
      </c>
      <c r="F16" s="277" t="s">
        <v>2</v>
      </c>
      <c r="G16" s="333">
        <v>11.04</v>
      </c>
      <c r="H16" s="277"/>
      <c r="I16" s="277" t="s">
        <v>1514</v>
      </c>
      <c r="J16" s="278" t="s">
        <v>1521</v>
      </c>
    </row>
    <row r="17" spans="1:10">
      <c r="B17" s="23" t="s">
        <v>1520</v>
      </c>
      <c r="C17" s="272" t="s">
        <v>1393</v>
      </c>
      <c r="D17" s="273" t="s">
        <v>1391</v>
      </c>
      <c r="E17" s="277">
        <v>1</v>
      </c>
      <c r="F17" s="277"/>
      <c r="G17" s="333">
        <v>18.760000000000002</v>
      </c>
      <c r="H17" s="277"/>
      <c r="I17" s="277" t="s">
        <v>1514</v>
      </c>
      <c r="J17" s="278" t="s">
        <v>1522</v>
      </c>
    </row>
    <row r="18" spans="1:10">
      <c r="B18" s="272" t="s">
        <v>1523</v>
      </c>
      <c r="C18" s="272" t="s">
        <v>1396</v>
      </c>
      <c r="D18" s="273" t="s">
        <v>1387</v>
      </c>
      <c r="E18" s="277">
        <v>1</v>
      </c>
      <c r="F18" s="277"/>
      <c r="G18" s="333">
        <v>9.06</v>
      </c>
      <c r="H18" s="277"/>
      <c r="I18" s="277" t="s">
        <v>1514</v>
      </c>
      <c r="J18" s="278" t="s">
        <v>1524</v>
      </c>
    </row>
    <row r="19" spans="1:10">
      <c r="B19" s="272" t="s">
        <v>1523</v>
      </c>
      <c r="C19" s="272" t="s">
        <v>1396</v>
      </c>
      <c r="D19" s="273" t="s">
        <v>1391</v>
      </c>
      <c r="E19" s="277">
        <v>1</v>
      </c>
      <c r="F19" s="277"/>
      <c r="G19" s="333">
        <v>15</v>
      </c>
      <c r="H19" s="277"/>
      <c r="I19" s="277" t="s">
        <v>1514</v>
      </c>
      <c r="J19" s="278" t="s">
        <v>1525</v>
      </c>
    </row>
    <row r="20" spans="1:10">
      <c r="D20" s="273"/>
      <c r="E20" s="277"/>
      <c r="F20" s="277"/>
      <c r="G20" s="333"/>
      <c r="H20" s="277"/>
      <c r="J20" s="278"/>
    </row>
    <row r="21" spans="1:10">
      <c r="A21" s="272" t="s">
        <v>1026</v>
      </c>
      <c r="B21" s="272" t="s">
        <v>1526</v>
      </c>
      <c r="C21" s="272" t="s">
        <v>1397</v>
      </c>
      <c r="D21" s="273" t="s">
        <v>1387</v>
      </c>
      <c r="E21" s="277">
        <v>1</v>
      </c>
      <c r="F21" s="277"/>
      <c r="G21" s="333">
        <v>10</v>
      </c>
      <c r="H21" s="277"/>
      <c r="I21" s="277" t="s">
        <v>1511</v>
      </c>
      <c r="J21" s="278" t="s">
        <v>1527</v>
      </c>
    </row>
    <row r="22" spans="1:10">
      <c r="B22" s="272" t="s">
        <v>1528</v>
      </c>
      <c r="C22" s="272" t="s">
        <v>1398</v>
      </c>
      <c r="D22" s="273" t="s">
        <v>1387</v>
      </c>
      <c r="E22" s="277">
        <v>1</v>
      </c>
      <c r="F22" s="277"/>
      <c r="G22" s="333">
        <v>15</v>
      </c>
      <c r="H22" s="277"/>
      <c r="I22" s="277" t="s">
        <v>1529</v>
      </c>
      <c r="J22" s="278" t="s">
        <v>1530</v>
      </c>
    </row>
    <row r="23" spans="1:10">
      <c r="B23" s="272" t="s">
        <v>1531</v>
      </c>
      <c r="C23" s="272" t="s">
        <v>1399</v>
      </c>
      <c r="D23" s="273" t="s">
        <v>1387</v>
      </c>
      <c r="E23" s="277">
        <v>1</v>
      </c>
      <c r="F23" s="277"/>
      <c r="G23" s="333">
        <v>17.5</v>
      </c>
      <c r="H23" s="277"/>
      <c r="I23" s="277" t="s">
        <v>1514</v>
      </c>
      <c r="J23" s="278" t="s">
        <v>1532</v>
      </c>
    </row>
    <row r="24" spans="1:10">
      <c r="B24" s="272" t="s">
        <v>1526</v>
      </c>
      <c r="C24" s="272" t="s">
        <v>1400</v>
      </c>
      <c r="D24" s="273" t="s">
        <v>1387</v>
      </c>
      <c r="E24" s="277">
        <v>1</v>
      </c>
      <c r="F24" s="277"/>
      <c r="G24" s="333">
        <v>5.49</v>
      </c>
      <c r="H24" s="277"/>
      <c r="I24" s="277" t="s">
        <v>1514</v>
      </c>
      <c r="J24" s="278" t="s">
        <v>1533</v>
      </c>
    </row>
    <row r="25" spans="1:10">
      <c r="B25" s="272" t="s">
        <v>1528</v>
      </c>
      <c r="C25" s="272" t="s">
        <v>1401</v>
      </c>
      <c r="D25" s="273" t="s">
        <v>1387</v>
      </c>
      <c r="E25" s="277">
        <v>1</v>
      </c>
      <c r="F25" s="277"/>
      <c r="G25" s="333">
        <v>7.25</v>
      </c>
      <c r="H25" s="277"/>
      <c r="I25" s="277" t="s">
        <v>1514</v>
      </c>
      <c r="J25" s="278" t="s">
        <v>1534</v>
      </c>
    </row>
    <row r="26" spans="1:10">
      <c r="B26" s="272" t="s">
        <v>1535</v>
      </c>
      <c r="C26" s="272" t="s">
        <v>1402</v>
      </c>
      <c r="D26" s="273" t="s">
        <v>1387</v>
      </c>
      <c r="E26" s="277">
        <v>1</v>
      </c>
      <c r="F26" s="277"/>
      <c r="G26" s="333">
        <v>8.4</v>
      </c>
      <c r="H26" s="277"/>
      <c r="I26" s="277" t="s">
        <v>1514</v>
      </c>
      <c r="J26" s="278" t="s">
        <v>1536</v>
      </c>
    </row>
    <row r="27" spans="1:10">
      <c r="B27" s="272" t="s">
        <v>1537</v>
      </c>
      <c r="C27" s="272" t="s">
        <v>1404</v>
      </c>
      <c r="D27" s="273" t="s">
        <v>1387</v>
      </c>
      <c r="E27" s="277">
        <v>1</v>
      </c>
      <c r="F27" s="277"/>
      <c r="G27" s="333">
        <v>20</v>
      </c>
      <c r="H27" s="277"/>
      <c r="I27" s="277" t="s">
        <v>1511</v>
      </c>
      <c r="J27" s="278" t="s">
        <v>1538</v>
      </c>
    </row>
    <row r="28" spans="1:10">
      <c r="B28" s="272" t="s">
        <v>1539</v>
      </c>
      <c r="C28" s="272" t="s">
        <v>1405</v>
      </c>
      <c r="D28" s="273" t="s">
        <v>1387</v>
      </c>
      <c r="E28" s="277">
        <v>1</v>
      </c>
      <c r="F28" s="277"/>
      <c r="G28" s="333">
        <v>12.63</v>
      </c>
      <c r="H28" s="277"/>
      <c r="I28" s="277" t="s">
        <v>1514</v>
      </c>
      <c r="J28" s="278" t="s">
        <v>1540</v>
      </c>
    </row>
    <row r="29" spans="1:10">
      <c r="B29" s="275" t="s">
        <v>1459</v>
      </c>
      <c r="C29" s="272" t="s">
        <v>1406</v>
      </c>
      <c r="D29" s="273" t="s">
        <v>1387</v>
      </c>
      <c r="E29" s="277">
        <v>1</v>
      </c>
      <c r="F29" s="277" t="s">
        <v>2</v>
      </c>
      <c r="G29" s="333">
        <v>4.79</v>
      </c>
      <c r="H29" s="277"/>
      <c r="I29" s="277" t="s">
        <v>1514</v>
      </c>
      <c r="J29" s="335" t="s">
        <v>1541</v>
      </c>
    </row>
    <row r="30" spans="1:10">
      <c r="B30" s="275" t="s">
        <v>1526</v>
      </c>
      <c r="C30" s="272" t="s">
        <v>1406</v>
      </c>
      <c r="D30" s="273" t="s">
        <v>1387</v>
      </c>
      <c r="E30" s="277">
        <v>1</v>
      </c>
      <c r="F30" s="277"/>
      <c r="G30" s="333">
        <v>8</v>
      </c>
      <c r="H30" s="277"/>
      <c r="I30" s="277" t="s">
        <v>1514</v>
      </c>
      <c r="J30" s="335" t="s">
        <v>1542</v>
      </c>
    </row>
    <row r="31" spans="1:10">
      <c r="B31" s="272" t="s">
        <v>1543</v>
      </c>
      <c r="C31" s="272" t="s">
        <v>1407</v>
      </c>
      <c r="D31" s="273" t="s">
        <v>1387</v>
      </c>
      <c r="E31" s="277">
        <v>1</v>
      </c>
      <c r="F31" s="277"/>
      <c r="G31" s="336">
        <v>7.96</v>
      </c>
      <c r="I31" s="277" t="s">
        <v>1514</v>
      </c>
      <c r="J31" s="308" t="s">
        <v>1544</v>
      </c>
    </row>
    <row r="32" spans="1:10">
      <c r="B32" s="272" t="s">
        <v>1543</v>
      </c>
      <c r="C32" s="272" t="s">
        <v>1408</v>
      </c>
      <c r="D32" s="273" t="s">
        <v>1387</v>
      </c>
      <c r="E32" s="277">
        <v>1</v>
      </c>
      <c r="F32" s="277"/>
      <c r="G32" s="333">
        <v>12</v>
      </c>
      <c r="H32" s="277"/>
      <c r="I32" s="277" t="s">
        <v>1529</v>
      </c>
      <c r="J32" s="335" t="s">
        <v>1545</v>
      </c>
    </row>
    <row r="33" spans="1:10">
      <c r="D33" s="273"/>
      <c r="E33" s="277"/>
      <c r="F33" s="277"/>
      <c r="G33" s="333"/>
      <c r="H33" s="277"/>
      <c r="J33" s="278"/>
    </row>
    <row r="34" spans="1:10">
      <c r="A34" s="272" t="s">
        <v>1064</v>
      </c>
      <c r="B34" s="272" t="s">
        <v>1546</v>
      </c>
      <c r="C34" s="272" t="s">
        <v>1409</v>
      </c>
      <c r="D34" s="273" t="s">
        <v>1387</v>
      </c>
      <c r="E34" s="277">
        <v>1</v>
      </c>
      <c r="F34" s="277"/>
      <c r="G34" s="333">
        <v>8.6</v>
      </c>
      <c r="H34" s="277"/>
      <c r="I34" s="277" t="s">
        <v>1514</v>
      </c>
      <c r="J34" s="278" t="s">
        <v>1547</v>
      </c>
    </row>
    <row r="35" spans="1:10">
      <c r="B35" s="272" t="s">
        <v>1064</v>
      </c>
      <c r="C35" s="272" t="s">
        <v>1410</v>
      </c>
      <c r="D35" s="273" t="s">
        <v>1387</v>
      </c>
      <c r="E35" s="277">
        <v>1</v>
      </c>
      <c r="F35" s="277"/>
      <c r="G35" s="333">
        <v>6</v>
      </c>
      <c r="H35" s="277"/>
      <c r="I35" s="277" t="s">
        <v>1511</v>
      </c>
      <c r="J35" s="278" t="s">
        <v>1548</v>
      </c>
    </row>
    <row r="36" spans="1:10">
      <c r="B36" s="272" t="s">
        <v>1064</v>
      </c>
      <c r="C36" s="272" t="s">
        <v>1410</v>
      </c>
      <c r="D36" s="273" t="s">
        <v>1391</v>
      </c>
      <c r="E36" s="277">
        <v>1</v>
      </c>
      <c r="F36" s="277"/>
      <c r="G36" s="333">
        <v>6</v>
      </c>
      <c r="H36" s="277"/>
      <c r="I36" s="277" t="s">
        <v>1514</v>
      </c>
      <c r="J36" s="278" t="s">
        <v>1549</v>
      </c>
    </row>
    <row r="37" spans="1:10">
      <c r="B37" s="272" t="s">
        <v>1064</v>
      </c>
      <c r="C37" s="272" t="s">
        <v>1412</v>
      </c>
      <c r="D37" s="273" t="s">
        <v>1391</v>
      </c>
      <c r="E37" s="277">
        <v>1</v>
      </c>
      <c r="F37" s="277"/>
      <c r="G37" s="333">
        <v>10.5</v>
      </c>
      <c r="H37" s="277"/>
      <c r="I37" s="277" t="s">
        <v>1514</v>
      </c>
      <c r="J37" s="278" t="s">
        <v>1550</v>
      </c>
    </row>
    <row r="38" spans="1:10">
      <c r="B38" s="272" t="s">
        <v>1064</v>
      </c>
      <c r="C38" s="272" t="s">
        <v>1413</v>
      </c>
      <c r="D38" s="273" t="s">
        <v>1387</v>
      </c>
      <c r="E38" s="277">
        <v>1</v>
      </c>
      <c r="F38" s="277"/>
      <c r="G38" s="333">
        <v>9</v>
      </c>
      <c r="H38" s="277"/>
      <c r="I38" s="277" t="s">
        <v>1511</v>
      </c>
      <c r="J38" s="278" t="s">
        <v>1551</v>
      </c>
    </row>
    <row r="39" spans="1:10">
      <c r="B39" s="272" t="s">
        <v>1064</v>
      </c>
      <c r="C39" s="272" t="s">
        <v>1413</v>
      </c>
      <c r="D39" s="273" t="s">
        <v>1391</v>
      </c>
      <c r="E39" s="277">
        <v>1</v>
      </c>
      <c r="F39" s="277"/>
      <c r="G39" s="333">
        <v>9.5</v>
      </c>
      <c r="H39" s="277"/>
      <c r="I39" s="277" t="s">
        <v>1511</v>
      </c>
      <c r="J39" s="278" t="s">
        <v>1552</v>
      </c>
    </row>
    <row r="40" spans="1:10">
      <c r="D40" s="273"/>
      <c r="E40" s="277"/>
      <c r="F40" s="277"/>
      <c r="G40" s="333"/>
      <c r="H40" s="277"/>
      <c r="J40" s="278"/>
    </row>
    <row r="41" spans="1:10">
      <c r="A41" s="272" t="s">
        <v>1031</v>
      </c>
      <c r="B41" s="272" t="s">
        <v>1031</v>
      </c>
      <c r="C41" s="272" t="s">
        <v>1414</v>
      </c>
      <c r="D41" s="273" t="s">
        <v>1387</v>
      </c>
      <c r="E41" s="277">
        <v>1</v>
      </c>
      <c r="F41" s="277"/>
      <c r="G41" s="333">
        <v>11.52</v>
      </c>
      <c r="H41" s="277"/>
      <c r="I41" s="277" t="s">
        <v>1511</v>
      </c>
      <c r="J41" s="278" t="s">
        <v>1553</v>
      </c>
    </row>
    <row r="42" spans="1:10">
      <c r="B42" s="272" t="s">
        <v>1554</v>
      </c>
      <c r="C42" s="272" t="s">
        <v>1398</v>
      </c>
      <c r="D42" s="273" t="s">
        <v>1387</v>
      </c>
      <c r="E42" s="277">
        <v>1</v>
      </c>
      <c r="F42" s="277"/>
      <c r="G42" s="333">
        <v>10.54</v>
      </c>
      <c r="H42" s="277"/>
      <c r="I42" s="277" t="s">
        <v>1529</v>
      </c>
      <c r="J42" s="278" t="s">
        <v>1555</v>
      </c>
    </row>
    <row r="43" spans="1:10">
      <c r="B43" s="272" t="s">
        <v>1556</v>
      </c>
      <c r="C43" s="272" t="s">
        <v>1399</v>
      </c>
      <c r="D43" s="273" t="s">
        <v>1387</v>
      </c>
      <c r="E43" s="277">
        <v>1</v>
      </c>
      <c r="F43" s="277"/>
      <c r="G43" s="333">
        <v>12.6</v>
      </c>
      <c r="H43" s="277"/>
      <c r="I43" s="277" t="s">
        <v>1514</v>
      </c>
      <c r="J43" s="278" t="s">
        <v>1557</v>
      </c>
    </row>
    <row r="44" spans="1:10">
      <c r="B44" s="272" t="s">
        <v>1556</v>
      </c>
      <c r="C44" s="272" t="s">
        <v>1399</v>
      </c>
      <c r="D44" s="273" t="s">
        <v>1391</v>
      </c>
      <c r="E44" s="277">
        <v>1</v>
      </c>
      <c r="F44" s="277"/>
      <c r="G44" s="333">
        <v>16.5</v>
      </c>
      <c r="H44" s="277"/>
      <c r="I44" s="277" t="s">
        <v>1514</v>
      </c>
      <c r="J44" s="278" t="s">
        <v>1557</v>
      </c>
    </row>
    <row r="45" spans="1:10">
      <c r="B45" s="272" t="s">
        <v>1558</v>
      </c>
      <c r="C45" s="272" t="s">
        <v>1415</v>
      </c>
      <c r="D45" s="273" t="s">
        <v>1387</v>
      </c>
      <c r="E45" s="277">
        <v>1</v>
      </c>
      <c r="F45" s="277"/>
      <c r="G45" s="333">
        <v>14</v>
      </c>
      <c r="H45" s="277"/>
      <c r="I45" s="277" t="s">
        <v>1514</v>
      </c>
      <c r="J45" s="278" t="s">
        <v>1559</v>
      </c>
    </row>
    <row r="46" spans="1:10">
      <c r="B46" s="272" t="s">
        <v>1560</v>
      </c>
      <c r="C46" s="272" t="s">
        <v>1415</v>
      </c>
      <c r="D46" s="273" t="s">
        <v>1391</v>
      </c>
      <c r="E46" s="277">
        <v>1</v>
      </c>
      <c r="F46" s="277"/>
      <c r="G46" s="333">
        <v>10</v>
      </c>
      <c r="H46" s="277"/>
      <c r="I46" s="277" t="s">
        <v>1514</v>
      </c>
      <c r="J46" s="278" t="s">
        <v>1561</v>
      </c>
    </row>
    <row r="47" spans="1:10">
      <c r="B47" s="272" t="s">
        <v>1562</v>
      </c>
      <c r="C47" s="272" t="s">
        <v>1402</v>
      </c>
      <c r="D47" s="273" t="s">
        <v>1387</v>
      </c>
      <c r="E47" s="277">
        <v>1</v>
      </c>
      <c r="F47" s="277"/>
      <c r="G47" s="333">
        <v>6</v>
      </c>
      <c r="H47" s="277"/>
      <c r="I47" s="277" t="s">
        <v>1514</v>
      </c>
      <c r="J47" s="278" t="s">
        <v>1563</v>
      </c>
    </row>
    <row r="48" spans="1:10">
      <c r="B48" s="272" t="s">
        <v>1560</v>
      </c>
      <c r="C48" s="272" t="s">
        <v>1402</v>
      </c>
      <c r="D48" s="273" t="s">
        <v>1391</v>
      </c>
      <c r="E48" s="277">
        <v>1</v>
      </c>
      <c r="F48" s="277"/>
      <c r="G48" s="333">
        <v>33.03</v>
      </c>
      <c r="H48" s="277"/>
      <c r="I48" s="277" t="s">
        <v>1511</v>
      </c>
      <c r="J48" s="278" t="s">
        <v>1564</v>
      </c>
    </row>
    <row r="49" spans="1:13">
      <c r="B49" s="272" t="s">
        <v>1558</v>
      </c>
      <c r="C49" s="272" t="s">
        <v>1416</v>
      </c>
      <c r="D49" s="273" t="s">
        <v>1387</v>
      </c>
      <c r="E49" s="277">
        <v>1</v>
      </c>
      <c r="F49" s="277"/>
      <c r="G49" s="333">
        <v>11.96</v>
      </c>
      <c r="H49" s="277"/>
      <c r="I49" s="277" t="s">
        <v>1511</v>
      </c>
      <c r="J49" s="278" t="s">
        <v>1559</v>
      </c>
    </row>
    <row r="50" spans="1:13">
      <c r="B50" s="272" t="s">
        <v>1560</v>
      </c>
      <c r="C50" s="272" t="s">
        <v>1416</v>
      </c>
      <c r="D50" s="273" t="s">
        <v>1391</v>
      </c>
      <c r="E50" s="277">
        <v>1</v>
      </c>
      <c r="F50" s="277"/>
      <c r="G50" s="333">
        <v>10</v>
      </c>
      <c r="H50" s="277"/>
      <c r="I50" s="277" t="s">
        <v>1514</v>
      </c>
      <c r="J50" s="278" t="s">
        <v>1565</v>
      </c>
    </row>
    <row r="51" spans="1:13">
      <c r="B51" s="272" t="s">
        <v>1560</v>
      </c>
      <c r="C51" s="272" t="s">
        <v>1405</v>
      </c>
      <c r="D51" s="273" t="s">
        <v>1391</v>
      </c>
      <c r="E51" s="277">
        <v>1</v>
      </c>
      <c r="F51" s="277"/>
      <c r="G51" s="333">
        <v>17.45</v>
      </c>
      <c r="H51" s="277"/>
      <c r="I51" s="277" t="s">
        <v>1514</v>
      </c>
      <c r="J51" s="278" t="s">
        <v>1566</v>
      </c>
    </row>
    <row r="52" spans="1:13">
      <c r="D52" s="273"/>
      <c r="E52" s="277"/>
      <c r="F52" s="277"/>
      <c r="G52" s="333"/>
      <c r="H52" s="277"/>
      <c r="J52" s="278"/>
    </row>
    <row r="53" spans="1:13">
      <c r="A53" s="272" t="s">
        <v>1065</v>
      </c>
      <c r="B53" s="272" t="s">
        <v>1567</v>
      </c>
      <c r="C53" s="272" t="s">
        <v>1397</v>
      </c>
      <c r="D53" s="273" t="s">
        <v>1387</v>
      </c>
      <c r="E53" s="277">
        <v>1</v>
      </c>
      <c r="F53" s="277"/>
      <c r="G53" s="333">
        <v>8.4</v>
      </c>
      <c r="H53" s="277"/>
      <c r="I53" s="277" t="s">
        <v>1511</v>
      </c>
      <c r="J53" s="278" t="s">
        <v>1568</v>
      </c>
    </row>
    <row r="54" spans="1:13">
      <c r="B54" s="272" t="s">
        <v>1569</v>
      </c>
      <c r="C54" s="272" t="s">
        <v>1417</v>
      </c>
      <c r="D54" s="273" t="s">
        <v>1387</v>
      </c>
      <c r="E54" s="277">
        <v>1</v>
      </c>
      <c r="F54" s="277"/>
      <c r="G54" s="333">
        <v>8.07</v>
      </c>
      <c r="H54" s="277"/>
      <c r="I54" s="277" t="s">
        <v>1514</v>
      </c>
      <c r="J54" s="278" t="s">
        <v>1570</v>
      </c>
    </row>
    <row r="55" spans="1:13">
      <c r="B55" s="272" t="s">
        <v>1569</v>
      </c>
      <c r="C55" s="272" t="s">
        <v>1417</v>
      </c>
      <c r="D55" s="273" t="s">
        <v>1391</v>
      </c>
      <c r="E55" s="277">
        <v>1</v>
      </c>
      <c r="F55" s="277"/>
      <c r="G55" s="333">
        <v>12.32</v>
      </c>
      <c r="H55" s="277"/>
      <c r="I55" s="277" t="s">
        <v>1514</v>
      </c>
      <c r="J55" s="278" t="s">
        <v>1571</v>
      </c>
    </row>
    <row r="56" spans="1:13">
      <c r="B56" s="272" t="s">
        <v>1572</v>
      </c>
      <c r="C56" s="272" t="s">
        <v>1400</v>
      </c>
      <c r="D56" s="273" t="s">
        <v>1387</v>
      </c>
      <c r="E56" s="277">
        <v>1</v>
      </c>
      <c r="F56" s="277"/>
      <c r="G56" s="333">
        <v>13.39</v>
      </c>
      <c r="H56" s="277"/>
      <c r="I56" s="277" t="s">
        <v>1514</v>
      </c>
      <c r="J56" s="278" t="s">
        <v>1573</v>
      </c>
    </row>
    <row r="57" spans="1:13">
      <c r="B57" s="272" t="s">
        <v>1572</v>
      </c>
      <c r="C57" s="272" t="s">
        <v>1400</v>
      </c>
      <c r="D57" s="273" t="s">
        <v>1391</v>
      </c>
      <c r="E57" s="277">
        <v>1</v>
      </c>
      <c r="F57" s="277"/>
      <c r="G57" s="333">
        <v>9.7100000000000009</v>
      </c>
      <c r="H57" s="277"/>
      <c r="I57" s="277" t="s">
        <v>1529</v>
      </c>
      <c r="J57" s="278" t="s">
        <v>1574</v>
      </c>
    </row>
    <row r="58" spans="1:13">
      <c r="B58" s="272" t="s">
        <v>1575</v>
      </c>
      <c r="C58" s="272" t="s">
        <v>1418</v>
      </c>
      <c r="D58" s="273" t="s">
        <v>1387</v>
      </c>
      <c r="E58" s="277">
        <v>1</v>
      </c>
      <c r="F58" s="277"/>
      <c r="G58" s="333">
        <v>6.75</v>
      </c>
      <c r="H58" s="277"/>
      <c r="I58" s="277" t="s">
        <v>1529</v>
      </c>
      <c r="J58" s="278" t="s">
        <v>1576</v>
      </c>
    </row>
    <row r="59" spans="1:13">
      <c r="B59" s="272" t="s">
        <v>1577</v>
      </c>
      <c r="C59" s="272" t="s">
        <v>1406</v>
      </c>
      <c r="D59" s="273" t="s">
        <v>1387</v>
      </c>
      <c r="E59" s="277">
        <v>1</v>
      </c>
      <c r="F59" s="277"/>
      <c r="G59" s="333">
        <v>10</v>
      </c>
      <c r="H59" s="277"/>
      <c r="I59" s="277" t="s">
        <v>1514</v>
      </c>
      <c r="J59" s="278" t="s">
        <v>1578</v>
      </c>
    </row>
    <row r="60" spans="1:13">
      <c r="E60" s="277"/>
      <c r="F60" s="277"/>
      <c r="G60" s="333"/>
      <c r="H60" s="277"/>
      <c r="J60" s="278"/>
      <c r="M60" s="23"/>
    </row>
    <row r="61" spans="1:13">
      <c r="A61" s="272" t="s">
        <v>1066</v>
      </c>
      <c r="B61" s="272" t="s">
        <v>1580</v>
      </c>
      <c r="C61" s="272" t="s">
        <v>1410</v>
      </c>
      <c r="D61" s="273" t="s">
        <v>1387</v>
      </c>
      <c r="E61" s="277">
        <v>1</v>
      </c>
      <c r="F61" s="277"/>
      <c r="G61" s="333">
        <v>5</v>
      </c>
      <c r="H61" s="277"/>
      <c r="I61" s="277" t="s">
        <v>1511</v>
      </c>
      <c r="J61" s="278" t="s">
        <v>1581</v>
      </c>
      <c r="M61" s="23"/>
    </row>
    <row r="62" spans="1:13">
      <c r="B62" s="272" t="s">
        <v>1580</v>
      </c>
      <c r="C62" s="272" t="s">
        <v>1412</v>
      </c>
      <c r="D62" s="273" t="s">
        <v>1387</v>
      </c>
      <c r="E62" s="277">
        <v>1</v>
      </c>
      <c r="F62" s="277"/>
      <c r="G62" s="333">
        <v>8</v>
      </c>
      <c r="H62" s="277"/>
      <c r="I62" s="277" t="s">
        <v>1511</v>
      </c>
      <c r="J62" s="278" t="s">
        <v>1581</v>
      </c>
      <c r="M62" s="23"/>
    </row>
    <row r="63" spans="1:13">
      <c r="D63" s="273"/>
      <c r="E63" s="277"/>
      <c r="F63" s="277"/>
      <c r="G63" s="333"/>
      <c r="H63" s="277"/>
      <c r="J63" s="278"/>
      <c r="M63" s="23"/>
    </row>
    <row r="64" spans="1:13">
      <c r="A64" s="272" t="s">
        <v>1067</v>
      </c>
      <c r="B64" s="272" t="s">
        <v>1582</v>
      </c>
      <c r="C64" s="272" t="s">
        <v>1392</v>
      </c>
      <c r="D64" s="273" t="s">
        <v>1387</v>
      </c>
      <c r="E64" s="277">
        <v>1</v>
      </c>
      <c r="F64" s="277" t="s">
        <v>3</v>
      </c>
      <c r="G64" s="334">
        <v>22.15</v>
      </c>
      <c r="H64" s="277"/>
      <c r="I64" s="277" t="s">
        <v>1514</v>
      </c>
      <c r="J64" s="278" t="s">
        <v>1583</v>
      </c>
      <c r="M64" s="23"/>
    </row>
    <row r="65" spans="1:13">
      <c r="B65" s="272" t="s">
        <v>1582</v>
      </c>
      <c r="C65" s="272" t="s">
        <v>1392</v>
      </c>
      <c r="D65" s="273" t="s">
        <v>1391</v>
      </c>
      <c r="E65" s="277">
        <v>1</v>
      </c>
      <c r="F65" s="277" t="s">
        <v>3</v>
      </c>
      <c r="G65" s="334">
        <v>21.89</v>
      </c>
      <c r="H65" s="277"/>
      <c r="I65" s="277" t="s">
        <v>1514</v>
      </c>
      <c r="J65" s="278" t="s">
        <v>1584</v>
      </c>
      <c r="M65" s="23"/>
    </row>
    <row r="66" spans="1:13">
      <c r="D66" s="273"/>
      <c r="E66" s="277"/>
      <c r="F66" s="277"/>
      <c r="G66" s="333"/>
      <c r="H66" s="277"/>
      <c r="J66" s="278"/>
      <c r="M66" s="23"/>
    </row>
    <row r="67" spans="1:13">
      <c r="A67" s="272" t="s">
        <v>1291</v>
      </c>
      <c r="B67" s="272" t="s">
        <v>1585</v>
      </c>
      <c r="C67" s="272" t="s">
        <v>1414</v>
      </c>
      <c r="D67" s="273" t="s">
        <v>1387</v>
      </c>
      <c r="E67" s="277">
        <v>1</v>
      </c>
      <c r="F67" s="277"/>
      <c r="G67" s="333">
        <v>10.61</v>
      </c>
      <c r="H67" s="277"/>
      <c r="I67" s="277" t="s">
        <v>1514</v>
      </c>
      <c r="J67" s="278" t="s">
        <v>1586</v>
      </c>
      <c r="M67" s="23"/>
    </row>
    <row r="68" spans="1:13">
      <c r="B68" s="272" t="s">
        <v>1587</v>
      </c>
      <c r="C68" s="272" t="s">
        <v>1414</v>
      </c>
      <c r="D68" s="273" t="s">
        <v>1387</v>
      </c>
      <c r="E68" s="277">
        <v>1</v>
      </c>
      <c r="F68" s="277" t="s">
        <v>3</v>
      </c>
      <c r="G68" s="333">
        <v>19.47</v>
      </c>
      <c r="H68" s="277"/>
      <c r="I68" s="277" t="s">
        <v>1514</v>
      </c>
      <c r="J68" s="278" t="s">
        <v>1588</v>
      </c>
      <c r="M68" s="23"/>
    </row>
    <row r="69" spans="1:13">
      <c r="B69" s="272" t="s">
        <v>1589</v>
      </c>
      <c r="C69" s="272" t="s">
        <v>1414</v>
      </c>
      <c r="D69" s="273" t="s">
        <v>1391</v>
      </c>
      <c r="E69" s="277">
        <v>1</v>
      </c>
      <c r="F69" s="277"/>
      <c r="G69" s="333">
        <v>12</v>
      </c>
      <c r="H69" s="277"/>
      <c r="I69" s="277" t="s">
        <v>1514</v>
      </c>
      <c r="J69" s="278" t="s">
        <v>1590</v>
      </c>
      <c r="M69" s="23"/>
    </row>
    <row r="70" spans="1:13">
      <c r="D70" s="273"/>
      <c r="E70" s="277"/>
      <c r="F70" s="277"/>
      <c r="G70" s="333"/>
      <c r="H70" s="277"/>
      <c r="J70" s="278"/>
      <c r="M70" s="23"/>
    </row>
    <row r="71" spans="1:13">
      <c r="A71" s="272" t="s">
        <v>1027</v>
      </c>
      <c r="B71" s="272" t="s">
        <v>1591</v>
      </c>
      <c r="C71" s="272" t="s">
        <v>1419</v>
      </c>
      <c r="D71" s="273" t="s">
        <v>1387</v>
      </c>
      <c r="E71" s="277">
        <v>1</v>
      </c>
      <c r="F71" s="277"/>
      <c r="G71" s="333">
        <v>4.2</v>
      </c>
      <c r="H71" s="277"/>
      <c r="I71" s="277" t="s">
        <v>1514</v>
      </c>
      <c r="J71" s="278" t="s">
        <v>1592</v>
      </c>
      <c r="M71" s="23"/>
    </row>
    <row r="72" spans="1:13">
      <c r="B72" s="272" t="s">
        <v>1591</v>
      </c>
      <c r="C72" s="272" t="s">
        <v>1419</v>
      </c>
      <c r="D72" s="273" t="s">
        <v>1391</v>
      </c>
      <c r="E72" s="277">
        <v>1</v>
      </c>
      <c r="F72" s="277"/>
      <c r="G72" s="333">
        <v>6.5</v>
      </c>
      <c r="H72" s="277"/>
      <c r="I72" s="277" t="s">
        <v>1514</v>
      </c>
      <c r="J72" s="278" t="s">
        <v>1593</v>
      </c>
      <c r="M72" s="23"/>
    </row>
    <row r="73" spans="1:13">
      <c r="B73" s="272" t="s">
        <v>1591</v>
      </c>
      <c r="C73" s="272" t="s">
        <v>1420</v>
      </c>
      <c r="D73" s="273" t="s">
        <v>1391</v>
      </c>
      <c r="E73" s="277">
        <v>1</v>
      </c>
      <c r="F73" s="277"/>
      <c r="G73" s="333">
        <v>8</v>
      </c>
      <c r="H73" s="277"/>
      <c r="I73" s="277" t="s">
        <v>1529</v>
      </c>
      <c r="J73" s="278" t="s">
        <v>1594</v>
      </c>
      <c r="M73" s="23"/>
    </row>
    <row r="74" spans="1:13">
      <c r="B74" s="272" t="s">
        <v>1591</v>
      </c>
      <c r="C74" s="272" t="s">
        <v>1421</v>
      </c>
      <c r="D74" s="273" t="s">
        <v>1387</v>
      </c>
      <c r="E74" s="277">
        <v>1</v>
      </c>
      <c r="F74" s="277"/>
      <c r="G74" s="333">
        <v>6</v>
      </c>
      <c r="H74" s="277"/>
      <c r="I74" s="277" t="s">
        <v>1529</v>
      </c>
      <c r="J74" s="278" t="s">
        <v>1595</v>
      </c>
      <c r="M74" s="23"/>
    </row>
    <row r="75" spans="1:13">
      <c r="B75" s="272" t="s">
        <v>1591</v>
      </c>
      <c r="C75" s="272" t="s">
        <v>1421</v>
      </c>
      <c r="D75" s="273" t="s">
        <v>1391</v>
      </c>
      <c r="E75" s="277">
        <v>1</v>
      </c>
      <c r="F75" s="277"/>
      <c r="G75" s="333">
        <v>8</v>
      </c>
      <c r="H75" s="277"/>
      <c r="I75" s="277" t="s">
        <v>1529</v>
      </c>
      <c r="J75" s="278" t="s">
        <v>1596</v>
      </c>
      <c r="M75" s="23"/>
    </row>
    <row r="76" spans="1:13">
      <c r="D76" s="273"/>
      <c r="E76" s="277"/>
      <c r="F76" s="277"/>
      <c r="G76" s="333"/>
      <c r="H76" s="277"/>
      <c r="J76" s="278"/>
      <c r="M76" s="23"/>
    </row>
    <row r="77" spans="1:13">
      <c r="A77" s="272" t="s">
        <v>1029</v>
      </c>
      <c r="B77" s="272" t="s">
        <v>1597</v>
      </c>
      <c r="C77" s="272" t="s">
        <v>1386</v>
      </c>
      <c r="D77" s="273" t="s">
        <v>1387</v>
      </c>
      <c r="E77" s="277">
        <v>1</v>
      </c>
      <c r="F77" s="277"/>
      <c r="G77" s="333">
        <v>9.75</v>
      </c>
      <c r="H77" s="277"/>
      <c r="I77" s="277" t="s">
        <v>1514</v>
      </c>
      <c r="J77" s="278" t="s">
        <v>1598</v>
      </c>
      <c r="M77" s="282"/>
    </row>
    <row r="78" spans="1:13">
      <c r="B78" s="272" t="s">
        <v>1597</v>
      </c>
      <c r="C78" s="272" t="s">
        <v>1422</v>
      </c>
      <c r="D78" s="273" t="s">
        <v>1387</v>
      </c>
      <c r="E78" s="277">
        <v>1</v>
      </c>
      <c r="F78" s="277"/>
      <c r="G78" s="333">
        <v>14</v>
      </c>
      <c r="H78" s="277"/>
      <c r="I78" s="277" t="s">
        <v>1514</v>
      </c>
      <c r="J78" s="278" t="s">
        <v>1599</v>
      </c>
      <c r="M78" s="282"/>
    </row>
    <row r="79" spans="1:13">
      <c r="B79" s="272" t="s">
        <v>1597</v>
      </c>
      <c r="C79" s="272" t="s">
        <v>1421</v>
      </c>
      <c r="D79" s="273" t="s">
        <v>1387</v>
      </c>
      <c r="E79" s="277">
        <v>1</v>
      </c>
      <c r="F79" s="277"/>
      <c r="G79" s="333">
        <v>10</v>
      </c>
      <c r="H79" s="277"/>
      <c r="I79" s="277" t="s">
        <v>1514</v>
      </c>
      <c r="J79" s="278" t="s">
        <v>1600</v>
      </c>
      <c r="M79" s="282"/>
    </row>
    <row r="80" spans="1:13">
      <c r="D80" s="273"/>
      <c r="E80" s="277"/>
      <c r="F80" s="277"/>
      <c r="G80" s="333"/>
      <c r="H80" s="277"/>
      <c r="J80" s="278"/>
      <c r="M80" s="282"/>
    </row>
    <row r="81" spans="1:13">
      <c r="A81" s="272" t="s">
        <v>1069</v>
      </c>
      <c r="B81" s="272" t="s">
        <v>1069</v>
      </c>
      <c r="C81" s="272" t="s">
        <v>1412</v>
      </c>
      <c r="D81" s="273" t="s">
        <v>1387</v>
      </c>
      <c r="E81" s="277">
        <v>1</v>
      </c>
      <c r="F81" s="277"/>
      <c r="G81" s="333">
        <v>11</v>
      </c>
      <c r="H81" s="277"/>
      <c r="I81" s="277" t="s">
        <v>1511</v>
      </c>
      <c r="J81" s="278" t="s">
        <v>1601</v>
      </c>
      <c r="M81" s="282"/>
    </row>
    <row r="82" spans="1:13">
      <c r="D82" s="273"/>
      <c r="E82" s="277"/>
      <c r="F82" s="277"/>
      <c r="G82" s="333"/>
      <c r="H82" s="277"/>
      <c r="J82" s="278"/>
      <c r="M82" s="282"/>
    </row>
    <row r="83" spans="1:13">
      <c r="A83" s="272" t="s">
        <v>1070</v>
      </c>
      <c r="B83" s="272" t="s">
        <v>1602</v>
      </c>
      <c r="C83" s="272" t="s">
        <v>1423</v>
      </c>
      <c r="D83" s="273" t="s">
        <v>1387</v>
      </c>
      <c r="E83" s="277">
        <v>1</v>
      </c>
      <c r="F83" s="277"/>
      <c r="G83" s="333">
        <v>14.5</v>
      </c>
      <c r="H83" s="277"/>
      <c r="I83" s="277" t="s">
        <v>1511</v>
      </c>
      <c r="J83" s="278" t="s">
        <v>1603</v>
      </c>
      <c r="M83" s="282"/>
    </row>
    <row r="84" spans="1:13">
      <c r="B84" s="272" t="s">
        <v>1604</v>
      </c>
      <c r="C84" s="272" t="s">
        <v>1424</v>
      </c>
      <c r="D84" s="273" t="s">
        <v>1387</v>
      </c>
      <c r="E84" s="277">
        <v>1</v>
      </c>
      <c r="F84" s="277" t="s">
        <v>3</v>
      </c>
      <c r="G84" s="334">
        <v>12</v>
      </c>
      <c r="H84" s="277"/>
      <c r="I84" s="277" t="s">
        <v>1511</v>
      </c>
      <c r="J84" s="278" t="s">
        <v>1605</v>
      </c>
      <c r="M84" s="282"/>
    </row>
    <row r="85" spans="1:13">
      <c r="B85" s="272" t="s">
        <v>1606</v>
      </c>
      <c r="C85" s="272" t="s">
        <v>1424</v>
      </c>
      <c r="D85" s="273" t="s">
        <v>1391</v>
      </c>
      <c r="E85" s="277">
        <v>1</v>
      </c>
      <c r="F85" s="277"/>
      <c r="G85" s="333">
        <f>252.84/12</f>
        <v>21.07</v>
      </c>
      <c r="H85" s="277"/>
      <c r="I85" s="277" t="s">
        <v>1514</v>
      </c>
      <c r="J85" s="278" t="s">
        <v>1607</v>
      </c>
      <c r="M85" s="282"/>
    </row>
    <row r="86" spans="1:13">
      <c r="B86" s="272" t="s">
        <v>1608</v>
      </c>
      <c r="C86" s="272" t="s">
        <v>1393</v>
      </c>
      <c r="D86" s="273" t="s">
        <v>1391</v>
      </c>
      <c r="E86" s="277">
        <v>1</v>
      </c>
      <c r="F86" s="277"/>
      <c r="G86" s="333">
        <v>17.96</v>
      </c>
      <c r="H86" s="277"/>
      <c r="I86" s="277" t="s">
        <v>1514</v>
      </c>
      <c r="J86" s="278" t="s">
        <v>1609</v>
      </c>
      <c r="M86" s="282"/>
    </row>
    <row r="87" spans="1:13">
      <c r="B87" s="272" t="s">
        <v>1610</v>
      </c>
      <c r="C87" s="272" t="s">
        <v>1418</v>
      </c>
      <c r="D87" s="273" t="s">
        <v>1387</v>
      </c>
      <c r="E87" s="277">
        <v>1</v>
      </c>
      <c r="F87" s="277" t="s">
        <v>3</v>
      </c>
      <c r="G87" s="334">
        <v>27.07</v>
      </c>
      <c r="H87" s="277"/>
      <c r="I87" s="277" t="s">
        <v>1511</v>
      </c>
      <c r="J87" s="278" t="s">
        <v>1611</v>
      </c>
      <c r="M87" s="282"/>
    </row>
    <row r="88" spans="1:13">
      <c r="B88" s="272" t="s">
        <v>1612</v>
      </c>
      <c r="C88" s="272" t="s">
        <v>1405</v>
      </c>
      <c r="D88" s="273" t="s">
        <v>1391</v>
      </c>
      <c r="E88" s="277">
        <v>1</v>
      </c>
      <c r="F88" s="277"/>
      <c r="G88" s="333">
        <v>15.9</v>
      </c>
      <c r="H88" s="277"/>
      <c r="I88" s="277" t="s">
        <v>1514</v>
      </c>
      <c r="J88" s="278" t="s">
        <v>1613</v>
      </c>
      <c r="M88" s="282"/>
    </row>
    <row r="89" spans="1:13">
      <c r="B89" s="272" t="s">
        <v>1614</v>
      </c>
      <c r="C89" s="272" t="s">
        <v>1407</v>
      </c>
      <c r="D89" s="273" t="s">
        <v>1391</v>
      </c>
      <c r="E89" s="277">
        <v>1</v>
      </c>
      <c r="F89" s="277"/>
      <c r="G89" s="333">
        <v>16.68</v>
      </c>
      <c r="H89" s="277"/>
      <c r="I89" s="277" t="s">
        <v>1514</v>
      </c>
      <c r="J89" s="278" t="s">
        <v>1615</v>
      </c>
      <c r="M89" s="282"/>
    </row>
    <row r="90" spans="1:13">
      <c r="D90" s="273"/>
      <c r="E90" s="277"/>
      <c r="F90" s="277"/>
      <c r="G90" s="333"/>
      <c r="H90" s="277"/>
      <c r="J90" s="278"/>
      <c r="M90" s="282"/>
    </row>
    <row r="91" spans="1:13">
      <c r="A91" s="272" t="s">
        <v>1032</v>
      </c>
      <c r="B91" s="272" t="s">
        <v>1616</v>
      </c>
      <c r="C91" s="272" t="s">
        <v>1425</v>
      </c>
      <c r="D91" s="273" t="s">
        <v>1387</v>
      </c>
      <c r="E91" s="277">
        <v>1</v>
      </c>
      <c r="F91" s="277"/>
      <c r="G91" s="333">
        <v>5.47</v>
      </c>
      <c r="H91" s="277"/>
      <c r="I91" s="277" t="s">
        <v>1511</v>
      </c>
      <c r="J91" s="278" t="s">
        <v>1617</v>
      </c>
      <c r="M91" s="282"/>
    </row>
    <row r="92" spans="1:13">
      <c r="B92" s="272" t="s">
        <v>1616</v>
      </c>
      <c r="C92" s="272" t="s">
        <v>1425</v>
      </c>
      <c r="D92" s="273" t="s">
        <v>1391</v>
      </c>
      <c r="E92" s="277">
        <v>1</v>
      </c>
      <c r="F92" s="277"/>
      <c r="G92" s="333">
        <v>12.21</v>
      </c>
      <c r="H92" s="277"/>
      <c r="I92" s="277" t="s">
        <v>1514</v>
      </c>
      <c r="J92" s="278" t="s">
        <v>1617</v>
      </c>
      <c r="M92" s="282"/>
    </row>
    <row r="93" spans="1:13">
      <c r="B93" s="272" t="s">
        <v>1618</v>
      </c>
      <c r="C93" s="272" t="s">
        <v>1386</v>
      </c>
      <c r="D93" s="273" t="s">
        <v>1387</v>
      </c>
      <c r="E93" s="277">
        <v>1</v>
      </c>
      <c r="F93" s="277"/>
      <c r="G93" s="333">
        <v>8</v>
      </c>
      <c r="H93" s="277"/>
      <c r="I93" s="277" t="s">
        <v>1514</v>
      </c>
      <c r="J93" s="278" t="s">
        <v>1619</v>
      </c>
      <c r="M93" s="282"/>
    </row>
    <row r="94" spans="1:13">
      <c r="B94" s="272" t="s">
        <v>1618</v>
      </c>
      <c r="C94" s="272" t="s">
        <v>1386</v>
      </c>
      <c r="D94" s="273" t="s">
        <v>1391</v>
      </c>
      <c r="E94" s="277">
        <v>1</v>
      </c>
      <c r="F94" s="277"/>
      <c r="G94" s="333">
        <v>9</v>
      </c>
      <c r="H94" s="277"/>
      <c r="I94" s="277" t="s">
        <v>1514</v>
      </c>
      <c r="J94" s="278" t="s">
        <v>1620</v>
      </c>
      <c r="M94" s="282"/>
    </row>
    <row r="95" spans="1:13">
      <c r="B95" s="272" t="s">
        <v>1621</v>
      </c>
      <c r="C95" s="272" t="s">
        <v>1426</v>
      </c>
      <c r="D95" s="273" t="s">
        <v>1387</v>
      </c>
      <c r="E95" s="277">
        <v>1</v>
      </c>
      <c r="F95" s="277"/>
      <c r="G95" s="333">
        <v>9.6</v>
      </c>
      <c r="H95" s="277"/>
      <c r="I95" s="277" t="s">
        <v>1514</v>
      </c>
      <c r="J95" s="278" t="s">
        <v>1622</v>
      </c>
      <c r="M95" s="282"/>
    </row>
    <row r="96" spans="1:13">
      <c r="B96" s="272" t="s">
        <v>1618</v>
      </c>
      <c r="C96" s="272" t="s">
        <v>1422</v>
      </c>
      <c r="D96" s="273" t="s">
        <v>1387</v>
      </c>
      <c r="E96" s="277">
        <v>1</v>
      </c>
      <c r="F96" s="277"/>
      <c r="G96" s="333">
        <v>14.5</v>
      </c>
      <c r="H96" s="277"/>
      <c r="I96" s="277" t="s">
        <v>1514</v>
      </c>
      <c r="J96" s="278" t="s">
        <v>1623</v>
      </c>
      <c r="M96" s="282"/>
    </row>
    <row r="97" spans="1:13">
      <c r="B97" s="272" t="s">
        <v>1618</v>
      </c>
      <c r="C97" s="272" t="s">
        <v>1422</v>
      </c>
      <c r="D97" s="273" t="s">
        <v>1391</v>
      </c>
      <c r="E97" s="277">
        <v>1</v>
      </c>
      <c r="F97" s="277"/>
      <c r="G97" s="333">
        <v>18.48</v>
      </c>
      <c r="H97" s="277"/>
      <c r="I97" s="277" t="s">
        <v>1514</v>
      </c>
      <c r="J97" s="278" t="s">
        <v>1624</v>
      </c>
      <c r="M97" s="282"/>
    </row>
    <row r="98" spans="1:13">
      <c r="B98" s="272" t="s">
        <v>1618</v>
      </c>
      <c r="C98" s="272" t="s">
        <v>1421</v>
      </c>
      <c r="D98" s="273" t="s">
        <v>1387</v>
      </c>
      <c r="E98" s="277">
        <v>1</v>
      </c>
      <c r="F98" s="277"/>
      <c r="G98" s="333">
        <v>8.25</v>
      </c>
      <c r="H98" s="277"/>
      <c r="I98" s="277" t="s">
        <v>1514</v>
      </c>
      <c r="J98" s="278" t="s">
        <v>1625</v>
      </c>
      <c r="M98" s="282"/>
    </row>
    <row r="99" spans="1:13">
      <c r="B99" s="272" t="s">
        <v>1621</v>
      </c>
      <c r="C99" s="272" t="s">
        <v>1406</v>
      </c>
      <c r="D99" s="273" t="s">
        <v>1387</v>
      </c>
      <c r="E99" s="277">
        <v>1</v>
      </c>
      <c r="F99" s="277"/>
      <c r="G99" s="333">
        <v>10.5</v>
      </c>
      <c r="H99" s="277"/>
      <c r="I99" s="277" t="s">
        <v>1514</v>
      </c>
      <c r="J99" s="278" t="s">
        <v>1626</v>
      </c>
      <c r="M99" s="282"/>
    </row>
    <row r="100" spans="1:13">
      <c r="B100" s="272" t="s">
        <v>1618</v>
      </c>
      <c r="C100" s="272" t="s">
        <v>1392</v>
      </c>
      <c r="D100" s="273" t="s">
        <v>1387</v>
      </c>
      <c r="E100" s="277">
        <v>1</v>
      </c>
      <c r="F100" s="277"/>
      <c r="G100" s="333">
        <v>17</v>
      </c>
      <c r="H100" s="277"/>
      <c r="I100" s="277" t="s">
        <v>1514</v>
      </c>
      <c r="J100" s="278" t="s">
        <v>1627</v>
      </c>
      <c r="M100" s="282"/>
    </row>
    <row r="101" spans="1:13">
      <c r="B101" s="272" t="s">
        <v>1618</v>
      </c>
      <c r="C101" s="272" t="s">
        <v>1392</v>
      </c>
      <c r="D101" s="273" t="s">
        <v>1391</v>
      </c>
      <c r="E101" s="277">
        <v>1</v>
      </c>
      <c r="F101" s="277"/>
      <c r="G101" s="333">
        <v>14</v>
      </c>
      <c r="H101" s="277"/>
      <c r="I101" s="277" t="s">
        <v>1514</v>
      </c>
      <c r="J101" s="278" t="s">
        <v>1628</v>
      </c>
      <c r="M101" s="282"/>
    </row>
    <row r="102" spans="1:13">
      <c r="A102" s="304"/>
      <c r="B102" s="304"/>
      <c r="C102" s="304"/>
      <c r="D102" s="337"/>
      <c r="E102" s="331"/>
      <c r="F102" s="331"/>
      <c r="G102" s="338"/>
      <c r="H102" s="331"/>
      <c r="I102" s="331"/>
      <c r="J102" s="339"/>
    </row>
    <row r="103" spans="1:13">
      <c r="D103" s="273"/>
      <c r="G103" s="327"/>
      <c r="H103" s="277"/>
      <c r="I103" s="277" t="str">
        <f>"Declining: "&amp;COUNTIF($I$8:$I$101,"Declining")</f>
        <v>Declining: 8</v>
      </c>
      <c r="J103" s="278"/>
    </row>
    <row r="104" spans="1:13">
      <c r="A104" s="340"/>
      <c r="B104" s="340"/>
      <c r="D104" s="273"/>
      <c r="F104" s="277" t="s">
        <v>1629</v>
      </c>
      <c r="G104" s="327">
        <f>MIN(G9:G101)</f>
        <v>4.2</v>
      </c>
      <c r="H104" s="277"/>
      <c r="I104" s="277" t="str">
        <f>"Flat: "&amp;COUNTIF($I$8:$I$101,"Flat")</f>
        <v>Flat: 54</v>
      </c>
      <c r="J104" s="278"/>
      <c r="K104" s="278"/>
    </row>
    <row r="105" spans="1:13">
      <c r="A105" s="290" t="s">
        <v>1630</v>
      </c>
      <c r="B105" s="290"/>
      <c r="D105" s="273"/>
      <c r="E105" s="341">
        <f>SUM(E8:E101)</f>
        <v>79</v>
      </c>
      <c r="F105" s="341" t="s">
        <v>718</v>
      </c>
      <c r="G105" s="327">
        <f>AVERAGEIF(G9:G101, "&gt;0", G9:G101)</f>
        <v>11.961898734177218</v>
      </c>
      <c r="H105" s="277" t="s">
        <v>1631</v>
      </c>
      <c r="I105" s="277" t="str">
        <f>"Inclining: "&amp;COUNTIF($I$8:$I$101,"Inclining")</f>
        <v>Inclining: 17</v>
      </c>
      <c r="J105" s="342"/>
    </row>
    <row r="106" spans="1:13">
      <c r="D106" s="273"/>
      <c r="F106" s="277" t="s">
        <v>1632</v>
      </c>
      <c r="G106" s="327">
        <f>MAX(G9:G101)</f>
        <v>33.03</v>
      </c>
      <c r="H106" s="277"/>
      <c r="I106" s="277" t="str">
        <f>"Inclining: "&amp;TEXT(COUNTIF($I$8:$I$101,"Inclining")/$E$105,"0.00%")</f>
        <v>Inclining: 21.52%</v>
      </c>
      <c r="J106" s="343"/>
      <c r="K106" s="342"/>
    </row>
    <row r="107" spans="1:13">
      <c r="A107" s="296"/>
      <c r="B107" s="296"/>
      <c r="C107" s="296"/>
      <c r="D107" s="344"/>
      <c r="E107" s="296"/>
      <c r="F107" s="296"/>
      <c r="G107" s="345"/>
      <c r="H107" s="298"/>
      <c r="I107" s="298"/>
      <c r="J107" s="346"/>
    </row>
    <row r="108" spans="1:13" ht="13.15" thickBot="1">
      <c r="A108" s="300" t="s">
        <v>1498</v>
      </c>
      <c r="B108" s="300" t="s">
        <v>1370</v>
      </c>
      <c r="C108" s="300" t="s">
        <v>1396</v>
      </c>
      <c r="D108" s="347" t="s">
        <v>1387</v>
      </c>
      <c r="E108" s="300"/>
      <c r="F108" s="300"/>
      <c r="G108" s="348">
        <v>11.47</v>
      </c>
      <c r="H108" s="349"/>
      <c r="I108" s="350" t="s">
        <v>1511</v>
      </c>
      <c r="J108" s="351" t="s">
        <v>1579</v>
      </c>
    </row>
    <row r="111" spans="1:13">
      <c r="A111" s="304" t="s">
        <v>22</v>
      </c>
      <c r="B111" s="304"/>
    </row>
    <row r="112" spans="1:13">
      <c r="A112" s="272" t="s">
        <v>1633</v>
      </c>
      <c r="I112" s="353"/>
    </row>
    <row r="113" spans="1:14">
      <c r="A113" s="290" t="s">
        <v>1634</v>
      </c>
      <c r="B113" s="290"/>
      <c r="I113" s="385"/>
    </row>
    <row r="114" spans="1:14">
      <c r="A114" s="272" t="s">
        <v>1635</v>
      </c>
    </row>
    <row r="115" spans="1:14">
      <c r="A115" s="354" t="s">
        <v>1636</v>
      </c>
      <c r="B115" s="340">
        <v>30.42</v>
      </c>
    </row>
    <row r="120" spans="1:14" s="277" customFormat="1">
      <c r="A120" s="272"/>
      <c r="B120" s="272"/>
      <c r="C120" s="272"/>
      <c r="D120" s="272"/>
      <c r="E120" s="272"/>
      <c r="F120" s="272"/>
      <c r="G120" s="327"/>
      <c r="K120" s="272"/>
      <c r="L120" s="272"/>
      <c r="M120" s="272"/>
      <c r="N120" s="272"/>
    </row>
    <row r="121" spans="1:14" s="277" customFormat="1">
      <c r="A121" s="272"/>
      <c r="B121" s="272"/>
      <c r="C121" s="272"/>
      <c r="D121" s="272"/>
      <c r="E121" s="272"/>
      <c r="F121" s="272"/>
      <c r="G121" s="327"/>
      <c r="K121" s="272"/>
      <c r="L121" s="272"/>
      <c r="M121" s="272"/>
      <c r="N121" s="272"/>
    </row>
    <row r="122" spans="1:14" s="277" customFormat="1">
      <c r="A122" s="307"/>
      <c r="B122" s="307"/>
      <c r="C122" s="307"/>
      <c r="D122" s="275"/>
      <c r="E122" s="307"/>
      <c r="F122" s="307"/>
      <c r="G122" s="355"/>
      <c r="H122" s="308"/>
      <c r="I122" s="308"/>
      <c r="K122" s="272"/>
      <c r="L122" s="272"/>
      <c r="M122" s="272"/>
      <c r="N122" s="272"/>
    </row>
    <row r="123" spans="1:14" s="277" customFormat="1">
      <c r="A123" s="272"/>
      <c r="B123" s="272"/>
      <c r="C123" s="272"/>
      <c r="D123" s="272"/>
      <c r="E123" s="272"/>
      <c r="F123" s="272"/>
      <c r="G123" s="327"/>
      <c r="K123" s="272"/>
      <c r="L123" s="272"/>
      <c r="M123" s="272"/>
      <c r="N123" s="272"/>
    </row>
    <row r="124" spans="1:14" s="277" customFormat="1">
      <c r="A124" s="272"/>
      <c r="B124" s="272"/>
      <c r="C124" s="272"/>
      <c r="D124" s="272"/>
      <c r="E124" s="272"/>
      <c r="F124" s="272"/>
      <c r="G124" s="327"/>
      <c r="K124" s="272"/>
      <c r="L124" s="272"/>
      <c r="M124" s="272"/>
      <c r="N124" s="272"/>
    </row>
    <row r="160" spans="11:11">
      <c r="K160" s="278"/>
    </row>
    <row r="164" ht="15.75" customHeight="1"/>
  </sheetData>
  <mergeCells count="4">
    <mergeCell ref="A2:J2"/>
    <mergeCell ref="A3:J3"/>
    <mergeCell ref="F7:G7"/>
    <mergeCell ref="H7:I7"/>
  </mergeCells>
  <printOptions horizontalCentered="1"/>
  <pageMargins left="0.7" right="0.7" top="0.75" bottom="0.75" header="0.3" footer="0.3"/>
  <pageSetup scale="52" fitToWidth="0" fitToHeight="0" orientation="landscape" useFirstPageNumber="1" r:id="rId1"/>
  <headerFooter>
    <oddHeader>&amp;LDRAFT- PRIVILEGED AND CONFIDENTIAL
PREPARED AT THE REQUEST OF COUNSEL&amp;RSchedule AEB-10
Page &amp;P of 2</oddHeader>
  </headerFooter>
  <rowBreaks count="1" manualBreakCount="1"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969F-52AD-4822-A655-FAE5F8D035B1}">
  <sheetPr codeName="Sheet11"/>
  <dimension ref="B2:L91"/>
  <sheetViews>
    <sheetView topLeftCell="A34" zoomScale="90" zoomScaleNormal="90" zoomScaleSheetLayoutView="85" zoomScalePageLayoutView="80" workbookViewId="0">
      <selection activeCell="H100" sqref="H100"/>
    </sheetView>
  </sheetViews>
  <sheetFormatPr defaultColWidth="9.1328125" defaultRowHeight="12.75"/>
  <cols>
    <col min="1" max="1" width="3.3984375" style="284" customWidth="1"/>
    <col min="2" max="2" width="34" style="284" customWidth="1"/>
    <col min="3" max="3" width="17.265625" style="284" customWidth="1"/>
    <col min="4" max="4" width="22.1328125" style="284" customWidth="1"/>
    <col min="5" max="5" width="18.3984375" style="284" customWidth="1"/>
    <col min="6" max="7" width="9.1328125" style="284"/>
    <col min="8" max="8" width="16" style="284" bestFit="1" customWidth="1"/>
    <col min="9" max="16384" width="9.1328125" style="284"/>
  </cols>
  <sheetData>
    <row r="2" spans="2:9" ht="13.9">
      <c r="B2" s="521" t="s">
        <v>1666</v>
      </c>
      <c r="C2" s="521"/>
      <c r="D2" s="521"/>
      <c r="E2" s="521"/>
    </row>
    <row r="3" spans="2:9" ht="13.9">
      <c r="B3" s="521" t="s">
        <v>1637</v>
      </c>
      <c r="C3" s="522"/>
      <c r="D3" s="522"/>
      <c r="E3" s="522"/>
      <c r="F3" s="356"/>
      <c r="G3" s="356"/>
    </row>
    <row r="4" spans="2:9">
      <c r="G4" s="357"/>
    </row>
    <row r="5" spans="2:9" ht="13.15" thickBot="1">
      <c r="B5" s="356"/>
      <c r="C5" s="356"/>
      <c r="D5" s="358" t="s">
        <v>0</v>
      </c>
      <c r="E5" s="358" t="s">
        <v>1</v>
      </c>
    </row>
    <row r="6" spans="2:9" ht="13.15">
      <c r="B6" s="359"/>
      <c r="C6" s="359"/>
      <c r="D6" s="523" t="s">
        <v>1638</v>
      </c>
      <c r="E6" s="523"/>
      <c r="H6" s="524" t="s">
        <v>1639</v>
      </c>
      <c r="I6" s="524"/>
    </row>
    <row r="7" spans="2:9" ht="13.15">
      <c r="B7" s="360"/>
      <c r="C7" s="361"/>
      <c r="D7" s="362" t="s">
        <v>1358</v>
      </c>
      <c r="E7" s="363" t="s">
        <v>1640</v>
      </c>
      <c r="H7" s="364" t="s">
        <v>1641</v>
      </c>
      <c r="I7" s="364" t="s">
        <v>1642</v>
      </c>
    </row>
    <row r="8" spans="2:9">
      <c r="H8" s="284" t="s">
        <v>1643</v>
      </c>
      <c r="I8" s="311">
        <v>9</v>
      </c>
    </row>
    <row r="9" spans="2:9">
      <c r="B9" s="365" t="s">
        <v>1022</v>
      </c>
      <c r="C9" s="366" t="s">
        <v>1386</v>
      </c>
      <c r="D9" s="311" t="s">
        <v>1644</v>
      </c>
      <c r="E9" s="311">
        <f>IFERROR(INDEX($I$8:$I$16,MATCH(D9,$H$8:$H$16,0)),"")</f>
        <v>5</v>
      </c>
      <c r="H9" s="284" t="s">
        <v>1645</v>
      </c>
      <c r="I9" s="311">
        <v>8</v>
      </c>
    </row>
    <row r="10" spans="2:9">
      <c r="B10" s="365"/>
      <c r="C10" s="366"/>
      <c r="D10" s="311" t="s">
        <v>1509</v>
      </c>
      <c r="E10" s="311" t="str">
        <f t="shared" ref="E10:E71" si="0">IFERROR(INDEX($I$8:$I$16,MATCH(D10,$H$8:$H$16,0)),"")</f>
        <v/>
      </c>
      <c r="H10" s="284" t="s">
        <v>1646</v>
      </c>
      <c r="I10" s="311">
        <v>7</v>
      </c>
    </row>
    <row r="11" spans="2:9">
      <c r="B11" s="272" t="s">
        <v>1024</v>
      </c>
      <c r="C11" s="110" t="s">
        <v>1389</v>
      </c>
      <c r="D11" s="367" t="s">
        <v>1647</v>
      </c>
      <c r="E11" s="311">
        <f t="shared" si="0"/>
        <v>3</v>
      </c>
      <c r="H11" s="284" t="s">
        <v>1648</v>
      </c>
      <c r="I11" s="311">
        <v>6</v>
      </c>
    </row>
    <row r="12" spans="2:9">
      <c r="B12" s="365"/>
      <c r="C12" s="110" t="s">
        <v>1392</v>
      </c>
      <c r="D12" s="311" t="s">
        <v>1649</v>
      </c>
      <c r="E12" s="311">
        <f t="shared" si="0"/>
        <v>2</v>
      </c>
      <c r="H12" s="284" t="s">
        <v>1644</v>
      </c>
      <c r="I12" s="311">
        <v>5</v>
      </c>
    </row>
    <row r="13" spans="2:9">
      <c r="B13" s="365"/>
      <c r="C13" s="366"/>
      <c r="D13" s="311"/>
      <c r="E13" s="311" t="str">
        <f t="shared" si="0"/>
        <v/>
      </c>
      <c r="H13" s="284" t="s">
        <v>1650</v>
      </c>
      <c r="I13" s="311">
        <v>4</v>
      </c>
    </row>
    <row r="14" spans="2:9">
      <c r="B14" s="23" t="s">
        <v>1025</v>
      </c>
      <c r="C14" s="366" t="s">
        <v>1393</v>
      </c>
      <c r="D14" s="311" t="s">
        <v>1644</v>
      </c>
      <c r="E14" s="311">
        <f t="shared" si="0"/>
        <v>5</v>
      </c>
      <c r="H14" s="284" t="s">
        <v>1647</v>
      </c>
      <c r="I14" s="311">
        <v>3</v>
      </c>
    </row>
    <row r="15" spans="2:9">
      <c r="B15" s="365"/>
      <c r="C15" s="366" t="s">
        <v>1396</v>
      </c>
      <c r="D15" s="311" t="s">
        <v>1648</v>
      </c>
      <c r="E15" s="311">
        <f t="shared" si="0"/>
        <v>6</v>
      </c>
      <c r="H15" s="284" t="s">
        <v>1649</v>
      </c>
      <c r="I15" s="311">
        <v>2</v>
      </c>
    </row>
    <row r="16" spans="2:9">
      <c r="B16" s="365"/>
      <c r="C16" s="366"/>
      <c r="D16" s="311"/>
      <c r="E16" s="311" t="str">
        <f t="shared" si="0"/>
        <v/>
      </c>
      <c r="H16" s="284" t="s">
        <v>1651</v>
      </c>
      <c r="I16" s="311">
        <v>1</v>
      </c>
    </row>
    <row r="17" spans="2:12">
      <c r="B17" s="366" t="s">
        <v>1026</v>
      </c>
      <c r="C17" s="366" t="s">
        <v>1397</v>
      </c>
      <c r="D17" s="311" t="s">
        <v>1650</v>
      </c>
      <c r="E17" s="311">
        <f t="shared" si="0"/>
        <v>4</v>
      </c>
    </row>
    <row r="18" spans="2:12">
      <c r="B18" s="365"/>
      <c r="C18" s="366" t="s">
        <v>1398</v>
      </c>
      <c r="D18" s="311" t="s">
        <v>1650</v>
      </c>
      <c r="E18" s="311">
        <f t="shared" si="0"/>
        <v>4</v>
      </c>
    </row>
    <row r="19" spans="2:12">
      <c r="B19" s="365"/>
      <c r="C19" s="366" t="s">
        <v>1399</v>
      </c>
      <c r="D19" s="311" t="s">
        <v>1650</v>
      </c>
      <c r="E19" s="311">
        <f t="shared" si="0"/>
        <v>4</v>
      </c>
    </row>
    <row r="20" spans="2:12">
      <c r="B20" s="366"/>
      <c r="C20" s="366" t="s">
        <v>1400</v>
      </c>
      <c r="D20" s="294" t="s">
        <v>1644</v>
      </c>
      <c r="E20" s="311">
        <f t="shared" si="0"/>
        <v>5</v>
      </c>
    </row>
    <row r="21" spans="2:12">
      <c r="B21" s="365"/>
      <c r="C21" s="366" t="s">
        <v>1401</v>
      </c>
      <c r="D21" s="311" t="s">
        <v>1647</v>
      </c>
      <c r="E21" s="311">
        <f t="shared" si="0"/>
        <v>3</v>
      </c>
    </row>
    <row r="22" spans="2:12">
      <c r="B22" s="365"/>
      <c r="C22" s="366" t="s">
        <v>1402</v>
      </c>
      <c r="D22" s="294" t="s">
        <v>1648</v>
      </c>
      <c r="E22" s="311">
        <f t="shared" si="0"/>
        <v>6</v>
      </c>
    </row>
    <row r="23" spans="2:12">
      <c r="B23" s="365"/>
      <c r="C23" s="366" t="s">
        <v>1404</v>
      </c>
      <c r="D23" s="294" t="s">
        <v>1644</v>
      </c>
      <c r="E23" s="311">
        <f t="shared" si="0"/>
        <v>5</v>
      </c>
    </row>
    <row r="24" spans="2:12">
      <c r="B24" s="365"/>
      <c r="C24" s="366" t="s">
        <v>1405</v>
      </c>
      <c r="D24" s="311" t="s">
        <v>1647</v>
      </c>
      <c r="E24" s="311">
        <f t="shared" si="0"/>
        <v>3</v>
      </c>
    </row>
    <row r="25" spans="2:12">
      <c r="B25" s="365"/>
      <c r="C25" s="366" t="s">
        <v>1406</v>
      </c>
      <c r="D25" s="294" t="s">
        <v>1648</v>
      </c>
      <c r="E25" s="311">
        <f t="shared" si="0"/>
        <v>6</v>
      </c>
    </row>
    <row r="26" spans="2:12">
      <c r="B26" s="365"/>
      <c r="C26" s="366" t="s">
        <v>1407</v>
      </c>
      <c r="D26" s="311" t="s">
        <v>1650</v>
      </c>
      <c r="E26" s="311">
        <f t="shared" si="0"/>
        <v>4</v>
      </c>
    </row>
    <row r="27" spans="2:12">
      <c r="C27" s="284" t="s">
        <v>1408</v>
      </c>
      <c r="D27" s="311" t="s">
        <v>1645</v>
      </c>
      <c r="E27" s="311">
        <f t="shared" si="0"/>
        <v>8</v>
      </c>
    </row>
    <row r="28" spans="2:12">
      <c r="C28" s="284" t="s">
        <v>1509</v>
      </c>
      <c r="D28" s="311" t="s">
        <v>1509</v>
      </c>
      <c r="E28" s="311" t="str">
        <f t="shared" si="0"/>
        <v/>
      </c>
    </row>
    <row r="29" spans="2:12">
      <c r="B29" s="284" t="s">
        <v>1064</v>
      </c>
      <c r="C29" s="284" t="s">
        <v>1409</v>
      </c>
      <c r="D29" s="294" t="s">
        <v>1646</v>
      </c>
      <c r="E29" s="311">
        <f t="shared" si="0"/>
        <v>7</v>
      </c>
    </row>
    <row r="30" spans="2:12">
      <c r="C30" s="284" t="s">
        <v>1410</v>
      </c>
      <c r="D30" s="294" t="s">
        <v>1644</v>
      </c>
      <c r="E30" s="311">
        <f t="shared" si="0"/>
        <v>5</v>
      </c>
    </row>
    <row r="31" spans="2:12">
      <c r="C31" s="284" t="s">
        <v>1412</v>
      </c>
      <c r="D31" s="294" t="s">
        <v>1644</v>
      </c>
      <c r="E31" s="311">
        <f t="shared" si="0"/>
        <v>5</v>
      </c>
      <c r="L31" s="284" t="s">
        <v>1509</v>
      </c>
    </row>
    <row r="32" spans="2:12">
      <c r="C32" s="284" t="s">
        <v>1413</v>
      </c>
      <c r="D32" s="294" t="s">
        <v>1648</v>
      </c>
      <c r="E32" s="311">
        <f t="shared" si="0"/>
        <v>6</v>
      </c>
    </row>
    <row r="33" spans="2:5">
      <c r="D33" s="311"/>
      <c r="E33" s="311" t="str">
        <f t="shared" si="0"/>
        <v/>
      </c>
    </row>
    <row r="34" spans="2:5">
      <c r="B34" s="368" t="s">
        <v>1652</v>
      </c>
      <c r="C34" s="110" t="s">
        <v>1414</v>
      </c>
      <c r="D34" s="311" t="s">
        <v>1649</v>
      </c>
      <c r="E34" s="311">
        <f t="shared" si="0"/>
        <v>2</v>
      </c>
    </row>
    <row r="35" spans="2:5">
      <c r="C35" s="110" t="s">
        <v>1398</v>
      </c>
      <c r="D35" s="311" t="s">
        <v>1650</v>
      </c>
      <c r="E35" s="311">
        <f t="shared" si="0"/>
        <v>4</v>
      </c>
    </row>
    <row r="36" spans="2:5">
      <c r="C36" s="110" t="s">
        <v>1399</v>
      </c>
      <c r="D36" s="311" t="s">
        <v>1650</v>
      </c>
      <c r="E36" s="311">
        <f t="shared" si="0"/>
        <v>4</v>
      </c>
    </row>
    <row r="37" spans="2:5">
      <c r="C37" s="110" t="s">
        <v>1415</v>
      </c>
      <c r="D37" s="311" t="s">
        <v>1650</v>
      </c>
      <c r="E37" s="311">
        <f t="shared" si="0"/>
        <v>4</v>
      </c>
    </row>
    <row r="38" spans="2:5">
      <c r="C38" s="110" t="s">
        <v>1402</v>
      </c>
      <c r="D38" s="311" t="s">
        <v>1648</v>
      </c>
      <c r="E38" s="311">
        <f t="shared" si="0"/>
        <v>6</v>
      </c>
    </row>
    <row r="39" spans="2:5">
      <c r="C39" s="110" t="s">
        <v>1416</v>
      </c>
      <c r="D39" s="311" t="s">
        <v>1648</v>
      </c>
      <c r="E39" s="311">
        <f t="shared" si="0"/>
        <v>6</v>
      </c>
    </row>
    <row r="40" spans="2:5">
      <c r="C40" s="110" t="s">
        <v>1405</v>
      </c>
      <c r="D40" s="311" t="s">
        <v>1647</v>
      </c>
      <c r="E40" s="311">
        <f t="shared" si="0"/>
        <v>3</v>
      </c>
    </row>
    <row r="41" spans="2:5">
      <c r="D41" s="311"/>
      <c r="E41" s="311" t="str">
        <f t="shared" si="0"/>
        <v/>
      </c>
    </row>
    <row r="42" spans="2:5">
      <c r="B42" s="368" t="s">
        <v>1653</v>
      </c>
      <c r="C42" s="110" t="s">
        <v>1397</v>
      </c>
      <c r="D42" s="311" t="s">
        <v>1650</v>
      </c>
      <c r="E42" s="311">
        <f t="shared" si="0"/>
        <v>4</v>
      </c>
    </row>
    <row r="43" spans="2:5" ht="15" customHeight="1">
      <c r="B43" s="368"/>
      <c r="C43" s="110" t="s">
        <v>1417</v>
      </c>
      <c r="D43" s="294" t="s">
        <v>1648</v>
      </c>
      <c r="E43" s="311">
        <f t="shared" si="0"/>
        <v>6</v>
      </c>
    </row>
    <row r="44" spans="2:5">
      <c r="C44" s="110" t="s">
        <v>1400</v>
      </c>
      <c r="D44" s="311" t="s">
        <v>1644</v>
      </c>
      <c r="E44" s="311">
        <f t="shared" si="0"/>
        <v>5</v>
      </c>
    </row>
    <row r="45" spans="2:5">
      <c r="C45" s="110" t="s">
        <v>1418</v>
      </c>
      <c r="D45" s="311" t="s">
        <v>1647</v>
      </c>
      <c r="E45" s="311">
        <f t="shared" si="0"/>
        <v>3</v>
      </c>
    </row>
    <row r="46" spans="2:5">
      <c r="C46" s="110" t="s">
        <v>1406</v>
      </c>
      <c r="D46" s="294" t="s">
        <v>1648</v>
      </c>
      <c r="E46" s="311">
        <f t="shared" si="0"/>
        <v>6</v>
      </c>
    </row>
    <row r="47" spans="2:5">
      <c r="C47" s="284" t="s">
        <v>1509</v>
      </c>
      <c r="D47" s="311" t="s">
        <v>1509</v>
      </c>
      <c r="E47" s="311" t="str">
        <f t="shared" si="0"/>
        <v/>
      </c>
    </row>
    <row r="48" spans="2:5">
      <c r="B48" s="368" t="s">
        <v>1066</v>
      </c>
      <c r="C48" s="110" t="s">
        <v>1410</v>
      </c>
      <c r="D48" s="294" t="s">
        <v>1644</v>
      </c>
      <c r="E48" s="311">
        <f t="shared" si="0"/>
        <v>5</v>
      </c>
    </row>
    <row r="49" spans="2:5">
      <c r="C49" s="110" t="s">
        <v>1412</v>
      </c>
      <c r="D49" s="294" t="s">
        <v>1644</v>
      </c>
      <c r="E49" s="311">
        <f t="shared" si="0"/>
        <v>5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1392</v>
      </c>
      <c r="D51" s="311" t="s">
        <v>1649</v>
      </c>
      <c r="E51" s="311">
        <f t="shared" si="0"/>
        <v>2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1414</v>
      </c>
      <c r="D53" s="311" t="s">
        <v>1649</v>
      </c>
      <c r="E53" s="311">
        <f t="shared" si="0"/>
        <v>2</v>
      </c>
    </row>
    <row r="54" spans="2:5">
      <c r="B54" s="272"/>
      <c r="C54" s="110" t="s">
        <v>1406</v>
      </c>
      <c r="D54" s="294" t="s">
        <v>1648</v>
      </c>
      <c r="E54" s="311">
        <f t="shared" si="0"/>
        <v>6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1419</v>
      </c>
      <c r="D56" s="311" t="s">
        <v>1646</v>
      </c>
      <c r="E56" s="311">
        <f t="shared" si="0"/>
        <v>7</v>
      </c>
    </row>
    <row r="57" spans="2:5">
      <c r="B57" s="284" t="s">
        <v>1654</v>
      </c>
      <c r="C57" s="284" t="s">
        <v>1420</v>
      </c>
      <c r="D57" s="311" t="s">
        <v>1650</v>
      </c>
      <c r="E57" s="311">
        <f t="shared" si="0"/>
        <v>4</v>
      </c>
    </row>
    <row r="58" spans="2:5">
      <c r="B58" s="284" t="s">
        <v>1654</v>
      </c>
      <c r="C58" s="284" t="s">
        <v>1421</v>
      </c>
      <c r="D58" s="311" t="s">
        <v>1644</v>
      </c>
      <c r="E58" s="311">
        <f t="shared" si="0"/>
        <v>5</v>
      </c>
    </row>
    <row r="59" spans="2:5">
      <c r="D59" s="311" t="s">
        <v>1509</v>
      </c>
      <c r="E59" s="311" t="str">
        <f t="shared" si="0"/>
        <v/>
      </c>
    </row>
    <row r="60" spans="2:5">
      <c r="B60" s="284" t="s">
        <v>1029</v>
      </c>
      <c r="C60" s="284" t="s">
        <v>1386</v>
      </c>
      <c r="D60" s="311" t="s">
        <v>1644</v>
      </c>
      <c r="E60" s="311">
        <f t="shared" si="0"/>
        <v>5</v>
      </c>
    </row>
    <row r="61" spans="2:5">
      <c r="C61" s="284" t="s">
        <v>1422</v>
      </c>
      <c r="D61" s="311" t="s">
        <v>1650</v>
      </c>
      <c r="E61" s="311">
        <f t="shared" si="0"/>
        <v>4</v>
      </c>
    </row>
    <row r="62" spans="2:5">
      <c r="C62" s="284" t="s">
        <v>1421</v>
      </c>
      <c r="D62" s="311" t="s">
        <v>1644</v>
      </c>
      <c r="E62" s="311">
        <f t="shared" si="0"/>
        <v>5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1412</v>
      </c>
      <c r="D64" s="311" t="s">
        <v>1644</v>
      </c>
      <c r="E64" s="311">
        <f t="shared" si="0"/>
        <v>5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1423</v>
      </c>
      <c r="D66" s="294" t="s">
        <v>1651</v>
      </c>
      <c r="E66" s="311">
        <f t="shared" si="0"/>
        <v>1</v>
      </c>
    </row>
    <row r="67" spans="2:5">
      <c r="C67" s="284" t="s">
        <v>1424</v>
      </c>
      <c r="D67" s="311" t="s">
        <v>1649</v>
      </c>
      <c r="E67" s="311">
        <f t="shared" si="0"/>
        <v>2</v>
      </c>
    </row>
    <row r="68" spans="2:5">
      <c r="C68" s="284" t="s">
        <v>1393</v>
      </c>
      <c r="D68" s="311" t="s">
        <v>1644</v>
      </c>
      <c r="E68" s="311">
        <f t="shared" si="0"/>
        <v>5</v>
      </c>
    </row>
    <row r="69" spans="2:5">
      <c r="C69" s="284" t="s">
        <v>1418</v>
      </c>
      <c r="D69" s="311" t="s">
        <v>1647</v>
      </c>
      <c r="E69" s="311">
        <f t="shared" si="0"/>
        <v>3</v>
      </c>
    </row>
    <row r="70" spans="2:5">
      <c r="C70" s="284" t="s">
        <v>1405</v>
      </c>
      <c r="D70" s="311" t="s">
        <v>1647</v>
      </c>
      <c r="E70" s="311">
        <f t="shared" si="0"/>
        <v>3</v>
      </c>
    </row>
    <row r="71" spans="2:5">
      <c r="C71" s="284" t="s">
        <v>1407</v>
      </c>
      <c r="D71" s="311" t="s">
        <v>1650</v>
      </c>
      <c r="E71" s="311">
        <f t="shared" si="0"/>
        <v>4</v>
      </c>
    </row>
    <row r="72" spans="2:5">
      <c r="D72" s="311"/>
      <c r="E72" s="311" t="str">
        <f t="shared" ref="E72:E79" si="1">IFERROR(INDEX($I$8:$I$16,MATCH(D72,$H$8:$H$16,0)),"")</f>
        <v/>
      </c>
    </row>
    <row r="73" spans="2:5">
      <c r="B73" s="284" t="s">
        <v>1032</v>
      </c>
      <c r="C73" s="284" t="s">
        <v>1425</v>
      </c>
      <c r="D73" s="294" t="s">
        <v>1650</v>
      </c>
      <c r="E73" s="311">
        <f t="shared" si="1"/>
        <v>4</v>
      </c>
    </row>
    <row r="74" spans="2:5">
      <c r="C74" s="284" t="s">
        <v>1386</v>
      </c>
      <c r="D74" s="311" t="s">
        <v>1644</v>
      </c>
      <c r="E74" s="311">
        <f t="shared" si="1"/>
        <v>5</v>
      </c>
    </row>
    <row r="75" spans="2:5">
      <c r="C75" s="284" t="s">
        <v>1422</v>
      </c>
      <c r="D75" s="311" t="s">
        <v>1650</v>
      </c>
      <c r="E75" s="311">
        <f t="shared" si="1"/>
        <v>4</v>
      </c>
    </row>
    <row r="76" spans="2:5">
      <c r="C76" s="284" t="s">
        <v>1426</v>
      </c>
      <c r="D76" s="311" t="s">
        <v>1645</v>
      </c>
      <c r="E76" s="311">
        <f t="shared" si="1"/>
        <v>8</v>
      </c>
    </row>
    <row r="77" spans="2:5">
      <c r="C77" s="284" t="s">
        <v>1421</v>
      </c>
      <c r="D77" s="311" t="s">
        <v>1644</v>
      </c>
      <c r="E77" s="311">
        <f t="shared" si="1"/>
        <v>5</v>
      </c>
    </row>
    <row r="78" spans="2:5">
      <c r="C78" s="284" t="s">
        <v>1406</v>
      </c>
      <c r="D78" s="294" t="s">
        <v>1648</v>
      </c>
      <c r="E78" s="311">
        <f t="shared" si="1"/>
        <v>6</v>
      </c>
    </row>
    <row r="79" spans="2:5">
      <c r="C79" s="284" t="s">
        <v>1392</v>
      </c>
      <c r="D79" s="311" t="s">
        <v>1649</v>
      </c>
      <c r="E79" s="311">
        <f t="shared" si="1"/>
        <v>2</v>
      </c>
    </row>
    <row r="80" spans="2:5">
      <c r="D80" s="311"/>
      <c r="E80" s="311"/>
    </row>
    <row r="81" spans="2:5">
      <c r="D81" s="311"/>
      <c r="E81" s="311"/>
    </row>
    <row r="82" spans="2:5">
      <c r="B82" s="369" t="s">
        <v>1429</v>
      </c>
      <c r="C82" s="370"/>
      <c r="D82" s="371" t="s">
        <v>1673</v>
      </c>
      <c r="E82" s="372">
        <f>AVERAGE(E9:E79)</f>
        <v>4.4912280701754383</v>
      </c>
    </row>
    <row r="84" spans="2:5" ht="13.15" thickBot="1">
      <c r="B84" s="373" t="s">
        <v>1370</v>
      </c>
      <c r="C84" s="374" t="s">
        <v>1396</v>
      </c>
      <c r="D84" s="375" t="s">
        <v>1648</v>
      </c>
      <c r="E84" s="376">
        <f>IFERROR(INDEX($I$8:$I$16,MATCH(D84,$H$8:$H$16,0)),"")</f>
        <v>6</v>
      </c>
    </row>
    <row r="87" spans="2:5">
      <c r="B87" s="377" t="s">
        <v>1655</v>
      </c>
    </row>
    <row r="88" spans="2:5">
      <c r="B88" s="378" t="s">
        <v>1667</v>
      </c>
    </row>
    <row r="89" spans="2:5">
      <c r="B89" s="305" t="s">
        <v>1656</v>
      </c>
    </row>
    <row r="90" spans="2:5">
      <c r="B90" s="356"/>
    </row>
    <row r="91" spans="2:5">
      <c r="B91" s="356"/>
    </row>
  </sheetData>
  <mergeCells count="4">
    <mergeCell ref="B2:E2"/>
    <mergeCell ref="B3:E3"/>
    <mergeCell ref="D6:E6"/>
    <mergeCell ref="H6:I6"/>
  </mergeCells>
  <printOptions horizontalCentered="1"/>
  <pageMargins left="0.7" right="0.7" top="0.75" bottom="0.75" header="0.3" footer="0.3"/>
  <pageSetup scale="54" orientation="portrait" useFirstPageNumber="1" r:id="rId1"/>
  <headerFooter>
    <oddHeader>&amp;LDRAFT- PRIVILEGED AND CONFIDENTIAL
PREPARED AT THE REQUEST OF COUNSEL&amp;RSchedule AEB-11
Page &amp;P of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2475-1BC1-41F2-B7FE-B9270D934399}">
  <sheetPr codeName="Sheet13"/>
  <dimension ref="B2:J91"/>
  <sheetViews>
    <sheetView zoomScale="90" zoomScaleNormal="90" zoomScaleSheetLayoutView="85" zoomScalePageLayoutView="80" workbookViewId="0">
      <selection activeCell="M50" sqref="M50"/>
    </sheetView>
  </sheetViews>
  <sheetFormatPr defaultColWidth="9.1328125" defaultRowHeight="12.75"/>
  <cols>
    <col min="1" max="1" width="3.3984375" style="284" customWidth="1"/>
    <col min="2" max="2" width="34" style="284" customWidth="1"/>
    <col min="3" max="3" width="17.265625" style="284" customWidth="1"/>
    <col min="4" max="4" width="22.1328125" style="284" customWidth="1"/>
    <col min="5" max="5" width="18.3984375" style="284" customWidth="1"/>
    <col min="6" max="7" width="9.1328125" style="284"/>
    <col min="8" max="8" width="20" style="284" bestFit="1" customWidth="1"/>
    <col min="9" max="16384" width="9.1328125" style="284"/>
  </cols>
  <sheetData>
    <row r="2" spans="2:9" ht="13.9">
      <c r="B2" s="521" t="s">
        <v>1666</v>
      </c>
      <c r="C2" s="521"/>
      <c r="D2" s="521"/>
      <c r="E2" s="521"/>
    </row>
    <row r="3" spans="2:9" ht="13.9">
      <c r="B3" s="521" t="s">
        <v>1657</v>
      </c>
      <c r="C3" s="525"/>
      <c r="D3" s="525"/>
      <c r="E3" s="525"/>
      <c r="F3" s="356"/>
      <c r="G3" s="356"/>
    </row>
    <row r="4" spans="2:9">
      <c r="G4" s="357"/>
    </row>
    <row r="5" spans="2:9" ht="13.15" thickBot="1">
      <c r="B5" s="356"/>
      <c r="C5" s="356"/>
      <c r="D5" s="358" t="s">
        <v>0</v>
      </c>
      <c r="E5" s="358" t="s">
        <v>1</v>
      </c>
    </row>
    <row r="6" spans="2:9">
      <c r="B6" s="359"/>
      <c r="C6" s="359"/>
      <c r="D6" s="523" t="s">
        <v>1658</v>
      </c>
      <c r="E6" s="523"/>
    </row>
    <row r="7" spans="2:9" ht="13.15">
      <c r="B7" s="360"/>
      <c r="C7" s="361"/>
      <c r="D7" s="362" t="s">
        <v>1358</v>
      </c>
      <c r="E7" s="363" t="s">
        <v>1640</v>
      </c>
      <c r="H7" s="527" t="s">
        <v>1639</v>
      </c>
      <c r="I7" s="527"/>
    </row>
    <row r="9" spans="2:9" ht="13.15">
      <c r="B9" s="365" t="s">
        <v>1022</v>
      </c>
      <c r="C9" s="366" t="s">
        <v>1386</v>
      </c>
      <c r="D9" s="294" t="s">
        <v>1669</v>
      </c>
      <c r="E9" s="311">
        <f>IFERROR(INDEX($I$10:$I$14,MATCH($D9,$H$10:$H$14,0)),"")</f>
        <v>2</v>
      </c>
      <c r="H9" s="379" t="s">
        <v>1641</v>
      </c>
      <c r="I9" s="380" t="s">
        <v>1642</v>
      </c>
    </row>
    <row r="10" spans="2:9">
      <c r="B10" s="365"/>
      <c r="C10" s="366"/>
      <c r="D10" s="311"/>
      <c r="E10" s="311" t="str">
        <f t="shared" ref="E10:E71" si="0">IFERROR(INDEX($I$10:$I$14,MATCH($D10,$H$10:$H$14,0)),"")</f>
        <v/>
      </c>
      <c r="H10" s="381" t="s">
        <v>1660</v>
      </c>
      <c r="I10" s="382">
        <v>1</v>
      </c>
    </row>
    <row r="11" spans="2:9">
      <c r="B11" s="272" t="s">
        <v>1024</v>
      </c>
      <c r="C11" s="110" t="s">
        <v>1389</v>
      </c>
      <c r="D11" s="367" t="s">
        <v>1670</v>
      </c>
      <c r="E11" s="311">
        <f t="shared" si="0"/>
        <v>1</v>
      </c>
      <c r="H11" s="381" t="s">
        <v>1659</v>
      </c>
      <c r="I11" s="382">
        <v>2</v>
      </c>
    </row>
    <row r="12" spans="2:9">
      <c r="B12" s="365"/>
      <c r="C12" s="110" t="s">
        <v>1392</v>
      </c>
      <c r="D12" s="294" t="s">
        <v>1670</v>
      </c>
      <c r="E12" s="311">
        <f t="shared" si="0"/>
        <v>1</v>
      </c>
      <c r="H12" s="381" t="s">
        <v>1661</v>
      </c>
      <c r="I12" s="382">
        <v>3</v>
      </c>
    </row>
    <row r="13" spans="2:9">
      <c r="B13" s="365"/>
      <c r="C13" s="366"/>
      <c r="D13" s="311"/>
      <c r="E13" s="311" t="str">
        <f t="shared" si="0"/>
        <v/>
      </c>
      <c r="H13" s="381" t="s">
        <v>1662</v>
      </c>
      <c r="I13" s="382">
        <v>4</v>
      </c>
    </row>
    <row r="14" spans="2:9">
      <c r="B14" s="23" t="s">
        <v>1025</v>
      </c>
      <c r="C14" s="366" t="s">
        <v>1393</v>
      </c>
      <c r="D14" s="294" t="s">
        <v>1664</v>
      </c>
      <c r="E14" s="311">
        <f t="shared" si="0"/>
        <v>3</v>
      </c>
      <c r="H14" s="383" t="s">
        <v>1663</v>
      </c>
      <c r="I14" s="384">
        <v>5</v>
      </c>
    </row>
    <row r="15" spans="2:9">
      <c r="B15" s="365"/>
      <c r="C15" s="366" t="s">
        <v>1396</v>
      </c>
      <c r="D15" s="294" t="s">
        <v>1664</v>
      </c>
      <c r="E15" s="311">
        <f t="shared" si="0"/>
        <v>3</v>
      </c>
    </row>
    <row r="16" spans="2:9">
      <c r="B16" s="365"/>
      <c r="C16" s="366"/>
      <c r="D16" s="311"/>
      <c r="E16" s="311" t="str">
        <f t="shared" si="0"/>
        <v/>
      </c>
    </row>
    <row r="17" spans="2:10">
      <c r="B17" s="366" t="s">
        <v>1026</v>
      </c>
      <c r="C17" s="366" t="s">
        <v>1397</v>
      </c>
      <c r="D17" s="294" t="s">
        <v>1669</v>
      </c>
      <c r="E17" s="311">
        <f t="shared" si="0"/>
        <v>2</v>
      </c>
    </row>
    <row r="18" spans="2:10">
      <c r="B18" s="365"/>
      <c r="C18" s="366" t="s">
        <v>1398</v>
      </c>
      <c r="D18" s="294" t="s">
        <v>1669</v>
      </c>
      <c r="E18" s="311">
        <f t="shared" si="0"/>
        <v>2</v>
      </c>
    </row>
    <row r="19" spans="2:10">
      <c r="B19" s="365"/>
      <c r="C19" s="366" t="s">
        <v>1399</v>
      </c>
      <c r="D19" s="294" t="s">
        <v>1670</v>
      </c>
      <c r="E19" s="311">
        <f t="shared" si="0"/>
        <v>1</v>
      </c>
    </row>
    <row r="20" spans="2:10">
      <c r="B20" s="366"/>
      <c r="C20" s="366" t="s">
        <v>1400</v>
      </c>
      <c r="D20" s="294" t="s">
        <v>1669</v>
      </c>
      <c r="E20" s="311">
        <f t="shared" si="0"/>
        <v>2</v>
      </c>
    </row>
    <row r="21" spans="2:10">
      <c r="B21" s="365"/>
      <c r="C21" s="366" t="s">
        <v>1401</v>
      </c>
      <c r="D21" s="294" t="s">
        <v>1670</v>
      </c>
      <c r="E21" s="311">
        <f t="shared" si="0"/>
        <v>1</v>
      </c>
    </row>
    <row r="22" spans="2:10">
      <c r="B22" s="365"/>
      <c r="C22" s="366" t="s">
        <v>1402</v>
      </c>
      <c r="D22" s="294" t="s">
        <v>1664</v>
      </c>
      <c r="E22" s="311">
        <f t="shared" si="0"/>
        <v>3</v>
      </c>
    </row>
    <row r="23" spans="2:10">
      <c r="B23" s="365"/>
      <c r="C23" s="366" t="s">
        <v>1404</v>
      </c>
      <c r="D23" s="294" t="s">
        <v>1671</v>
      </c>
      <c r="E23" s="311">
        <f t="shared" si="0"/>
        <v>4</v>
      </c>
    </row>
    <row r="24" spans="2:10">
      <c r="B24" s="365"/>
      <c r="C24" s="366" t="s">
        <v>1405</v>
      </c>
      <c r="D24" s="294" t="s">
        <v>1669</v>
      </c>
      <c r="E24" s="311">
        <f t="shared" si="0"/>
        <v>2</v>
      </c>
    </row>
    <row r="25" spans="2:10">
      <c r="B25" s="365"/>
      <c r="C25" s="366" t="s">
        <v>1406</v>
      </c>
      <c r="D25" s="294" t="s">
        <v>1664</v>
      </c>
      <c r="E25" s="311">
        <f t="shared" si="0"/>
        <v>3</v>
      </c>
    </row>
    <row r="26" spans="2:10">
      <c r="B26" s="365"/>
      <c r="C26" s="366" t="s">
        <v>1407</v>
      </c>
      <c r="D26" s="294" t="s">
        <v>1669</v>
      </c>
      <c r="E26" s="311">
        <f t="shared" si="0"/>
        <v>2</v>
      </c>
    </row>
    <row r="27" spans="2:10">
      <c r="C27" s="284" t="s">
        <v>1408</v>
      </c>
      <c r="D27" s="294" t="s">
        <v>1664</v>
      </c>
      <c r="E27" s="311">
        <f t="shared" si="0"/>
        <v>3</v>
      </c>
    </row>
    <row r="28" spans="2:10">
      <c r="C28" s="284" t="s">
        <v>1509</v>
      </c>
      <c r="D28" s="311"/>
      <c r="E28" s="311" t="str">
        <f t="shared" si="0"/>
        <v/>
      </c>
    </row>
    <row r="29" spans="2:10">
      <c r="B29" s="284" t="s">
        <v>1064</v>
      </c>
      <c r="C29" s="284" t="s">
        <v>1409</v>
      </c>
      <c r="D29" s="294" t="s">
        <v>1671</v>
      </c>
      <c r="E29" s="311">
        <f t="shared" si="0"/>
        <v>4</v>
      </c>
    </row>
    <row r="30" spans="2:10">
      <c r="C30" s="284" t="s">
        <v>1410</v>
      </c>
      <c r="D30" s="294" t="s">
        <v>1664</v>
      </c>
      <c r="E30" s="311">
        <f t="shared" si="0"/>
        <v>3</v>
      </c>
    </row>
    <row r="31" spans="2:10">
      <c r="C31" s="284" t="s">
        <v>1412</v>
      </c>
      <c r="D31" s="294" t="s">
        <v>1669</v>
      </c>
      <c r="E31" s="311">
        <f t="shared" si="0"/>
        <v>2</v>
      </c>
      <c r="J31" s="284" t="s">
        <v>1509</v>
      </c>
    </row>
    <row r="32" spans="2:10">
      <c r="C32" s="284" t="s">
        <v>1413</v>
      </c>
      <c r="D32" s="294" t="s">
        <v>1664</v>
      </c>
      <c r="E32" s="311">
        <f t="shared" si="0"/>
        <v>3</v>
      </c>
    </row>
    <row r="33" spans="2:5">
      <c r="D33" s="311"/>
      <c r="E33" s="311" t="str">
        <f t="shared" si="0"/>
        <v/>
      </c>
    </row>
    <row r="34" spans="2:5">
      <c r="B34" s="368" t="s">
        <v>1652</v>
      </c>
      <c r="C34" s="110" t="s">
        <v>1414</v>
      </c>
      <c r="D34" s="294" t="s">
        <v>1670</v>
      </c>
      <c r="E34" s="311">
        <f t="shared" si="0"/>
        <v>1</v>
      </c>
    </row>
    <row r="35" spans="2:5">
      <c r="C35" s="110" t="s">
        <v>1398</v>
      </c>
      <c r="D35" s="294" t="s">
        <v>1669</v>
      </c>
      <c r="E35" s="311">
        <f t="shared" si="0"/>
        <v>2</v>
      </c>
    </row>
    <row r="36" spans="2:5">
      <c r="C36" s="110" t="s">
        <v>1399</v>
      </c>
      <c r="D36" s="294" t="s">
        <v>1670</v>
      </c>
      <c r="E36" s="311">
        <f t="shared" si="0"/>
        <v>1</v>
      </c>
    </row>
    <row r="37" spans="2:5">
      <c r="C37" s="110" t="s">
        <v>1415</v>
      </c>
      <c r="D37" s="294" t="s">
        <v>1669</v>
      </c>
      <c r="E37" s="311">
        <f t="shared" si="0"/>
        <v>2</v>
      </c>
    </row>
    <row r="38" spans="2:5">
      <c r="C38" s="110" t="s">
        <v>1402</v>
      </c>
      <c r="D38" s="294" t="s">
        <v>1664</v>
      </c>
      <c r="E38" s="311">
        <f t="shared" si="0"/>
        <v>3</v>
      </c>
    </row>
    <row r="39" spans="2:5">
      <c r="C39" s="110" t="s">
        <v>1416</v>
      </c>
      <c r="D39" s="294" t="s">
        <v>1671</v>
      </c>
      <c r="E39" s="311">
        <f t="shared" si="0"/>
        <v>4</v>
      </c>
    </row>
    <row r="40" spans="2:5">
      <c r="C40" s="110" t="s">
        <v>1405</v>
      </c>
      <c r="D40" s="294" t="s">
        <v>1669</v>
      </c>
      <c r="E40" s="311">
        <f t="shared" si="0"/>
        <v>2</v>
      </c>
    </row>
    <row r="41" spans="2:5">
      <c r="D41" s="311"/>
      <c r="E41" s="311" t="str">
        <f t="shared" si="0"/>
        <v/>
      </c>
    </row>
    <row r="42" spans="2:5">
      <c r="B42" s="368" t="s">
        <v>1653</v>
      </c>
      <c r="C42" s="110" t="s">
        <v>1397</v>
      </c>
      <c r="D42" s="294" t="s">
        <v>1669</v>
      </c>
      <c r="E42" s="311">
        <f t="shared" si="0"/>
        <v>2</v>
      </c>
    </row>
    <row r="43" spans="2:5" ht="15" customHeight="1">
      <c r="B43" s="368"/>
      <c r="C43" s="110" t="s">
        <v>1417</v>
      </c>
      <c r="D43" s="294" t="s">
        <v>1664</v>
      </c>
      <c r="E43" s="311">
        <f t="shared" si="0"/>
        <v>3</v>
      </c>
    </row>
    <row r="44" spans="2:5">
      <c r="C44" s="110" t="s">
        <v>1400</v>
      </c>
      <c r="D44" s="294" t="s">
        <v>1669</v>
      </c>
      <c r="E44" s="311">
        <f t="shared" si="0"/>
        <v>2</v>
      </c>
    </row>
    <row r="45" spans="2:5">
      <c r="C45" s="110" t="s">
        <v>1418</v>
      </c>
      <c r="D45" s="294" t="s">
        <v>1671</v>
      </c>
      <c r="E45" s="311">
        <f t="shared" si="0"/>
        <v>4</v>
      </c>
    </row>
    <row r="46" spans="2:5">
      <c r="C46" s="110" t="s">
        <v>1406</v>
      </c>
      <c r="D46" s="294" t="s">
        <v>1664</v>
      </c>
      <c r="E46" s="311">
        <f t="shared" si="0"/>
        <v>3</v>
      </c>
    </row>
    <row r="47" spans="2:5">
      <c r="C47" s="284" t="s">
        <v>1509</v>
      </c>
      <c r="D47" s="311"/>
      <c r="E47" s="311" t="str">
        <f t="shared" si="0"/>
        <v/>
      </c>
    </row>
    <row r="48" spans="2:5">
      <c r="B48" s="368" t="s">
        <v>1066</v>
      </c>
      <c r="C48" s="110" t="s">
        <v>1410</v>
      </c>
      <c r="D48" s="294" t="s">
        <v>1664</v>
      </c>
      <c r="E48" s="311">
        <f t="shared" si="0"/>
        <v>3</v>
      </c>
    </row>
    <row r="49" spans="2:5">
      <c r="C49" s="110" t="s">
        <v>1412</v>
      </c>
      <c r="D49" s="294" t="s">
        <v>1669</v>
      </c>
      <c r="E49" s="311">
        <f t="shared" si="0"/>
        <v>2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1392</v>
      </c>
      <c r="D51" s="294" t="s">
        <v>1670</v>
      </c>
      <c r="E51" s="311">
        <f t="shared" si="0"/>
        <v>1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1414</v>
      </c>
      <c r="D53" s="294" t="s">
        <v>1670</v>
      </c>
      <c r="E53" s="311">
        <f t="shared" si="0"/>
        <v>1</v>
      </c>
    </row>
    <row r="54" spans="2:5">
      <c r="B54" s="272"/>
      <c r="C54" s="110" t="s">
        <v>1406</v>
      </c>
      <c r="D54" s="294" t="s">
        <v>1664</v>
      </c>
      <c r="E54" s="311">
        <f t="shared" si="0"/>
        <v>3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1419</v>
      </c>
      <c r="D56" s="294" t="s">
        <v>1671</v>
      </c>
      <c r="E56" s="311">
        <f t="shared" si="0"/>
        <v>4</v>
      </c>
    </row>
    <row r="57" spans="2:5">
      <c r="B57" s="284" t="s">
        <v>1654</v>
      </c>
      <c r="C57" s="284" t="s">
        <v>1420</v>
      </c>
      <c r="D57" s="294" t="s">
        <v>1664</v>
      </c>
      <c r="E57" s="311">
        <f t="shared" si="0"/>
        <v>3</v>
      </c>
    </row>
    <row r="58" spans="2:5">
      <c r="B58" s="284" t="s">
        <v>1654</v>
      </c>
      <c r="C58" s="284" t="s">
        <v>1421</v>
      </c>
      <c r="D58" s="294" t="s">
        <v>1664</v>
      </c>
      <c r="E58" s="311">
        <f t="shared" si="0"/>
        <v>3</v>
      </c>
    </row>
    <row r="59" spans="2:5">
      <c r="D59" s="311"/>
      <c r="E59" s="311" t="str">
        <f t="shared" si="0"/>
        <v/>
      </c>
    </row>
    <row r="60" spans="2:5">
      <c r="B60" s="284" t="s">
        <v>1029</v>
      </c>
      <c r="C60" s="284" t="s">
        <v>1386</v>
      </c>
      <c r="D60" s="294" t="s">
        <v>1669</v>
      </c>
      <c r="E60" s="311">
        <f t="shared" si="0"/>
        <v>2</v>
      </c>
    </row>
    <row r="61" spans="2:5">
      <c r="C61" s="284" t="s">
        <v>1422</v>
      </c>
      <c r="D61" s="294" t="s">
        <v>1669</v>
      </c>
      <c r="E61" s="311">
        <f t="shared" si="0"/>
        <v>2</v>
      </c>
    </row>
    <row r="62" spans="2:5">
      <c r="C62" s="284" t="s">
        <v>1421</v>
      </c>
      <c r="D62" s="294" t="s">
        <v>1664</v>
      </c>
      <c r="E62" s="311">
        <f t="shared" si="0"/>
        <v>3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1412</v>
      </c>
      <c r="D64" s="294" t="s">
        <v>1669</v>
      </c>
      <c r="E64" s="311">
        <f t="shared" si="0"/>
        <v>2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1423</v>
      </c>
      <c r="D66" s="294" t="s">
        <v>1670</v>
      </c>
      <c r="E66" s="311">
        <f t="shared" si="0"/>
        <v>1</v>
      </c>
    </row>
    <row r="67" spans="2:5">
      <c r="C67" s="284" t="s">
        <v>1424</v>
      </c>
      <c r="D67" s="294" t="s">
        <v>1669</v>
      </c>
      <c r="E67" s="311">
        <f t="shared" si="0"/>
        <v>2</v>
      </c>
    </row>
    <row r="68" spans="2:5">
      <c r="C68" s="284" t="s">
        <v>1393</v>
      </c>
      <c r="D68" s="294" t="s">
        <v>1664</v>
      </c>
      <c r="E68" s="311">
        <f t="shared" si="0"/>
        <v>3</v>
      </c>
    </row>
    <row r="69" spans="2:5">
      <c r="C69" s="284" t="s">
        <v>1418</v>
      </c>
      <c r="D69" s="294" t="s">
        <v>1671</v>
      </c>
      <c r="E69" s="311">
        <f t="shared" si="0"/>
        <v>4</v>
      </c>
    </row>
    <row r="70" spans="2:5">
      <c r="C70" s="284" t="s">
        <v>1405</v>
      </c>
      <c r="D70" s="294" t="s">
        <v>1669</v>
      </c>
      <c r="E70" s="311">
        <f t="shared" si="0"/>
        <v>2</v>
      </c>
    </row>
    <row r="71" spans="2:5">
      <c r="C71" s="284" t="s">
        <v>1407</v>
      </c>
      <c r="D71" s="294" t="s">
        <v>1669</v>
      </c>
      <c r="E71" s="311">
        <f t="shared" si="0"/>
        <v>2</v>
      </c>
    </row>
    <row r="72" spans="2:5">
      <c r="D72" s="311"/>
      <c r="E72" s="311" t="str">
        <f t="shared" ref="E72:E79" si="1">IFERROR(INDEX($I$10:$I$14,MATCH($D72,$H$10:$H$14,0)),"")</f>
        <v/>
      </c>
    </row>
    <row r="73" spans="2:5">
      <c r="B73" s="284" t="s">
        <v>1032</v>
      </c>
      <c r="C73" s="284" t="s">
        <v>1425</v>
      </c>
      <c r="D73" s="294" t="s">
        <v>1664</v>
      </c>
      <c r="E73" s="311">
        <f t="shared" si="1"/>
        <v>3</v>
      </c>
    </row>
    <row r="74" spans="2:5">
      <c r="C74" s="284" t="s">
        <v>1386</v>
      </c>
      <c r="D74" s="294" t="s">
        <v>1669</v>
      </c>
      <c r="E74" s="311">
        <f t="shared" si="1"/>
        <v>2</v>
      </c>
    </row>
    <row r="75" spans="2:5">
      <c r="C75" s="284" t="s">
        <v>1422</v>
      </c>
      <c r="D75" s="294" t="s">
        <v>1669</v>
      </c>
      <c r="E75" s="311">
        <f t="shared" si="1"/>
        <v>2</v>
      </c>
    </row>
    <row r="76" spans="2:5">
      <c r="C76" s="284" t="s">
        <v>1426</v>
      </c>
      <c r="D76" s="294" t="s">
        <v>1672</v>
      </c>
      <c r="E76" s="311">
        <f t="shared" si="1"/>
        <v>5</v>
      </c>
    </row>
    <row r="77" spans="2:5">
      <c r="C77" s="284" t="s">
        <v>1421</v>
      </c>
      <c r="D77" s="294" t="s">
        <v>1664</v>
      </c>
      <c r="E77" s="311">
        <f t="shared" si="1"/>
        <v>3</v>
      </c>
    </row>
    <row r="78" spans="2:5">
      <c r="C78" s="284" t="s">
        <v>1406</v>
      </c>
      <c r="D78" s="294" t="s">
        <v>1664</v>
      </c>
      <c r="E78" s="311">
        <f t="shared" si="1"/>
        <v>3</v>
      </c>
    </row>
    <row r="79" spans="2:5">
      <c r="C79" s="284" t="s">
        <v>1392</v>
      </c>
      <c r="D79" s="294" t="s">
        <v>1670</v>
      </c>
      <c r="E79" s="311">
        <f t="shared" si="1"/>
        <v>1</v>
      </c>
    </row>
    <row r="80" spans="2:5">
      <c r="D80" s="311"/>
      <c r="E80" s="311"/>
    </row>
    <row r="81" spans="2:5">
      <c r="D81" s="311"/>
      <c r="E81" s="311"/>
    </row>
    <row r="82" spans="2:5" ht="25.5">
      <c r="B82" s="369" t="s">
        <v>1429</v>
      </c>
      <c r="C82" s="370"/>
      <c r="D82" s="371" t="s">
        <v>1674</v>
      </c>
      <c r="E82" s="372">
        <f>AVERAGE(E9:E79)</f>
        <v>2.4210526315789473</v>
      </c>
    </row>
    <row r="84" spans="2:5" ht="13.15" thickBot="1">
      <c r="B84" s="373" t="s">
        <v>1370</v>
      </c>
      <c r="C84" s="374" t="s">
        <v>1396</v>
      </c>
      <c r="D84" s="375" t="s">
        <v>1664</v>
      </c>
      <c r="E84" s="376">
        <f>IFERROR(INDEX($I$10:$I$14,MATCH($D84,$H$10:$H$14,0)),"")</f>
        <v>3</v>
      </c>
    </row>
    <row r="85" spans="2:5" ht="26.25" customHeight="1"/>
    <row r="87" spans="2:5">
      <c r="B87" s="377" t="s">
        <v>1655</v>
      </c>
    </row>
    <row r="88" spans="2:5">
      <c r="B88" s="526" t="s">
        <v>1668</v>
      </c>
      <c r="C88" s="526"/>
      <c r="D88" s="526"/>
      <c r="E88" s="526"/>
    </row>
    <row r="89" spans="2:5">
      <c r="B89" s="126" t="s">
        <v>1665</v>
      </c>
      <c r="C89" s="126"/>
      <c r="D89" s="126"/>
      <c r="E89" s="126"/>
    </row>
    <row r="90" spans="2:5">
      <c r="B90" s="356"/>
    </row>
    <row r="91" spans="2:5">
      <c r="B91" s="356"/>
    </row>
  </sheetData>
  <mergeCells count="5">
    <mergeCell ref="B2:E2"/>
    <mergeCell ref="B3:E3"/>
    <mergeCell ref="D6:E6"/>
    <mergeCell ref="B88:E88"/>
    <mergeCell ref="H7:I7"/>
  </mergeCells>
  <printOptions horizontalCentered="1"/>
  <pageMargins left="0.7" right="0.7" top="0.75" bottom="0.75" header="0.3" footer="0.3"/>
  <pageSetup scale="55" orientation="portrait" useFirstPageNumber="1" r:id="rId1"/>
  <headerFooter>
    <oddHeader>&amp;LDRAFT- PRIVILEGED AND CONFIDENTIAL
PREPARED AT THE REQUEST OF COUNSEL&amp;RSchedule AEB-12
Page &amp;P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0F39-7A15-4E03-BF4D-8DC2D5805BBF}">
  <sheetPr transitionEvaluation="1">
    <pageSetUpPr fitToPage="1"/>
  </sheetPr>
  <dimension ref="A1:K72"/>
  <sheetViews>
    <sheetView showGridLines="0" workbookViewId="0">
      <selection activeCell="F38" sqref="F38"/>
    </sheetView>
  </sheetViews>
  <sheetFormatPr defaultColWidth="16.3984375" defaultRowHeight="12.75"/>
  <cols>
    <col min="1" max="1" width="1.265625" style="395" customWidth="1"/>
    <col min="2" max="2" width="29.265625" style="395" customWidth="1"/>
    <col min="3" max="3" width="7.1328125" style="395" customWidth="1"/>
    <col min="4" max="4" width="18.1328125" style="395" bestFit="1" customWidth="1"/>
    <col min="5" max="5" width="14.3984375" style="395" customWidth="1"/>
    <col min="6" max="6" width="3.1328125" style="395" customWidth="1"/>
    <col min="7" max="7" width="13" style="395" customWidth="1"/>
    <col min="8" max="8" width="3" style="395" customWidth="1"/>
    <col min="9" max="9" width="13.86328125" style="395" customWidth="1"/>
    <col min="10" max="16384" width="16.3984375" style="395"/>
  </cols>
  <sheetData>
    <row r="1" spans="1:9">
      <c r="A1" s="397" t="s">
        <v>1698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1699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1712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1701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1702</v>
      </c>
      <c r="I9" s="400" t="s">
        <v>1703</v>
      </c>
    </row>
    <row r="10" spans="1:9">
      <c r="A10" s="395" t="s">
        <v>1704</v>
      </c>
      <c r="D10" s="401" t="s">
        <v>1705</v>
      </c>
      <c r="E10" s="402" t="s">
        <v>1706</v>
      </c>
      <c r="F10" s="402"/>
      <c r="G10" s="403" t="s">
        <v>1707</v>
      </c>
      <c r="H10" s="403"/>
      <c r="I10" s="401" t="s">
        <v>1708</v>
      </c>
    </row>
    <row r="11" spans="1:9">
      <c r="A11" s="395" t="s">
        <v>1709</v>
      </c>
      <c r="D11" s="404">
        <f>'AEB-13 Cost of Debt'!U34</f>
        <v>2949380000</v>
      </c>
      <c r="E11" s="405">
        <f>(D11/$D$15)</f>
        <v>0.48807043933829275</v>
      </c>
      <c r="F11" s="405"/>
      <c r="G11" s="405">
        <f>'AEB-13 Cost of Debt'!W34/'AEB-13 Cost of Debt'!U34</f>
        <v>3.9198994742839506E-2</v>
      </c>
      <c r="H11" s="405"/>
      <c r="I11" s="406">
        <f>ROUND((E11*G11),6)</f>
        <v>1.9132E-2</v>
      </c>
    </row>
    <row r="12" spans="1:9">
      <c r="I12" s="406"/>
    </row>
    <row r="13" spans="1:9">
      <c r="A13" s="395" t="s">
        <v>1710</v>
      </c>
      <c r="D13" s="413">
        <v>3093559220</v>
      </c>
      <c r="E13" s="414">
        <f>(D13/$D$15)</f>
        <v>0.51192956066170725</v>
      </c>
      <c r="F13" s="414"/>
      <c r="G13" s="414">
        <v>0.1</v>
      </c>
      <c r="H13" s="414"/>
      <c r="I13" s="415">
        <f>ROUND((E13*G13),6)</f>
        <v>5.1193000000000002E-2</v>
      </c>
    </row>
    <row r="14" spans="1:9">
      <c r="D14" s="407"/>
      <c r="E14" s="405"/>
      <c r="F14" s="405"/>
      <c r="G14" s="408"/>
      <c r="H14" s="408"/>
      <c r="I14" s="406"/>
    </row>
    <row r="15" spans="1:9" ht="13.15" thickBot="1">
      <c r="D15" s="409">
        <f>D11+D13</f>
        <v>6042939220</v>
      </c>
      <c r="E15" s="410">
        <f>E11+E13</f>
        <v>1</v>
      </c>
      <c r="F15" s="405"/>
      <c r="G15" s="405"/>
      <c r="H15" s="411"/>
      <c r="I15" s="412">
        <f>I11+I13</f>
        <v>7.0324999999999999E-2</v>
      </c>
    </row>
    <row r="16" spans="1:9" ht="13.1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1711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C8D0-F8D4-4680-A25F-3DE3C9AA0028}">
  <sheetPr transitionEvaluation="1">
    <pageSetUpPr fitToPage="1"/>
  </sheetPr>
  <dimension ref="A1:K72"/>
  <sheetViews>
    <sheetView showGridLines="0" tabSelected="1" zoomScaleNormal="100" workbookViewId="0">
      <selection activeCell="J27" sqref="J27"/>
    </sheetView>
  </sheetViews>
  <sheetFormatPr defaultColWidth="16.3984375" defaultRowHeight="12.75"/>
  <cols>
    <col min="1" max="1" width="1.265625" style="395" customWidth="1"/>
    <col min="2" max="2" width="29.265625" style="395" customWidth="1"/>
    <col min="3" max="3" width="7.1328125" style="395" customWidth="1"/>
    <col min="4" max="4" width="18.1328125" style="395" bestFit="1" customWidth="1"/>
    <col min="5" max="5" width="14.3984375" style="395" customWidth="1"/>
    <col min="6" max="6" width="3.1328125" style="395" customWidth="1"/>
    <col min="7" max="7" width="13" style="395" customWidth="1"/>
    <col min="8" max="8" width="3" style="395" customWidth="1"/>
    <col min="9" max="9" width="13.86328125" style="395" customWidth="1"/>
    <col min="10" max="16384" width="16.3984375" style="395"/>
  </cols>
  <sheetData>
    <row r="1" spans="1:9">
      <c r="A1" s="397" t="s">
        <v>1698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1699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1700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1701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1702</v>
      </c>
      <c r="I9" s="400" t="s">
        <v>1703</v>
      </c>
    </row>
    <row r="10" spans="1:9">
      <c r="A10" s="395" t="s">
        <v>1704</v>
      </c>
      <c r="D10" s="401" t="s">
        <v>1705</v>
      </c>
      <c r="E10" s="402" t="s">
        <v>1706</v>
      </c>
      <c r="F10" s="402"/>
      <c r="G10" s="403" t="s">
        <v>1707</v>
      </c>
      <c r="H10" s="403"/>
      <c r="I10" s="401" t="s">
        <v>1708</v>
      </c>
    </row>
    <row r="11" spans="1:9">
      <c r="A11" s="395" t="s">
        <v>1709</v>
      </c>
      <c r="D11" s="404">
        <v>2949380000</v>
      </c>
      <c r="E11" s="405">
        <f>(D11/$D$15)</f>
        <v>0.49471102532005679</v>
      </c>
      <c r="F11" s="405"/>
      <c r="G11" s="405">
        <v>3.9198994742839506E-2</v>
      </c>
      <c r="H11" s="405"/>
      <c r="I11" s="406">
        <f>ROUND((E11*G11),6)</f>
        <v>1.9392E-2</v>
      </c>
    </row>
    <row r="12" spans="1:9">
      <c r="I12" s="406"/>
    </row>
    <row r="13" spans="1:9">
      <c r="A13" s="395" t="s">
        <v>1710</v>
      </c>
      <c r="D13" s="413">
        <v>3012443871</v>
      </c>
      <c r="E13" s="405">
        <f>(D13/$D$15)</f>
        <v>0.50528897467994316</v>
      </c>
      <c r="F13" s="405"/>
      <c r="G13" s="414">
        <v>9.4399999999999998E-2</v>
      </c>
      <c r="H13" s="405"/>
      <c r="I13" s="406">
        <f>ROUND((E13*G13),6)</f>
        <v>4.7698999999999998E-2</v>
      </c>
    </row>
    <row r="14" spans="1:9">
      <c r="D14" s="407"/>
      <c r="E14" s="405"/>
      <c r="F14" s="405"/>
      <c r="G14" s="408"/>
      <c r="H14" s="408"/>
      <c r="I14" s="406"/>
    </row>
    <row r="15" spans="1:9" ht="13.15" thickBot="1">
      <c r="D15" s="409">
        <f>D11+D13</f>
        <v>5961823871</v>
      </c>
      <c r="E15" s="410">
        <f>E11+E13</f>
        <v>1</v>
      </c>
      <c r="F15" s="405"/>
      <c r="G15" s="405"/>
      <c r="H15" s="411"/>
      <c r="I15" s="412">
        <f>I11+I13</f>
        <v>6.7090999999999998E-2</v>
      </c>
    </row>
    <row r="16" spans="1:9" ht="13.1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1711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firstPageNumber="2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B76C-65FB-4154-B8F2-710D57617BFF}">
  <sheetPr>
    <pageSetUpPr fitToPage="1"/>
  </sheetPr>
  <dimension ref="A1:AA45"/>
  <sheetViews>
    <sheetView showGridLines="0" zoomScale="80" zoomScaleNormal="80" workbookViewId="0">
      <selection activeCell="L36" sqref="L36"/>
    </sheetView>
  </sheetViews>
  <sheetFormatPr defaultColWidth="12.59765625" defaultRowHeight="12.75"/>
  <cols>
    <col min="1" max="1" width="8.265625" style="396" bestFit="1" customWidth="1"/>
    <col min="2" max="2" width="2.265625" style="396" customWidth="1"/>
    <col min="3" max="3" width="63.1328125" style="396" customWidth="1"/>
    <col min="4" max="4" width="9.265625" style="396" customWidth="1"/>
    <col min="5" max="5" width="20.1328125" style="396" bestFit="1" customWidth="1"/>
    <col min="6" max="6" width="6.59765625" style="396" customWidth="1"/>
    <col min="7" max="7" width="20" style="396" customWidth="1"/>
    <col min="8" max="8" width="6.59765625" style="396" customWidth="1"/>
    <col min="9" max="9" width="19" style="396" customWidth="1"/>
    <col min="10" max="10" width="6.59765625" style="396" customWidth="1"/>
    <col min="11" max="11" width="18.73046875" style="396" customWidth="1"/>
    <col min="12" max="12" width="9" style="396" bestFit="1" customWidth="1"/>
    <col min="13" max="13" width="11.86328125" style="396" customWidth="1"/>
    <col min="14" max="14" width="6.59765625" style="396" customWidth="1"/>
    <col min="15" max="15" width="11.86328125" style="396" customWidth="1"/>
    <col min="16" max="16" width="7.73046875" style="396" bestFit="1" customWidth="1"/>
    <col min="17" max="17" width="20.265625" style="396" bestFit="1" customWidth="1"/>
    <col min="18" max="18" width="11.265625" style="396" customWidth="1"/>
    <col min="19" max="19" width="19.86328125" style="396" customWidth="1"/>
    <col min="20" max="20" width="6.59765625" style="396" customWidth="1"/>
    <col min="21" max="21" width="23.59765625" style="396" bestFit="1" customWidth="1"/>
    <col min="22" max="22" width="6.59765625" style="396" customWidth="1"/>
    <col min="23" max="23" width="22.73046875" style="396" customWidth="1"/>
    <col min="24" max="24" width="2.265625" style="396" customWidth="1"/>
    <col min="25" max="25" width="6.1328125" style="396" customWidth="1"/>
    <col min="26" max="255" width="12.59765625" style="396"/>
    <col min="256" max="256" width="8.265625" style="396" bestFit="1" customWidth="1"/>
    <col min="257" max="257" width="2.265625" style="396" customWidth="1"/>
    <col min="258" max="258" width="41.3984375" style="396" customWidth="1"/>
    <col min="259" max="259" width="9.265625" style="396" customWidth="1"/>
    <col min="260" max="260" width="20" style="396" customWidth="1"/>
    <col min="261" max="261" width="2.265625" style="396" customWidth="1"/>
    <col min="262" max="262" width="23.59765625" style="396" customWidth="1"/>
    <col min="263" max="263" width="14.265625" style="396" customWidth="1"/>
    <col min="264" max="264" width="11.86328125" style="396" customWidth="1"/>
    <col min="265" max="265" width="17.3984375" style="396" customWidth="1"/>
    <col min="266" max="266" width="20.265625" style="396" bestFit="1" customWidth="1"/>
    <col min="267" max="267" width="19.86328125" style="396" customWidth="1"/>
    <col min="268" max="268" width="10.3984375" style="396" bestFit="1" customWidth="1"/>
    <col min="269" max="269" width="13.1328125" style="396" bestFit="1" customWidth="1"/>
    <col min="270" max="270" width="2.265625" style="396" customWidth="1"/>
    <col min="271" max="271" width="22.73046875" style="396" customWidth="1"/>
    <col min="272" max="272" width="2.265625" style="396" customWidth="1"/>
    <col min="273" max="273" width="25.86328125" style="396" bestFit="1" customWidth="1"/>
    <col min="274" max="274" width="2.265625" style="396" customWidth="1"/>
    <col min="275" max="275" width="13.86328125" style="396" customWidth="1"/>
    <col min="276" max="276" width="2.265625" style="396" customWidth="1"/>
    <col min="277" max="277" width="16.3984375" style="396" bestFit="1" customWidth="1"/>
    <col min="278" max="278" width="2.265625" style="396" customWidth="1"/>
    <col min="279" max="279" width="19" style="396" bestFit="1" customWidth="1"/>
    <col min="280" max="280" width="22.86328125" style="396" customWidth="1"/>
    <col min="281" max="281" width="6.1328125" style="396" customWidth="1"/>
    <col min="282" max="511" width="12.59765625" style="396"/>
    <col min="512" max="512" width="8.265625" style="396" bestFit="1" customWidth="1"/>
    <col min="513" max="513" width="2.265625" style="396" customWidth="1"/>
    <col min="514" max="514" width="41.3984375" style="396" customWidth="1"/>
    <col min="515" max="515" width="9.265625" style="396" customWidth="1"/>
    <col min="516" max="516" width="20" style="396" customWidth="1"/>
    <col min="517" max="517" width="2.265625" style="396" customWidth="1"/>
    <col min="518" max="518" width="23.59765625" style="396" customWidth="1"/>
    <col min="519" max="519" width="14.265625" style="396" customWidth="1"/>
    <col min="520" max="520" width="11.86328125" style="396" customWidth="1"/>
    <col min="521" max="521" width="17.3984375" style="396" customWidth="1"/>
    <col min="522" max="522" width="20.265625" style="396" bestFit="1" customWidth="1"/>
    <col min="523" max="523" width="19.86328125" style="396" customWidth="1"/>
    <col min="524" max="524" width="10.3984375" style="396" bestFit="1" customWidth="1"/>
    <col min="525" max="525" width="13.1328125" style="396" bestFit="1" customWidth="1"/>
    <col min="526" max="526" width="2.265625" style="396" customWidth="1"/>
    <col min="527" max="527" width="22.73046875" style="396" customWidth="1"/>
    <col min="528" max="528" width="2.265625" style="396" customWidth="1"/>
    <col min="529" max="529" width="25.86328125" style="396" bestFit="1" customWidth="1"/>
    <col min="530" max="530" width="2.265625" style="396" customWidth="1"/>
    <col min="531" max="531" width="13.86328125" style="396" customWidth="1"/>
    <col min="532" max="532" width="2.265625" style="396" customWidth="1"/>
    <col min="533" max="533" width="16.3984375" style="396" bestFit="1" customWidth="1"/>
    <col min="534" max="534" width="2.265625" style="396" customWidth="1"/>
    <col min="535" max="535" width="19" style="396" bestFit="1" customWidth="1"/>
    <col min="536" max="536" width="22.86328125" style="396" customWidth="1"/>
    <col min="537" max="537" width="6.1328125" style="396" customWidth="1"/>
    <col min="538" max="767" width="12.59765625" style="396"/>
    <col min="768" max="768" width="8.265625" style="396" bestFit="1" customWidth="1"/>
    <col min="769" max="769" width="2.265625" style="396" customWidth="1"/>
    <col min="770" max="770" width="41.3984375" style="396" customWidth="1"/>
    <col min="771" max="771" width="9.265625" style="396" customWidth="1"/>
    <col min="772" max="772" width="20" style="396" customWidth="1"/>
    <col min="773" max="773" width="2.265625" style="396" customWidth="1"/>
    <col min="774" max="774" width="23.59765625" style="396" customWidth="1"/>
    <col min="775" max="775" width="14.265625" style="396" customWidth="1"/>
    <col min="776" max="776" width="11.86328125" style="396" customWidth="1"/>
    <col min="777" max="777" width="17.3984375" style="396" customWidth="1"/>
    <col min="778" max="778" width="20.265625" style="396" bestFit="1" customWidth="1"/>
    <col min="779" max="779" width="19.86328125" style="396" customWidth="1"/>
    <col min="780" max="780" width="10.3984375" style="396" bestFit="1" customWidth="1"/>
    <col min="781" max="781" width="13.1328125" style="396" bestFit="1" customWidth="1"/>
    <col min="782" max="782" width="2.265625" style="396" customWidth="1"/>
    <col min="783" max="783" width="22.73046875" style="396" customWidth="1"/>
    <col min="784" max="784" width="2.265625" style="396" customWidth="1"/>
    <col min="785" max="785" width="25.86328125" style="396" bestFit="1" customWidth="1"/>
    <col min="786" max="786" width="2.265625" style="396" customWidth="1"/>
    <col min="787" max="787" width="13.86328125" style="396" customWidth="1"/>
    <col min="788" max="788" width="2.265625" style="396" customWidth="1"/>
    <col min="789" max="789" width="16.3984375" style="396" bestFit="1" customWidth="1"/>
    <col min="790" max="790" width="2.265625" style="396" customWidth="1"/>
    <col min="791" max="791" width="19" style="396" bestFit="1" customWidth="1"/>
    <col min="792" max="792" width="22.86328125" style="396" customWidth="1"/>
    <col min="793" max="793" width="6.1328125" style="396" customWidth="1"/>
    <col min="794" max="1023" width="12.59765625" style="396"/>
    <col min="1024" max="1024" width="8.265625" style="396" bestFit="1" customWidth="1"/>
    <col min="1025" max="1025" width="2.265625" style="396" customWidth="1"/>
    <col min="1026" max="1026" width="41.3984375" style="396" customWidth="1"/>
    <col min="1027" max="1027" width="9.265625" style="396" customWidth="1"/>
    <col min="1028" max="1028" width="20" style="396" customWidth="1"/>
    <col min="1029" max="1029" width="2.265625" style="396" customWidth="1"/>
    <col min="1030" max="1030" width="23.59765625" style="396" customWidth="1"/>
    <col min="1031" max="1031" width="14.265625" style="396" customWidth="1"/>
    <col min="1032" max="1032" width="11.86328125" style="396" customWidth="1"/>
    <col min="1033" max="1033" width="17.3984375" style="396" customWidth="1"/>
    <col min="1034" max="1034" width="20.265625" style="396" bestFit="1" customWidth="1"/>
    <col min="1035" max="1035" width="19.86328125" style="396" customWidth="1"/>
    <col min="1036" max="1036" width="10.3984375" style="396" bestFit="1" customWidth="1"/>
    <col min="1037" max="1037" width="13.1328125" style="396" bestFit="1" customWidth="1"/>
    <col min="1038" max="1038" width="2.265625" style="396" customWidth="1"/>
    <col min="1039" max="1039" width="22.73046875" style="396" customWidth="1"/>
    <col min="1040" max="1040" width="2.265625" style="396" customWidth="1"/>
    <col min="1041" max="1041" width="25.86328125" style="396" bestFit="1" customWidth="1"/>
    <col min="1042" max="1042" width="2.265625" style="396" customWidth="1"/>
    <col min="1043" max="1043" width="13.86328125" style="396" customWidth="1"/>
    <col min="1044" max="1044" width="2.265625" style="396" customWidth="1"/>
    <col min="1045" max="1045" width="16.3984375" style="396" bestFit="1" customWidth="1"/>
    <col min="1046" max="1046" width="2.265625" style="396" customWidth="1"/>
    <col min="1047" max="1047" width="19" style="396" bestFit="1" customWidth="1"/>
    <col min="1048" max="1048" width="22.86328125" style="396" customWidth="1"/>
    <col min="1049" max="1049" width="6.1328125" style="396" customWidth="1"/>
    <col min="1050" max="1279" width="12.59765625" style="396"/>
    <col min="1280" max="1280" width="8.265625" style="396" bestFit="1" customWidth="1"/>
    <col min="1281" max="1281" width="2.265625" style="396" customWidth="1"/>
    <col min="1282" max="1282" width="41.3984375" style="396" customWidth="1"/>
    <col min="1283" max="1283" width="9.265625" style="396" customWidth="1"/>
    <col min="1284" max="1284" width="20" style="396" customWidth="1"/>
    <col min="1285" max="1285" width="2.265625" style="396" customWidth="1"/>
    <col min="1286" max="1286" width="23.59765625" style="396" customWidth="1"/>
    <col min="1287" max="1287" width="14.265625" style="396" customWidth="1"/>
    <col min="1288" max="1288" width="11.86328125" style="396" customWidth="1"/>
    <col min="1289" max="1289" width="17.3984375" style="396" customWidth="1"/>
    <col min="1290" max="1290" width="20.265625" style="396" bestFit="1" customWidth="1"/>
    <col min="1291" max="1291" width="19.86328125" style="396" customWidth="1"/>
    <col min="1292" max="1292" width="10.3984375" style="396" bestFit="1" customWidth="1"/>
    <col min="1293" max="1293" width="13.1328125" style="396" bestFit="1" customWidth="1"/>
    <col min="1294" max="1294" width="2.265625" style="396" customWidth="1"/>
    <col min="1295" max="1295" width="22.73046875" style="396" customWidth="1"/>
    <col min="1296" max="1296" width="2.265625" style="396" customWidth="1"/>
    <col min="1297" max="1297" width="25.86328125" style="396" bestFit="1" customWidth="1"/>
    <col min="1298" max="1298" width="2.265625" style="396" customWidth="1"/>
    <col min="1299" max="1299" width="13.86328125" style="396" customWidth="1"/>
    <col min="1300" max="1300" width="2.265625" style="396" customWidth="1"/>
    <col min="1301" max="1301" width="16.3984375" style="396" bestFit="1" customWidth="1"/>
    <col min="1302" max="1302" width="2.265625" style="396" customWidth="1"/>
    <col min="1303" max="1303" width="19" style="396" bestFit="1" customWidth="1"/>
    <col min="1304" max="1304" width="22.86328125" style="396" customWidth="1"/>
    <col min="1305" max="1305" width="6.1328125" style="396" customWidth="1"/>
    <col min="1306" max="1535" width="12.59765625" style="396"/>
    <col min="1536" max="1536" width="8.265625" style="396" bestFit="1" customWidth="1"/>
    <col min="1537" max="1537" width="2.265625" style="396" customWidth="1"/>
    <col min="1538" max="1538" width="41.3984375" style="396" customWidth="1"/>
    <col min="1539" max="1539" width="9.265625" style="396" customWidth="1"/>
    <col min="1540" max="1540" width="20" style="396" customWidth="1"/>
    <col min="1541" max="1541" width="2.265625" style="396" customWidth="1"/>
    <col min="1542" max="1542" width="23.59765625" style="396" customWidth="1"/>
    <col min="1543" max="1543" width="14.265625" style="396" customWidth="1"/>
    <col min="1544" max="1544" width="11.86328125" style="396" customWidth="1"/>
    <col min="1545" max="1545" width="17.3984375" style="396" customWidth="1"/>
    <col min="1546" max="1546" width="20.265625" style="396" bestFit="1" customWidth="1"/>
    <col min="1547" max="1547" width="19.86328125" style="396" customWidth="1"/>
    <col min="1548" max="1548" width="10.3984375" style="396" bestFit="1" customWidth="1"/>
    <col min="1549" max="1549" width="13.1328125" style="396" bestFit="1" customWidth="1"/>
    <col min="1550" max="1550" width="2.265625" style="396" customWidth="1"/>
    <col min="1551" max="1551" width="22.73046875" style="396" customWidth="1"/>
    <col min="1552" max="1552" width="2.265625" style="396" customWidth="1"/>
    <col min="1553" max="1553" width="25.86328125" style="396" bestFit="1" customWidth="1"/>
    <col min="1554" max="1554" width="2.265625" style="396" customWidth="1"/>
    <col min="1555" max="1555" width="13.86328125" style="396" customWidth="1"/>
    <col min="1556" max="1556" width="2.265625" style="396" customWidth="1"/>
    <col min="1557" max="1557" width="16.3984375" style="396" bestFit="1" customWidth="1"/>
    <col min="1558" max="1558" width="2.265625" style="396" customWidth="1"/>
    <col min="1559" max="1559" width="19" style="396" bestFit="1" customWidth="1"/>
    <col min="1560" max="1560" width="22.86328125" style="396" customWidth="1"/>
    <col min="1561" max="1561" width="6.1328125" style="396" customWidth="1"/>
    <col min="1562" max="1791" width="12.59765625" style="396"/>
    <col min="1792" max="1792" width="8.265625" style="396" bestFit="1" customWidth="1"/>
    <col min="1793" max="1793" width="2.265625" style="396" customWidth="1"/>
    <col min="1794" max="1794" width="41.3984375" style="396" customWidth="1"/>
    <col min="1795" max="1795" width="9.265625" style="396" customWidth="1"/>
    <col min="1796" max="1796" width="20" style="396" customWidth="1"/>
    <col min="1797" max="1797" width="2.265625" style="396" customWidth="1"/>
    <col min="1798" max="1798" width="23.59765625" style="396" customWidth="1"/>
    <col min="1799" max="1799" width="14.265625" style="396" customWidth="1"/>
    <col min="1800" max="1800" width="11.86328125" style="396" customWidth="1"/>
    <col min="1801" max="1801" width="17.3984375" style="396" customWidth="1"/>
    <col min="1802" max="1802" width="20.265625" style="396" bestFit="1" customWidth="1"/>
    <col min="1803" max="1803" width="19.86328125" style="396" customWidth="1"/>
    <col min="1804" max="1804" width="10.3984375" style="396" bestFit="1" customWidth="1"/>
    <col min="1805" max="1805" width="13.1328125" style="396" bestFit="1" customWidth="1"/>
    <col min="1806" max="1806" width="2.265625" style="396" customWidth="1"/>
    <col min="1807" max="1807" width="22.73046875" style="396" customWidth="1"/>
    <col min="1808" max="1808" width="2.265625" style="396" customWidth="1"/>
    <col min="1809" max="1809" width="25.86328125" style="396" bestFit="1" customWidth="1"/>
    <col min="1810" max="1810" width="2.265625" style="396" customWidth="1"/>
    <col min="1811" max="1811" width="13.86328125" style="396" customWidth="1"/>
    <col min="1812" max="1812" width="2.265625" style="396" customWidth="1"/>
    <col min="1813" max="1813" width="16.3984375" style="396" bestFit="1" customWidth="1"/>
    <col min="1814" max="1814" width="2.265625" style="396" customWidth="1"/>
    <col min="1815" max="1815" width="19" style="396" bestFit="1" customWidth="1"/>
    <col min="1816" max="1816" width="22.86328125" style="396" customWidth="1"/>
    <col min="1817" max="1817" width="6.1328125" style="396" customWidth="1"/>
    <col min="1818" max="2047" width="12.59765625" style="396"/>
    <col min="2048" max="2048" width="8.265625" style="396" bestFit="1" customWidth="1"/>
    <col min="2049" max="2049" width="2.265625" style="396" customWidth="1"/>
    <col min="2050" max="2050" width="41.3984375" style="396" customWidth="1"/>
    <col min="2051" max="2051" width="9.265625" style="396" customWidth="1"/>
    <col min="2052" max="2052" width="20" style="396" customWidth="1"/>
    <col min="2053" max="2053" width="2.265625" style="396" customWidth="1"/>
    <col min="2054" max="2054" width="23.59765625" style="396" customWidth="1"/>
    <col min="2055" max="2055" width="14.265625" style="396" customWidth="1"/>
    <col min="2056" max="2056" width="11.86328125" style="396" customWidth="1"/>
    <col min="2057" max="2057" width="17.3984375" style="396" customWidth="1"/>
    <col min="2058" max="2058" width="20.265625" style="396" bestFit="1" customWidth="1"/>
    <col min="2059" max="2059" width="19.86328125" style="396" customWidth="1"/>
    <col min="2060" max="2060" width="10.3984375" style="396" bestFit="1" customWidth="1"/>
    <col min="2061" max="2061" width="13.1328125" style="396" bestFit="1" customWidth="1"/>
    <col min="2062" max="2062" width="2.265625" style="396" customWidth="1"/>
    <col min="2063" max="2063" width="22.73046875" style="396" customWidth="1"/>
    <col min="2064" max="2064" width="2.265625" style="396" customWidth="1"/>
    <col min="2065" max="2065" width="25.86328125" style="396" bestFit="1" customWidth="1"/>
    <col min="2066" max="2066" width="2.265625" style="396" customWidth="1"/>
    <col min="2067" max="2067" width="13.86328125" style="396" customWidth="1"/>
    <col min="2068" max="2068" width="2.265625" style="396" customWidth="1"/>
    <col min="2069" max="2069" width="16.3984375" style="396" bestFit="1" customWidth="1"/>
    <col min="2070" max="2070" width="2.265625" style="396" customWidth="1"/>
    <col min="2071" max="2071" width="19" style="396" bestFit="1" customWidth="1"/>
    <col min="2072" max="2072" width="22.86328125" style="396" customWidth="1"/>
    <col min="2073" max="2073" width="6.1328125" style="396" customWidth="1"/>
    <col min="2074" max="2303" width="12.59765625" style="396"/>
    <col min="2304" max="2304" width="8.265625" style="396" bestFit="1" customWidth="1"/>
    <col min="2305" max="2305" width="2.265625" style="396" customWidth="1"/>
    <col min="2306" max="2306" width="41.3984375" style="396" customWidth="1"/>
    <col min="2307" max="2307" width="9.265625" style="396" customWidth="1"/>
    <col min="2308" max="2308" width="20" style="396" customWidth="1"/>
    <col min="2309" max="2309" width="2.265625" style="396" customWidth="1"/>
    <col min="2310" max="2310" width="23.59765625" style="396" customWidth="1"/>
    <col min="2311" max="2311" width="14.265625" style="396" customWidth="1"/>
    <col min="2312" max="2312" width="11.86328125" style="396" customWidth="1"/>
    <col min="2313" max="2313" width="17.3984375" style="396" customWidth="1"/>
    <col min="2314" max="2314" width="20.265625" style="396" bestFit="1" customWidth="1"/>
    <col min="2315" max="2315" width="19.86328125" style="396" customWidth="1"/>
    <col min="2316" max="2316" width="10.3984375" style="396" bestFit="1" customWidth="1"/>
    <col min="2317" max="2317" width="13.1328125" style="396" bestFit="1" customWidth="1"/>
    <col min="2318" max="2318" width="2.265625" style="396" customWidth="1"/>
    <col min="2319" max="2319" width="22.73046875" style="396" customWidth="1"/>
    <col min="2320" max="2320" width="2.265625" style="396" customWidth="1"/>
    <col min="2321" max="2321" width="25.86328125" style="396" bestFit="1" customWidth="1"/>
    <col min="2322" max="2322" width="2.265625" style="396" customWidth="1"/>
    <col min="2323" max="2323" width="13.86328125" style="396" customWidth="1"/>
    <col min="2324" max="2324" width="2.265625" style="396" customWidth="1"/>
    <col min="2325" max="2325" width="16.3984375" style="396" bestFit="1" customWidth="1"/>
    <col min="2326" max="2326" width="2.265625" style="396" customWidth="1"/>
    <col min="2327" max="2327" width="19" style="396" bestFit="1" customWidth="1"/>
    <col min="2328" max="2328" width="22.86328125" style="396" customWidth="1"/>
    <col min="2329" max="2329" width="6.1328125" style="396" customWidth="1"/>
    <col min="2330" max="2559" width="12.59765625" style="396"/>
    <col min="2560" max="2560" width="8.265625" style="396" bestFit="1" customWidth="1"/>
    <col min="2561" max="2561" width="2.265625" style="396" customWidth="1"/>
    <col min="2562" max="2562" width="41.3984375" style="396" customWidth="1"/>
    <col min="2563" max="2563" width="9.265625" style="396" customWidth="1"/>
    <col min="2564" max="2564" width="20" style="396" customWidth="1"/>
    <col min="2565" max="2565" width="2.265625" style="396" customWidth="1"/>
    <col min="2566" max="2566" width="23.59765625" style="396" customWidth="1"/>
    <col min="2567" max="2567" width="14.265625" style="396" customWidth="1"/>
    <col min="2568" max="2568" width="11.86328125" style="396" customWidth="1"/>
    <col min="2569" max="2569" width="17.3984375" style="396" customWidth="1"/>
    <col min="2570" max="2570" width="20.265625" style="396" bestFit="1" customWidth="1"/>
    <col min="2571" max="2571" width="19.86328125" style="396" customWidth="1"/>
    <col min="2572" max="2572" width="10.3984375" style="396" bestFit="1" customWidth="1"/>
    <col min="2573" max="2573" width="13.1328125" style="396" bestFit="1" customWidth="1"/>
    <col min="2574" max="2574" width="2.265625" style="396" customWidth="1"/>
    <col min="2575" max="2575" width="22.73046875" style="396" customWidth="1"/>
    <col min="2576" max="2576" width="2.265625" style="396" customWidth="1"/>
    <col min="2577" max="2577" width="25.86328125" style="396" bestFit="1" customWidth="1"/>
    <col min="2578" max="2578" width="2.265625" style="396" customWidth="1"/>
    <col min="2579" max="2579" width="13.86328125" style="396" customWidth="1"/>
    <col min="2580" max="2580" width="2.265625" style="396" customWidth="1"/>
    <col min="2581" max="2581" width="16.3984375" style="396" bestFit="1" customWidth="1"/>
    <col min="2582" max="2582" width="2.265625" style="396" customWidth="1"/>
    <col min="2583" max="2583" width="19" style="396" bestFit="1" customWidth="1"/>
    <col min="2584" max="2584" width="22.86328125" style="396" customWidth="1"/>
    <col min="2585" max="2585" width="6.1328125" style="396" customWidth="1"/>
    <col min="2586" max="2815" width="12.59765625" style="396"/>
    <col min="2816" max="2816" width="8.265625" style="396" bestFit="1" customWidth="1"/>
    <col min="2817" max="2817" width="2.265625" style="396" customWidth="1"/>
    <col min="2818" max="2818" width="41.3984375" style="396" customWidth="1"/>
    <col min="2819" max="2819" width="9.265625" style="396" customWidth="1"/>
    <col min="2820" max="2820" width="20" style="396" customWidth="1"/>
    <col min="2821" max="2821" width="2.265625" style="396" customWidth="1"/>
    <col min="2822" max="2822" width="23.59765625" style="396" customWidth="1"/>
    <col min="2823" max="2823" width="14.265625" style="396" customWidth="1"/>
    <col min="2824" max="2824" width="11.86328125" style="396" customWidth="1"/>
    <col min="2825" max="2825" width="17.3984375" style="396" customWidth="1"/>
    <col min="2826" max="2826" width="20.265625" style="396" bestFit="1" customWidth="1"/>
    <col min="2827" max="2827" width="19.86328125" style="396" customWidth="1"/>
    <col min="2828" max="2828" width="10.3984375" style="396" bestFit="1" customWidth="1"/>
    <col min="2829" max="2829" width="13.1328125" style="396" bestFit="1" customWidth="1"/>
    <col min="2830" max="2830" width="2.265625" style="396" customWidth="1"/>
    <col min="2831" max="2831" width="22.73046875" style="396" customWidth="1"/>
    <col min="2832" max="2832" width="2.265625" style="396" customWidth="1"/>
    <col min="2833" max="2833" width="25.86328125" style="396" bestFit="1" customWidth="1"/>
    <col min="2834" max="2834" width="2.265625" style="396" customWidth="1"/>
    <col min="2835" max="2835" width="13.86328125" style="396" customWidth="1"/>
    <col min="2836" max="2836" width="2.265625" style="396" customWidth="1"/>
    <col min="2837" max="2837" width="16.3984375" style="396" bestFit="1" customWidth="1"/>
    <col min="2838" max="2838" width="2.265625" style="396" customWidth="1"/>
    <col min="2839" max="2839" width="19" style="396" bestFit="1" customWidth="1"/>
    <col min="2840" max="2840" width="22.86328125" style="396" customWidth="1"/>
    <col min="2841" max="2841" width="6.1328125" style="396" customWidth="1"/>
    <col min="2842" max="3071" width="12.59765625" style="396"/>
    <col min="3072" max="3072" width="8.265625" style="396" bestFit="1" customWidth="1"/>
    <col min="3073" max="3073" width="2.265625" style="396" customWidth="1"/>
    <col min="3074" max="3074" width="41.3984375" style="396" customWidth="1"/>
    <col min="3075" max="3075" width="9.265625" style="396" customWidth="1"/>
    <col min="3076" max="3076" width="20" style="396" customWidth="1"/>
    <col min="3077" max="3077" width="2.265625" style="396" customWidth="1"/>
    <col min="3078" max="3078" width="23.59765625" style="396" customWidth="1"/>
    <col min="3079" max="3079" width="14.265625" style="396" customWidth="1"/>
    <col min="3080" max="3080" width="11.86328125" style="396" customWidth="1"/>
    <col min="3081" max="3081" width="17.3984375" style="396" customWidth="1"/>
    <col min="3082" max="3082" width="20.265625" style="396" bestFit="1" customWidth="1"/>
    <col min="3083" max="3083" width="19.86328125" style="396" customWidth="1"/>
    <col min="3084" max="3084" width="10.3984375" style="396" bestFit="1" customWidth="1"/>
    <col min="3085" max="3085" width="13.1328125" style="396" bestFit="1" customWidth="1"/>
    <col min="3086" max="3086" width="2.265625" style="396" customWidth="1"/>
    <col min="3087" max="3087" width="22.73046875" style="396" customWidth="1"/>
    <col min="3088" max="3088" width="2.265625" style="396" customWidth="1"/>
    <col min="3089" max="3089" width="25.86328125" style="396" bestFit="1" customWidth="1"/>
    <col min="3090" max="3090" width="2.265625" style="396" customWidth="1"/>
    <col min="3091" max="3091" width="13.86328125" style="396" customWidth="1"/>
    <col min="3092" max="3092" width="2.265625" style="396" customWidth="1"/>
    <col min="3093" max="3093" width="16.3984375" style="396" bestFit="1" customWidth="1"/>
    <col min="3094" max="3094" width="2.265625" style="396" customWidth="1"/>
    <col min="3095" max="3095" width="19" style="396" bestFit="1" customWidth="1"/>
    <col min="3096" max="3096" width="22.86328125" style="396" customWidth="1"/>
    <col min="3097" max="3097" width="6.1328125" style="396" customWidth="1"/>
    <col min="3098" max="3327" width="12.59765625" style="396"/>
    <col min="3328" max="3328" width="8.265625" style="396" bestFit="1" customWidth="1"/>
    <col min="3329" max="3329" width="2.265625" style="396" customWidth="1"/>
    <col min="3330" max="3330" width="41.3984375" style="396" customWidth="1"/>
    <col min="3331" max="3331" width="9.265625" style="396" customWidth="1"/>
    <col min="3332" max="3332" width="20" style="396" customWidth="1"/>
    <col min="3333" max="3333" width="2.265625" style="396" customWidth="1"/>
    <col min="3334" max="3334" width="23.59765625" style="396" customWidth="1"/>
    <col min="3335" max="3335" width="14.265625" style="396" customWidth="1"/>
    <col min="3336" max="3336" width="11.86328125" style="396" customWidth="1"/>
    <col min="3337" max="3337" width="17.3984375" style="396" customWidth="1"/>
    <col min="3338" max="3338" width="20.265625" style="396" bestFit="1" customWidth="1"/>
    <col min="3339" max="3339" width="19.86328125" style="396" customWidth="1"/>
    <col min="3340" max="3340" width="10.3984375" style="396" bestFit="1" customWidth="1"/>
    <col min="3341" max="3341" width="13.1328125" style="396" bestFit="1" customWidth="1"/>
    <col min="3342" max="3342" width="2.265625" style="396" customWidth="1"/>
    <col min="3343" max="3343" width="22.73046875" style="396" customWidth="1"/>
    <col min="3344" max="3344" width="2.265625" style="396" customWidth="1"/>
    <col min="3345" max="3345" width="25.86328125" style="396" bestFit="1" customWidth="1"/>
    <col min="3346" max="3346" width="2.265625" style="396" customWidth="1"/>
    <col min="3347" max="3347" width="13.86328125" style="396" customWidth="1"/>
    <col min="3348" max="3348" width="2.265625" style="396" customWidth="1"/>
    <col min="3349" max="3349" width="16.3984375" style="396" bestFit="1" customWidth="1"/>
    <col min="3350" max="3350" width="2.265625" style="396" customWidth="1"/>
    <col min="3351" max="3351" width="19" style="396" bestFit="1" customWidth="1"/>
    <col min="3352" max="3352" width="22.86328125" style="396" customWidth="1"/>
    <col min="3353" max="3353" width="6.1328125" style="396" customWidth="1"/>
    <col min="3354" max="3583" width="12.59765625" style="396"/>
    <col min="3584" max="3584" width="8.265625" style="396" bestFit="1" customWidth="1"/>
    <col min="3585" max="3585" width="2.265625" style="396" customWidth="1"/>
    <col min="3586" max="3586" width="41.3984375" style="396" customWidth="1"/>
    <col min="3587" max="3587" width="9.265625" style="396" customWidth="1"/>
    <col min="3588" max="3588" width="20" style="396" customWidth="1"/>
    <col min="3589" max="3589" width="2.265625" style="396" customWidth="1"/>
    <col min="3590" max="3590" width="23.59765625" style="396" customWidth="1"/>
    <col min="3591" max="3591" width="14.265625" style="396" customWidth="1"/>
    <col min="3592" max="3592" width="11.86328125" style="396" customWidth="1"/>
    <col min="3593" max="3593" width="17.3984375" style="396" customWidth="1"/>
    <col min="3594" max="3594" width="20.265625" style="396" bestFit="1" customWidth="1"/>
    <col min="3595" max="3595" width="19.86328125" style="396" customWidth="1"/>
    <col min="3596" max="3596" width="10.3984375" style="396" bestFit="1" customWidth="1"/>
    <col min="3597" max="3597" width="13.1328125" style="396" bestFit="1" customWidth="1"/>
    <col min="3598" max="3598" width="2.265625" style="396" customWidth="1"/>
    <col min="3599" max="3599" width="22.73046875" style="396" customWidth="1"/>
    <col min="3600" max="3600" width="2.265625" style="396" customWidth="1"/>
    <col min="3601" max="3601" width="25.86328125" style="396" bestFit="1" customWidth="1"/>
    <col min="3602" max="3602" width="2.265625" style="396" customWidth="1"/>
    <col min="3603" max="3603" width="13.86328125" style="396" customWidth="1"/>
    <col min="3604" max="3604" width="2.265625" style="396" customWidth="1"/>
    <col min="3605" max="3605" width="16.3984375" style="396" bestFit="1" customWidth="1"/>
    <col min="3606" max="3606" width="2.265625" style="396" customWidth="1"/>
    <col min="3607" max="3607" width="19" style="396" bestFit="1" customWidth="1"/>
    <col min="3608" max="3608" width="22.86328125" style="396" customWidth="1"/>
    <col min="3609" max="3609" width="6.1328125" style="396" customWidth="1"/>
    <col min="3610" max="3839" width="12.59765625" style="396"/>
    <col min="3840" max="3840" width="8.265625" style="396" bestFit="1" customWidth="1"/>
    <col min="3841" max="3841" width="2.265625" style="396" customWidth="1"/>
    <col min="3842" max="3842" width="41.3984375" style="396" customWidth="1"/>
    <col min="3843" max="3843" width="9.265625" style="396" customWidth="1"/>
    <col min="3844" max="3844" width="20" style="396" customWidth="1"/>
    <col min="3845" max="3845" width="2.265625" style="396" customWidth="1"/>
    <col min="3846" max="3846" width="23.59765625" style="396" customWidth="1"/>
    <col min="3847" max="3847" width="14.265625" style="396" customWidth="1"/>
    <col min="3848" max="3848" width="11.86328125" style="396" customWidth="1"/>
    <col min="3849" max="3849" width="17.3984375" style="396" customWidth="1"/>
    <col min="3850" max="3850" width="20.265625" style="396" bestFit="1" customWidth="1"/>
    <col min="3851" max="3851" width="19.86328125" style="396" customWidth="1"/>
    <col min="3852" max="3852" width="10.3984375" style="396" bestFit="1" customWidth="1"/>
    <col min="3853" max="3853" width="13.1328125" style="396" bestFit="1" customWidth="1"/>
    <col min="3854" max="3854" width="2.265625" style="396" customWidth="1"/>
    <col min="3855" max="3855" width="22.73046875" style="396" customWidth="1"/>
    <col min="3856" max="3856" width="2.265625" style="396" customWidth="1"/>
    <col min="3857" max="3857" width="25.86328125" style="396" bestFit="1" customWidth="1"/>
    <col min="3858" max="3858" width="2.265625" style="396" customWidth="1"/>
    <col min="3859" max="3859" width="13.86328125" style="396" customWidth="1"/>
    <col min="3860" max="3860" width="2.265625" style="396" customWidth="1"/>
    <col min="3861" max="3861" width="16.3984375" style="396" bestFit="1" customWidth="1"/>
    <col min="3862" max="3862" width="2.265625" style="396" customWidth="1"/>
    <col min="3863" max="3863" width="19" style="396" bestFit="1" customWidth="1"/>
    <col min="3864" max="3864" width="22.86328125" style="396" customWidth="1"/>
    <col min="3865" max="3865" width="6.1328125" style="396" customWidth="1"/>
    <col min="3866" max="4095" width="12.59765625" style="396"/>
    <col min="4096" max="4096" width="8.265625" style="396" bestFit="1" customWidth="1"/>
    <col min="4097" max="4097" width="2.265625" style="396" customWidth="1"/>
    <col min="4098" max="4098" width="41.3984375" style="396" customWidth="1"/>
    <col min="4099" max="4099" width="9.265625" style="396" customWidth="1"/>
    <col min="4100" max="4100" width="20" style="396" customWidth="1"/>
    <col min="4101" max="4101" width="2.265625" style="396" customWidth="1"/>
    <col min="4102" max="4102" width="23.59765625" style="396" customWidth="1"/>
    <col min="4103" max="4103" width="14.265625" style="396" customWidth="1"/>
    <col min="4104" max="4104" width="11.86328125" style="396" customWidth="1"/>
    <col min="4105" max="4105" width="17.3984375" style="396" customWidth="1"/>
    <col min="4106" max="4106" width="20.265625" style="396" bestFit="1" customWidth="1"/>
    <col min="4107" max="4107" width="19.86328125" style="396" customWidth="1"/>
    <col min="4108" max="4108" width="10.3984375" style="396" bestFit="1" customWidth="1"/>
    <col min="4109" max="4109" width="13.1328125" style="396" bestFit="1" customWidth="1"/>
    <col min="4110" max="4110" width="2.265625" style="396" customWidth="1"/>
    <col min="4111" max="4111" width="22.73046875" style="396" customWidth="1"/>
    <col min="4112" max="4112" width="2.265625" style="396" customWidth="1"/>
    <col min="4113" max="4113" width="25.86328125" style="396" bestFit="1" customWidth="1"/>
    <col min="4114" max="4114" width="2.265625" style="396" customWidth="1"/>
    <col min="4115" max="4115" width="13.86328125" style="396" customWidth="1"/>
    <col min="4116" max="4116" width="2.265625" style="396" customWidth="1"/>
    <col min="4117" max="4117" width="16.3984375" style="396" bestFit="1" customWidth="1"/>
    <col min="4118" max="4118" width="2.265625" style="396" customWidth="1"/>
    <col min="4119" max="4119" width="19" style="396" bestFit="1" customWidth="1"/>
    <col min="4120" max="4120" width="22.86328125" style="396" customWidth="1"/>
    <col min="4121" max="4121" width="6.1328125" style="396" customWidth="1"/>
    <col min="4122" max="4351" width="12.59765625" style="396"/>
    <col min="4352" max="4352" width="8.265625" style="396" bestFit="1" customWidth="1"/>
    <col min="4353" max="4353" width="2.265625" style="396" customWidth="1"/>
    <col min="4354" max="4354" width="41.3984375" style="396" customWidth="1"/>
    <col min="4355" max="4355" width="9.265625" style="396" customWidth="1"/>
    <col min="4356" max="4356" width="20" style="396" customWidth="1"/>
    <col min="4357" max="4357" width="2.265625" style="396" customWidth="1"/>
    <col min="4358" max="4358" width="23.59765625" style="396" customWidth="1"/>
    <col min="4359" max="4359" width="14.265625" style="396" customWidth="1"/>
    <col min="4360" max="4360" width="11.86328125" style="396" customWidth="1"/>
    <col min="4361" max="4361" width="17.3984375" style="396" customWidth="1"/>
    <col min="4362" max="4362" width="20.265625" style="396" bestFit="1" customWidth="1"/>
    <col min="4363" max="4363" width="19.86328125" style="396" customWidth="1"/>
    <col min="4364" max="4364" width="10.3984375" style="396" bestFit="1" customWidth="1"/>
    <col min="4365" max="4365" width="13.1328125" style="396" bestFit="1" customWidth="1"/>
    <col min="4366" max="4366" width="2.265625" style="396" customWidth="1"/>
    <col min="4367" max="4367" width="22.73046875" style="396" customWidth="1"/>
    <col min="4368" max="4368" width="2.265625" style="396" customWidth="1"/>
    <col min="4369" max="4369" width="25.86328125" style="396" bestFit="1" customWidth="1"/>
    <col min="4370" max="4370" width="2.265625" style="396" customWidth="1"/>
    <col min="4371" max="4371" width="13.86328125" style="396" customWidth="1"/>
    <col min="4372" max="4372" width="2.265625" style="396" customWidth="1"/>
    <col min="4373" max="4373" width="16.3984375" style="396" bestFit="1" customWidth="1"/>
    <col min="4374" max="4374" width="2.265625" style="396" customWidth="1"/>
    <col min="4375" max="4375" width="19" style="396" bestFit="1" customWidth="1"/>
    <col min="4376" max="4376" width="22.86328125" style="396" customWidth="1"/>
    <col min="4377" max="4377" width="6.1328125" style="396" customWidth="1"/>
    <col min="4378" max="4607" width="12.59765625" style="396"/>
    <col min="4608" max="4608" width="8.265625" style="396" bestFit="1" customWidth="1"/>
    <col min="4609" max="4609" width="2.265625" style="396" customWidth="1"/>
    <col min="4610" max="4610" width="41.3984375" style="396" customWidth="1"/>
    <col min="4611" max="4611" width="9.265625" style="396" customWidth="1"/>
    <col min="4612" max="4612" width="20" style="396" customWidth="1"/>
    <col min="4613" max="4613" width="2.265625" style="396" customWidth="1"/>
    <col min="4614" max="4614" width="23.59765625" style="396" customWidth="1"/>
    <col min="4615" max="4615" width="14.265625" style="396" customWidth="1"/>
    <col min="4616" max="4616" width="11.86328125" style="396" customWidth="1"/>
    <col min="4617" max="4617" width="17.3984375" style="396" customWidth="1"/>
    <col min="4618" max="4618" width="20.265625" style="396" bestFit="1" customWidth="1"/>
    <col min="4619" max="4619" width="19.86328125" style="396" customWidth="1"/>
    <col min="4620" max="4620" width="10.3984375" style="396" bestFit="1" customWidth="1"/>
    <col min="4621" max="4621" width="13.1328125" style="396" bestFit="1" customWidth="1"/>
    <col min="4622" max="4622" width="2.265625" style="396" customWidth="1"/>
    <col min="4623" max="4623" width="22.73046875" style="396" customWidth="1"/>
    <col min="4624" max="4624" width="2.265625" style="396" customWidth="1"/>
    <col min="4625" max="4625" width="25.86328125" style="396" bestFit="1" customWidth="1"/>
    <col min="4626" max="4626" width="2.265625" style="396" customWidth="1"/>
    <col min="4627" max="4627" width="13.86328125" style="396" customWidth="1"/>
    <col min="4628" max="4628" width="2.265625" style="396" customWidth="1"/>
    <col min="4629" max="4629" width="16.3984375" style="396" bestFit="1" customWidth="1"/>
    <col min="4630" max="4630" width="2.265625" style="396" customWidth="1"/>
    <col min="4631" max="4631" width="19" style="396" bestFit="1" customWidth="1"/>
    <col min="4632" max="4632" width="22.86328125" style="396" customWidth="1"/>
    <col min="4633" max="4633" width="6.1328125" style="396" customWidth="1"/>
    <col min="4634" max="4863" width="12.59765625" style="396"/>
    <col min="4864" max="4864" width="8.265625" style="396" bestFit="1" customWidth="1"/>
    <col min="4865" max="4865" width="2.265625" style="396" customWidth="1"/>
    <col min="4866" max="4866" width="41.3984375" style="396" customWidth="1"/>
    <col min="4867" max="4867" width="9.265625" style="396" customWidth="1"/>
    <col min="4868" max="4868" width="20" style="396" customWidth="1"/>
    <col min="4869" max="4869" width="2.265625" style="396" customWidth="1"/>
    <col min="4870" max="4870" width="23.59765625" style="396" customWidth="1"/>
    <col min="4871" max="4871" width="14.265625" style="396" customWidth="1"/>
    <col min="4872" max="4872" width="11.86328125" style="396" customWidth="1"/>
    <col min="4873" max="4873" width="17.3984375" style="396" customWidth="1"/>
    <col min="4874" max="4874" width="20.265625" style="396" bestFit="1" customWidth="1"/>
    <col min="4875" max="4875" width="19.86328125" style="396" customWidth="1"/>
    <col min="4876" max="4876" width="10.3984375" style="396" bestFit="1" customWidth="1"/>
    <col min="4877" max="4877" width="13.1328125" style="396" bestFit="1" customWidth="1"/>
    <col min="4878" max="4878" width="2.265625" style="396" customWidth="1"/>
    <col min="4879" max="4879" width="22.73046875" style="396" customWidth="1"/>
    <col min="4880" max="4880" width="2.265625" style="396" customWidth="1"/>
    <col min="4881" max="4881" width="25.86328125" style="396" bestFit="1" customWidth="1"/>
    <col min="4882" max="4882" width="2.265625" style="396" customWidth="1"/>
    <col min="4883" max="4883" width="13.86328125" style="396" customWidth="1"/>
    <col min="4884" max="4884" width="2.265625" style="396" customWidth="1"/>
    <col min="4885" max="4885" width="16.3984375" style="396" bestFit="1" customWidth="1"/>
    <col min="4886" max="4886" width="2.265625" style="396" customWidth="1"/>
    <col min="4887" max="4887" width="19" style="396" bestFit="1" customWidth="1"/>
    <col min="4888" max="4888" width="22.86328125" style="396" customWidth="1"/>
    <col min="4889" max="4889" width="6.1328125" style="396" customWidth="1"/>
    <col min="4890" max="5119" width="12.59765625" style="396"/>
    <col min="5120" max="5120" width="8.265625" style="396" bestFit="1" customWidth="1"/>
    <col min="5121" max="5121" width="2.265625" style="396" customWidth="1"/>
    <col min="5122" max="5122" width="41.3984375" style="396" customWidth="1"/>
    <col min="5123" max="5123" width="9.265625" style="396" customWidth="1"/>
    <col min="5124" max="5124" width="20" style="396" customWidth="1"/>
    <col min="5125" max="5125" width="2.265625" style="396" customWidth="1"/>
    <col min="5126" max="5126" width="23.59765625" style="396" customWidth="1"/>
    <col min="5127" max="5127" width="14.265625" style="396" customWidth="1"/>
    <col min="5128" max="5128" width="11.86328125" style="396" customWidth="1"/>
    <col min="5129" max="5129" width="17.3984375" style="396" customWidth="1"/>
    <col min="5130" max="5130" width="20.265625" style="396" bestFit="1" customWidth="1"/>
    <col min="5131" max="5131" width="19.86328125" style="396" customWidth="1"/>
    <col min="5132" max="5132" width="10.3984375" style="396" bestFit="1" customWidth="1"/>
    <col min="5133" max="5133" width="13.1328125" style="396" bestFit="1" customWidth="1"/>
    <col min="5134" max="5134" width="2.265625" style="396" customWidth="1"/>
    <col min="5135" max="5135" width="22.73046875" style="396" customWidth="1"/>
    <col min="5136" max="5136" width="2.265625" style="396" customWidth="1"/>
    <col min="5137" max="5137" width="25.86328125" style="396" bestFit="1" customWidth="1"/>
    <col min="5138" max="5138" width="2.265625" style="396" customWidth="1"/>
    <col min="5139" max="5139" width="13.86328125" style="396" customWidth="1"/>
    <col min="5140" max="5140" width="2.265625" style="396" customWidth="1"/>
    <col min="5141" max="5141" width="16.3984375" style="396" bestFit="1" customWidth="1"/>
    <col min="5142" max="5142" width="2.265625" style="396" customWidth="1"/>
    <col min="5143" max="5143" width="19" style="396" bestFit="1" customWidth="1"/>
    <col min="5144" max="5144" width="22.86328125" style="396" customWidth="1"/>
    <col min="5145" max="5145" width="6.1328125" style="396" customWidth="1"/>
    <col min="5146" max="5375" width="12.59765625" style="396"/>
    <col min="5376" max="5376" width="8.265625" style="396" bestFit="1" customWidth="1"/>
    <col min="5377" max="5377" width="2.265625" style="396" customWidth="1"/>
    <col min="5378" max="5378" width="41.3984375" style="396" customWidth="1"/>
    <col min="5379" max="5379" width="9.265625" style="396" customWidth="1"/>
    <col min="5380" max="5380" width="20" style="396" customWidth="1"/>
    <col min="5381" max="5381" width="2.265625" style="396" customWidth="1"/>
    <col min="5382" max="5382" width="23.59765625" style="396" customWidth="1"/>
    <col min="5383" max="5383" width="14.265625" style="396" customWidth="1"/>
    <col min="5384" max="5384" width="11.86328125" style="396" customWidth="1"/>
    <col min="5385" max="5385" width="17.3984375" style="396" customWidth="1"/>
    <col min="5386" max="5386" width="20.265625" style="396" bestFit="1" customWidth="1"/>
    <col min="5387" max="5387" width="19.86328125" style="396" customWidth="1"/>
    <col min="5388" max="5388" width="10.3984375" style="396" bestFit="1" customWidth="1"/>
    <col min="5389" max="5389" width="13.1328125" style="396" bestFit="1" customWidth="1"/>
    <col min="5390" max="5390" width="2.265625" style="396" customWidth="1"/>
    <col min="5391" max="5391" width="22.73046875" style="396" customWidth="1"/>
    <col min="5392" max="5392" width="2.265625" style="396" customWidth="1"/>
    <col min="5393" max="5393" width="25.86328125" style="396" bestFit="1" customWidth="1"/>
    <col min="5394" max="5394" width="2.265625" style="396" customWidth="1"/>
    <col min="5395" max="5395" width="13.86328125" style="396" customWidth="1"/>
    <col min="5396" max="5396" width="2.265625" style="396" customWidth="1"/>
    <col min="5397" max="5397" width="16.3984375" style="396" bestFit="1" customWidth="1"/>
    <col min="5398" max="5398" width="2.265625" style="396" customWidth="1"/>
    <col min="5399" max="5399" width="19" style="396" bestFit="1" customWidth="1"/>
    <col min="5400" max="5400" width="22.86328125" style="396" customWidth="1"/>
    <col min="5401" max="5401" width="6.1328125" style="396" customWidth="1"/>
    <col min="5402" max="5631" width="12.59765625" style="396"/>
    <col min="5632" max="5632" width="8.265625" style="396" bestFit="1" customWidth="1"/>
    <col min="5633" max="5633" width="2.265625" style="396" customWidth="1"/>
    <col min="5634" max="5634" width="41.3984375" style="396" customWidth="1"/>
    <col min="5635" max="5635" width="9.265625" style="396" customWidth="1"/>
    <col min="5636" max="5636" width="20" style="396" customWidth="1"/>
    <col min="5637" max="5637" width="2.265625" style="396" customWidth="1"/>
    <col min="5638" max="5638" width="23.59765625" style="396" customWidth="1"/>
    <col min="5639" max="5639" width="14.265625" style="396" customWidth="1"/>
    <col min="5640" max="5640" width="11.86328125" style="396" customWidth="1"/>
    <col min="5641" max="5641" width="17.3984375" style="396" customWidth="1"/>
    <col min="5642" max="5642" width="20.265625" style="396" bestFit="1" customWidth="1"/>
    <col min="5643" max="5643" width="19.86328125" style="396" customWidth="1"/>
    <col min="5644" max="5644" width="10.3984375" style="396" bestFit="1" customWidth="1"/>
    <col min="5645" max="5645" width="13.1328125" style="396" bestFit="1" customWidth="1"/>
    <col min="5646" max="5646" width="2.265625" style="396" customWidth="1"/>
    <col min="5647" max="5647" width="22.73046875" style="396" customWidth="1"/>
    <col min="5648" max="5648" width="2.265625" style="396" customWidth="1"/>
    <col min="5649" max="5649" width="25.86328125" style="396" bestFit="1" customWidth="1"/>
    <col min="5650" max="5650" width="2.265625" style="396" customWidth="1"/>
    <col min="5651" max="5651" width="13.86328125" style="396" customWidth="1"/>
    <col min="5652" max="5652" width="2.265625" style="396" customWidth="1"/>
    <col min="5653" max="5653" width="16.3984375" style="396" bestFit="1" customWidth="1"/>
    <col min="5654" max="5654" width="2.265625" style="396" customWidth="1"/>
    <col min="5655" max="5655" width="19" style="396" bestFit="1" customWidth="1"/>
    <col min="5656" max="5656" width="22.86328125" style="396" customWidth="1"/>
    <col min="5657" max="5657" width="6.1328125" style="396" customWidth="1"/>
    <col min="5658" max="5887" width="12.59765625" style="396"/>
    <col min="5888" max="5888" width="8.265625" style="396" bestFit="1" customWidth="1"/>
    <col min="5889" max="5889" width="2.265625" style="396" customWidth="1"/>
    <col min="5890" max="5890" width="41.3984375" style="396" customWidth="1"/>
    <col min="5891" max="5891" width="9.265625" style="396" customWidth="1"/>
    <col min="5892" max="5892" width="20" style="396" customWidth="1"/>
    <col min="5893" max="5893" width="2.265625" style="396" customWidth="1"/>
    <col min="5894" max="5894" width="23.59765625" style="396" customWidth="1"/>
    <col min="5895" max="5895" width="14.265625" style="396" customWidth="1"/>
    <col min="5896" max="5896" width="11.86328125" style="396" customWidth="1"/>
    <col min="5897" max="5897" width="17.3984375" style="396" customWidth="1"/>
    <col min="5898" max="5898" width="20.265625" style="396" bestFit="1" customWidth="1"/>
    <col min="5899" max="5899" width="19.86328125" style="396" customWidth="1"/>
    <col min="5900" max="5900" width="10.3984375" style="396" bestFit="1" customWidth="1"/>
    <col min="5901" max="5901" width="13.1328125" style="396" bestFit="1" customWidth="1"/>
    <col min="5902" max="5902" width="2.265625" style="396" customWidth="1"/>
    <col min="5903" max="5903" width="22.73046875" style="396" customWidth="1"/>
    <col min="5904" max="5904" width="2.265625" style="396" customWidth="1"/>
    <col min="5905" max="5905" width="25.86328125" style="396" bestFit="1" customWidth="1"/>
    <col min="5906" max="5906" width="2.265625" style="396" customWidth="1"/>
    <col min="5907" max="5907" width="13.86328125" style="396" customWidth="1"/>
    <col min="5908" max="5908" width="2.265625" style="396" customWidth="1"/>
    <col min="5909" max="5909" width="16.3984375" style="396" bestFit="1" customWidth="1"/>
    <col min="5910" max="5910" width="2.265625" style="396" customWidth="1"/>
    <col min="5911" max="5911" width="19" style="396" bestFit="1" customWidth="1"/>
    <col min="5912" max="5912" width="22.86328125" style="396" customWidth="1"/>
    <col min="5913" max="5913" width="6.1328125" style="396" customWidth="1"/>
    <col min="5914" max="6143" width="12.59765625" style="396"/>
    <col min="6144" max="6144" width="8.265625" style="396" bestFit="1" customWidth="1"/>
    <col min="6145" max="6145" width="2.265625" style="396" customWidth="1"/>
    <col min="6146" max="6146" width="41.3984375" style="396" customWidth="1"/>
    <col min="6147" max="6147" width="9.265625" style="396" customWidth="1"/>
    <col min="6148" max="6148" width="20" style="396" customWidth="1"/>
    <col min="6149" max="6149" width="2.265625" style="396" customWidth="1"/>
    <col min="6150" max="6150" width="23.59765625" style="396" customWidth="1"/>
    <col min="6151" max="6151" width="14.265625" style="396" customWidth="1"/>
    <col min="6152" max="6152" width="11.86328125" style="396" customWidth="1"/>
    <col min="6153" max="6153" width="17.3984375" style="396" customWidth="1"/>
    <col min="6154" max="6154" width="20.265625" style="396" bestFit="1" customWidth="1"/>
    <col min="6155" max="6155" width="19.86328125" style="396" customWidth="1"/>
    <col min="6156" max="6156" width="10.3984375" style="396" bestFit="1" customWidth="1"/>
    <col min="6157" max="6157" width="13.1328125" style="396" bestFit="1" customWidth="1"/>
    <col min="6158" max="6158" width="2.265625" style="396" customWidth="1"/>
    <col min="6159" max="6159" width="22.73046875" style="396" customWidth="1"/>
    <col min="6160" max="6160" width="2.265625" style="396" customWidth="1"/>
    <col min="6161" max="6161" width="25.86328125" style="396" bestFit="1" customWidth="1"/>
    <col min="6162" max="6162" width="2.265625" style="396" customWidth="1"/>
    <col min="6163" max="6163" width="13.86328125" style="396" customWidth="1"/>
    <col min="6164" max="6164" width="2.265625" style="396" customWidth="1"/>
    <col min="6165" max="6165" width="16.3984375" style="396" bestFit="1" customWidth="1"/>
    <col min="6166" max="6166" width="2.265625" style="396" customWidth="1"/>
    <col min="6167" max="6167" width="19" style="396" bestFit="1" customWidth="1"/>
    <col min="6168" max="6168" width="22.86328125" style="396" customWidth="1"/>
    <col min="6169" max="6169" width="6.1328125" style="396" customWidth="1"/>
    <col min="6170" max="6399" width="12.59765625" style="396"/>
    <col min="6400" max="6400" width="8.265625" style="396" bestFit="1" customWidth="1"/>
    <col min="6401" max="6401" width="2.265625" style="396" customWidth="1"/>
    <col min="6402" max="6402" width="41.3984375" style="396" customWidth="1"/>
    <col min="6403" max="6403" width="9.265625" style="396" customWidth="1"/>
    <col min="6404" max="6404" width="20" style="396" customWidth="1"/>
    <col min="6405" max="6405" width="2.265625" style="396" customWidth="1"/>
    <col min="6406" max="6406" width="23.59765625" style="396" customWidth="1"/>
    <col min="6407" max="6407" width="14.265625" style="396" customWidth="1"/>
    <col min="6408" max="6408" width="11.86328125" style="396" customWidth="1"/>
    <col min="6409" max="6409" width="17.3984375" style="396" customWidth="1"/>
    <col min="6410" max="6410" width="20.265625" style="396" bestFit="1" customWidth="1"/>
    <col min="6411" max="6411" width="19.86328125" style="396" customWidth="1"/>
    <col min="6412" max="6412" width="10.3984375" style="396" bestFit="1" customWidth="1"/>
    <col min="6413" max="6413" width="13.1328125" style="396" bestFit="1" customWidth="1"/>
    <col min="6414" max="6414" width="2.265625" style="396" customWidth="1"/>
    <col min="6415" max="6415" width="22.73046875" style="396" customWidth="1"/>
    <col min="6416" max="6416" width="2.265625" style="396" customWidth="1"/>
    <col min="6417" max="6417" width="25.86328125" style="396" bestFit="1" customWidth="1"/>
    <col min="6418" max="6418" width="2.265625" style="396" customWidth="1"/>
    <col min="6419" max="6419" width="13.86328125" style="396" customWidth="1"/>
    <col min="6420" max="6420" width="2.265625" style="396" customWidth="1"/>
    <col min="6421" max="6421" width="16.3984375" style="396" bestFit="1" customWidth="1"/>
    <col min="6422" max="6422" width="2.265625" style="396" customWidth="1"/>
    <col min="6423" max="6423" width="19" style="396" bestFit="1" customWidth="1"/>
    <col min="6424" max="6424" width="22.86328125" style="396" customWidth="1"/>
    <col min="6425" max="6425" width="6.1328125" style="396" customWidth="1"/>
    <col min="6426" max="6655" width="12.59765625" style="396"/>
    <col min="6656" max="6656" width="8.265625" style="396" bestFit="1" customWidth="1"/>
    <col min="6657" max="6657" width="2.265625" style="396" customWidth="1"/>
    <col min="6658" max="6658" width="41.3984375" style="396" customWidth="1"/>
    <col min="6659" max="6659" width="9.265625" style="396" customWidth="1"/>
    <col min="6660" max="6660" width="20" style="396" customWidth="1"/>
    <col min="6661" max="6661" width="2.265625" style="396" customWidth="1"/>
    <col min="6662" max="6662" width="23.59765625" style="396" customWidth="1"/>
    <col min="6663" max="6663" width="14.265625" style="396" customWidth="1"/>
    <col min="6664" max="6664" width="11.86328125" style="396" customWidth="1"/>
    <col min="6665" max="6665" width="17.3984375" style="396" customWidth="1"/>
    <col min="6666" max="6666" width="20.265625" style="396" bestFit="1" customWidth="1"/>
    <col min="6667" max="6667" width="19.86328125" style="396" customWidth="1"/>
    <col min="6668" max="6668" width="10.3984375" style="396" bestFit="1" customWidth="1"/>
    <col min="6669" max="6669" width="13.1328125" style="396" bestFit="1" customWidth="1"/>
    <col min="6670" max="6670" width="2.265625" style="396" customWidth="1"/>
    <col min="6671" max="6671" width="22.73046875" style="396" customWidth="1"/>
    <col min="6672" max="6672" width="2.265625" style="396" customWidth="1"/>
    <col min="6673" max="6673" width="25.86328125" style="396" bestFit="1" customWidth="1"/>
    <col min="6674" max="6674" width="2.265625" style="396" customWidth="1"/>
    <col min="6675" max="6675" width="13.86328125" style="396" customWidth="1"/>
    <col min="6676" max="6676" width="2.265625" style="396" customWidth="1"/>
    <col min="6677" max="6677" width="16.3984375" style="396" bestFit="1" customWidth="1"/>
    <col min="6678" max="6678" width="2.265625" style="396" customWidth="1"/>
    <col min="6679" max="6679" width="19" style="396" bestFit="1" customWidth="1"/>
    <col min="6680" max="6680" width="22.86328125" style="396" customWidth="1"/>
    <col min="6681" max="6681" width="6.1328125" style="396" customWidth="1"/>
    <col min="6682" max="6911" width="12.59765625" style="396"/>
    <col min="6912" max="6912" width="8.265625" style="396" bestFit="1" customWidth="1"/>
    <col min="6913" max="6913" width="2.265625" style="396" customWidth="1"/>
    <col min="6914" max="6914" width="41.3984375" style="396" customWidth="1"/>
    <col min="6915" max="6915" width="9.265625" style="396" customWidth="1"/>
    <col min="6916" max="6916" width="20" style="396" customWidth="1"/>
    <col min="6917" max="6917" width="2.265625" style="396" customWidth="1"/>
    <col min="6918" max="6918" width="23.59765625" style="396" customWidth="1"/>
    <col min="6919" max="6919" width="14.265625" style="396" customWidth="1"/>
    <col min="6920" max="6920" width="11.86328125" style="396" customWidth="1"/>
    <col min="6921" max="6921" width="17.3984375" style="396" customWidth="1"/>
    <col min="6922" max="6922" width="20.265625" style="396" bestFit="1" customWidth="1"/>
    <col min="6923" max="6923" width="19.86328125" style="396" customWidth="1"/>
    <col min="6924" max="6924" width="10.3984375" style="396" bestFit="1" customWidth="1"/>
    <col min="6925" max="6925" width="13.1328125" style="396" bestFit="1" customWidth="1"/>
    <col min="6926" max="6926" width="2.265625" style="396" customWidth="1"/>
    <col min="6927" max="6927" width="22.73046875" style="396" customWidth="1"/>
    <col min="6928" max="6928" width="2.265625" style="396" customWidth="1"/>
    <col min="6929" max="6929" width="25.86328125" style="396" bestFit="1" customWidth="1"/>
    <col min="6930" max="6930" width="2.265625" style="396" customWidth="1"/>
    <col min="6931" max="6931" width="13.86328125" style="396" customWidth="1"/>
    <col min="6932" max="6932" width="2.265625" style="396" customWidth="1"/>
    <col min="6933" max="6933" width="16.3984375" style="396" bestFit="1" customWidth="1"/>
    <col min="6934" max="6934" width="2.265625" style="396" customWidth="1"/>
    <col min="6935" max="6935" width="19" style="396" bestFit="1" customWidth="1"/>
    <col min="6936" max="6936" width="22.86328125" style="396" customWidth="1"/>
    <col min="6937" max="6937" width="6.1328125" style="396" customWidth="1"/>
    <col min="6938" max="7167" width="12.59765625" style="396"/>
    <col min="7168" max="7168" width="8.265625" style="396" bestFit="1" customWidth="1"/>
    <col min="7169" max="7169" width="2.265625" style="396" customWidth="1"/>
    <col min="7170" max="7170" width="41.3984375" style="396" customWidth="1"/>
    <col min="7171" max="7171" width="9.265625" style="396" customWidth="1"/>
    <col min="7172" max="7172" width="20" style="396" customWidth="1"/>
    <col min="7173" max="7173" width="2.265625" style="396" customWidth="1"/>
    <col min="7174" max="7174" width="23.59765625" style="396" customWidth="1"/>
    <col min="7175" max="7175" width="14.265625" style="396" customWidth="1"/>
    <col min="7176" max="7176" width="11.86328125" style="396" customWidth="1"/>
    <col min="7177" max="7177" width="17.3984375" style="396" customWidth="1"/>
    <col min="7178" max="7178" width="20.265625" style="396" bestFit="1" customWidth="1"/>
    <col min="7179" max="7179" width="19.86328125" style="396" customWidth="1"/>
    <col min="7180" max="7180" width="10.3984375" style="396" bestFit="1" customWidth="1"/>
    <col min="7181" max="7181" width="13.1328125" style="396" bestFit="1" customWidth="1"/>
    <col min="7182" max="7182" width="2.265625" style="396" customWidth="1"/>
    <col min="7183" max="7183" width="22.73046875" style="396" customWidth="1"/>
    <col min="7184" max="7184" width="2.265625" style="396" customWidth="1"/>
    <col min="7185" max="7185" width="25.86328125" style="396" bestFit="1" customWidth="1"/>
    <col min="7186" max="7186" width="2.265625" style="396" customWidth="1"/>
    <col min="7187" max="7187" width="13.86328125" style="396" customWidth="1"/>
    <col min="7188" max="7188" width="2.265625" style="396" customWidth="1"/>
    <col min="7189" max="7189" width="16.3984375" style="396" bestFit="1" customWidth="1"/>
    <col min="7190" max="7190" width="2.265625" style="396" customWidth="1"/>
    <col min="7191" max="7191" width="19" style="396" bestFit="1" customWidth="1"/>
    <col min="7192" max="7192" width="22.86328125" style="396" customWidth="1"/>
    <col min="7193" max="7193" width="6.1328125" style="396" customWidth="1"/>
    <col min="7194" max="7423" width="12.59765625" style="396"/>
    <col min="7424" max="7424" width="8.265625" style="396" bestFit="1" customWidth="1"/>
    <col min="7425" max="7425" width="2.265625" style="396" customWidth="1"/>
    <col min="7426" max="7426" width="41.3984375" style="396" customWidth="1"/>
    <col min="7427" max="7427" width="9.265625" style="396" customWidth="1"/>
    <col min="7428" max="7428" width="20" style="396" customWidth="1"/>
    <col min="7429" max="7429" width="2.265625" style="396" customWidth="1"/>
    <col min="7430" max="7430" width="23.59765625" style="396" customWidth="1"/>
    <col min="7431" max="7431" width="14.265625" style="396" customWidth="1"/>
    <col min="7432" max="7432" width="11.86328125" style="396" customWidth="1"/>
    <col min="7433" max="7433" width="17.3984375" style="396" customWidth="1"/>
    <col min="7434" max="7434" width="20.265625" style="396" bestFit="1" customWidth="1"/>
    <col min="7435" max="7435" width="19.86328125" style="396" customWidth="1"/>
    <col min="7436" max="7436" width="10.3984375" style="396" bestFit="1" customWidth="1"/>
    <col min="7437" max="7437" width="13.1328125" style="396" bestFit="1" customWidth="1"/>
    <col min="7438" max="7438" width="2.265625" style="396" customWidth="1"/>
    <col min="7439" max="7439" width="22.73046875" style="396" customWidth="1"/>
    <col min="7440" max="7440" width="2.265625" style="396" customWidth="1"/>
    <col min="7441" max="7441" width="25.86328125" style="396" bestFit="1" customWidth="1"/>
    <col min="7442" max="7442" width="2.265625" style="396" customWidth="1"/>
    <col min="7443" max="7443" width="13.86328125" style="396" customWidth="1"/>
    <col min="7444" max="7444" width="2.265625" style="396" customWidth="1"/>
    <col min="7445" max="7445" width="16.3984375" style="396" bestFit="1" customWidth="1"/>
    <col min="7446" max="7446" width="2.265625" style="396" customWidth="1"/>
    <col min="7447" max="7447" width="19" style="396" bestFit="1" customWidth="1"/>
    <col min="7448" max="7448" width="22.86328125" style="396" customWidth="1"/>
    <col min="7449" max="7449" width="6.1328125" style="396" customWidth="1"/>
    <col min="7450" max="7679" width="12.59765625" style="396"/>
    <col min="7680" max="7680" width="8.265625" style="396" bestFit="1" customWidth="1"/>
    <col min="7681" max="7681" width="2.265625" style="396" customWidth="1"/>
    <col min="7682" max="7682" width="41.3984375" style="396" customWidth="1"/>
    <col min="7683" max="7683" width="9.265625" style="396" customWidth="1"/>
    <col min="7684" max="7684" width="20" style="396" customWidth="1"/>
    <col min="7685" max="7685" width="2.265625" style="396" customWidth="1"/>
    <col min="7686" max="7686" width="23.59765625" style="396" customWidth="1"/>
    <col min="7687" max="7687" width="14.265625" style="396" customWidth="1"/>
    <col min="7688" max="7688" width="11.86328125" style="396" customWidth="1"/>
    <col min="7689" max="7689" width="17.3984375" style="396" customWidth="1"/>
    <col min="7690" max="7690" width="20.265625" style="396" bestFit="1" customWidth="1"/>
    <col min="7691" max="7691" width="19.86328125" style="396" customWidth="1"/>
    <col min="7692" max="7692" width="10.3984375" style="396" bestFit="1" customWidth="1"/>
    <col min="7693" max="7693" width="13.1328125" style="396" bestFit="1" customWidth="1"/>
    <col min="7694" max="7694" width="2.265625" style="396" customWidth="1"/>
    <col min="7695" max="7695" width="22.73046875" style="396" customWidth="1"/>
    <col min="7696" max="7696" width="2.265625" style="396" customWidth="1"/>
    <col min="7697" max="7697" width="25.86328125" style="396" bestFit="1" customWidth="1"/>
    <col min="7698" max="7698" width="2.265625" style="396" customWidth="1"/>
    <col min="7699" max="7699" width="13.86328125" style="396" customWidth="1"/>
    <col min="7700" max="7700" width="2.265625" style="396" customWidth="1"/>
    <col min="7701" max="7701" width="16.3984375" style="396" bestFit="1" customWidth="1"/>
    <col min="7702" max="7702" width="2.265625" style="396" customWidth="1"/>
    <col min="7703" max="7703" width="19" style="396" bestFit="1" customWidth="1"/>
    <col min="7704" max="7704" width="22.86328125" style="396" customWidth="1"/>
    <col min="7705" max="7705" width="6.1328125" style="396" customWidth="1"/>
    <col min="7706" max="7935" width="12.59765625" style="396"/>
    <col min="7936" max="7936" width="8.265625" style="396" bestFit="1" customWidth="1"/>
    <col min="7937" max="7937" width="2.265625" style="396" customWidth="1"/>
    <col min="7938" max="7938" width="41.3984375" style="396" customWidth="1"/>
    <col min="7939" max="7939" width="9.265625" style="396" customWidth="1"/>
    <col min="7940" max="7940" width="20" style="396" customWidth="1"/>
    <col min="7941" max="7941" width="2.265625" style="396" customWidth="1"/>
    <col min="7942" max="7942" width="23.59765625" style="396" customWidth="1"/>
    <col min="7943" max="7943" width="14.265625" style="396" customWidth="1"/>
    <col min="7944" max="7944" width="11.86328125" style="396" customWidth="1"/>
    <col min="7945" max="7945" width="17.3984375" style="396" customWidth="1"/>
    <col min="7946" max="7946" width="20.265625" style="396" bestFit="1" customWidth="1"/>
    <col min="7947" max="7947" width="19.86328125" style="396" customWidth="1"/>
    <col min="7948" max="7948" width="10.3984375" style="396" bestFit="1" customWidth="1"/>
    <col min="7949" max="7949" width="13.1328125" style="396" bestFit="1" customWidth="1"/>
    <col min="7950" max="7950" width="2.265625" style="396" customWidth="1"/>
    <col min="7951" max="7951" width="22.73046875" style="396" customWidth="1"/>
    <col min="7952" max="7952" width="2.265625" style="396" customWidth="1"/>
    <col min="7953" max="7953" width="25.86328125" style="396" bestFit="1" customWidth="1"/>
    <col min="7954" max="7954" width="2.265625" style="396" customWidth="1"/>
    <col min="7955" max="7955" width="13.86328125" style="396" customWidth="1"/>
    <col min="7956" max="7956" width="2.265625" style="396" customWidth="1"/>
    <col min="7957" max="7957" width="16.3984375" style="396" bestFit="1" customWidth="1"/>
    <col min="7958" max="7958" width="2.265625" style="396" customWidth="1"/>
    <col min="7959" max="7959" width="19" style="396" bestFit="1" customWidth="1"/>
    <col min="7960" max="7960" width="22.86328125" style="396" customWidth="1"/>
    <col min="7961" max="7961" width="6.1328125" style="396" customWidth="1"/>
    <col min="7962" max="8191" width="12.59765625" style="396"/>
    <col min="8192" max="8192" width="8.265625" style="396" bestFit="1" customWidth="1"/>
    <col min="8193" max="8193" width="2.265625" style="396" customWidth="1"/>
    <col min="8194" max="8194" width="41.3984375" style="396" customWidth="1"/>
    <col min="8195" max="8195" width="9.265625" style="396" customWidth="1"/>
    <col min="8196" max="8196" width="20" style="396" customWidth="1"/>
    <col min="8197" max="8197" width="2.265625" style="396" customWidth="1"/>
    <col min="8198" max="8198" width="23.59765625" style="396" customWidth="1"/>
    <col min="8199" max="8199" width="14.265625" style="396" customWidth="1"/>
    <col min="8200" max="8200" width="11.86328125" style="396" customWidth="1"/>
    <col min="8201" max="8201" width="17.3984375" style="396" customWidth="1"/>
    <col min="8202" max="8202" width="20.265625" style="396" bestFit="1" customWidth="1"/>
    <col min="8203" max="8203" width="19.86328125" style="396" customWidth="1"/>
    <col min="8204" max="8204" width="10.3984375" style="396" bestFit="1" customWidth="1"/>
    <col min="8205" max="8205" width="13.1328125" style="396" bestFit="1" customWidth="1"/>
    <col min="8206" max="8206" width="2.265625" style="396" customWidth="1"/>
    <col min="8207" max="8207" width="22.73046875" style="396" customWidth="1"/>
    <col min="8208" max="8208" width="2.265625" style="396" customWidth="1"/>
    <col min="8209" max="8209" width="25.86328125" style="396" bestFit="1" customWidth="1"/>
    <col min="8210" max="8210" width="2.265625" style="396" customWidth="1"/>
    <col min="8211" max="8211" width="13.86328125" style="396" customWidth="1"/>
    <col min="8212" max="8212" width="2.265625" style="396" customWidth="1"/>
    <col min="8213" max="8213" width="16.3984375" style="396" bestFit="1" customWidth="1"/>
    <col min="8214" max="8214" width="2.265625" style="396" customWidth="1"/>
    <col min="8215" max="8215" width="19" style="396" bestFit="1" customWidth="1"/>
    <col min="8216" max="8216" width="22.86328125" style="396" customWidth="1"/>
    <col min="8217" max="8217" width="6.1328125" style="396" customWidth="1"/>
    <col min="8218" max="8447" width="12.59765625" style="396"/>
    <col min="8448" max="8448" width="8.265625" style="396" bestFit="1" customWidth="1"/>
    <col min="8449" max="8449" width="2.265625" style="396" customWidth="1"/>
    <col min="8450" max="8450" width="41.3984375" style="396" customWidth="1"/>
    <col min="8451" max="8451" width="9.265625" style="396" customWidth="1"/>
    <col min="8452" max="8452" width="20" style="396" customWidth="1"/>
    <col min="8453" max="8453" width="2.265625" style="396" customWidth="1"/>
    <col min="8454" max="8454" width="23.59765625" style="396" customWidth="1"/>
    <col min="8455" max="8455" width="14.265625" style="396" customWidth="1"/>
    <col min="8456" max="8456" width="11.86328125" style="396" customWidth="1"/>
    <col min="8457" max="8457" width="17.3984375" style="396" customWidth="1"/>
    <col min="8458" max="8458" width="20.265625" style="396" bestFit="1" customWidth="1"/>
    <col min="8459" max="8459" width="19.86328125" style="396" customWidth="1"/>
    <col min="8460" max="8460" width="10.3984375" style="396" bestFit="1" customWidth="1"/>
    <col min="8461" max="8461" width="13.1328125" style="396" bestFit="1" customWidth="1"/>
    <col min="8462" max="8462" width="2.265625" style="396" customWidth="1"/>
    <col min="8463" max="8463" width="22.73046875" style="396" customWidth="1"/>
    <col min="8464" max="8464" width="2.265625" style="396" customWidth="1"/>
    <col min="8465" max="8465" width="25.86328125" style="396" bestFit="1" customWidth="1"/>
    <col min="8466" max="8466" width="2.265625" style="396" customWidth="1"/>
    <col min="8467" max="8467" width="13.86328125" style="396" customWidth="1"/>
    <col min="8468" max="8468" width="2.265625" style="396" customWidth="1"/>
    <col min="8469" max="8469" width="16.3984375" style="396" bestFit="1" customWidth="1"/>
    <col min="8470" max="8470" width="2.265625" style="396" customWidth="1"/>
    <col min="8471" max="8471" width="19" style="396" bestFit="1" customWidth="1"/>
    <col min="8472" max="8472" width="22.86328125" style="396" customWidth="1"/>
    <col min="8473" max="8473" width="6.1328125" style="396" customWidth="1"/>
    <col min="8474" max="8703" width="12.59765625" style="396"/>
    <col min="8704" max="8704" width="8.265625" style="396" bestFit="1" customWidth="1"/>
    <col min="8705" max="8705" width="2.265625" style="396" customWidth="1"/>
    <col min="8706" max="8706" width="41.3984375" style="396" customWidth="1"/>
    <col min="8707" max="8707" width="9.265625" style="396" customWidth="1"/>
    <col min="8708" max="8708" width="20" style="396" customWidth="1"/>
    <col min="8709" max="8709" width="2.265625" style="396" customWidth="1"/>
    <col min="8710" max="8710" width="23.59765625" style="396" customWidth="1"/>
    <col min="8711" max="8711" width="14.265625" style="396" customWidth="1"/>
    <col min="8712" max="8712" width="11.86328125" style="396" customWidth="1"/>
    <col min="8713" max="8713" width="17.3984375" style="396" customWidth="1"/>
    <col min="8714" max="8714" width="20.265625" style="396" bestFit="1" customWidth="1"/>
    <col min="8715" max="8715" width="19.86328125" style="396" customWidth="1"/>
    <col min="8716" max="8716" width="10.3984375" style="396" bestFit="1" customWidth="1"/>
    <col min="8717" max="8717" width="13.1328125" style="396" bestFit="1" customWidth="1"/>
    <col min="8718" max="8718" width="2.265625" style="396" customWidth="1"/>
    <col min="8719" max="8719" width="22.73046875" style="396" customWidth="1"/>
    <col min="8720" max="8720" width="2.265625" style="396" customWidth="1"/>
    <col min="8721" max="8721" width="25.86328125" style="396" bestFit="1" customWidth="1"/>
    <col min="8722" max="8722" width="2.265625" style="396" customWidth="1"/>
    <col min="8723" max="8723" width="13.86328125" style="396" customWidth="1"/>
    <col min="8724" max="8724" width="2.265625" style="396" customWidth="1"/>
    <col min="8725" max="8725" width="16.3984375" style="396" bestFit="1" customWidth="1"/>
    <col min="8726" max="8726" width="2.265625" style="396" customWidth="1"/>
    <col min="8727" max="8727" width="19" style="396" bestFit="1" customWidth="1"/>
    <col min="8728" max="8728" width="22.86328125" style="396" customWidth="1"/>
    <col min="8729" max="8729" width="6.1328125" style="396" customWidth="1"/>
    <col min="8730" max="8959" width="12.59765625" style="396"/>
    <col min="8960" max="8960" width="8.265625" style="396" bestFit="1" customWidth="1"/>
    <col min="8961" max="8961" width="2.265625" style="396" customWidth="1"/>
    <col min="8962" max="8962" width="41.3984375" style="396" customWidth="1"/>
    <col min="8963" max="8963" width="9.265625" style="396" customWidth="1"/>
    <col min="8964" max="8964" width="20" style="396" customWidth="1"/>
    <col min="8965" max="8965" width="2.265625" style="396" customWidth="1"/>
    <col min="8966" max="8966" width="23.59765625" style="396" customWidth="1"/>
    <col min="8967" max="8967" width="14.265625" style="396" customWidth="1"/>
    <col min="8968" max="8968" width="11.86328125" style="396" customWidth="1"/>
    <col min="8969" max="8969" width="17.3984375" style="396" customWidth="1"/>
    <col min="8970" max="8970" width="20.265625" style="396" bestFit="1" customWidth="1"/>
    <col min="8971" max="8971" width="19.86328125" style="396" customWidth="1"/>
    <col min="8972" max="8972" width="10.3984375" style="396" bestFit="1" customWidth="1"/>
    <col min="8973" max="8973" width="13.1328125" style="396" bestFit="1" customWidth="1"/>
    <col min="8974" max="8974" width="2.265625" style="396" customWidth="1"/>
    <col min="8975" max="8975" width="22.73046875" style="396" customWidth="1"/>
    <col min="8976" max="8976" width="2.265625" style="396" customWidth="1"/>
    <col min="8977" max="8977" width="25.86328125" style="396" bestFit="1" customWidth="1"/>
    <col min="8978" max="8978" width="2.265625" style="396" customWidth="1"/>
    <col min="8979" max="8979" width="13.86328125" style="396" customWidth="1"/>
    <col min="8980" max="8980" width="2.265625" style="396" customWidth="1"/>
    <col min="8981" max="8981" width="16.3984375" style="396" bestFit="1" customWidth="1"/>
    <col min="8982" max="8982" width="2.265625" style="396" customWidth="1"/>
    <col min="8983" max="8983" width="19" style="396" bestFit="1" customWidth="1"/>
    <col min="8984" max="8984" width="22.86328125" style="396" customWidth="1"/>
    <col min="8985" max="8985" width="6.1328125" style="396" customWidth="1"/>
    <col min="8986" max="9215" width="12.59765625" style="396"/>
    <col min="9216" max="9216" width="8.265625" style="396" bestFit="1" customWidth="1"/>
    <col min="9217" max="9217" width="2.265625" style="396" customWidth="1"/>
    <col min="9218" max="9218" width="41.3984375" style="396" customWidth="1"/>
    <col min="9219" max="9219" width="9.265625" style="396" customWidth="1"/>
    <col min="9220" max="9220" width="20" style="396" customWidth="1"/>
    <col min="9221" max="9221" width="2.265625" style="396" customWidth="1"/>
    <col min="9222" max="9222" width="23.59765625" style="396" customWidth="1"/>
    <col min="9223" max="9223" width="14.265625" style="396" customWidth="1"/>
    <col min="9224" max="9224" width="11.86328125" style="396" customWidth="1"/>
    <col min="9225" max="9225" width="17.3984375" style="396" customWidth="1"/>
    <col min="9226" max="9226" width="20.265625" style="396" bestFit="1" customWidth="1"/>
    <col min="9227" max="9227" width="19.86328125" style="396" customWidth="1"/>
    <col min="9228" max="9228" width="10.3984375" style="396" bestFit="1" customWidth="1"/>
    <col min="9229" max="9229" width="13.1328125" style="396" bestFit="1" customWidth="1"/>
    <col min="9230" max="9230" width="2.265625" style="396" customWidth="1"/>
    <col min="9231" max="9231" width="22.73046875" style="396" customWidth="1"/>
    <col min="9232" max="9232" width="2.265625" style="396" customWidth="1"/>
    <col min="9233" max="9233" width="25.86328125" style="396" bestFit="1" customWidth="1"/>
    <col min="9234" max="9234" width="2.265625" style="396" customWidth="1"/>
    <col min="9235" max="9235" width="13.86328125" style="396" customWidth="1"/>
    <col min="9236" max="9236" width="2.265625" style="396" customWidth="1"/>
    <col min="9237" max="9237" width="16.3984375" style="396" bestFit="1" customWidth="1"/>
    <col min="9238" max="9238" width="2.265625" style="396" customWidth="1"/>
    <col min="9239" max="9239" width="19" style="396" bestFit="1" customWidth="1"/>
    <col min="9240" max="9240" width="22.86328125" style="396" customWidth="1"/>
    <col min="9241" max="9241" width="6.1328125" style="396" customWidth="1"/>
    <col min="9242" max="9471" width="12.59765625" style="396"/>
    <col min="9472" max="9472" width="8.265625" style="396" bestFit="1" customWidth="1"/>
    <col min="9473" max="9473" width="2.265625" style="396" customWidth="1"/>
    <col min="9474" max="9474" width="41.3984375" style="396" customWidth="1"/>
    <col min="9475" max="9475" width="9.265625" style="396" customWidth="1"/>
    <col min="9476" max="9476" width="20" style="396" customWidth="1"/>
    <col min="9477" max="9477" width="2.265625" style="396" customWidth="1"/>
    <col min="9478" max="9478" width="23.59765625" style="396" customWidth="1"/>
    <col min="9479" max="9479" width="14.265625" style="396" customWidth="1"/>
    <col min="9480" max="9480" width="11.86328125" style="396" customWidth="1"/>
    <col min="9481" max="9481" width="17.3984375" style="396" customWidth="1"/>
    <col min="9482" max="9482" width="20.265625" style="396" bestFit="1" customWidth="1"/>
    <col min="9483" max="9483" width="19.86328125" style="396" customWidth="1"/>
    <col min="9484" max="9484" width="10.3984375" style="396" bestFit="1" customWidth="1"/>
    <col min="9485" max="9485" width="13.1328125" style="396" bestFit="1" customWidth="1"/>
    <col min="9486" max="9486" width="2.265625" style="396" customWidth="1"/>
    <col min="9487" max="9487" width="22.73046875" style="396" customWidth="1"/>
    <col min="9488" max="9488" width="2.265625" style="396" customWidth="1"/>
    <col min="9489" max="9489" width="25.86328125" style="396" bestFit="1" customWidth="1"/>
    <col min="9490" max="9490" width="2.265625" style="396" customWidth="1"/>
    <col min="9491" max="9491" width="13.86328125" style="396" customWidth="1"/>
    <col min="9492" max="9492" width="2.265625" style="396" customWidth="1"/>
    <col min="9493" max="9493" width="16.3984375" style="396" bestFit="1" customWidth="1"/>
    <col min="9494" max="9494" width="2.265625" style="396" customWidth="1"/>
    <col min="9495" max="9495" width="19" style="396" bestFit="1" customWidth="1"/>
    <col min="9496" max="9496" width="22.86328125" style="396" customWidth="1"/>
    <col min="9497" max="9497" width="6.1328125" style="396" customWidth="1"/>
    <col min="9498" max="9727" width="12.59765625" style="396"/>
    <col min="9728" max="9728" width="8.265625" style="396" bestFit="1" customWidth="1"/>
    <col min="9729" max="9729" width="2.265625" style="396" customWidth="1"/>
    <col min="9730" max="9730" width="41.3984375" style="396" customWidth="1"/>
    <col min="9731" max="9731" width="9.265625" style="396" customWidth="1"/>
    <col min="9732" max="9732" width="20" style="396" customWidth="1"/>
    <col min="9733" max="9733" width="2.265625" style="396" customWidth="1"/>
    <col min="9734" max="9734" width="23.59765625" style="396" customWidth="1"/>
    <col min="9735" max="9735" width="14.265625" style="396" customWidth="1"/>
    <col min="9736" max="9736" width="11.86328125" style="396" customWidth="1"/>
    <col min="9737" max="9737" width="17.3984375" style="396" customWidth="1"/>
    <col min="9738" max="9738" width="20.265625" style="396" bestFit="1" customWidth="1"/>
    <col min="9739" max="9739" width="19.86328125" style="396" customWidth="1"/>
    <col min="9740" max="9740" width="10.3984375" style="396" bestFit="1" customWidth="1"/>
    <col min="9741" max="9741" width="13.1328125" style="396" bestFit="1" customWidth="1"/>
    <col min="9742" max="9742" width="2.265625" style="396" customWidth="1"/>
    <col min="9743" max="9743" width="22.73046875" style="396" customWidth="1"/>
    <col min="9744" max="9744" width="2.265625" style="396" customWidth="1"/>
    <col min="9745" max="9745" width="25.86328125" style="396" bestFit="1" customWidth="1"/>
    <col min="9746" max="9746" width="2.265625" style="396" customWidth="1"/>
    <col min="9747" max="9747" width="13.86328125" style="396" customWidth="1"/>
    <col min="9748" max="9748" width="2.265625" style="396" customWidth="1"/>
    <col min="9749" max="9749" width="16.3984375" style="396" bestFit="1" customWidth="1"/>
    <col min="9750" max="9750" width="2.265625" style="396" customWidth="1"/>
    <col min="9751" max="9751" width="19" style="396" bestFit="1" customWidth="1"/>
    <col min="9752" max="9752" width="22.86328125" style="396" customWidth="1"/>
    <col min="9753" max="9753" width="6.1328125" style="396" customWidth="1"/>
    <col min="9754" max="9983" width="12.59765625" style="396"/>
    <col min="9984" max="9984" width="8.265625" style="396" bestFit="1" customWidth="1"/>
    <col min="9985" max="9985" width="2.265625" style="396" customWidth="1"/>
    <col min="9986" max="9986" width="41.3984375" style="396" customWidth="1"/>
    <col min="9987" max="9987" width="9.265625" style="396" customWidth="1"/>
    <col min="9988" max="9988" width="20" style="396" customWidth="1"/>
    <col min="9989" max="9989" width="2.265625" style="396" customWidth="1"/>
    <col min="9990" max="9990" width="23.59765625" style="396" customWidth="1"/>
    <col min="9991" max="9991" width="14.265625" style="396" customWidth="1"/>
    <col min="9992" max="9992" width="11.86328125" style="396" customWidth="1"/>
    <col min="9993" max="9993" width="17.3984375" style="396" customWidth="1"/>
    <col min="9994" max="9994" width="20.265625" style="396" bestFit="1" customWidth="1"/>
    <col min="9995" max="9995" width="19.86328125" style="396" customWidth="1"/>
    <col min="9996" max="9996" width="10.3984375" style="396" bestFit="1" customWidth="1"/>
    <col min="9997" max="9997" width="13.1328125" style="396" bestFit="1" customWidth="1"/>
    <col min="9998" max="9998" width="2.265625" style="396" customWidth="1"/>
    <col min="9999" max="9999" width="22.73046875" style="396" customWidth="1"/>
    <col min="10000" max="10000" width="2.265625" style="396" customWidth="1"/>
    <col min="10001" max="10001" width="25.86328125" style="396" bestFit="1" customWidth="1"/>
    <col min="10002" max="10002" width="2.265625" style="396" customWidth="1"/>
    <col min="10003" max="10003" width="13.86328125" style="396" customWidth="1"/>
    <col min="10004" max="10004" width="2.265625" style="396" customWidth="1"/>
    <col min="10005" max="10005" width="16.3984375" style="396" bestFit="1" customWidth="1"/>
    <col min="10006" max="10006" width="2.265625" style="396" customWidth="1"/>
    <col min="10007" max="10007" width="19" style="396" bestFit="1" customWidth="1"/>
    <col min="10008" max="10008" width="22.86328125" style="396" customWidth="1"/>
    <col min="10009" max="10009" width="6.1328125" style="396" customWidth="1"/>
    <col min="10010" max="10239" width="12.59765625" style="396"/>
    <col min="10240" max="10240" width="8.265625" style="396" bestFit="1" customWidth="1"/>
    <col min="10241" max="10241" width="2.265625" style="396" customWidth="1"/>
    <col min="10242" max="10242" width="41.3984375" style="396" customWidth="1"/>
    <col min="10243" max="10243" width="9.265625" style="396" customWidth="1"/>
    <col min="10244" max="10244" width="20" style="396" customWidth="1"/>
    <col min="10245" max="10245" width="2.265625" style="396" customWidth="1"/>
    <col min="10246" max="10246" width="23.59765625" style="396" customWidth="1"/>
    <col min="10247" max="10247" width="14.265625" style="396" customWidth="1"/>
    <col min="10248" max="10248" width="11.86328125" style="396" customWidth="1"/>
    <col min="10249" max="10249" width="17.3984375" style="396" customWidth="1"/>
    <col min="10250" max="10250" width="20.265625" style="396" bestFit="1" customWidth="1"/>
    <col min="10251" max="10251" width="19.86328125" style="396" customWidth="1"/>
    <col min="10252" max="10252" width="10.3984375" style="396" bestFit="1" customWidth="1"/>
    <col min="10253" max="10253" width="13.1328125" style="396" bestFit="1" customWidth="1"/>
    <col min="10254" max="10254" width="2.265625" style="396" customWidth="1"/>
    <col min="10255" max="10255" width="22.73046875" style="396" customWidth="1"/>
    <col min="10256" max="10256" width="2.265625" style="396" customWidth="1"/>
    <col min="10257" max="10257" width="25.86328125" style="396" bestFit="1" customWidth="1"/>
    <col min="10258" max="10258" width="2.265625" style="396" customWidth="1"/>
    <col min="10259" max="10259" width="13.86328125" style="396" customWidth="1"/>
    <col min="10260" max="10260" width="2.265625" style="396" customWidth="1"/>
    <col min="10261" max="10261" width="16.3984375" style="396" bestFit="1" customWidth="1"/>
    <col min="10262" max="10262" width="2.265625" style="396" customWidth="1"/>
    <col min="10263" max="10263" width="19" style="396" bestFit="1" customWidth="1"/>
    <col min="10264" max="10264" width="22.86328125" style="396" customWidth="1"/>
    <col min="10265" max="10265" width="6.1328125" style="396" customWidth="1"/>
    <col min="10266" max="10495" width="12.59765625" style="396"/>
    <col min="10496" max="10496" width="8.265625" style="396" bestFit="1" customWidth="1"/>
    <col min="10497" max="10497" width="2.265625" style="396" customWidth="1"/>
    <col min="10498" max="10498" width="41.3984375" style="396" customWidth="1"/>
    <col min="10499" max="10499" width="9.265625" style="396" customWidth="1"/>
    <col min="10500" max="10500" width="20" style="396" customWidth="1"/>
    <col min="10501" max="10501" width="2.265625" style="396" customWidth="1"/>
    <col min="10502" max="10502" width="23.59765625" style="396" customWidth="1"/>
    <col min="10503" max="10503" width="14.265625" style="396" customWidth="1"/>
    <col min="10504" max="10504" width="11.86328125" style="396" customWidth="1"/>
    <col min="10505" max="10505" width="17.3984375" style="396" customWidth="1"/>
    <col min="10506" max="10506" width="20.265625" style="396" bestFit="1" customWidth="1"/>
    <col min="10507" max="10507" width="19.86328125" style="396" customWidth="1"/>
    <col min="10508" max="10508" width="10.3984375" style="396" bestFit="1" customWidth="1"/>
    <col min="10509" max="10509" width="13.1328125" style="396" bestFit="1" customWidth="1"/>
    <col min="10510" max="10510" width="2.265625" style="396" customWidth="1"/>
    <col min="10511" max="10511" width="22.73046875" style="396" customWidth="1"/>
    <col min="10512" max="10512" width="2.265625" style="396" customWidth="1"/>
    <col min="10513" max="10513" width="25.86328125" style="396" bestFit="1" customWidth="1"/>
    <col min="10514" max="10514" width="2.265625" style="396" customWidth="1"/>
    <col min="10515" max="10515" width="13.86328125" style="396" customWidth="1"/>
    <col min="10516" max="10516" width="2.265625" style="396" customWidth="1"/>
    <col min="10517" max="10517" width="16.3984375" style="396" bestFit="1" customWidth="1"/>
    <col min="10518" max="10518" width="2.265625" style="396" customWidth="1"/>
    <col min="10519" max="10519" width="19" style="396" bestFit="1" customWidth="1"/>
    <col min="10520" max="10520" width="22.86328125" style="396" customWidth="1"/>
    <col min="10521" max="10521" width="6.1328125" style="396" customWidth="1"/>
    <col min="10522" max="10751" width="12.59765625" style="396"/>
    <col min="10752" max="10752" width="8.265625" style="396" bestFit="1" customWidth="1"/>
    <col min="10753" max="10753" width="2.265625" style="396" customWidth="1"/>
    <col min="10754" max="10754" width="41.3984375" style="396" customWidth="1"/>
    <col min="10755" max="10755" width="9.265625" style="396" customWidth="1"/>
    <col min="10756" max="10756" width="20" style="396" customWidth="1"/>
    <col min="10757" max="10757" width="2.265625" style="396" customWidth="1"/>
    <col min="10758" max="10758" width="23.59765625" style="396" customWidth="1"/>
    <col min="10759" max="10759" width="14.265625" style="396" customWidth="1"/>
    <col min="10760" max="10760" width="11.86328125" style="396" customWidth="1"/>
    <col min="10761" max="10761" width="17.3984375" style="396" customWidth="1"/>
    <col min="10762" max="10762" width="20.265625" style="396" bestFit="1" customWidth="1"/>
    <col min="10763" max="10763" width="19.86328125" style="396" customWidth="1"/>
    <col min="10764" max="10764" width="10.3984375" style="396" bestFit="1" customWidth="1"/>
    <col min="10765" max="10765" width="13.1328125" style="396" bestFit="1" customWidth="1"/>
    <col min="10766" max="10766" width="2.265625" style="396" customWidth="1"/>
    <col min="10767" max="10767" width="22.73046875" style="396" customWidth="1"/>
    <col min="10768" max="10768" width="2.265625" style="396" customWidth="1"/>
    <col min="10769" max="10769" width="25.86328125" style="396" bestFit="1" customWidth="1"/>
    <col min="10770" max="10770" width="2.265625" style="396" customWidth="1"/>
    <col min="10771" max="10771" width="13.86328125" style="396" customWidth="1"/>
    <col min="10772" max="10772" width="2.265625" style="396" customWidth="1"/>
    <col min="10773" max="10773" width="16.3984375" style="396" bestFit="1" customWidth="1"/>
    <col min="10774" max="10774" width="2.265625" style="396" customWidth="1"/>
    <col min="10775" max="10775" width="19" style="396" bestFit="1" customWidth="1"/>
    <col min="10776" max="10776" width="22.86328125" style="396" customWidth="1"/>
    <col min="10777" max="10777" width="6.1328125" style="396" customWidth="1"/>
    <col min="10778" max="11007" width="12.59765625" style="396"/>
    <col min="11008" max="11008" width="8.265625" style="396" bestFit="1" customWidth="1"/>
    <col min="11009" max="11009" width="2.265625" style="396" customWidth="1"/>
    <col min="11010" max="11010" width="41.3984375" style="396" customWidth="1"/>
    <col min="11011" max="11011" width="9.265625" style="396" customWidth="1"/>
    <col min="11012" max="11012" width="20" style="396" customWidth="1"/>
    <col min="11013" max="11013" width="2.265625" style="396" customWidth="1"/>
    <col min="11014" max="11014" width="23.59765625" style="396" customWidth="1"/>
    <col min="11015" max="11015" width="14.265625" style="396" customWidth="1"/>
    <col min="11016" max="11016" width="11.86328125" style="396" customWidth="1"/>
    <col min="11017" max="11017" width="17.3984375" style="396" customWidth="1"/>
    <col min="11018" max="11018" width="20.265625" style="396" bestFit="1" customWidth="1"/>
    <col min="11019" max="11019" width="19.86328125" style="396" customWidth="1"/>
    <col min="11020" max="11020" width="10.3984375" style="396" bestFit="1" customWidth="1"/>
    <col min="11021" max="11021" width="13.1328125" style="396" bestFit="1" customWidth="1"/>
    <col min="11022" max="11022" width="2.265625" style="396" customWidth="1"/>
    <col min="11023" max="11023" width="22.73046875" style="396" customWidth="1"/>
    <col min="11024" max="11024" width="2.265625" style="396" customWidth="1"/>
    <col min="11025" max="11025" width="25.86328125" style="396" bestFit="1" customWidth="1"/>
    <col min="11026" max="11026" width="2.265625" style="396" customWidth="1"/>
    <col min="11027" max="11027" width="13.86328125" style="396" customWidth="1"/>
    <col min="11028" max="11028" width="2.265625" style="396" customWidth="1"/>
    <col min="11029" max="11029" width="16.3984375" style="396" bestFit="1" customWidth="1"/>
    <col min="11030" max="11030" width="2.265625" style="396" customWidth="1"/>
    <col min="11031" max="11031" width="19" style="396" bestFit="1" customWidth="1"/>
    <col min="11032" max="11032" width="22.86328125" style="396" customWidth="1"/>
    <col min="11033" max="11033" width="6.1328125" style="396" customWidth="1"/>
    <col min="11034" max="11263" width="12.59765625" style="396"/>
    <col min="11264" max="11264" width="8.265625" style="396" bestFit="1" customWidth="1"/>
    <col min="11265" max="11265" width="2.265625" style="396" customWidth="1"/>
    <col min="11266" max="11266" width="41.3984375" style="396" customWidth="1"/>
    <col min="11267" max="11267" width="9.265625" style="396" customWidth="1"/>
    <col min="11268" max="11268" width="20" style="396" customWidth="1"/>
    <col min="11269" max="11269" width="2.265625" style="396" customWidth="1"/>
    <col min="11270" max="11270" width="23.59765625" style="396" customWidth="1"/>
    <col min="11271" max="11271" width="14.265625" style="396" customWidth="1"/>
    <col min="11272" max="11272" width="11.86328125" style="396" customWidth="1"/>
    <col min="11273" max="11273" width="17.3984375" style="396" customWidth="1"/>
    <col min="11274" max="11274" width="20.265625" style="396" bestFit="1" customWidth="1"/>
    <col min="11275" max="11275" width="19.86328125" style="396" customWidth="1"/>
    <col min="11276" max="11276" width="10.3984375" style="396" bestFit="1" customWidth="1"/>
    <col min="11277" max="11277" width="13.1328125" style="396" bestFit="1" customWidth="1"/>
    <col min="11278" max="11278" width="2.265625" style="396" customWidth="1"/>
    <col min="11279" max="11279" width="22.73046875" style="396" customWidth="1"/>
    <col min="11280" max="11280" width="2.265625" style="396" customWidth="1"/>
    <col min="11281" max="11281" width="25.86328125" style="396" bestFit="1" customWidth="1"/>
    <col min="11282" max="11282" width="2.265625" style="396" customWidth="1"/>
    <col min="11283" max="11283" width="13.86328125" style="396" customWidth="1"/>
    <col min="11284" max="11284" width="2.265625" style="396" customWidth="1"/>
    <col min="11285" max="11285" width="16.3984375" style="396" bestFit="1" customWidth="1"/>
    <col min="11286" max="11286" width="2.265625" style="396" customWidth="1"/>
    <col min="11287" max="11287" width="19" style="396" bestFit="1" customWidth="1"/>
    <col min="11288" max="11288" width="22.86328125" style="396" customWidth="1"/>
    <col min="11289" max="11289" width="6.1328125" style="396" customWidth="1"/>
    <col min="11290" max="11519" width="12.59765625" style="396"/>
    <col min="11520" max="11520" width="8.265625" style="396" bestFit="1" customWidth="1"/>
    <col min="11521" max="11521" width="2.265625" style="396" customWidth="1"/>
    <col min="11522" max="11522" width="41.3984375" style="396" customWidth="1"/>
    <col min="11523" max="11523" width="9.265625" style="396" customWidth="1"/>
    <col min="11524" max="11524" width="20" style="396" customWidth="1"/>
    <col min="11525" max="11525" width="2.265625" style="396" customWidth="1"/>
    <col min="11526" max="11526" width="23.59765625" style="396" customWidth="1"/>
    <col min="11527" max="11527" width="14.265625" style="396" customWidth="1"/>
    <col min="11528" max="11528" width="11.86328125" style="396" customWidth="1"/>
    <col min="11529" max="11529" width="17.3984375" style="396" customWidth="1"/>
    <col min="11530" max="11530" width="20.265625" style="396" bestFit="1" customWidth="1"/>
    <col min="11531" max="11531" width="19.86328125" style="396" customWidth="1"/>
    <col min="11532" max="11532" width="10.3984375" style="396" bestFit="1" customWidth="1"/>
    <col min="11533" max="11533" width="13.1328125" style="396" bestFit="1" customWidth="1"/>
    <col min="11534" max="11534" width="2.265625" style="396" customWidth="1"/>
    <col min="11535" max="11535" width="22.73046875" style="396" customWidth="1"/>
    <col min="11536" max="11536" width="2.265625" style="396" customWidth="1"/>
    <col min="11537" max="11537" width="25.86328125" style="396" bestFit="1" customWidth="1"/>
    <col min="11538" max="11538" width="2.265625" style="396" customWidth="1"/>
    <col min="11539" max="11539" width="13.86328125" style="396" customWidth="1"/>
    <col min="11540" max="11540" width="2.265625" style="396" customWidth="1"/>
    <col min="11541" max="11541" width="16.3984375" style="396" bestFit="1" customWidth="1"/>
    <col min="11542" max="11542" width="2.265625" style="396" customWidth="1"/>
    <col min="11543" max="11543" width="19" style="396" bestFit="1" customWidth="1"/>
    <col min="11544" max="11544" width="22.86328125" style="396" customWidth="1"/>
    <col min="11545" max="11545" width="6.1328125" style="396" customWidth="1"/>
    <col min="11546" max="11775" width="12.59765625" style="396"/>
    <col min="11776" max="11776" width="8.265625" style="396" bestFit="1" customWidth="1"/>
    <col min="11777" max="11777" width="2.265625" style="396" customWidth="1"/>
    <col min="11778" max="11778" width="41.3984375" style="396" customWidth="1"/>
    <col min="11779" max="11779" width="9.265625" style="396" customWidth="1"/>
    <col min="11780" max="11780" width="20" style="396" customWidth="1"/>
    <col min="11781" max="11781" width="2.265625" style="396" customWidth="1"/>
    <col min="11782" max="11782" width="23.59765625" style="396" customWidth="1"/>
    <col min="11783" max="11783" width="14.265625" style="396" customWidth="1"/>
    <col min="11784" max="11784" width="11.86328125" style="396" customWidth="1"/>
    <col min="11785" max="11785" width="17.3984375" style="396" customWidth="1"/>
    <col min="11786" max="11786" width="20.265625" style="396" bestFit="1" customWidth="1"/>
    <col min="11787" max="11787" width="19.86328125" style="396" customWidth="1"/>
    <col min="11788" max="11788" width="10.3984375" style="396" bestFit="1" customWidth="1"/>
    <col min="11789" max="11789" width="13.1328125" style="396" bestFit="1" customWidth="1"/>
    <col min="11790" max="11790" width="2.265625" style="396" customWidth="1"/>
    <col min="11791" max="11791" width="22.73046875" style="396" customWidth="1"/>
    <col min="11792" max="11792" width="2.265625" style="396" customWidth="1"/>
    <col min="11793" max="11793" width="25.86328125" style="396" bestFit="1" customWidth="1"/>
    <col min="11794" max="11794" width="2.265625" style="396" customWidth="1"/>
    <col min="11795" max="11795" width="13.86328125" style="396" customWidth="1"/>
    <col min="11796" max="11796" width="2.265625" style="396" customWidth="1"/>
    <col min="11797" max="11797" width="16.3984375" style="396" bestFit="1" customWidth="1"/>
    <col min="11798" max="11798" width="2.265625" style="396" customWidth="1"/>
    <col min="11799" max="11799" width="19" style="396" bestFit="1" customWidth="1"/>
    <col min="11800" max="11800" width="22.86328125" style="396" customWidth="1"/>
    <col min="11801" max="11801" width="6.1328125" style="396" customWidth="1"/>
    <col min="11802" max="12031" width="12.59765625" style="396"/>
    <col min="12032" max="12032" width="8.265625" style="396" bestFit="1" customWidth="1"/>
    <col min="12033" max="12033" width="2.265625" style="396" customWidth="1"/>
    <col min="12034" max="12034" width="41.3984375" style="396" customWidth="1"/>
    <col min="12035" max="12035" width="9.265625" style="396" customWidth="1"/>
    <col min="12036" max="12036" width="20" style="396" customWidth="1"/>
    <col min="12037" max="12037" width="2.265625" style="396" customWidth="1"/>
    <col min="12038" max="12038" width="23.59765625" style="396" customWidth="1"/>
    <col min="12039" max="12039" width="14.265625" style="396" customWidth="1"/>
    <col min="12040" max="12040" width="11.86328125" style="396" customWidth="1"/>
    <col min="12041" max="12041" width="17.3984375" style="396" customWidth="1"/>
    <col min="12042" max="12042" width="20.265625" style="396" bestFit="1" customWidth="1"/>
    <col min="12043" max="12043" width="19.86328125" style="396" customWidth="1"/>
    <col min="12044" max="12044" width="10.3984375" style="396" bestFit="1" customWidth="1"/>
    <col min="12045" max="12045" width="13.1328125" style="396" bestFit="1" customWidth="1"/>
    <col min="12046" max="12046" width="2.265625" style="396" customWidth="1"/>
    <col min="12047" max="12047" width="22.73046875" style="396" customWidth="1"/>
    <col min="12048" max="12048" width="2.265625" style="396" customWidth="1"/>
    <col min="12049" max="12049" width="25.86328125" style="396" bestFit="1" customWidth="1"/>
    <col min="12050" max="12050" width="2.265625" style="396" customWidth="1"/>
    <col min="12051" max="12051" width="13.86328125" style="396" customWidth="1"/>
    <col min="12052" max="12052" width="2.265625" style="396" customWidth="1"/>
    <col min="12053" max="12053" width="16.3984375" style="396" bestFit="1" customWidth="1"/>
    <col min="12054" max="12054" width="2.265625" style="396" customWidth="1"/>
    <col min="12055" max="12055" width="19" style="396" bestFit="1" customWidth="1"/>
    <col min="12056" max="12056" width="22.86328125" style="396" customWidth="1"/>
    <col min="12057" max="12057" width="6.1328125" style="396" customWidth="1"/>
    <col min="12058" max="12287" width="12.59765625" style="396"/>
    <col min="12288" max="12288" width="8.265625" style="396" bestFit="1" customWidth="1"/>
    <col min="12289" max="12289" width="2.265625" style="396" customWidth="1"/>
    <col min="12290" max="12290" width="41.3984375" style="396" customWidth="1"/>
    <col min="12291" max="12291" width="9.265625" style="396" customWidth="1"/>
    <col min="12292" max="12292" width="20" style="396" customWidth="1"/>
    <col min="12293" max="12293" width="2.265625" style="396" customWidth="1"/>
    <col min="12294" max="12294" width="23.59765625" style="396" customWidth="1"/>
    <col min="12295" max="12295" width="14.265625" style="396" customWidth="1"/>
    <col min="12296" max="12296" width="11.86328125" style="396" customWidth="1"/>
    <col min="12297" max="12297" width="17.3984375" style="396" customWidth="1"/>
    <col min="12298" max="12298" width="20.265625" style="396" bestFit="1" customWidth="1"/>
    <col min="12299" max="12299" width="19.86328125" style="396" customWidth="1"/>
    <col min="12300" max="12300" width="10.3984375" style="396" bestFit="1" customWidth="1"/>
    <col min="12301" max="12301" width="13.1328125" style="396" bestFit="1" customWidth="1"/>
    <col min="12302" max="12302" width="2.265625" style="396" customWidth="1"/>
    <col min="12303" max="12303" width="22.73046875" style="396" customWidth="1"/>
    <col min="12304" max="12304" width="2.265625" style="396" customWidth="1"/>
    <col min="12305" max="12305" width="25.86328125" style="396" bestFit="1" customWidth="1"/>
    <col min="12306" max="12306" width="2.265625" style="396" customWidth="1"/>
    <col min="12307" max="12307" width="13.86328125" style="396" customWidth="1"/>
    <col min="12308" max="12308" width="2.265625" style="396" customWidth="1"/>
    <col min="12309" max="12309" width="16.3984375" style="396" bestFit="1" customWidth="1"/>
    <col min="12310" max="12310" width="2.265625" style="396" customWidth="1"/>
    <col min="12311" max="12311" width="19" style="396" bestFit="1" customWidth="1"/>
    <col min="12312" max="12312" width="22.86328125" style="396" customWidth="1"/>
    <col min="12313" max="12313" width="6.1328125" style="396" customWidth="1"/>
    <col min="12314" max="12543" width="12.59765625" style="396"/>
    <col min="12544" max="12544" width="8.265625" style="396" bestFit="1" customWidth="1"/>
    <col min="12545" max="12545" width="2.265625" style="396" customWidth="1"/>
    <col min="12546" max="12546" width="41.3984375" style="396" customWidth="1"/>
    <col min="12547" max="12547" width="9.265625" style="396" customWidth="1"/>
    <col min="12548" max="12548" width="20" style="396" customWidth="1"/>
    <col min="12549" max="12549" width="2.265625" style="396" customWidth="1"/>
    <col min="12550" max="12550" width="23.59765625" style="396" customWidth="1"/>
    <col min="12551" max="12551" width="14.265625" style="396" customWidth="1"/>
    <col min="12552" max="12552" width="11.86328125" style="396" customWidth="1"/>
    <col min="12553" max="12553" width="17.3984375" style="396" customWidth="1"/>
    <col min="12554" max="12554" width="20.265625" style="396" bestFit="1" customWidth="1"/>
    <col min="12555" max="12555" width="19.86328125" style="396" customWidth="1"/>
    <col min="12556" max="12556" width="10.3984375" style="396" bestFit="1" customWidth="1"/>
    <col min="12557" max="12557" width="13.1328125" style="396" bestFit="1" customWidth="1"/>
    <col min="12558" max="12558" width="2.265625" style="396" customWidth="1"/>
    <col min="12559" max="12559" width="22.73046875" style="396" customWidth="1"/>
    <col min="12560" max="12560" width="2.265625" style="396" customWidth="1"/>
    <col min="12561" max="12561" width="25.86328125" style="396" bestFit="1" customWidth="1"/>
    <col min="12562" max="12562" width="2.265625" style="396" customWidth="1"/>
    <col min="12563" max="12563" width="13.86328125" style="396" customWidth="1"/>
    <col min="12564" max="12564" width="2.265625" style="396" customWidth="1"/>
    <col min="12565" max="12565" width="16.3984375" style="396" bestFit="1" customWidth="1"/>
    <col min="12566" max="12566" width="2.265625" style="396" customWidth="1"/>
    <col min="12567" max="12567" width="19" style="396" bestFit="1" customWidth="1"/>
    <col min="12568" max="12568" width="22.86328125" style="396" customWidth="1"/>
    <col min="12569" max="12569" width="6.1328125" style="396" customWidth="1"/>
    <col min="12570" max="12799" width="12.59765625" style="396"/>
    <col min="12800" max="12800" width="8.265625" style="396" bestFit="1" customWidth="1"/>
    <col min="12801" max="12801" width="2.265625" style="396" customWidth="1"/>
    <col min="12802" max="12802" width="41.3984375" style="396" customWidth="1"/>
    <col min="12803" max="12803" width="9.265625" style="396" customWidth="1"/>
    <col min="12804" max="12804" width="20" style="396" customWidth="1"/>
    <col min="12805" max="12805" width="2.265625" style="396" customWidth="1"/>
    <col min="12806" max="12806" width="23.59765625" style="396" customWidth="1"/>
    <col min="12807" max="12807" width="14.265625" style="396" customWidth="1"/>
    <col min="12808" max="12808" width="11.86328125" style="396" customWidth="1"/>
    <col min="12809" max="12809" width="17.3984375" style="396" customWidth="1"/>
    <col min="12810" max="12810" width="20.265625" style="396" bestFit="1" customWidth="1"/>
    <col min="12811" max="12811" width="19.86328125" style="396" customWidth="1"/>
    <col min="12812" max="12812" width="10.3984375" style="396" bestFit="1" customWidth="1"/>
    <col min="12813" max="12813" width="13.1328125" style="396" bestFit="1" customWidth="1"/>
    <col min="12814" max="12814" width="2.265625" style="396" customWidth="1"/>
    <col min="12815" max="12815" width="22.73046875" style="396" customWidth="1"/>
    <col min="12816" max="12816" width="2.265625" style="396" customWidth="1"/>
    <col min="12817" max="12817" width="25.86328125" style="396" bestFit="1" customWidth="1"/>
    <col min="12818" max="12818" width="2.265625" style="396" customWidth="1"/>
    <col min="12819" max="12819" width="13.86328125" style="396" customWidth="1"/>
    <col min="12820" max="12820" width="2.265625" style="396" customWidth="1"/>
    <col min="12821" max="12821" width="16.3984375" style="396" bestFit="1" customWidth="1"/>
    <col min="12822" max="12822" width="2.265625" style="396" customWidth="1"/>
    <col min="12823" max="12823" width="19" style="396" bestFit="1" customWidth="1"/>
    <col min="12824" max="12824" width="22.86328125" style="396" customWidth="1"/>
    <col min="12825" max="12825" width="6.1328125" style="396" customWidth="1"/>
    <col min="12826" max="13055" width="12.59765625" style="396"/>
    <col min="13056" max="13056" width="8.265625" style="396" bestFit="1" customWidth="1"/>
    <col min="13057" max="13057" width="2.265625" style="396" customWidth="1"/>
    <col min="13058" max="13058" width="41.3984375" style="396" customWidth="1"/>
    <col min="13059" max="13059" width="9.265625" style="396" customWidth="1"/>
    <col min="13060" max="13060" width="20" style="396" customWidth="1"/>
    <col min="13061" max="13061" width="2.265625" style="396" customWidth="1"/>
    <col min="13062" max="13062" width="23.59765625" style="396" customWidth="1"/>
    <col min="13063" max="13063" width="14.265625" style="396" customWidth="1"/>
    <col min="13064" max="13064" width="11.86328125" style="396" customWidth="1"/>
    <col min="13065" max="13065" width="17.3984375" style="396" customWidth="1"/>
    <col min="13066" max="13066" width="20.265625" style="396" bestFit="1" customWidth="1"/>
    <col min="13067" max="13067" width="19.86328125" style="396" customWidth="1"/>
    <col min="13068" max="13068" width="10.3984375" style="396" bestFit="1" customWidth="1"/>
    <col min="13069" max="13069" width="13.1328125" style="396" bestFit="1" customWidth="1"/>
    <col min="13070" max="13070" width="2.265625" style="396" customWidth="1"/>
    <col min="13071" max="13071" width="22.73046875" style="396" customWidth="1"/>
    <col min="13072" max="13072" width="2.265625" style="396" customWidth="1"/>
    <col min="13073" max="13073" width="25.86328125" style="396" bestFit="1" customWidth="1"/>
    <col min="13074" max="13074" width="2.265625" style="396" customWidth="1"/>
    <col min="13075" max="13075" width="13.86328125" style="396" customWidth="1"/>
    <col min="13076" max="13076" width="2.265625" style="396" customWidth="1"/>
    <col min="13077" max="13077" width="16.3984375" style="396" bestFit="1" customWidth="1"/>
    <col min="13078" max="13078" width="2.265625" style="396" customWidth="1"/>
    <col min="13079" max="13079" width="19" style="396" bestFit="1" customWidth="1"/>
    <col min="13080" max="13080" width="22.86328125" style="396" customWidth="1"/>
    <col min="13081" max="13081" width="6.1328125" style="396" customWidth="1"/>
    <col min="13082" max="13311" width="12.59765625" style="396"/>
    <col min="13312" max="13312" width="8.265625" style="396" bestFit="1" customWidth="1"/>
    <col min="13313" max="13313" width="2.265625" style="396" customWidth="1"/>
    <col min="13314" max="13314" width="41.3984375" style="396" customWidth="1"/>
    <col min="13315" max="13315" width="9.265625" style="396" customWidth="1"/>
    <col min="13316" max="13316" width="20" style="396" customWidth="1"/>
    <col min="13317" max="13317" width="2.265625" style="396" customWidth="1"/>
    <col min="13318" max="13318" width="23.59765625" style="396" customWidth="1"/>
    <col min="13319" max="13319" width="14.265625" style="396" customWidth="1"/>
    <col min="13320" max="13320" width="11.86328125" style="396" customWidth="1"/>
    <col min="13321" max="13321" width="17.3984375" style="396" customWidth="1"/>
    <col min="13322" max="13322" width="20.265625" style="396" bestFit="1" customWidth="1"/>
    <col min="13323" max="13323" width="19.86328125" style="396" customWidth="1"/>
    <col min="13324" max="13324" width="10.3984375" style="396" bestFit="1" customWidth="1"/>
    <col min="13325" max="13325" width="13.1328125" style="396" bestFit="1" customWidth="1"/>
    <col min="13326" max="13326" width="2.265625" style="396" customWidth="1"/>
    <col min="13327" max="13327" width="22.73046875" style="396" customWidth="1"/>
    <col min="13328" max="13328" width="2.265625" style="396" customWidth="1"/>
    <col min="13329" max="13329" width="25.86328125" style="396" bestFit="1" customWidth="1"/>
    <col min="13330" max="13330" width="2.265625" style="396" customWidth="1"/>
    <col min="13331" max="13331" width="13.86328125" style="396" customWidth="1"/>
    <col min="13332" max="13332" width="2.265625" style="396" customWidth="1"/>
    <col min="13333" max="13333" width="16.3984375" style="396" bestFit="1" customWidth="1"/>
    <col min="13334" max="13334" width="2.265625" style="396" customWidth="1"/>
    <col min="13335" max="13335" width="19" style="396" bestFit="1" customWidth="1"/>
    <col min="13336" max="13336" width="22.86328125" style="396" customWidth="1"/>
    <col min="13337" max="13337" width="6.1328125" style="396" customWidth="1"/>
    <col min="13338" max="13567" width="12.59765625" style="396"/>
    <col min="13568" max="13568" width="8.265625" style="396" bestFit="1" customWidth="1"/>
    <col min="13569" max="13569" width="2.265625" style="396" customWidth="1"/>
    <col min="13570" max="13570" width="41.3984375" style="396" customWidth="1"/>
    <col min="13571" max="13571" width="9.265625" style="396" customWidth="1"/>
    <col min="13572" max="13572" width="20" style="396" customWidth="1"/>
    <col min="13573" max="13573" width="2.265625" style="396" customWidth="1"/>
    <col min="13574" max="13574" width="23.59765625" style="396" customWidth="1"/>
    <col min="13575" max="13575" width="14.265625" style="396" customWidth="1"/>
    <col min="13576" max="13576" width="11.86328125" style="396" customWidth="1"/>
    <col min="13577" max="13577" width="17.3984375" style="396" customWidth="1"/>
    <col min="13578" max="13578" width="20.265625" style="396" bestFit="1" customWidth="1"/>
    <col min="13579" max="13579" width="19.86328125" style="396" customWidth="1"/>
    <col min="13580" max="13580" width="10.3984375" style="396" bestFit="1" customWidth="1"/>
    <col min="13581" max="13581" width="13.1328125" style="396" bestFit="1" customWidth="1"/>
    <col min="13582" max="13582" width="2.265625" style="396" customWidth="1"/>
    <col min="13583" max="13583" width="22.73046875" style="396" customWidth="1"/>
    <col min="13584" max="13584" width="2.265625" style="396" customWidth="1"/>
    <col min="13585" max="13585" width="25.86328125" style="396" bestFit="1" customWidth="1"/>
    <col min="13586" max="13586" width="2.265625" style="396" customWidth="1"/>
    <col min="13587" max="13587" width="13.86328125" style="396" customWidth="1"/>
    <col min="13588" max="13588" width="2.265625" style="396" customWidth="1"/>
    <col min="13589" max="13589" width="16.3984375" style="396" bestFit="1" customWidth="1"/>
    <col min="13590" max="13590" width="2.265625" style="396" customWidth="1"/>
    <col min="13591" max="13591" width="19" style="396" bestFit="1" customWidth="1"/>
    <col min="13592" max="13592" width="22.86328125" style="396" customWidth="1"/>
    <col min="13593" max="13593" width="6.1328125" style="396" customWidth="1"/>
    <col min="13594" max="13823" width="12.59765625" style="396"/>
    <col min="13824" max="13824" width="8.265625" style="396" bestFit="1" customWidth="1"/>
    <col min="13825" max="13825" width="2.265625" style="396" customWidth="1"/>
    <col min="13826" max="13826" width="41.3984375" style="396" customWidth="1"/>
    <col min="13827" max="13827" width="9.265625" style="396" customWidth="1"/>
    <col min="13828" max="13828" width="20" style="396" customWidth="1"/>
    <col min="13829" max="13829" width="2.265625" style="396" customWidth="1"/>
    <col min="13830" max="13830" width="23.59765625" style="396" customWidth="1"/>
    <col min="13831" max="13831" width="14.265625" style="396" customWidth="1"/>
    <col min="13832" max="13832" width="11.86328125" style="396" customWidth="1"/>
    <col min="13833" max="13833" width="17.3984375" style="396" customWidth="1"/>
    <col min="13834" max="13834" width="20.265625" style="396" bestFit="1" customWidth="1"/>
    <col min="13835" max="13835" width="19.86328125" style="396" customWidth="1"/>
    <col min="13836" max="13836" width="10.3984375" style="396" bestFit="1" customWidth="1"/>
    <col min="13837" max="13837" width="13.1328125" style="396" bestFit="1" customWidth="1"/>
    <col min="13838" max="13838" width="2.265625" style="396" customWidth="1"/>
    <col min="13839" max="13839" width="22.73046875" style="396" customWidth="1"/>
    <col min="13840" max="13840" width="2.265625" style="396" customWidth="1"/>
    <col min="13841" max="13841" width="25.86328125" style="396" bestFit="1" customWidth="1"/>
    <col min="13842" max="13842" width="2.265625" style="396" customWidth="1"/>
    <col min="13843" max="13843" width="13.86328125" style="396" customWidth="1"/>
    <col min="13844" max="13844" width="2.265625" style="396" customWidth="1"/>
    <col min="13845" max="13845" width="16.3984375" style="396" bestFit="1" customWidth="1"/>
    <col min="13846" max="13846" width="2.265625" style="396" customWidth="1"/>
    <col min="13847" max="13847" width="19" style="396" bestFit="1" customWidth="1"/>
    <col min="13848" max="13848" width="22.86328125" style="396" customWidth="1"/>
    <col min="13849" max="13849" width="6.1328125" style="396" customWidth="1"/>
    <col min="13850" max="14079" width="12.59765625" style="396"/>
    <col min="14080" max="14080" width="8.265625" style="396" bestFit="1" customWidth="1"/>
    <col min="14081" max="14081" width="2.265625" style="396" customWidth="1"/>
    <col min="14082" max="14082" width="41.3984375" style="396" customWidth="1"/>
    <col min="14083" max="14083" width="9.265625" style="396" customWidth="1"/>
    <col min="14084" max="14084" width="20" style="396" customWidth="1"/>
    <col min="14085" max="14085" width="2.265625" style="396" customWidth="1"/>
    <col min="14086" max="14086" width="23.59765625" style="396" customWidth="1"/>
    <col min="14087" max="14087" width="14.265625" style="396" customWidth="1"/>
    <col min="14088" max="14088" width="11.86328125" style="396" customWidth="1"/>
    <col min="14089" max="14089" width="17.3984375" style="396" customWidth="1"/>
    <col min="14090" max="14090" width="20.265625" style="396" bestFit="1" customWidth="1"/>
    <col min="14091" max="14091" width="19.86328125" style="396" customWidth="1"/>
    <col min="14092" max="14092" width="10.3984375" style="396" bestFit="1" customWidth="1"/>
    <col min="14093" max="14093" width="13.1328125" style="396" bestFit="1" customWidth="1"/>
    <col min="14094" max="14094" width="2.265625" style="396" customWidth="1"/>
    <col min="14095" max="14095" width="22.73046875" style="396" customWidth="1"/>
    <col min="14096" max="14096" width="2.265625" style="396" customWidth="1"/>
    <col min="14097" max="14097" width="25.86328125" style="396" bestFit="1" customWidth="1"/>
    <col min="14098" max="14098" width="2.265625" style="396" customWidth="1"/>
    <col min="14099" max="14099" width="13.86328125" style="396" customWidth="1"/>
    <col min="14100" max="14100" width="2.265625" style="396" customWidth="1"/>
    <col min="14101" max="14101" width="16.3984375" style="396" bestFit="1" customWidth="1"/>
    <col min="14102" max="14102" width="2.265625" style="396" customWidth="1"/>
    <col min="14103" max="14103" width="19" style="396" bestFit="1" customWidth="1"/>
    <col min="14104" max="14104" width="22.86328125" style="396" customWidth="1"/>
    <col min="14105" max="14105" width="6.1328125" style="396" customWidth="1"/>
    <col min="14106" max="14335" width="12.59765625" style="396"/>
    <col min="14336" max="14336" width="8.265625" style="396" bestFit="1" customWidth="1"/>
    <col min="14337" max="14337" width="2.265625" style="396" customWidth="1"/>
    <col min="14338" max="14338" width="41.3984375" style="396" customWidth="1"/>
    <col min="14339" max="14339" width="9.265625" style="396" customWidth="1"/>
    <col min="14340" max="14340" width="20" style="396" customWidth="1"/>
    <col min="14341" max="14341" width="2.265625" style="396" customWidth="1"/>
    <col min="14342" max="14342" width="23.59765625" style="396" customWidth="1"/>
    <col min="14343" max="14343" width="14.265625" style="396" customWidth="1"/>
    <col min="14344" max="14344" width="11.86328125" style="396" customWidth="1"/>
    <col min="14345" max="14345" width="17.3984375" style="396" customWidth="1"/>
    <col min="14346" max="14346" width="20.265625" style="396" bestFit="1" customWidth="1"/>
    <col min="14347" max="14347" width="19.86328125" style="396" customWidth="1"/>
    <col min="14348" max="14348" width="10.3984375" style="396" bestFit="1" customWidth="1"/>
    <col min="14349" max="14349" width="13.1328125" style="396" bestFit="1" customWidth="1"/>
    <col min="14350" max="14350" width="2.265625" style="396" customWidth="1"/>
    <col min="14351" max="14351" width="22.73046875" style="396" customWidth="1"/>
    <col min="14352" max="14352" width="2.265625" style="396" customWidth="1"/>
    <col min="14353" max="14353" width="25.86328125" style="396" bestFit="1" customWidth="1"/>
    <col min="14354" max="14354" width="2.265625" style="396" customWidth="1"/>
    <col min="14355" max="14355" width="13.86328125" style="396" customWidth="1"/>
    <col min="14356" max="14356" width="2.265625" style="396" customWidth="1"/>
    <col min="14357" max="14357" width="16.3984375" style="396" bestFit="1" customWidth="1"/>
    <col min="14358" max="14358" width="2.265625" style="396" customWidth="1"/>
    <col min="14359" max="14359" width="19" style="396" bestFit="1" customWidth="1"/>
    <col min="14360" max="14360" width="22.86328125" style="396" customWidth="1"/>
    <col min="14361" max="14361" width="6.1328125" style="396" customWidth="1"/>
    <col min="14362" max="14591" width="12.59765625" style="396"/>
    <col min="14592" max="14592" width="8.265625" style="396" bestFit="1" customWidth="1"/>
    <col min="14593" max="14593" width="2.265625" style="396" customWidth="1"/>
    <col min="14594" max="14594" width="41.3984375" style="396" customWidth="1"/>
    <col min="14595" max="14595" width="9.265625" style="396" customWidth="1"/>
    <col min="14596" max="14596" width="20" style="396" customWidth="1"/>
    <col min="14597" max="14597" width="2.265625" style="396" customWidth="1"/>
    <col min="14598" max="14598" width="23.59765625" style="396" customWidth="1"/>
    <col min="14599" max="14599" width="14.265625" style="396" customWidth="1"/>
    <col min="14600" max="14600" width="11.86328125" style="396" customWidth="1"/>
    <col min="14601" max="14601" width="17.3984375" style="396" customWidth="1"/>
    <col min="14602" max="14602" width="20.265625" style="396" bestFit="1" customWidth="1"/>
    <col min="14603" max="14603" width="19.86328125" style="396" customWidth="1"/>
    <col min="14604" max="14604" width="10.3984375" style="396" bestFit="1" customWidth="1"/>
    <col min="14605" max="14605" width="13.1328125" style="396" bestFit="1" customWidth="1"/>
    <col min="14606" max="14606" width="2.265625" style="396" customWidth="1"/>
    <col min="14607" max="14607" width="22.73046875" style="396" customWidth="1"/>
    <col min="14608" max="14608" width="2.265625" style="396" customWidth="1"/>
    <col min="14609" max="14609" width="25.86328125" style="396" bestFit="1" customWidth="1"/>
    <col min="14610" max="14610" width="2.265625" style="396" customWidth="1"/>
    <col min="14611" max="14611" width="13.86328125" style="396" customWidth="1"/>
    <col min="14612" max="14612" width="2.265625" style="396" customWidth="1"/>
    <col min="14613" max="14613" width="16.3984375" style="396" bestFit="1" customWidth="1"/>
    <col min="14614" max="14614" width="2.265625" style="396" customWidth="1"/>
    <col min="14615" max="14615" width="19" style="396" bestFit="1" customWidth="1"/>
    <col min="14616" max="14616" width="22.86328125" style="396" customWidth="1"/>
    <col min="14617" max="14617" width="6.1328125" style="396" customWidth="1"/>
    <col min="14618" max="14847" width="12.59765625" style="396"/>
    <col min="14848" max="14848" width="8.265625" style="396" bestFit="1" customWidth="1"/>
    <col min="14849" max="14849" width="2.265625" style="396" customWidth="1"/>
    <col min="14850" max="14850" width="41.3984375" style="396" customWidth="1"/>
    <col min="14851" max="14851" width="9.265625" style="396" customWidth="1"/>
    <col min="14852" max="14852" width="20" style="396" customWidth="1"/>
    <col min="14853" max="14853" width="2.265625" style="396" customWidth="1"/>
    <col min="14854" max="14854" width="23.59765625" style="396" customWidth="1"/>
    <col min="14855" max="14855" width="14.265625" style="396" customWidth="1"/>
    <col min="14856" max="14856" width="11.86328125" style="396" customWidth="1"/>
    <col min="14857" max="14857" width="17.3984375" style="396" customWidth="1"/>
    <col min="14858" max="14858" width="20.265625" style="396" bestFit="1" customWidth="1"/>
    <col min="14859" max="14859" width="19.86328125" style="396" customWidth="1"/>
    <col min="14860" max="14860" width="10.3984375" style="396" bestFit="1" customWidth="1"/>
    <col min="14861" max="14861" width="13.1328125" style="396" bestFit="1" customWidth="1"/>
    <col min="14862" max="14862" width="2.265625" style="396" customWidth="1"/>
    <col min="14863" max="14863" width="22.73046875" style="396" customWidth="1"/>
    <col min="14864" max="14864" width="2.265625" style="396" customWidth="1"/>
    <col min="14865" max="14865" width="25.86328125" style="396" bestFit="1" customWidth="1"/>
    <col min="14866" max="14866" width="2.265625" style="396" customWidth="1"/>
    <col min="14867" max="14867" width="13.86328125" style="396" customWidth="1"/>
    <col min="14868" max="14868" width="2.265625" style="396" customWidth="1"/>
    <col min="14869" max="14869" width="16.3984375" style="396" bestFit="1" customWidth="1"/>
    <col min="14870" max="14870" width="2.265625" style="396" customWidth="1"/>
    <col min="14871" max="14871" width="19" style="396" bestFit="1" customWidth="1"/>
    <col min="14872" max="14872" width="22.86328125" style="396" customWidth="1"/>
    <col min="14873" max="14873" width="6.1328125" style="396" customWidth="1"/>
    <col min="14874" max="15103" width="12.59765625" style="396"/>
    <col min="15104" max="15104" width="8.265625" style="396" bestFit="1" customWidth="1"/>
    <col min="15105" max="15105" width="2.265625" style="396" customWidth="1"/>
    <col min="15106" max="15106" width="41.3984375" style="396" customWidth="1"/>
    <col min="15107" max="15107" width="9.265625" style="396" customWidth="1"/>
    <col min="15108" max="15108" width="20" style="396" customWidth="1"/>
    <col min="15109" max="15109" width="2.265625" style="396" customWidth="1"/>
    <col min="15110" max="15110" width="23.59765625" style="396" customWidth="1"/>
    <col min="15111" max="15111" width="14.265625" style="396" customWidth="1"/>
    <col min="15112" max="15112" width="11.86328125" style="396" customWidth="1"/>
    <col min="15113" max="15113" width="17.3984375" style="396" customWidth="1"/>
    <col min="15114" max="15114" width="20.265625" style="396" bestFit="1" customWidth="1"/>
    <col min="15115" max="15115" width="19.86328125" style="396" customWidth="1"/>
    <col min="15116" max="15116" width="10.3984375" style="396" bestFit="1" customWidth="1"/>
    <col min="15117" max="15117" width="13.1328125" style="396" bestFit="1" customWidth="1"/>
    <col min="15118" max="15118" width="2.265625" style="396" customWidth="1"/>
    <col min="15119" max="15119" width="22.73046875" style="396" customWidth="1"/>
    <col min="15120" max="15120" width="2.265625" style="396" customWidth="1"/>
    <col min="15121" max="15121" width="25.86328125" style="396" bestFit="1" customWidth="1"/>
    <col min="15122" max="15122" width="2.265625" style="396" customWidth="1"/>
    <col min="15123" max="15123" width="13.86328125" style="396" customWidth="1"/>
    <col min="15124" max="15124" width="2.265625" style="396" customWidth="1"/>
    <col min="15125" max="15125" width="16.3984375" style="396" bestFit="1" customWidth="1"/>
    <col min="15126" max="15126" width="2.265625" style="396" customWidth="1"/>
    <col min="15127" max="15127" width="19" style="396" bestFit="1" customWidth="1"/>
    <col min="15128" max="15128" width="22.86328125" style="396" customWidth="1"/>
    <col min="15129" max="15129" width="6.1328125" style="396" customWidth="1"/>
    <col min="15130" max="15359" width="12.59765625" style="396"/>
    <col min="15360" max="15360" width="8.265625" style="396" bestFit="1" customWidth="1"/>
    <col min="15361" max="15361" width="2.265625" style="396" customWidth="1"/>
    <col min="15362" max="15362" width="41.3984375" style="396" customWidth="1"/>
    <col min="15363" max="15363" width="9.265625" style="396" customWidth="1"/>
    <col min="15364" max="15364" width="20" style="396" customWidth="1"/>
    <col min="15365" max="15365" width="2.265625" style="396" customWidth="1"/>
    <col min="15366" max="15366" width="23.59765625" style="396" customWidth="1"/>
    <col min="15367" max="15367" width="14.265625" style="396" customWidth="1"/>
    <col min="15368" max="15368" width="11.86328125" style="396" customWidth="1"/>
    <col min="15369" max="15369" width="17.3984375" style="396" customWidth="1"/>
    <col min="15370" max="15370" width="20.265625" style="396" bestFit="1" customWidth="1"/>
    <col min="15371" max="15371" width="19.86328125" style="396" customWidth="1"/>
    <col min="15372" max="15372" width="10.3984375" style="396" bestFit="1" customWidth="1"/>
    <col min="15373" max="15373" width="13.1328125" style="396" bestFit="1" customWidth="1"/>
    <col min="15374" max="15374" width="2.265625" style="396" customWidth="1"/>
    <col min="15375" max="15375" width="22.73046875" style="396" customWidth="1"/>
    <col min="15376" max="15376" width="2.265625" style="396" customWidth="1"/>
    <col min="15377" max="15377" width="25.86328125" style="396" bestFit="1" customWidth="1"/>
    <col min="15378" max="15378" width="2.265625" style="396" customWidth="1"/>
    <col min="15379" max="15379" width="13.86328125" style="396" customWidth="1"/>
    <col min="15380" max="15380" width="2.265625" style="396" customWidth="1"/>
    <col min="15381" max="15381" width="16.3984375" style="396" bestFit="1" customWidth="1"/>
    <col min="15382" max="15382" width="2.265625" style="396" customWidth="1"/>
    <col min="15383" max="15383" width="19" style="396" bestFit="1" customWidth="1"/>
    <col min="15384" max="15384" width="22.86328125" style="396" customWidth="1"/>
    <col min="15385" max="15385" width="6.1328125" style="396" customWidth="1"/>
    <col min="15386" max="15615" width="12.59765625" style="396"/>
    <col min="15616" max="15616" width="8.265625" style="396" bestFit="1" customWidth="1"/>
    <col min="15617" max="15617" width="2.265625" style="396" customWidth="1"/>
    <col min="15618" max="15618" width="41.3984375" style="396" customWidth="1"/>
    <col min="15619" max="15619" width="9.265625" style="396" customWidth="1"/>
    <col min="15620" max="15620" width="20" style="396" customWidth="1"/>
    <col min="15621" max="15621" width="2.265625" style="396" customWidth="1"/>
    <col min="15622" max="15622" width="23.59765625" style="396" customWidth="1"/>
    <col min="15623" max="15623" width="14.265625" style="396" customWidth="1"/>
    <col min="15624" max="15624" width="11.86328125" style="396" customWidth="1"/>
    <col min="15625" max="15625" width="17.3984375" style="396" customWidth="1"/>
    <col min="15626" max="15626" width="20.265625" style="396" bestFit="1" customWidth="1"/>
    <col min="15627" max="15627" width="19.86328125" style="396" customWidth="1"/>
    <col min="15628" max="15628" width="10.3984375" style="396" bestFit="1" customWidth="1"/>
    <col min="15629" max="15629" width="13.1328125" style="396" bestFit="1" customWidth="1"/>
    <col min="15630" max="15630" width="2.265625" style="396" customWidth="1"/>
    <col min="15631" max="15631" width="22.73046875" style="396" customWidth="1"/>
    <col min="15632" max="15632" width="2.265625" style="396" customWidth="1"/>
    <col min="15633" max="15633" width="25.86328125" style="396" bestFit="1" customWidth="1"/>
    <col min="15634" max="15634" width="2.265625" style="396" customWidth="1"/>
    <col min="15635" max="15635" width="13.86328125" style="396" customWidth="1"/>
    <col min="15636" max="15636" width="2.265625" style="396" customWidth="1"/>
    <col min="15637" max="15637" width="16.3984375" style="396" bestFit="1" customWidth="1"/>
    <col min="15638" max="15638" width="2.265625" style="396" customWidth="1"/>
    <col min="15639" max="15639" width="19" style="396" bestFit="1" customWidth="1"/>
    <col min="15640" max="15640" width="22.86328125" style="396" customWidth="1"/>
    <col min="15641" max="15641" width="6.1328125" style="396" customWidth="1"/>
    <col min="15642" max="15871" width="12.59765625" style="396"/>
    <col min="15872" max="15872" width="8.265625" style="396" bestFit="1" customWidth="1"/>
    <col min="15873" max="15873" width="2.265625" style="396" customWidth="1"/>
    <col min="15874" max="15874" width="41.3984375" style="396" customWidth="1"/>
    <col min="15875" max="15875" width="9.265625" style="396" customWidth="1"/>
    <col min="15876" max="15876" width="20" style="396" customWidth="1"/>
    <col min="15877" max="15877" width="2.265625" style="396" customWidth="1"/>
    <col min="15878" max="15878" width="23.59765625" style="396" customWidth="1"/>
    <col min="15879" max="15879" width="14.265625" style="396" customWidth="1"/>
    <col min="15880" max="15880" width="11.86328125" style="396" customWidth="1"/>
    <col min="15881" max="15881" width="17.3984375" style="396" customWidth="1"/>
    <col min="15882" max="15882" width="20.265625" style="396" bestFit="1" customWidth="1"/>
    <col min="15883" max="15883" width="19.86328125" style="396" customWidth="1"/>
    <col min="15884" max="15884" width="10.3984375" style="396" bestFit="1" customWidth="1"/>
    <col min="15885" max="15885" width="13.1328125" style="396" bestFit="1" customWidth="1"/>
    <col min="15886" max="15886" width="2.265625" style="396" customWidth="1"/>
    <col min="15887" max="15887" width="22.73046875" style="396" customWidth="1"/>
    <col min="15888" max="15888" width="2.265625" style="396" customWidth="1"/>
    <col min="15889" max="15889" width="25.86328125" style="396" bestFit="1" customWidth="1"/>
    <col min="15890" max="15890" width="2.265625" style="396" customWidth="1"/>
    <col min="15891" max="15891" width="13.86328125" style="396" customWidth="1"/>
    <col min="15892" max="15892" width="2.265625" style="396" customWidth="1"/>
    <col min="15893" max="15893" width="16.3984375" style="396" bestFit="1" customWidth="1"/>
    <col min="15894" max="15894" width="2.265625" style="396" customWidth="1"/>
    <col min="15895" max="15895" width="19" style="396" bestFit="1" customWidth="1"/>
    <col min="15896" max="15896" width="22.86328125" style="396" customWidth="1"/>
    <col min="15897" max="15897" width="6.1328125" style="396" customWidth="1"/>
    <col min="15898" max="16127" width="12.59765625" style="396"/>
    <col min="16128" max="16128" width="8.265625" style="396" bestFit="1" customWidth="1"/>
    <col min="16129" max="16129" width="2.265625" style="396" customWidth="1"/>
    <col min="16130" max="16130" width="41.3984375" style="396" customWidth="1"/>
    <col min="16131" max="16131" width="9.265625" style="396" customWidth="1"/>
    <col min="16132" max="16132" width="20" style="396" customWidth="1"/>
    <col min="16133" max="16133" width="2.265625" style="396" customWidth="1"/>
    <col min="16134" max="16134" width="23.59765625" style="396" customWidth="1"/>
    <col min="16135" max="16135" width="14.265625" style="396" customWidth="1"/>
    <col min="16136" max="16136" width="11.86328125" style="396" customWidth="1"/>
    <col min="16137" max="16137" width="17.3984375" style="396" customWidth="1"/>
    <col min="16138" max="16138" width="20.265625" style="396" bestFit="1" customWidth="1"/>
    <col min="16139" max="16139" width="19.86328125" style="396" customWidth="1"/>
    <col min="16140" max="16140" width="10.3984375" style="396" bestFit="1" customWidth="1"/>
    <col min="16141" max="16141" width="13.1328125" style="396" bestFit="1" customWidth="1"/>
    <col min="16142" max="16142" width="2.265625" style="396" customWidth="1"/>
    <col min="16143" max="16143" width="22.73046875" style="396" customWidth="1"/>
    <col min="16144" max="16144" width="2.265625" style="396" customWidth="1"/>
    <col min="16145" max="16145" width="25.86328125" style="396" bestFit="1" customWidth="1"/>
    <col min="16146" max="16146" width="2.265625" style="396" customWidth="1"/>
    <col min="16147" max="16147" width="13.86328125" style="396" customWidth="1"/>
    <col min="16148" max="16148" width="2.265625" style="396" customWidth="1"/>
    <col min="16149" max="16149" width="16.3984375" style="396" bestFit="1" customWidth="1"/>
    <col min="16150" max="16150" width="2.265625" style="396" customWidth="1"/>
    <col min="16151" max="16151" width="19" style="396" bestFit="1" customWidth="1"/>
    <col min="16152" max="16152" width="22.86328125" style="396" customWidth="1"/>
    <col min="16153" max="16153" width="6.1328125" style="396" customWidth="1"/>
    <col min="16154" max="16384" width="12.59765625" style="396"/>
  </cols>
  <sheetData>
    <row r="1" spans="1:27" ht="13.15">
      <c r="A1" s="419" t="s">
        <v>1370</v>
      </c>
      <c r="B1" s="420"/>
      <c r="C1" s="420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0"/>
      <c r="R1" s="420"/>
      <c r="S1" s="420"/>
      <c r="T1" s="420"/>
      <c r="U1" s="420"/>
      <c r="V1" s="420"/>
      <c r="W1" s="420"/>
      <c r="X1" s="420"/>
    </row>
    <row r="2" spans="1:27" ht="13.15">
      <c r="A2" s="422" t="s">
        <v>1713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</row>
    <row r="3" spans="1:27" ht="13.15">
      <c r="A3" s="423" t="s">
        <v>1714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</row>
    <row r="4" spans="1:27" ht="13.15">
      <c r="A4" s="424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</row>
    <row r="5" spans="1:27" ht="14.25">
      <c r="G5" s="418"/>
    </row>
    <row r="6" spans="1:27">
      <c r="A6" s="416"/>
      <c r="B6" s="416"/>
      <c r="C6" s="416"/>
      <c r="D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</row>
    <row r="7" spans="1:27">
      <c r="A7" s="416"/>
      <c r="B7" s="416"/>
      <c r="C7" s="416"/>
      <c r="D7" s="416"/>
      <c r="E7" s="416" t="s">
        <v>1715</v>
      </c>
      <c r="F7" s="416"/>
      <c r="G7" s="416" t="s">
        <v>1716</v>
      </c>
      <c r="H7" s="416"/>
      <c r="I7" s="416" t="s">
        <v>1717</v>
      </c>
      <c r="J7" s="416"/>
      <c r="K7" s="416" t="s">
        <v>1718</v>
      </c>
      <c r="L7" s="416"/>
      <c r="M7" s="416" t="s">
        <v>1719</v>
      </c>
      <c r="N7" s="416"/>
      <c r="O7" s="416" t="s">
        <v>1720</v>
      </c>
      <c r="P7" s="416"/>
      <c r="Q7" s="416" t="s">
        <v>1721</v>
      </c>
      <c r="R7" s="416"/>
      <c r="S7" s="416" t="s">
        <v>1722</v>
      </c>
      <c r="T7" s="416"/>
      <c r="U7" s="416" t="s">
        <v>1723</v>
      </c>
      <c r="V7" s="416"/>
      <c r="W7" s="416" t="s">
        <v>1724</v>
      </c>
      <c r="X7" s="416"/>
    </row>
    <row r="8" spans="1:27" ht="38.25">
      <c r="A8" s="417" t="s">
        <v>1725</v>
      </c>
      <c r="B8" s="416"/>
      <c r="C8" s="417" t="s">
        <v>1641</v>
      </c>
      <c r="D8" s="416"/>
      <c r="E8" s="425" t="s">
        <v>1726</v>
      </c>
      <c r="F8" s="416"/>
      <c r="G8" s="425" t="s">
        <v>1727</v>
      </c>
      <c r="H8" s="416"/>
      <c r="I8" s="425" t="s">
        <v>1728</v>
      </c>
      <c r="J8" s="426"/>
      <c r="K8" s="425" t="s">
        <v>1729</v>
      </c>
      <c r="L8" s="416"/>
      <c r="M8" s="425" t="s">
        <v>1730</v>
      </c>
      <c r="N8" s="426"/>
      <c r="O8" s="425" t="s">
        <v>1731</v>
      </c>
      <c r="P8" s="416"/>
      <c r="Q8" s="425" t="s">
        <v>1732</v>
      </c>
      <c r="R8" s="426"/>
      <c r="S8" s="425" t="s">
        <v>1733</v>
      </c>
      <c r="T8" s="416"/>
      <c r="U8" s="425" t="s">
        <v>1734</v>
      </c>
      <c r="V8" s="416"/>
      <c r="W8" s="425" t="s">
        <v>1735</v>
      </c>
      <c r="X8" s="416"/>
    </row>
    <row r="9" spans="1:27">
      <c r="A9" s="416"/>
      <c r="B9" s="416"/>
      <c r="C9" s="416"/>
      <c r="D9" s="416"/>
      <c r="E9" s="426"/>
      <c r="F9" s="416"/>
      <c r="G9" s="426"/>
      <c r="H9" s="416"/>
      <c r="I9" s="426"/>
      <c r="J9" s="426"/>
      <c r="K9" s="426"/>
      <c r="L9" s="416"/>
      <c r="M9" s="426"/>
      <c r="N9" s="426"/>
      <c r="O9" s="426"/>
      <c r="P9" s="416"/>
      <c r="Q9" s="426"/>
      <c r="R9" s="426"/>
      <c r="S9" s="426"/>
      <c r="T9" s="416"/>
      <c r="U9" s="426"/>
      <c r="V9" s="416"/>
      <c r="W9" s="426"/>
      <c r="X9" s="416"/>
    </row>
    <row r="10" spans="1:27" ht="13.15">
      <c r="A10" s="416"/>
      <c r="B10" s="416"/>
      <c r="C10" s="427" t="s">
        <v>1736</v>
      </c>
      <c r="D10" s="416"/>
      <c r="E10" s="426"/>
      <c r="F10" s="416"/>
      <c r="G10" s="426"/>
      <c r="H10" s="416"/>
      <c r="I10" s="426"/>
      <c r="J10" s="426"/>
      <c r="K10" s="426"/>
      <c r="L10" s="416"/>
      <c r="M10" s="426"/>
      <c r="N10" s="426"/>
      <c r="O10" s="426"/>
      <c r="P10" s="416"/>
      <c r="Q10" s="426"/>
      <c r="R10" s="426"/>
      <c r="S10" s="426"/>
      <c r="T10" s="416"/>
      <c r="U10" s="426"/>
      <c r="V10" s="416"/>
      <c r="W10" s="426"/>
      <c r="X10" s="416"/>
    </row>
    <row r="11" spans="1:27">
      <c r="A11" s="416">
        <v>1</v>
      </c>
      <c r="C11" s="396" t="s">
        <v>1737</v>
      </c>
      <c r="E11" s="428">
        <v>40000000</v>
      </c>
      <c r="G11" s="429">
        <v>34310</v>
      </c>
      <c r="H11" s="430"/>
      <c r="I11" s="429" t="s">
        <v>1738</v>
      </c>
      <c r="J11" s="429"/>
      <c r="K11" s="431">
        <v>40000000</v>
      </c>
      <c r="L11" s="430"/>
      <c r="M11" s="432">
        <v>2.9499999999999998E-2</v>
      </c>
      <c r="N11" s="432"/>
      <c r="O11" s="433">
        <v>3.0727086054362002E-2</v>
      </c>
      <c r="P11" s="430"/>
      <c r="Q11" s="434">
        <v>957310</v>
      </c>
      <c r="R11" s="434"/>
      <c r="S11" s="431">
        <f t="shared" ref="S11:S22" si="0">K11-Q11</f>
        <v>39042690</v>
      </c>
      <c r="T11" s="435"/>
      <c r="U11" s="431">
        <f t="shared" ref="U11:U22" si="1">K11</f>
        <v>40000000</v>
      </c>
      <c r="V11" s="435"/>
      <c r="W11" s="436">
        <f t="shared" ref="W11:W22" si="2">O11*U11</f>
        <v>1229083.4421744801</v>
      </c>
      <c r="X11" s="430"/>
      <c r="Y11" s="437"/>
    </row>
    <row r="12" spans="1:27">
      <c r="A12" s="416">
        <v>2</v>
      </c>
      <c r="C12" s="396" t="s">
        <v>1739</v>
      </c>
      <c r="E12" s="428">
        <v>39480000</v>
      </c>
      <c r="G12" s="429">
        <v>34310</v>
      </c>
      <c r="H12" s="430"/>
      <c r="I12" s="429" t="s">
        <v>1738</v>
      </c>
      <c r="J12" s="429"/>
      <c r="K12" s="431">
        <v>39480000</v>
      </c>
      <c r="L12" s="430"/>
      <c r="M12" s="432">
        <v>2.9499999999999998E-2</v>
      </c>
      <c r="N12" s="432"/>
      <c r="O12" s="433">
        <v>3.0725180652642518E-2</v>
      </c>
      <c r="P12" s="430"/>
      <c r="Q12" s="434">
        <v>943421</v>
      </c>
      <c r="R12" s="434"/>
      <c r="S12" s="431">
        <f t="shared" si="0"/>
        <v>38536579</v>
      </c>
      <c r="T12" s="435"/>
      <c r="U12" s="431">
        <f t="shared" si="1"/>
        <v>39480000</v>
      </c>
      <c r="V12" s="435"/>
      <c r="W12" s="436">
        <f t="shared" si="2"/>
        <v>1213030.1321663265</v>
      </c>
      <c r="X12" s="430"/>
      <c r="Y12" s="437"/>
      <c r="Z12" s="438"/>
      <c r="AA12" s="439"/>
    </row>
    <row r="13" spans="1:27" ht="15" customHeight="1">
      <c r="A13" s="416">
        <v>3</v>
      </c>
      <c r="C13" s="396" t="s">
        <v>1740</v>
      </c>
      <c r="E13" s="428">
        <v>0</v>
      </c>
      <c r="G13" s="429">
        <v>34388</v>
      </c>
      <c r="H13" s="430"/>
      <c r="I13" s="429" t="s">
        <v>1741</v>
      </c>
      <c r="J13" s="429"/>
      <c r="K13" s="431">
        <v>0</v>
      </c>
      <c r="L13" s="430"/>
      <c r="M13" s="432">
        <v>4.65E-2</v>
      </c>
      <c r="N13" s="432"/>
      <c r="O13" s="433">
        <v>4.7923602509827065E-2</v>
      </c>
      <c r="P13" s="430"/>
      <c r="Q13" s="434">
        <v>0</v>
      </c>
      <c r="R13" s="434"/>
      <c r="S13" s="431">
        <f t="shared" si="0"/>
        <v>0</v>
      </c>
      <c r="T13" s="435"/>
      <c r="U13" s="431">
        <f t="shared" si="1"/>
        <v>0</v>
      </c>
      <c r="V13" s="435"/>
      <c r="W13" s="436">
        <f t="shared" si="2"/>
        <v>0</v>
      </c>
      <c r="X13" s="430"/>
      <c r="Y13" s="437"/>
    </row>
    <row r="14" spans="1:27">
      <c r="A14" s="416">
        <v>4</v>
      </c>
      <c r="C14" s="440" t="s">
        <v>1742</v>
      </c>
      <c r="E14" s="428">
        <v>0</v>
      </c>
      <c r="G14" s="429">
        <v>38596</v>
      </c>
      <c r="H14" s="430"/>
      <c r="I14" s="429" t="s">
        <v>1741</v>
      </c>
      <c r="J14" s="429"/>
      <c r="K14" s="431">
        <v>0</v>
      </c>
      <c r="L14" s="430"/>
      <c r="M14" s="432">
        <v>4.65E-2</v>
      </c>
      <c r="N14" s="432"/>
      <c r="O14" s="433">
        <v>4.8194962129156999E-2</v>
      </c>
      <c r="P14" s="430"/>
      <c r="Q14" s="434">
        <v>0</v>
      </c>
      <c r="R14" s="434"/>
      <c r="S14" s="431">
        <f t="shared" si="0"/>
        <v>0</v>
      </c>
      <c r="T14" s="430"/>
      <c r="U14" s="431">
        <f t="shared" si="1"/>
        <v>0</v>
      </c>
      <c r="V14" s="435"/>
      <c r="W14" s="436">
        <f t="shared" si="2"/>
        <v>0</v>
      </c>
      <c r="X14" s="430"/>
      <c r="Z14" s="438"/>
      <c r="AA14" s="439"/>
    </row>
    <row r="15" spans="1:27">
      <c r="A15" s="416">
        <v>5</v>
      </c>
      <c r="C15" s="440" t="s">
        <v>1743</v>
      </c>
      <c r="E15" s="428">
        <v>250000000</v>
      </c>
      <c r="G15" s="429">
        <v>38673</v>
      </c>
      <c r="H15" s="430"/>
      <c r="I15" s="429">
        <v>49628</v>
      </c>
      <c r="J15" s="429"/>
      <c r="K15" s="431">
        <v>250000000</v>
      </c>
      <c r="L15" s="430"/>
      <c r="M15" s="432">
        <v>6.0499999999999998E-2</v>
      </c>
      <c r="N15" s="432"/>
      <c r="O15" s="433">
        <v>6.1606549489692908E-2</v>
      </c>
      <c r="P15" s="430"/>
      <c r="Q15" s="434">
        <v>3764054</v>
      </c>
      <c r="R15" s="434"/>
      <c r="S15" s="431">
        <f t="shared" si="0"/>
        <v>246235946</v>
      </c>
      <c r="T15" s="430"/>
      <c r="U15" s="431">
        <f t="shared" si="1"/>
        <v>250000000</v>
      </c>
      <c r="V15" s="435"/>
      <c r="W15" s="436">
        <f t="shared" si="2"/>
        <v>15401637.372423228</v>
      </c>
      <c r="X15" s="430"/>
      <c r="Z15" s="438"/>
      <c r="AA15" s="439"/>
    </row>
    <row r="16" spans="1:27">
      <c r="A16" s="416">
        <v>6</v>
      </c>
      <c r="C16" s="396" t="s">
        <v>1744</v>
      </c>
      <c r="E16" s="428">
        <v>400000000</v>
      </c>
      <c r="G16" s="429">
        <v>40806</v>
      </c>
      <c r="H16" s="430"/>
      <c r="I16" s="429">
        <v>51775</v>
      </c>
      <c r="J16" s="429"/>
      <c r="K16" s="431">
        <v>400000000</v>
      </c>
      <c r="L16" s="430"/>
      <c r="M16" s="432">
        <v>5.2999999999999999E-2</v>
      </c>
      <c r="N16" s="432"/>
      <c r="O16" s="433">
        <v>5.4110853867732421E-2</v>
      </c>
      <c r="P16" s="430"/>
      <c r="Q16" s="434">
        <v>6567362</v>
      </c>
      <c r="R16" s="434"/>
      <c r="S16" s="431">
        <f t="shared" si="0"/>
        <v>393432638</v>
      </c>
      <c r="T16" s="430"/>
      <c r="U16" s="431">
        <f t="shared" si="1"/>
        <v>400000000</v>
      </c>
      <c r="V16" s="435"/>
      <c r="W16" s="436">
        <f t="shared" si="2"/>
        <v>21644341.547092967</v>
      </c>
      <c r="X16" s="430"/>
      <c r="Z16" s="438"/>
      <c r="AA16" s="439"/>
    </row>
    <row r="17" spans="1:27">
      <c r="A17" s="416">
        <v>7</v>
      </c>
      <c r="C17" s="440" t="s">
        <v>1745</v>
      </c>
      <c r="E17" s="428">
        <v>300000000</v>
      </c>
      <c r="G17" s="429">
        <v>41347</v>
      </c>
      <c r="H17" s="430"/>
      <c r="I17" s="429">
        <v>45000</v>
      </c>
      <c r="J17" s="429"/>
      <c r="K17" s="431">
        <v>300000000</v>
      </c>
      <c r="L17" s="430"/>
      <c r="M17" s="432">
        <v>3.15E-2</v>
      </c>
      <c r="N17" s="432"/>
      <c r="O17" s="433">
        <v>3.2530532512609074E-2</v>
      </c>
      <c r="P17" s="430"/>
      <c r="Q17" s="434">
        <v>2621941</v>
      </c>
      <c r="R17" s="434"/>
      <c r="S17" s="431">
        <f t="shared" si="0"/>
        <v>297378059</v>
      </c>
      <c r="T17" s="430"/>
      <c r="U17" s="431">
        <f t="shared" si="1"/>
        <v>300000000</v>
      </c>
      <c r="V17" s="435"/>
      <c r="W17" s="436">
        <f t="shared" si="2"/>
        <v>9759159.7537827231</v>
      </c>
      <c r="X17" s="430"/>
      <c r="Z17" s="438"/>
      <c r="AA17" s="439"/>
    </row>
    <row r="18" spans="1:27">
      <c r="A18" s="416">
        <v>8</v>
      </c>
      <c r="C18" s="440" t="s">
        <v>1746</v>
      </c>
      <c r="E18" s="428">
        <v>350000000</v>
      </c>
      <c r="G18" s="429">
        <v>42229</v>
      </c>
      <c r="H18" s="430"/>
      <c r="I18" s="429">
        <v>45884</v>
      </c>
      <c r="J18" s="429"/>
      <c r="K18" s="431">
        <v>350000000</v>
      </c>
      <c r="L18" s="430"/>
      <c r="M18" s="432">
        <v>3.6499999999999998E-2</v>
      </c>
      <c r="N18" s="432"/>
      <c r="O18" s="433">
        <v>3.794244254267029E-2</v>
      </c>
      <c r="P18" s="430"/>
      <c r="Q18" s="434">
        <v>4171379</v>
      </c>
      <c r="R18" s="434"/>
      <c r="S18" s="431">
        <f t="shared" si="0"/>
        <v>345828621</v>
      </c>
      <c r="T18" s="430"/>
      <c r="U18" s="431">
        <f t="shared" si="1"/>
        <v>350000000</v>
      </c>
      <c r="V18" s="435"/>
      <c r="W18" s="436">
        <f t="shared" si="2"/>
        <v>13279854.889934601</v>
      </c>
      <c r="X18" s="430"/>
      <c r="Z18" s="438"/>
      <c r="AA18" s="439"/>
    </row>
    <row r="19" spans="1:27">
      <c r="A19" s="416">
        <v>9</v>
      </c>
      <c r="C19" s="396" t="s">
        <v>1747</v>
      </c>
      <c r="E19" s="428">
        <v>300000000</v>
      </c>
      <c r="G19" s="429">
        <v>42901</v>
      </c>
      <c r="H19" s="430"/>
      <c r="I19" s="429">
        <v>53858</v>
      </c>
      <c r="J19" s="429"/>
      <c r="K19" s="431">
        <v>300000000</v>
      </c>
      <c r="L19" s="430"/>
      <c r="M19" s="432">
        <v>4.2000000000000003E-2</v>
      </c>
      <c r="N19" s="432"/>
      <c r="O19" s="433">
        <v>4.2757045245505061E-2</v>
      </c>
      <c r="P19" s="430"/>
      <c r="Q19" s="434">
        <v>3818818</v>
      </c>
      <c r="R19" s="434"/>
      <c r="S19" s="431">
        <f t="shared" si="0"/>
        <v>296181182</v>
      </c>
      <c r="T19" s="430"/>
      <c r="U19" s="431">
        <f t="shared" si="1"/>
        <v>300000000</v>
      </c>
      <c r="V19" s="435"/>
      <c r="W19" s="436">
        <f t="shared" si="2"/>
        <v>12827113.573651519</v>
      </c>
      <c r="X19" s="430"/>
      <c r="Z19" s="438"/>
      <c r="AA19" s="439"/>
    </row>
    <row r="20" spans="1:27">
      <c r="A20" s="416">
        <v>10</v>
      </c>
      <c r="C20" s="440" t="s">
        <v>1748</v>
      </c>
      <c r="E20" s="428">
        <v>300000000</v>
      </c>
      <c r="G20" s="429">
        <v>43160</v>
      </c>
      <c r="H20" s="430"/>
      <c r="I20" s="429">
        <v>54132</v>
      </c>
      <c r="J20" s="429"/>
      <c r="K20" s="431">
        <v>300000000</v>
      </c>
      <c r="L20" s="430"/>
      <c r="M20" s="432">
        <v>4.2000000000000003E-2</v>
      </c>
      <c r="N20" s="432"/>
      <c r="O20" s="433">
        <v>4.2697721252268353E-2</v>
      </c>
      <c r="P20" s="430"/>
      <c r="Q20" s="434">
        <v>3529069</v>
      </c>
      <c r="R20" s="434"/>
      <c r="S20" s="431">
        <f t="shared" si="0"/>
        <v>296470931</v>
      </c>
      <c r="T20" s="430"/>
      <c r="U20" s="431">
        <f t="shared" si="1"/>
        <v>300000000</v>
      </c>
      <c r="V20" s="435"/>
      <c r="W20" s="436">
        <f t="shared" si="2"/>
        <v>12809316.375680506</v>
      </c>
      <c r="X20" s="430"/>
      <c r="Z20" s="438"/>
      <c r="AA20" s="439"/>
    </row>
    <row r="21" spans="1:27">
      <c r="A21" s="416">
        <v>11</v>
      </c>
      <c r="C21" s="440" t="s">
        <v>1749</v>
      </c>
      <c r="E21" s="428">
        <v>400000000</v>
      </c>
      <c r="G21" s="429">
        <v>43551</v>
      </c>
      <c r="H21" s="430"/>
      <c r="I21" s="429">
        <v>54514</v>
      </c>
      <c r="J21" s="429"/>
      <c r="K21" s="431">
        <v>400000000</v>
      </c>
      <c r="L21" s="430"/>
      <c r="M21" s="432">
        <v>4.1250000000000002E-2</v>
      </c>
      <c r="N21" s="432"/>
      <c r="O21" s="433">
        <v>4.2186395894950893E-2</v>
      </c>
      <c r="P21" s="430"/>
      <c r="Q21" s="434">
        <v>6344810.2300000004</v>
      </c>
      <c r="R21" s="434"/>
      <c r="S21" s="431">
        <f t="shared" si="0"/>
        <v>393655189.76999998</v>
      </c>
      <c r="T21" s="430"/>
      <c r="U21" s="431">
        <f t="shared" si="1"/>
        <v>400000000</v>
      </c>
      <c r="V21" s="435"/>
      <c r="W21" s="436">
        <f t="shared" si="2"/>
        <v>16874558.357980356</v>
      </c>
      <c r="X21" s="430"/>
      <c r="Z21" s="438"/>
      <c r="AA21" s="439"/>
    </row>
    <row r="22" spans="1:27">
      <c r="A22" s="416">
        <v>12</v>
      </c>
      <c r="C22" s="440" t="s">
        <v>1750</v>
      </c>
      <c r="E22" s="428">
        <v>400000000</v>
      </c>
      <c r="G22" s="429">
        <v>43977</v>
      </c>
      <c r="H22" s="430"/>
      <c r="I22" s="429">
        <v>47635</v>
      </c>
      <c r="J22" s="429"/>
      <c r="K22" s="431">
        <v>400000000</v>
      </c>
      <c r="L22" s="430"/>
      <c r="M22" s="432">
        <v>2.2499999999999999E-2</v>
      </c>
      <c r="N22" s="432"/>
      <c r="O22" s="433">
        <v>2.3575550796114661E-2</v>
      </c>
      <c r="P22" s="430"/>
      <c r="Q22" s="434">
        <v>3819174.7</v>
      </c>
      <c r="R22" s="434"/>
      <c r="S22" s="431">
        <f t="shared" si="0"/>
        <v>396180825.30000001</v>
      </c>
      <c r="T22" s="430"/>
      <c r="U22" s="431">
        <f t="shared" si="1"/>
        <v>400000000</v>
      </c>
      <c r="V22" s="435"/>
      <c r="W22" s="436">
        <f t="shared" si="2"/>
        <v>9430220.3184458651</v>
      </c>
      <c r="X22" s="430"/>
      <c r="Z22" s="438"/>
      <c r="AA22" s="439"/>
    </row>
    <row r="23" spans="1:27">
      <c r="A23" s="416"/>
      <c r="E23" s="428"/>
      <c r="G23" s="429"/>
      <c r="H23" s="430"/>
      <c r="I23" s="429"/>
      <c r="J23" s="429"/>
      <c r="K23" s="431"/>
      <c r="L23" s="430"/>
      <c r="M23" s="432"/>
      <c r="N23" s="432"/>
      <c r="O23" s="433"/>
      <c r="P23" s="430"/>
      <c r="Q23" s="434"/>
      <c r="R23" s="434"/>
      <c r="S23" s="431"/>
      <c r="T23" s="430"/>
      <c r="U23" s="431"/>
      <c r="V23" s="435"/>
      <c r="W23" s="436"/>
      <c r="X23" s="430"/>
      <c r="Z23" s="438"/>
      <c r="AA23" s="439"/>
    </row>
    <row r="24" spans="1:27" ht="13.15">
      <c r="A24" s="416"/>
      <c r="C24" s="441" t="s">
        <v>1767</v>
      </c>
      <c r="E24" s="428"/>
      <c r="G24" s="429"/>
      <c r="H24" s="430"/>
      <c r="I24" s="429"/>
      <c r="J24" s="429"/>
      <c r="K24" s="431"/>
      <c r="L24" s="430"/>
      <c r="M24" s="432"/>
      <c r="N24" s="432"/>
      <c r="O24" s="433"/>
      <c r="P24" s="430"/>
      <c r="Q24" s="434"/>
      <c r="R24" s="434"/>
      <c r="S24" s="431"/>
      <c r="T24" s="430"/>
      <c r="U24" s="431"/>
      <c r="V24" s="435"/>
      <c r="W24" s="436"/>
      <c r="X24" s="430"/>
      <c r="Z24" s="438"/>
      <c r="AA24" s="439"/>
    </row>
    <row r="25" spans="1:27">
      <c r="A25" s="416">
        <v>13</v>
      </c>
      <c r="C25" s="440" t="s">
        <v>1751</v>
      </c>
      <c r="E25" s="428">
        <v>73250000</v>
      </c>
      <c r="G25" s="429">
        <v>39344</v>
      </c>
      <c r="H25" s="430"/>
      <c r="I25" s="429" t="s">
        <v>1741</v>
      </c>
      <c r="J25" s="429"/>
      <c r="K25" s="431">
        <v>73250000</v>
      </c>
      <c r="L25" s="430"/>
      <c r="M25" s="432">
        <f>0.094%+0.08%</f>
        <v>1.74E-3</v>
      </c>
      <c r="N25" s="442"/>
      <c r="O25" s="433">
        <v>2.2247831423836892E-3</v>
      </c>
      <c r="P25" s="430"/>
      <c r="Q25" s="434">
        <v>961789</v>
      </c>
      <c r="R25" s="434"/>
      <c r="S25" s="431">
        <f>K25-Q25</f>
        <v>72288211</v>
      </c>
      <c r="T25" s="430"/>
      <c r="U25" s="431">
        <f>K25</f>
        <v>73250000</v>
      </c>
      <c r="V25" s="435"/>
      <c r="W25" s="436">
        <f>O25*U25</f>
        <v>162965.36517960523</v>
      </c>
      <c r="X25" s="430"/>
      <c r="Z25" s="438"/>
      <c r="AA25" s="439"/>
    </row>
    <row r="26" spans="1:27">
      <c r="A26" s="416">
        <v>14</v>
      </c>
      <c r="C26" s="396" t="s">
        <v>1752</v>
      </c>
      <c r="E26" s="428">
        <v>73250000</v>
      </c>
      <c r="G26" s="429">
        <v>39344</v>
      </c>
      <c r="H26" s="430"/>
      <c r="I26" s="429" t="s">
        <v>1741</v>
      </c>
      <c r="J26" s="429"/>
      <c r="K26" s="431">
        <v>73250000</v>
      </c>
      <c r="L26" s="430"/>
      <c r="M26" s="443">
        <f>M25</f>
        <v>1.74E-3</v>
      </c>
      <c r="N26" s="443"/>
      <c r="O26" s="433">
        <v>2.2247831423836892E-3</v>
      </c>
      <c r="P26" s="430"/>
      <c r="Q26" s="434">
        <v>961789</v>
      </c>
      <c r="R26" s="434"/>
      <c r="S26" s="431">
        <f>K26-Q26</f>
        <v>72288211</v>
      </c>
      <c r="T26" s="430"/>
      <c r="U26" s="431">
        <f>K26</f>
        <v>73250000</v>
      </c>
      <c r="V26" s="430"/>
      <c r="W26" s="436">
        <f>O26*U26</f>
        <v>162965.36517960523</v>
      </c>
      <c r="X26" s="430"/>
      <c r="Z26" s="438"/>
      <c r="AA26" s="439"/>
    </row>
    <row r="27" spans="1:27">
      <c r="A27" s="416">
        <v>15</v>
      </c>
      <c r="C27" s="396" t="s">
        <v>1753</v>
      </c>
      <c r="E27" s="428">
        <v>23400000</v>
      </c>
      <c r="G27" s="429">
        <v>39596</v>
      </c>
      <c r="H27" s="430"/>
      <c r="I27" s="429" t="s">
        <v>1754</v>
      </c>
      <c r="J27" s="429"/>
      <c r="K27" s="431">
        <v>23400000</v>
      </c>
      <c r="L27" s="430"/>
      <c r="M27" s="432">
        <v>2.8750000000000001E-2</v>
      </c>
      <c r="N27" s="432"/>
      <c r="O27" s="433">
        <v>2.9632200895052755E-2</v>
      </c>
      <c r="P27" s="430"/>
      <c r="Q27" s="434">
        <v>408088</v>
      </c>
      <c r="R27" s="434"/>
      <c r="S27" s="431">
        <f>K27-Q27</f>
        <v>22991912</v>
      </c>
      <c r="T27" s="435"/>
      <c r="U27" s="431">
        <f>K27</f>
        <v>23400000</v>
      </c>
      <c r="V27" s="435"/>
      <c r="W27" s="436">
        <f>O27*U27</f>
        <v>693393.50094423443</v>
      </c>
      <c r="X27" s="430"/>
      <c r="Z27" s="438"/>
      <c r="AA27" s="439"/>
    </row>
    <row r="28" spans="1:27">
      <c r="A28" s="416"/>
      <c r="C28" s="440"/>
      <c r="E28" s="428"/>
      <c r="G28" s="429"/>
      <c r="H28" s="430"/>
      <c r="I28" s="429"/>
      <c r="J28" s="429"/>
      <c r="K28" s="431"/>
      <c r="L28" s="430"/>
      <c r="M28" s="432"/>
      <c r="N28" s="432"/>
      <c r="O28" s="433"/>
      <c r="P28" s="430"/>
      <c r="Q28" s="434"/>
      <c r="R28" s="434"/>
      <c r="S28" s="431"/>
      <c r="T28" s="430"/>
      <c r="U28" s="431"/>
      <c r="V28" s="435"/>
      <c r="W28" s="436"/>
      <c r="X28" s="430"/>
      <c r="Z28" s="438"/>
      <c r="AA28" s="439"/>
    </row>
    <row r="29" spans="1:27" ht="13.15">
      <c r="A29" s="416"/>
      <c r="C29" s="444" t="s">
        <v>1755</v>
      </c>
      <c r="E29" s="428"/>
      <c r="G29" s="429"/>
      <c r="H29" s="430"/>
      <c r="I29" s="429"/>
      <c r="J29" s="429"/>
      <c r="K29" s="431"/>
      <c r="L29" s="430"/>
      <c r="M29" s="432"/>
      <c r="N29" s="432"/>
      <c r="O29" s="433"/>
      <c r="P29" s="430"/>
      <c r="Q29" s="434"/>
      <c r="R29" s="434"/>
      <c r="S29" s="431"/>
      <c r="T29" s="430"/>
      <c r="U29" s="431"/>
      <c r="V29" s="435"/>
      <c r="W29" s="436"/>
      <c r="X29" s="430"/>
      <c r="Z29" s="438"/>
      <c r="AA29" s="439"/>
    </row>
    <row r="30" spans="1:27">
      <c r="A30" s="416">
        <v>16</v>
      </c>
      <c r="C30" s="396" t="s">
        <v>1756</v>
      </c>
      <c r="G30" s="445"/>
      <c r="I30" s="445"/>
      <c r="J30" s="445"/>
      <c r="K30" s="445"/>
      <c r="M30" s="446"/>
      <c r="N30" s="446"/>
      <c r="O30" s="446"/>
      <c r="Q30" s="447"/>
      <c r="R30" s="447"/>
      <c r="S30" s="448"/>
      <c r="T30" s="448"/>
      <c r="U30" s="449"/>
      <c r="V30" s="448"/>
      <c r="W30" s="447">
        <v>522666.6</v>
      </c>
      <c r="X30" s="450" t="s">
        <v>1757</v>
      </c>
      <c r="Y30" s="437"/>
    </row>
    <row r="31" spans="1:27">
      <c r="A31" s="416">
        <v>17</v>
      </c>
      <c r="C31" s="396" t="s">
        <v>1758</v>
      </c>
      <c r="G31" s="445"/>
      <c r="I31" s="445"/>
      <c r="J31" s="445"/>
      <c r="K31" s="445"/>
      <c r="M31" s="446"/>
      <c r="N31" s="446"/>
      <c r="O31" s="446"/>
      <c r="Q31" s="447"/>
      <c r="R31" s="447"/>
      <c r="S31" s="448"/>
      <c r="T31" s="448"/>
      <c r="U31" s="449"/>
      <c r="V31" s="448"/>
      <c r="W31" s="447">
        <v>-397575.48</v>
      </c>
      <c r="X31" s="450" t="s">
        <v>1759</v>
      </c>
      <c r="Y31" s="437"/>
    </row>
    <row r="32" spans="1:27">
      <c r="A32" s="416"/>
      <c r="W32" s="439"/>
    </row>
    <row r="34" spans="1:24" ht="13.5" thickBot="1">
      <c r="A34" s="416"/>
      <c r="C34" s="451" t="s">
        <v>1760</v>
      </c>
      <c r="G34" s="445"/>
      <c r="H34" s="445"/>
      <c r="I34" s="445"/>
      <c r="J34" s="445"/>
      <c r="K34" s="445"/>
      <c r="Q34" s="452"/>
      <c r="R34" s="452"/>
      <c r="S34" s="452"/>
      <c r="T34" s="452"/>
      <c r="U34" s="453">
        <f>SUM(U11:U27)</f>
        <v>2949380000</v>
      </c>
      <c r="V34" s="452"/>
      <c r="W34" s="453">
        <f>SUM(W11:W31)</f>
        <v>115612731.11463599</v>
      </c>
      <c r="X34" s="452"/>
    </row>
    <row r="35" spans="1:24" ht="13.15" thickTop="1">
      <c r="A35" s="416"/>
      <c r="G35" s="445"/>
      <c r="H35" s="445"/>
      <c r="I35" s="445"/>
      <c r="J35" s="445"/>
      <c r="K35" s="445"/>
      <c r="Q35" s="452"/>
      <c r="R35" s="452"/>
      <c r="S35" s="452"/>
      <c r="T35" s="452"/>
      <c r="U35" s="452"/>
      <c r="V35" s="452"/>
      <c r="W35" s="452"/>
      <c r="X35" s="452"/>
    </row>
    <row r="36" spans="1:24" ht="13.5" thickBot="1">
      <c r="C36" s="451" t="s">
        <v>1761</v>
      </c>
      <c r="G36" s="445"/>
      <c r="H36" s="445"/>
      <c r="I36" s="445"/>
      <c r="J36" s="445"/>
      <c r="K36" s="445"/>
      <c r="S36" s="448"/>
      <c r="U36" s="454">
        <f>W34/U34</f>
        <v>3.9198994742839506E-2</v>
      </c>
      <c r="W36" s="452"/>
    </row>
    <row r="37" spans="1:24" ht="17.25" customHeight="1" thickTop="1">
      <c r="A37" s="416"/>
      <c r="T37" s="455"/>
    </row>
    <row r="38" spans="1:24">
      <c r="G38" s="445"/>
      <c r="H38" s="445"/>
      <c r="I38" s="445"/>
      <c r="J38" s="445"/>
      <c r="K38" s="445"/>
      <c r="S38" s="448"/>
      <c r="W38" s="448"/>
    </row>
    <row r="39" spans="1:24">
      <c r="G39" s="445"/>
      <c r="H39" s="445"/>
      <c r="I39" s="445"/>
      <c r="J39" s="445"/>
      <c r="K39" s="445"/>
      <c r="S39" s="448"/>
    </row>
    <row r="40" spans="1:24">
      <c r="A40" s="396" t="s">
        <v>22</v>
      </c>
      <c r="C40" s="396" t="s">
        <v>1762</v>
      </c>
      <c r="G40" s="445"/>
      <c r="H40" s="445"/>
      <c r="I40" s="445"/>
      <c r="J40" s="445"/>
      <c r="K40" s="445"/>
      <c r="S40" s="448"/>
      <c r="T40" s="450"/>
    </row>
    <row r="41" spans="1:24">
      <c r="C41" s="396" t="s">
        <v>1763</v>
      </c>
      <c r="G41" s="445"/>
      <c r="H41" s="445"/>
      <c r="I41" s="445"/>
      <c r="J41" s="445"/>
      <c r="K41" s="445"/>
      <c r="S41" s="448"/>
    </row>
    <row r="42" spans="1:24">
      <c r="C42" s="396" t="s">
        <v>1764</v>
      </c>
      <c r="G42" s="445"/>
      <c r="H42" s="445"/>
      <c r="I42" s="445"/>
      <c r="J42" s="445"/>
      <c r="K42" s="445"/>
      <c r="S42" s="448"/>
    </row>
    <row r="43" spans="1:24">
      <c r="C43" s="396" t="s">
        <v>1765</v>
      </c>
      <c r="G43" s="445"/>
      <c r="H43" s="445"/>
      <c r="I43" s="445"/>
      <c r="J43" s="445"/>
      <c r="K43" s="445"/>
      <c r="S43" s="448"/>
    </row>
    <row r="44" spans="1:24">
      <c r="C44" s="396" t="s">
        <v>1766</v>
      </c>
      <c r="G44" s="445"/>
      <c r="H44" s="445"/>
      <c r="I44" s="445"/>
      <c r="J44" s="445"/>
      <c r="K44" s="445"/>
      <c r="S44" s="448"/>
    </row>
    <row r="45" spans="1:24">
      <c r="W45" s="452"/>
    </row>
  </sheetData>
  <pageMargins left="0.7" right="0.7" top="0.75" bottom="0.75" header="0.3" footer="0.3"/>
  <pageSetup scale="35" firstPageNumber="3" orientation="landscape" useFirstPageNumber="1" horizontalDpi="1200" verticalDpi="1200" r:id="rId1"/>
  <headerFooter>
    <oddHeader>&amp;LDRAFT- PRIVILEGED AND CONFIDENTIAL
PREPARED AT THE REQUEST OF COUNSEL&amp;RSchedule AEB-13
Page &amp;P of 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AF28-12D4-402A-9B46-72BEA9ADD1A5}">
  <sheetPr codeName="Sheet14"/>
  <dimension ref="B1:H68"/>
  <sheetViews>
    <sheetView zoomScaleNormal="100" workbookViewId="0">
      <selection activeCell="L45" sqref="L45"/>
    </sheetView>
  </sheetViews>
  <sheetFormatPr defaultColWidth="9" defaultRowHeight="12.75"/>
  <cols>
    <col min="1" max="1" width="3" style="212" customWidth="1"/>
    <col min="2" max="2" width="42.86328125" style="212" customWidth="1"/>
    <col min="3" max="3" width="5.73046875" style="214" bestFit="1" customWidth="1"/>
    <col min="4" max="6" width="9.59765625" style="214" customWidth="1"/>
    <col min="7" max="7" width="11" style="214" customWidth="1"/>
    <col min="8" max="8" width="11" style="214" bestFit="1" customWidth="1"/>
    <col min="9" max="9" width="4.59765625" style="212" customWidth="1"/>
    <col min="10" max="16384" width="9" style="212"/>
  </cols>
  <sheetData>
    <row r="1" spans="2:8">
      <c r="C1" s="213"/>
      <c r="D1" s="213"/>
      <c r="E1" s="213"/>
      <c r="F1" s="213"/>
      <c r="G1" s="213"/>
      <c r="H1" s="213"/>
    </row>
    <row r="2" spans="2:8">
      <c r="B2" s="214"/>
    </row>
    <row r="3" spans="2:8">
      <c r="B3" s="214"/>
    </row>
    <row r="4" spans="2:8">
      <c r="B4" s="215" t="s">
        <v>1338</v>
      </c>
      <c r="C4" s="215"/>
      <c r="D4" s="215"/>
      <c r="E4" s="215"/>
      <c r="F4" s="215"/>
      <c r="G4" s="215"/>
      <c r="H4" s="215"/>
    </row>
    <row r="5" spans="2:8">
      <c r="B5" s="214"/>
    </row>
    <row r="6" spans="2:8">
      <c r="B6" s="214"/>
      <c r="D6" s="216" t="s">
        <v>1339</v>
      </c>
      <c r="E6" s="216"/>
      <c r="F6" s="216"/>
      <c r="G6" s="216"/>
      <c r="H6" s="212"/>
    </row>
    <row r="7" spans="2:8">
      <c r="B7" s="214"/>
      <c r="D7" s="214" t="s">
        <v>1340</v>
      </c>
      <c r="E7" s="214" t="s">
        <v>33</v>
      </c>
      <c r="F7" s="214" t="s">
        <v>1341</v>
      </c>
      <c r="H7" s="212"/>
    </row>
    <row r="8" spans="2:8">
      <c r="B8" s="213"/>
      <c r="C8" s="213"/>
      <c r="D8" s="214" t="s">
        <v>1342</v>
      </c>
      <c r="E8" s="214" t="s">
        <v>1343</v>
      </c>
      <c r="F8" s="214" t="s">
        <v>1342</v>
      </c>
      <c r="G8" s="214" t="s">
        <v>52</v>
      </c>
      <c r="H8" s="212"/>
    </row>
    <row r="9" spans="2:8">
      <c r="B9" s="217" t="s">
        <v>1344</v>
      </c>
      <c r="C9" s="218" t="s">
        <v>12</v>
      </c>
      <c r="D9" s="219" t="s">
        <v>1345</v>
      </c>
      <c r="E9" s="219" t="s">
        <v>1345</v>
      </c>
      <c r="F9" s="219" t="s">
        <v>1345</v>
      </c>
      <c r="G9" s="219" t="s">
        <v>1346</v>
      </c>
      <c r="H9" s="212"/>
    </row>
    <row r="10" spans="2:8">
      <c r="B10" s="213" t="s">
        <v>1022</v>
      </c>
      <c r="C10" s="214" t="s">
        <v>1023</v>
      </c>
      <c r="D10" s="220">
        <v>0.57273530217196311</v>
      </c>
      <c r="E10" s="220">
        <v>0.42726469782803683</v>
      </c>
      <c r="F10" s="220">
        <v>0</v>
      </c>
      <c r="G10" s="221">
        <f t="shared" ref="G10:G24" si="0">SUM(D10:F10)</f>
        <v>1</v>
      </c>
      <c r="H10" s="212"/>
    </row>
    <row r="11" spans="2:8">
      <c r="B11" s="213" t="s">
        <v>1024</v>
      </c>
      <c r="C11" s="214" t="s">
        <v>792</v>
      </c>
      <c r="D11" s="220">
        <v>0.51397951952775156</v>
      </c>
      <c r="E11" s="220">
        <v>0.46901678757859588</v>
      </c>
      <c r="F11" s="220">
        <v>1.700369289365258E-2</v>
      </c>
      <c r="G11" s="221">
        <f t="shared" si="0"/>
        <v>1</v>
      </c>
      <c r="H11" s="212"/>
    </row>
    <row r="12" spans="2:8">
      <c r="B12" s="213" t="s">
        <v>1025</v>
      </c>
      <c r="C12" s="214" t="s">
        <v>350</v>
      </c>
      <c r="D12" s="220">
        <v>0.52623765813711665</v>
      </c>
      <c r="E12" s="220">
        <v>0.46583336975897344</v>
      </c>
      <c r="F12" s="220">
        <v>7.9289721039099044E-3</v>
      </c>
      <c r="G12" s="221">
        <f t="shared" si="0"/>
        <v>0.99999999999999989</v>
      </c>
      <c r="H12" s="212"/>
    </row>
    <row r="13" spans="2:8">
      <c r="B13" s="213" t="s">
        <v>1026</v>
      </c>
      <c r="C13" s="214" t="s">
        <v>19</v>
      </c>
      <c r="D13" s="220">
        <v>0.48057755143191139</v>
      </c>
      <c r="E13" s="220">
        <v>0.51942244856808861</v>
      </c>
      <c r="F13" s="220">
        <v>0</v>
      </c>
      <c r="G13" s="221">
        <f t="shared" si="0"/>
        <v>1</v>
      </c>
      <c r="H13" s="212"/>
    </row>
    <row r="14" spans="2:8">
      <c r="B14" s="213" t="s">
        <v>1064</v>
      </c>
      <c r="C14" s="214" t="s">
        <v>1075</v>
      </c>
      <c r="D14" s="220">
        <v>0.51163151158099418</v>
      </c>
      <c r="E14" s="220">
        <v>0.48836848841900582</v>
      </c>
      <c r="F14" s="220">
        <v>0</v>
      </c>
      <c r="G14" s="221">
        <f t="shared" si="0"/>
        <v>1</v>
      </c>
      <c r="H14" s="212"/>
    </row>
    <row r="15" spans="2:8">
      <c r="B15" s="213" t="s">
        <v>1031</v>
      </c>
      <c r="C15" s="214" t="s">
        <v>438</v>
      </c>
      <c r="D15" s="220">
        <v>0.52734395424430536</v>
      </c>
      <c r="E15" s="220">
        <v>0.47265604575569459</v>
      </c>
      <c r="F15" s="220">
        <v>0</v>
      </c>
      <c r="G15" s="221">
        <f t="shared" si="0"/>
        <v>1</v>
      </c>
      <c r="H15" s="212"/>
    </row>
    <row r="16" spans="2:8">
      <c r="B16" s="213" t="s">
        <v>1065</v>
      </c>
      <c r="C16" s="214" t="s">
        <v>448</v>
      </c>
      <c r="D16" s="220">
        <v>0.46966697762285281</v>
      </c>
      <c r="E16" s="220">
        <v>0.52918541940727226</v>
      </c>
      <c r="F16" s="220">
        <v>1.1476029698749154E-3</v>
      </c>
      <c r="G16" s="221">
        <f t="shared" si="0"/>
        <v>1</v>
      </c>
      <c r="H16" s="212"/>
    </row>
    <row r="17" spans="2:8">
      <c r="B17" s="213" t="s">
        <v>1066</v>
      </c>
      <c r="C17" s="214" t="s">
        <v>1076</v>
      </c>
      <c r="D17" s="220">
        <v>0.53877972107893735</v>
      </c>
      <c r="E17" s="220">
        <v>0.4584331776157663</v>
      </c>
      <c r="F17" s="220">
        <v>2.7871013052963838E-3</v>
      </c>
      <c r="G17" s="221">
        <f t="shared" si="0"/>
        <v>1</v>
      </c>
      <c r="H17" s="212"/>
    </row>
    <row r="18" spans="2:8">
      <c r="B18" s="213" t="s">
        <v>1067</v>
      </c>
      <c r="C18" s="214" t="s">
        <v>1077</v>
      </c>
      <c r="D18" s="220">
        <v>0.60853248934537185</v>
      </c>
      <c r="E18" s="220">
        <v>0.39146751065462815</v>
      </c>
      <c r="F18" s="220">
        <v>0</v>
      </c>
      <c r="G18" s="221">
        <f t="shared" si="0"/>
        <v>1</v>
      </c>
      <c r="H18" s="212"/>
    </row>
    <row r="19" spans="2:8">
      <c r="B19" s="213" t="s">
        <v>1068</v>
      </c>
      <c r="C19" s="214" t="s">
        <v>546</v>
      </c>
      <c r="D19" s="220">
        <v>0.60562900044483137</v>
      </c>
      <c r="E19" s="220">
        <v>0.39437099955516863</v>
      </c>
      <c r="F19" s="220">
        <v>0</v>
      </c>
      <c r="G19" s="221">
        <f t="shared" si="0"/>
        <v>1</v>
      </c>
      <c r="H19" s="212"/>
    </row>
    <row r="20" spans="2:8">
      <c r="B20" s="213" t="s">
        <v>1027</v>
      </c>
      <c r="C20" s="214" t="s">
        <v>1028</v>
      </c>
      <c r="D20" s="220">
        <v>0.47455919651953132</v>
      </c>
      <c r="E20" s="220">
        <v>0.52544080348046862</v>
      </c>
      <c r="F20" s="220">
        <v>0</v>
      </c>
      <c r="G20" s="221">
        <f t="shared" si="0"/>
        <v>1</v>
      </c>
      <c r="H20" s="212"/>
    </row>
    <row r="21" spans="2:8">
      <c r="B21" s="213" t="s">
        <v>1029</v>
      </c>
      <c r="C21" s="214" t="s">
        <v>1030</v>
      </c>
      <c r="D21" s="220">
        <v>0.53228267876108193</v>
      </c>
      <c r="E21" s="220">
        <v>0.46771732123891813</v>
      </c>
      <c r="F21" s="220">
        <v>0</v>
      </c>
      <c r="G21" s="221">
        <f t="shared" si="0"/>
        <v>1</v>
      </c>
      <c r="H21" s="212"/>
    </row>
    <row r="22" spans="2:8">
      <c r="B22" s="213" t="s">
        <v>1069</v>
      </c>
      <c r="C22" s="214" t="s">
        <v>1078</v>
      </c>
      <c r="D22" s="220">
        <v>0.48683563397921376</v>
      </c>
      <c r="E22" s="220">
        <v>0.5131643660207863</v>
      </c>
      <c r="F22" s="220">
        <v>0</v>
      </c>
      <c r="G22" s="221">
        <f t="shared" si="0"/>
        <v>1</v>
      </c>
      <c r="H22" s="212"/>
    </row>
    <row r="23" spans="2:8">
      <c r="B23" s="213" t="s">
        <v>1347</v>
      </c>
      <c r="C23" s="214" t="s">
        <v>21</v>
      </c>
      <c r="D23" s="220">
        <v>0.54021114166364537</v>
      </c>
      <c r="E23" s="220">
        <v>0.45391617071092016</v>
      </c>
      <c r="F23" s="220">
        <v>5.8726876254344652E-3</v>
      </c>
      <c r="G23" s="221">
        <f t="shared" si="0"/>
        <v>1</v>
      </c>
      <c r="H23" s="212"/>
    </row>
    <row r="24" spans="2:8">
      <c r="B24" s="213" t="s">
        <v>1032</v>
      </c>
      <c r="C24" s="214" t="s">
        <v>640</v>
      </c>
      <c r="D24" s="220">
        <v>0.54034245306273965</v>
      </c>
      <c r="E24" s="220">
        <v>0.45965754693726035</v>
      </c>
      <c r="F24" s="220">
        <v>0</v>
      </c>
      <c r="G24" s="221">
        <f t="shared" si="0"/>
        <v>1</v>
      </c>
      <c r="H24" s="212"/>
    </row>
    <row r="25" spans="2:8">
      <c r="B25" s="213"/>
      <c r="D25" s="222"/>
      <c r="E25" s="222"/>
      <c r="F25" s="222"/>
      <c r="G25" s="222"/>
      <c r="H25" s="212"/>
    </row>
    <row r="26" spans="2:8">
      <c r="B26" s="223" t="s">
        <v>1054</v>
      </c>
      <c r="D26" s="221">
        <f>AVERAGE(D10:D24)</f>
        <v>0.52862298597148305</v>
      </c>
      <c r="E26" s="221">
        <f>AVERAGE(E10:E24)</f>
        <v>0.46906101023530566</v>
      </c>
      <c r="F26" s="221">
        <f>AVERAGE(F10:F24)</f>
        <v>2.3160037932112164E-3</v>
      </c>
      <c r="G26" s="222"/>
      <c r="H26" s="212"/>
    </row>
    <row r="27" spans="2:8">
      <c r="B27" s="223" t="s">
        <v>853</v>
      </c>
      <c r="D27" s="221">
        <f>MEDIAN(D10:D24)</f>
        <v>0.52734395424430536</v>
      </c>
      <c r="E27" s="221">
        <f>MEDIAN(E10:E24)</f>
        <v>0.46771732123891813</v>
      </c>
      <c r="F27" s="221">
        <f>MEDIAN(F10:F24)</f>
        <v>0</v>
      </c>
      <c r="G27" s="222"/>
      <c r="H27" s="212"/>
    </row>
    <row r="28" spans="2:8">
      <c r="B28" s="223" t="s">
        <v>1348</v>
      </c>
      <c r="D28" s="221">
        <f>MAX(D10:D24)</f>
        <v>0.60853248934537185</v>
      </c>
      <c r="E28" s="221">
        <f>MAX(E10:E24)</f>
        <v>0.52918541940727226</v>
      </c>
      <c r="F28" s="221">
        <f>MAX(F10:F24)</f>
        <v>1.700369289365258E-2</v>
      </c>
      <c r="G28" s="222"/>
      <c r="H28" s="212"/>
    </row>
    <row r="29" spans="2:8">
      <c r="B29" s="223" t="s">
        <v>1349</v>
      </c>
      <c r="D29" s="221">
        <f>MIN(D10:D24)</f>
        <v>0.46966697762285281</v>
      </c>
      <c r="E29" s="221">
        <f>MIN(E10:E24)</f>
        <v>0.39146751065462815</v>
      </c>
      <c r="F29" s="221">
        <f>MIN(F10:F24)</f>
        <v>0</v>
      </c>
      <c r="G29" s="222"/>
      <c r="H29" s="212"/>
    </row>
    <row r="30" spans="2:8">
      <c r="B30" s="213"/>
      <c r="D30" s="222"/>
      <c r="E30" s="222"/>
      <c r="F30" s="222"/>
      <c r="G30" s="222"/>
      <c r="H30" s="222"/>
    </row>
    <row r="31" spans="2:8">
      <c r="B31" s="213"/>
      <c r="D31" s="222"/>
      <c r="E31" s="222"/>
      <c r="F31" s="222"/>
      <c r="G31" s="222"/>
      <c r="H31" s="222"/>
    </row>
    <row r="32" spans="2:8">
      <c r="B32" s="224"/>
      <c r="D32" s="222"/>
      <c r="E32" s="222"/>
      <c r="F32" s="222"/>
      <c r="G32" s="222"/>
      <c r="H32" s="222"/>
    </row>
    <row r="33" spans="2:8">
      <c r="B33" s="225" t="s">
        <v>22</v>
      </c>
      <c r="D33" s="222"/>
      <c r="E33" s="222"/>
      <c r="F33" s="222"/>
      <c r="G33" s="222"/>
      <c r="H33" s="222"/>
    </row>
    <row r="34" spans="2:8">
      <c r="B34" s="226" t="s">
        <v>1350</v>
      </c>
      <c r="D34" s="222"/>
      <c r="E34" s="222"/>
      <c r="F34" s="222"/>
      <c r="G34" s="222"/>
      <c r="H34" s="222"/>
    </row>
    <row r="35" spans="2:8">
      <c r="B35" s="226" t="s">
        <v>1351</v>
      </c>
      <c r="D35" s="222"/>
      <c r="E35" s="222"/>
      <c r="F35" s="222"/>
      <c r="G35" s="222"/>
      <c r="H35" s="222"/>
    </row>
    <row r="36" spans="2:8">
      <c r="B36" s="213"/>
      <c r="D36" s="222"/>
      <c r="E36" s="222"/>
      <c r="F36" s="222"/>
      <c r="G36" s="222"/>
      <c r="H36" s="222"/>
    </row>
    <row r="37" spans="2:8">
      <c r="B37" s="213"/>
      <c r="D37" s="222"/>
      <c r="E37" s="222"/>
      <c r="F37" s="222"/>
      <c r="G37" s="222"/>
      <c r="H37" s="222"/>
    </row>
    <row r="38" spans="2:8">
      <c r="B38" s="213"/>
      <c r="D38" s="222"/>
      <c r="E38" s="222"/>
      <c r="F38" s="222"/>
      <c r="G38" s="222"/>
      <c r="H38" s="222"/>
    </row>
    <row r="39" spans="2:8">
      <c r="B39" s="213"/>
      <c r="D39" s="222"/>
      <c r="E39" s="222"/>
      <c r="F39" s="222"/>
      <c r="G39" s="222"/>
      <c r="H39" s="222"/>
    </row>
    <row r="40" spans="2:8">
      <c r="B40" s="213"/>
      <c r="D40" s="222"/>
      <c r="E40" s="222"/>
      <c r="F40" s="222"/>
      <c r="G40" s="222"/>
      <c r="H40" s="222"/>
    </row>
    <row r="41" spans="2:8">
      <c r="B41" s="213"/>
      <c r="D41" s="222"/>
      <c r="E41" s="222"/>
      <c r="F41" s="222"/>
      <c r="G41" s="222"/>
      <c r="H41" s="222"/>
    </row>
    <row r="42" spans="2:8">
      <c r="B42" s="213"/>
      <c r="D42" s="222"/>
      <c r="E42" s="222"/>
      <c r="F42" s="222"/>
      <c r="G42" s="222"/>
      <c r="H42" s="222"/>
    </row>
    <row r="43" spans="2:8">
      <c r="B43" s="213"/>
      <c r="D43" s="222"/>
      <c r="E43" s="222"/>
      <c r="F43" s="222"/>
      <c r="G43" s="222"/>
      <c r="H43" s="222"/>
    </row>
    <row r="44" spans="2:8">
      <c r="B44" s="213"/>
      <c r="D44" s="222"/>
      <c r="E44" s="222"/>
      <c r="F44" s="222"/>
      <c r="G44" s="222"/>
      <c r="H44" s="222"/>
    </row>
    <row r="45" spans="2:8">
      <c r="B45" s="213"/>
      <c r="D45" s="222"/>
      <c r="E45" s="222"/>
      <c r="F45" s="222"/>
      <c r="G45" s="222"/>
      <c r="H45" s="222"/>
    </row>
    <row r="46" spans="2:8">
      <c r="B46" s="213"/>
      <c r="D46" s="222"/>
      <c r="E46" s="222"/>
      <c r="F46" s="222"/>
      <c r="G46" s="222"/>
      <c r="H46" s="222"/>
    </row>
    <row r="47" spans="2:8">
      <c r="B47" s="213"/>
      <c r="D47" s="222"/>
      <c r="E47" s="222"/>
      <c r="F47" s="222"/>
      <c r="G47" s="222"/>
      <c r="H47" s="222"/>
    </row>
    <row r="48" spans="2:8">
      <c r="B48" s="213"/>
      <c r="D48" s="222"/>
      <c r="E48" s="222"/>
      <c r="F48" s="222"/>
      <c r="G48" s="222"/>
      <c r="H48" s="222"/>
    </row>
    <row r="49" spans="2:8">
      <c r="B49" s="213"/>
      <c r="D49" s="222"/>
      <c r="E49" s="222"/>
      <c r="F49" s="222"/>
      <c r="G49" s="222"/>
      <c r="H49" s="222"/>
    </row>
    <row r="50" spans="2:8">
      <c r="B50" s="213"/>
      <c r="D50" s="222"/>
      <c r="E50" s="222"/>
      <c r="F50" s="222"/>
      <c r="G50" s="222"/>
      <c r="H50" s="222"/>
    </row>
    <row r="51" spans="2:8">
      <c r="B51" s="213"/>
      <c r="D51" s="222"/>
      <c r="E51" s="222"/>
      <c r="F51" s="222"/>
      <c r="G51" s="222"/>
      <c r="H51" s="222"/>
    </row>
    <row r="52" spans="2:8">
      <c r="B52" s="213"/>
      <c r="D52" s="222"/>
      <c r="E52" s="222"/>
      <c r="F52" s="222"/>
      <c r="G52" s="222"/>
      <c r="H52" s="222"/>
    </row>
    <row r="53" spans="2:8">
      <c r="B53" s="213"/>
      <c r="D53" s="222"/>
      <c r="E53" s="222"/>
      <c r="F53" s="222"/>
      <c r="G53" s="222"/>
      <c r="H53" s="222"/>
    </row>
    <row r="54" spans="2:8">
      <c r="B54" s="213"/>
      <c r="D54" s="222"/>
      <c r="E54" s="222"/>
      <c r="F54" s="222"/>
      <c r="G54" s="222"/>
      <c r="H54" s="222"/>
    </row>
    <row r="55" spans="2:8">
      <c r="B55" s="213"/>
      <c r="D55" s="222"/>
      <c r="E55" s="222"/>
      <c r="F55" s="222"/>
      <c r="G55" s="222"/>
      <c r="H55" s="222"/>
    </row>
    <row r="56" spans="2:8">
      <c r="B56" s="213"/>
      <c r="D56" s="222"/>
      <c r="E56" s="222"/>
      <c r="F56" s="222"/>
      <c r="G56" s="222"/>
      <c r="H56" s="222"/>
    </row>
    <row r="57" spans="2:8">
      <c r="B57" s="213"/>
      <c r="D57" s="222"/>
      <c r="E57" s="222"/>
      <c r="F57" s="222"/>
      <c r="G57" s="222"/>
      <c r="H57" s="222"/>
    </row>
    <row r="58" spans="2:8">
      <c r="B58" s="213"/>
      <c r="D58" s="222"/>
      <c r="E58" s="222"/>
      <c r="F58" s="222"/>
      <c r="G58" s="222"/>
      <c r="H58" s="222"/>
    </row>
    <row r="59" spans="2:8">
      <c r="B59" s="213"/>
      <c r="D59" s="222"/>
      <c r="E59" s="222"/>
      <c r="F59" s="222"/>
      <c r="G59" s="222"/>
      <c r="H59" s="222"/>
    </row>
    <row r="60" spans="2:8">
      <c r="B60" s="213"/>
      <c r="D60" s="222"/>
      <c r="E60" s="222"/>
      <c r="F60" s="222"/>
      <c r="G60" s="222"/>
      <c r="H60" s="222"/>
    </row>
    <row r="61" spans="2:8">
      <c r="B61" s="213"/>
      <c r="D61" s="222"/>
      <c r="E61" s="222"/>
      <c r="F61" s="222"/>
      <c r="G61" s="222"/>
      <c r="H61" s="222"/>
    </row>
    <row r="62" spans="2:8">
      <c r="B62" s="213"/>
      <c r="D62" s="222"/>
      <c r="E62" s="222"/>
      <c r="F62" s="222"/>
      <c r="G62" s="222"/>
      <c r="H62" s="222"/>
    </row>
    <row r="63" spans="2:8">
      <c r="B63" s="213"/>
      <c r="D63" s="222"/>
      <c r="E63" s="222"/>
      <c r="F63" s="222"/>
      <c r="G63" s="222"/>
      <c r="H63" s="222"/>
    </row>
    <row r="64" spans="2:8">
      <c r="B64" s="213"/>
      <c r="D64" s="222"/>
      <c r="E64" s="222"/>
      <c r="F64" s="222"/>
      <c r="G64" s="222"/>
      <c r="H64" s="222"/>
    </row>
    <row r="65" spans="2:8">
      <c r="B65" s="213"/>
      <c r="D65" s="222"/>
      <c r="E65" s="222"/>
      <c r="F65" s="222"/>
      <c r="G65" s="222"/>
      <c r="H65" s="222"/>
    </row>
    <row r="66" spans="2:8">
      <c r="B66" s="213"/>
      <c r="D66" s="222"/>
      <c r="E66" s="222"/>
      <c r="F66" s="222"/>
      <c r="G66" s="222"/>
      <c r="H66" s="222"/>
    </row>
    <row r="67" spans="2:8">
      <c r="B67" s="213"/>
      <c r="D67" s="222"/>
      <c r="E67" s="222"/>
      <c r="F67" s="222"/>
      <c r="G67" s="222"/>
      <c r="H67" s="222"/>
    </row>
    <row r="68" spans="2:8" s="213" customFormat="1">
      <c r="C68" s="214"/>
      <c r="D68" s="227"/>
      <c r="E68" s="227"/>
      <c r="F68" s="227"/>
      <c r="G68" s="227"/>
      <c r="H68" s="227"/>
    </row>
  </sheetData>
  <dataConsolidate/>
  <pageMargins left="0.7" right="0.7" top="0.75" bottom="0.75" header="0.3" footer="0.3"/>
  <pageSetup scale="70" orientation="portrait" useFirstPageNumber="1" r:id="rId1"/>
  <headerFooter>
    <oddHeader>&amp;LDRAFT- PRIVILEGED AND CONFIDENTIAL
PREPARED AT THE REQUEST OF COUNSEL
&amp;RSchedule AEB-14
Page &amp;P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7ED1-68B4-4AFA-AD5F-5E07E4F5C87A}">
  <sheetPr>
    <pageSetUpPr fitToPage="1"/>
  </sheetPr>
  <dimension ref="A1:Q31"/>
  <sheetViews>
    <sheetView showGridLines="0" zoomScale="90" zoomScaleNormal="90" workbookViewId="0">
      <selection activeCell="Q40" sqref="Q40"/>
    </sheetView>
  </sheetViews>
  <sheetFormatPr defaultColWidth="12.59765625" defaultRowHeight="12.75"/>
  <cols>
    <col min="1" max="1" width="8.265625" style="126" bestFit="1" customWidth="1"/>
    <col min="2" max="2" width="2.265625" style="126" customWidth="1"/>
    <col min="3" max="3" width="63.1328125" style="126" customWidth="1"/>
    <col min="4" max="4" width="3.1328125" style="126" customWidth="1"/>
    <col min="5" max="5" width="20.1328125" style="126" bestFit="1" customWidth="1"/>
    <col min="6" max="6" width="3.3984375" style="126" customWidth="1"/>
    <col min="7" max="7" width="20" style="126" customWidth="1"/>
    <col min="8" max="8" width="2.1328125" style="126" customWidth="1"/>
    <col min="9" max="9" width="19" style="126" customWidth="1"/>
    <col min="10" max="10" width="2.3984375" style="126" customWidth="1"/>
    <col min="11" max="11" width="10" style="126" customWidth="1"/>
    <col min="12" max="12" width="2.86328125" style="126" customWidth="1"/>
    <col min="13" max="13" width="11.86328125" style="126" customWidth="1"/>
    <col min="14" max="14" width="2.3984375" style="126" customWidth="1"/>
    <col min="15" max="15" width="12.59765625" style="126"/>
    <col min="16" max="16" width="1.59765625" style="126" customWidth="1"/>
    <col min="17" max="17" width="12.59765625" style="126"/>
    <col min="18" max="18" width="2" style="126" customWidth="1"/>
    <col min="19" max="241" width="12.59765625" style="126"/>
    <col min="242" max="242" width="8.265625" style="126" bestFit="1" customWidth="1"/>
    <col min="243" max="243" width="2.265625" style="126" customWidth="1"/>
    <col min="244" max="244" width="41.3984375" style="126" customWidth="1"/>
    <col min="245" max="245" width="9.265625" style="126" customWidth="1"/>
    <col min="246" max="246" width="20" style="126" customWidth="1"/>
    <col min="247" max="247" width="2.265625" style="126" customWidth="1"/>
    <col min="248" max="248" width="23.59765625" style="126" customWidth="1"/>
    <col min="249" max="249" width="14.265625" style="126" customWidth="1"/>
    <col min="250" max="250" width="11.86328125" style="126" customWidth="1"/>
    <col min="251" max="251" width="17.3984375" style="126" customWidth="1"/>
    <col min="252" max="252" width="20.265625" style="126" bestFit="1" customWidth="1"/>
    <col min="253" max="253" width="19.86328125" style="126" customWidth="1"/>
    <col min="254" max="254" width="10.3984375" style="126" bestFit="1" customWidth="1"/>
    <col min="255" max="255" width="13.1328125" style="126" bestFit="1" customWidth="1"/>
    <col min="256" max="256" width="2.265625" style="126" customWidth="1"/>
    <col min="257" max="257" width="22.73046875" style="126" customWidth="1"/>
    <col min="258" max="258" width="2.265625" style="126" customWidth="1"/>
    <col min="259" max="259" width="25.86328125" style="126" bestFit="1" customWidth="1"/>
    <col min="260" max="260" width="2.265625" style="126" customWidth="1"/>
    <col min="261" max="261" width="13.86328125" style="126" customWidth="1"/>
    <col min="262" max="262" width="2.265625" style="126" customWidth="1"/>
    <col min="263" max="263" width="16.3984375" style="126" bestFit="1" customWidth="1"/>
    <col min="264" max="264" width="2.265625" style="126" customWidth="1"/>
    <col min="265" max="265" width="19" style="126" bestFit="1" customWidth="1"/>
    <col min="266" max="266" width="22.86328125" style="126" customWidth="1"/>
    <col min="267" max="267" width="6.1328125" style="126" customWidth="1"/>
    <col min="268" max="497" width="12.59765625" style="126"/>
    <col min="498" max="498" width="8.265625" style="126" bestFit="1" customWidth="1"/>
    <col min="499" max="499" width="2.265625" style="126" customWidth="1"/>
    <col min="500" max="500" width="41.3984375" style="126" customWidth="1"/>
    <col min="501" max="501" width="9.265625" style="126" customWidth="1"/>
    <col min="502" max="502" width="20" style="126" customWidth="1"/>
    <col min="503" max="503" width="2.265625" style="126" customWidth="1"/>
    <col min="504" max="504" width="23.59765625" style="126" customWidth="1"/>
    <col min="505" max="505" width="14.265625" style="126" customWidth="1"/>
    <col min="506" max="506" width="11.86328125" style="126" customWidth="1"/>
    <col min="507" max="507" width="17.3984375" style="126" customWidth="1"/>
    <col min="508" max="508" width="20.265625" style="126" bestFit="1" customWidth="1"/>
    <col min="509" max="509" width="19.86328125" style="126" customWidth="1"/>
    <col min="510" max="510" width="10.3984375" style="126" bestFit="1" customWidth="1"/>
    <col min="511" max="511" width="13.1328125" style="126" bestFit="1" customWidth="1"/>
    <col min="512" max="512" width="2.265625" style="126" customWidth="1"/>
    <col min="513" max="513" width="22.73046875" style="126" customWidth="1"/>
    <col min="514" max="514" width="2.265625" style="126" customWidth="1"/>
    <col min="515" max="515" width="25.86328125" style="126" bestFit="1" customWidth="1"/>
    <col min="516" max="516" width="2.265625" style="126" customWidth="1"/>
    <col min="517" max="517" width="13.86328125" style="126" customWidth="1"/>
    <col min="518" max="518" width="2.265625" style="126" customWidth="1"/>
    <col min="519" max="519" width="16.3984375" style="126" bestFit="1" customWidth="1"/>
    <col min="520" max="520" width="2.265625" style="126" customWidth="1"/>
    <col min="521" max="521" width="19" style="126" bestFit="1" customWidth="1"/>
    <col min="522" max="522" width="22.86328125" style="126" customWidth="1"/>
    <col min="523" max="523" width="6.1328125" style="126" customWidth="1"/>
    <col min="524" max="753" width="12.59765625" style="126"/>
    <col min="754" max="754" width="8.265625" style="126" bestFit="1" customWidth="1"/>
    <col min="755" max="755" width="2.265625" style="126" customWidth="1"/>
    <col min="756" max="756" width="41.3984375" style="126" customWidth="1"/>
    <col min="757" max="757" width="9.265625" style="126" customWidth="1"/>
    <col min="758" max="758" width="20" style="126" customWidth="1"/>
    <col min="759" max="759" width="2.265625" style="126" customWidth="1"/>
    <col min="760" max="760" width="23.59765625" style="126" customWidth="1"/>
    <col min="761" max="761" width="14.265625" style="126" customWidth="1"/>
    <col min="762" max="762" width="11.86328125" style="126" customWidth="1"/>
    <col min="763" max="763" width="17.3984375" style="126" customWidth="1"/>
    <col min="764" max="764" width="20.265625" style="126" bestFit="1" customWidth="1"/>
    <col min="765" max="765" width="19.86328125" style="126" customWidth="1"/>
    <col min="766" max="766" width="10.3984375" style="126" bestFit="1" customWidth="1"/>
    <col min="767" max="767" width="13.1328125" style="126" bestFit="1" customWidth="1"/>
    <col min="768" max="768" width="2.265625" style="126" customWidth="1"/>
    <col min="769" max="769" width="22.73046875" style="126" customWidth="1"/>
    <col min="770" max="770" width="2.265625" style="126" customWidth="1"/>
    <col min="771" max="771" width="25.86328125" style="126" bestFit="1" customWidth="1"/>
    <col min="772" max="772" width="2.265625" style="126" customWidth="1"/>
    <col min="773" max="773" width="13.86328125" style="126" customWidth="1"/>
    <col min="774" max="774" width="2.265625" style="126" customWidth="1"/>
    <col min="775" max="775" width="16.3984375" style="126" bestFit="1" customWidth="1"/>
    <col min="776" max="776" width="2.265625" style="126" customWidth="1"/>
    <col min="777" max="777" width="19" style="126" bestFit="1" customWidth="1"/>
    <col min="778" max="778" width="22.86328125" style="126" customWidth="1"/>
    <col min="779" max="779" width="6.1328125" style="126" customWidth="1"/>
    <col min="780" max="1009" width="12.59765625" style="126"/>
    <col min="1010" max="1010" width="8.265625" style="126" bestFit="1" customWidth="1"/>
    <col min="1011" max="1011" width="2.265625" style="126" customWidth="1"/>
    <col min="1012" max="1012" width="41.3984375" style="126" customWidth="1"/>
    <col min="1013" max="1013" width="9.265625" style="126" customWidth="1"/>
    <col min="1014" max="1014" width="20" style="126" customWidth="1"/>
    <col min="1015" max="1015" width="2.265625" style="126" customWidth="1"/>
    <col min="1016" max="1016" width="23.59765625" style="126" customWidth="1"/>
    <col min="1017" max="1017" width="14.265625" style="126" customWidth="1"/>
    <col min="1018" max="1018" width="11.86328125" style="126" customWidth="1"/>
    <col min="1019" max="1019" width="17.3984375" style="126" customWidth="1"/>
    <col min="1020" max="1020" width="20.265625" style="126" bestFit="1" customWidth="1"/>
    <col min="1021" max="1021" width="19.86328125" style="126" customWidth="1"/>
    <col min="1022" max="1022" width="10.3984375" style="126" bestFit="1" customWidth="1"/>
    <col min="1023" max="1023" width="13.1328125" style="126" bestFit="1" customWidth="1"/>
    <col min="1024" max="1024" width="2.265625" style="126" customWidth="1"/>
    <col min="1025" max="1025" width="22.73046875" style="126" customWidth="1"/>
    <col min="1026" max="1026" width="2.265625" style="126" customWidth="1"/>
    <col min="1027" max="1027" width="25.86328125" style="126" bestFit="1" customWidth="1"/>
    <col min="1028" max="1028" width="2.265625" style="126" customWidth="1"/>
    <col min="1029" max="1029" width="13.86328125" style="126" customWidth="1"/>
    <col min="1030" max="1030" width="2.265625" style="126" customWidth="1"/>
    <col min="1031" max="1031" width="16.3984375" style="126" bestFit="1" customWidth="1"/>
    <col min="1032" max="1032" width="2.265625" style="126" customWidth="1"/>
    <col min="1033" max="1033" width="19" style="126" bestFit="1" customWidth="1"/>
    <col min="1034" max="1034" width="22.86328125" style="126" customWidth="1"/>
    <col min="1035" max="1035" width="6.1328125" style="126" customWidth="1"/>
    <col min="1036" max="1265" width="12.59765625" style="126"/>
    <col min="1266" max="1266" width="8.265625" style="126" bestFit="1" customWidth="1"/>
    <col min="1267" max="1267" width="2.265625" style="126" customWidth="1"/>
    <col min="1268" max="1268" width="41.3984375" style="126" customWidth="1"/>
    <col min="1269" max="1269" width="9.265625" style="126" customWidth="1"/>
    <col min="1270" max="1270" width="20" style="126" customWidth="1"/>
    <col min="1271" max="1271" width="2.265625" style="126" customWidth="1"/>
    <col min="1272" max="1272" width="23.59765625" style="126" customWidth="1"/>
    <col min="1273" max="1273" width="14.265625" style="126" customWidth="1"/>
    <col min="1274" max="1274" width="11.86328125" style="126" customWidth="1"/>
    <col min="1275" max="1275" width="17.3984375" style="126" customWidth="1"/>
    <col min="1276" max="1276" width="20.265625" style="126" bestFit="1" customWidth="1"/>
    <col min="1277" max="1277" width="19.86328125" style="126" customWidth="1"/>
    <col min="1278" max="1278" width="10.3984375" style="126" bestFit="1" customWidth="1"/>
    <col min="1279" max="1279" width="13.1328125" style="126" bestFit="1" customWidth="1"/>
    <col min="1280" max="1280" width="2.265625" style="126" customWidth="1"/>
    <col min="1281" max="1281" width="22.73046875" style="126" customWidth="1"/>
    <col min="1282" max="1282" width="2.265625" style="126" customWidth="1"/>
    <col min="1283" max="1283" width="25.86328125" style="126" bestFit="1" customWidth="1"/>
    <col min="1284" max="1284" width="2.265625" style="126" customWidth="1"/>
    <col min="1285" max="1285" width="13.86328125" style="126" customWidth="1"/>
    <col min="1286" max="1286" width="2.265625" style="126" customWidth="1"/>
    <col min="1287" max="1287" width="16.3984375" style="126" bestFit="1" customWidth="1"/>
    <col min="1288" max="1288" width="2.265625" style="126" customWidth="1"/>
    <col min="1289" max="1289" width="19" style="126" bestFit="1" customWidth="1"/>
    <col min="1290" max="1290" width="22.86328125" style="126" customWidth="1"/>
    <col min="1291" max="1291" width="6.1328125" style="126" customWidth="1"/>
    <col min="1292" max="1521" width="12.59765625" style="126"/>
    <col min="1522" max="1522" width="8.265625" style="126" bestFit="1" customWidth="1"/>
    <col min="1523" max="1523" width="2.265625" style="126" customWidth="1"/>
    <col min="1524" max="1524" width="41.3984375" style="126" customWidth="1"/>
    <col min="1525" max="1525" width="9.265625" style="126" customWidth="1"/>
    <col min="1526" max="1526" width="20" style="126" customWidth="1"/>
    <col min="1527" max="1527" width="2.265625" style="126" customWidth="1"/>
    <col min="1528" max="1528" width="23.59765625" style="126" customWidth="1"/>
    <col min="1529" max="1529" width="14.265625" style="126" customWidth="1"/>
    <col min="1530" max="1530" width="11.86328125" style="126" customWidth="1"/>
    <col min="1531" max="1531" width="17.3984375" style="126" customWidth="1"/>
    <col min="1532" max="1532" width="20.265625" style="126" bestFit="1" customWidth="1"/>
    <col min="1533" max="1533" width="19.86328125" style="126" customWidth="1"/>
    <col min="1534" max="1534" width="10.3984375" style="126" bestFit="1" customWidth="1"/>
    <col min="1535" max="1535" width="13.1328125" style="126" bestFit="1" customWidth="1"/>
    <col min="1536" max="1536" width="2.265625" style="126" customWidth="1"/>
    <col min="1537" max="1537" width="22.73046875" style="126" customWidth="1"/>
    <col min="1538" max="1538" width="2.265625" style="126" customWidth="1"/>
    <col min="1539" max="1539" width="25.86328125" style="126" bestFit="1" customWidth="1"/>
    <col min="1540" max="1540" width="2.265625" style="126" customWidth="1"/>
    <col min="1541" max="1541" width="13.86328125" style="126" customWidth="1"/>
    <col min="1542" max="1542" width="2.265625" style="126" customWidth="1"/>
    <col min="1543" max="1543" width="16.3984375" style="126" bestFit="1" customWidth="1"/>
    <col min="1544" max="1544" width="2.265625" style="126" customWidth="1"/>
    <col min="1545" max="1545" width="19" style="126" bestFit="1" customWidth="1"/>
    <col min="1546" max="1546" width="22.86328125" style="126" customWidth="1"/>
    <col min="1547" max="1547" width="6.1328125" style="126" customWidth="1"/>
    <col min="1548" max="1777" width="12.59765625" style="126"/>
    <col min="1778" max="1778" width="8.265625" style="126" bestFit="1" customWidth="1"/>
    <col min="1779" max="1779" width="2.265625" style="126" customWidth="1"/>
    <col min="1780" max="1780" width="41.3984375" style="126" customWidth="1"/>
    <col min="1781" max="1781" width="9.265625" style="126" customWidth="1"/>
    <col min="1782" max="1782" width="20" style="126" customWidth="1"/>
    <col min="1783" max="1783" width="2.265625" style="126" customWidth="1"/>
    <col min="1784" max="1784" width="23.59765625" style="126" customWidth="1"/>
    <col min="1785" max="1785" width="14.265625" style="126" customWidth="1"/>
    <col min="1786" max="1786" width="11.86328125" style="126" customWidth="1"/>
    <col min="1787" max="1787" width="17.3984375" style="126" customWidth="1"/>
    <col min="1788" max="1788" width="20.265625" style="126" bestFit="1" customWidth="1"/>
    <col min="1789" max="1789" width="19.86328125" style="126" customWidth="1"/>
    <col min="1790" max="1790" width="10.3984375" style="126" bestFit="1" customWidth="1"/>
    <col min="1791" max="1791" width="13.1328125" style="126" bestFit="1" customWidth="1"/>
    <col min="1792" max="1792" width="2.265625" style="126" customWidth="1"/>
    <col min="1793" max="1793" width="22.73046875" style="126" customWidth="1"/>
    <col min="1794" max="1794" width="2.265625" style="126" customWidth="1"/>
    <col min="1795" max="1795" width="25.86328125" style="126" bestFit="1" customWidth="1"/>
    <col min="1796" max="1796" width="2.265625" style="126" customWidth="1"/>
    <col min="1797" max="1797" width="13.86328125" style="126" customWidth="1"/>
    <col min="1798" max="1798" width="2.265625" style="126" customWidth="1"/>
    <col min="1799" max="1799" width="16.3984375" style="126" bestFit="1" customWidth="1"/>
    <col min="1800" max="1800" width="2.265625" style="126" customWidth="1"/>
    <col min="1801" max="1801" width="19" style="126" bestFit="1" customWidth="1"/>
    <col min="1802" max="1802" width="22.86328125" style="126" customWidth="1"/>
    <col min="1803" max="1803" width="6.1328125" style="126" customWidth="1"/>
    <col min="1804" max="2033" width="12.59765625" style="126"/>
    <col min="2034" max="2034" width="8.265625" style="126" bestFit="1" customWidth="1"/>
    <col min="2035" max="2035" width="2.265625" style="126" customWidth="1"/>
    <col min="2036" max="2036" width="41.3984375" style="126" customWidth="1"/>
    <col min="2037" max="2037" width="9.265625" style="126" customWidth="1"/>
    <col min="2038" max="2038" width="20" style="126" customWidth="1"/>
    <col min="2039" max="2039" width="2.265625" style="126" customWidth="1"/>
    <col min="2040" max="2040" width="23.59765625" style="126" customWidth="1"/>
    <col min="2041" max="2041" width="14.265625" style="126" customWidth="1"/>
    <col min="2042" max="2042" width="11.86328125" style="126" customWidth="1"/>
    <col min="2043" max="2043" width="17.3984375" style="126" customWidth="1"/>
    <col min="2044" max="2044" width="20.265625" style="126" bestFit="1" customWidth="1"/>
    <col min="2045" max="2045" width="19.86328125" style="126" customWidth="1"/>
    <col min="2046" max="2046" width="10.3984375" style="126" bestFit="1" customWidth="1"/>
    <col min="2047" max="2047" width="13.1328125" style="126" bestFit="1" customWidth="1"/>
    <col min="2048" max="2048" width="2.265625" style="126" customWidth="1"/>
    <col min="2049" max="2049" width="22.73046875" style="126" customWidth="1"/>
    <col min="2050" max="2050" width="2.265625" style="126" customWidth="1"/>
    <col min="2051" max="2051" width="25.86328125" style="126" bestFit="1" customWidth="1"/>
    <col min="2052" max="2052" width="2.265625" style="126" customWidth="1"/>
    <col min="2053" max="2053" width="13.86328125" style="126" customWidth="1"/>
    <col min="2054" max="2054" width="2.265625" style="126" customWidth="1"/>
    <col min="2055" max="2055" width="16.3984375" style="126" bestFit="1" customWidth="1"/>
    <col min="2056" max="2056" width="2.265625" style="126" customWidth="1"/>
    <col min="2057" max="2057" width="19" style="126" bestFit="1" customWidth="1"/>
    <col min="2058" max="2058" width="22.86328125" style="126" customWidth="1"/>
    <col min="2059" max="2059" width="6.1328125" style="126" customWidth="1"/>
    <col min="2060" max="2289" width="12.59765625" style="126"/>
    <col min="2290" max="2290" width="8.265625" style="126" bestFit="1" customWidth="1"/>
    <col min="2291" max="2291" width="2.265625" style="126" customWidth="1"/>
    <col min="2292" max="2292" width="41.3984375" style="126" customWidth="1"/>
    <col min="2293" max="2293" width="9.265625" style="126" customWidth="1"/>
    <col min="2294" max="2294" width="20" style="126" customWidth="1"/>
    <col min="2295" max="2295" width="2.265625" style="126" customWidth="1"/>
    <col min="2296" max="2296" width="23.59765625" style="126" customWidth="1"/>
    <col min="2297" max="2297" width="14.265625" style="126" customWidth="1"/>
    <col min="2298" max="2298" width="11.86328125" style="126" customWidth="1"/>
    <col min="2299" max="2299" width="17.3984375" style="126" customWidth="1"/>
    <col min="2300" max="2300" width="20.265625" style="126" bestFit="1" customWidth="1"/>
    <col min="2301" max="2301" width="19.86328125" style="126" customWidth="1"/>
    <col min="2302" max="2302" width="10.3984375" style="126" bestFit="1" customWidth="1"/>
    <col min="2303" max="2303" width="13.1328125" style="126" bestFit="1" customWidth="1"/>
    <col min="2304" max="2304" width="2.265625" style="126" customWidth="1"/>
    <col min="2305" max="2305" width="22.73046875" style="126" customWidth="1"/>
    <col min="2306" max="2306" width="2.265625" style="126" customWidth="1"/>
    <col min="2307" max="2307" width="25.86328125" style="126" bestFit="1" customWidth="1"/>
    <col min="2308" max="2308" width="2.265625" style="126" customWidth="1"/>
    <col min="2309" max="2309" width="13.86328125" style="126" customWidth="1"/>
    <col min="2310" max="2310" width="2.265625" style="126" customWidth="1"/>
    <col min="2311" max="2311" width="16.3984375" style="126" bestFit="1" customWidth="1"/>
    <col min="2312" max="2312" width="2.265625" style="126" customWidth="1"/>
    <col min="2313" max="2313" width="19" style="126" bestFit="1" customWidth="1"/>
    <col min="2314" max="2314" width="22.86328125" style="126" customWidth="1"/>
    <col min="2315" max="2315" width="6.1328125" style="126" customWidth="1"/>
    <col min="2316" max="2545" width="12.59765625" style="126"/>
    <col min="2546" max="2546" width="8.265625" style="126" bestFit="1" customWidth="1"/>
    <col min="2547" max="2547" width="2.265625" style="126" customWidth="1"/>
    <col min="2548" max="2548" width="41.3984375" style="126" customWidth="1"/>
    <col min="2549" max="2549" width="9.265625" style="126" customWidth="1"/>
    <col min="2550" max="2550" width="20" style="126" customWidth="1"/>
    <col min="2551" max="2551" width="2.265625" style="126" customWidth="1"/>
    <col min="2552" max="2552" width="23.59765625" style="126" customWidth="1"/>
    <col min="2553" max="2553" width="14.265625" style="126" customWidth="1"/>
    <col min="2554" max="2554" width="11.86328125" style="126" customWidth="1"/>
    <col min="2555" max="2555" width="17.3984375" style="126" customWidth="1"/>
    <col min="2556" max="2556" width="20.265625" style="126" bestFit="1" customWidth="1"/>
    <col min="2557" max="2557" width="19.86328125" style="126" customWidth="1"/>
    <col min="2558" max="2558" width="10.3984375" style="126" bestFit="1" customWidth="1"/>
    <col min="2559" max="2559" width="13.1328125" style="126" bestFit="1" customWidth="1"/>
    <col min="2560" max="2560" width="2.265625" style="126" customWidth="1"/>
    <col min="2561" max="2561" width="22.73046875" style="126" customWidth="1"/>
    <col min="2562" max="2562" width="2.265625" style="126" customWidth="1"/>
    <col min="2563" max="2563" width="25.86328125" style="126" bestFit="1" customWidth="1"/>
    <col min="2564" max="2564" width="2.265625" style="126" customWidth="1"/>
    <col min="2565" max="2565" width="13.86328125" style="126" customWidth="1"/>
    <col min="2566" max="2566" width="2.265625" style="126" customWidth="1"/>
    <col min="2567" max="2567" width="16.3984375" style="126" bestFit="1" customWidth="1"/>
    <col min="2568" max="2568" width="2.265625" style="126" customWidth="1"/>
    <col min="2569" max="2569" width="19" style="126" bestFit="1" customWidth="1"/>
    <col min="2570" max="2570" width="22.86328125" style="126" customWidth="1"/>
    <col min="2571" max="2571" width="6.1328125" style="126" customWidth="1"/>
    <col min="2572" max="2801" width="12.59765625" style="126"/>
    <col min="2802" max="2802" width="8.265625" style="126" bestFit="1" customWidth="1"/>
    <col min="2803" max="2803" width="2.265625" style="126" customWidth="1"/>
    <col min="2804" max="2804" width="41.3984375" style="126" customWidth="1"/>
    <col min="2805" max="2805" width="9.265625" style="126" customWidth="1"/>
    <col min="2806" max="2806" width="20" style="126" customWidth="1"/>
    <col min="2807" max="2807" width="2.265625" style="126" customWidth="1"/>
    <col min="2808" max="2808" width="23.59765625" style="126" customWidth="1"/>
    <col min="2809" max="2809" width="14.265625" style="126" customWidth="1"/>
    <col min="2810" max="2810" width="11.86328125" style="126" customWidth="1"/>
    <col min="2811" max="2811" width="17.3984375" style="126" customWidth="1"/>
    <col min="2812" max="2812" width="20.265625" style="126" bestFit="1" customWidth="1"/>
    <col min="2813" max="2813" width="19.86328125" style="126" customWidth="1"/>
    <col min="2814" max="2814" width="10.3984375" style="126" bestFit="1" customWidth="1"/>
    <col min="2815" max="2815" width="13.1328125" style="126" bestFit="1" customWidth="1"/>
    <col min="2816" max="2816" width="2.265625" style="126" customWidth="1"/>
    <col min="2817" max="2817" width="22.73046875" style="126" customWidth="1"/>
    <col min="2818" max="2818" width="2.265625" style="126" customWidth="1"/>
    <col min="2819" max="2819" width="25.86328125" style="126" bestFit="1" customWidth="1"/>
    <col min="2820" max="2820" width="2.265625" style="126" customWidth="1"/>
    <col min="2821" max="2821" width="13.86328125" style="126" customWidth="1"/>
    <col min="2822" max="2822" width="2.265625" style="126" customWidth="1"/>
    <col min="2823" max="2823" width="16.3984375" style="126" bestFit="1" customWidth="1"/>
    <col min="2824" max="2824" width="2.265625" style="126" customWidth="1"/>
    <col min="2825" max="2825" width="19" style="126" bestFit="1" customWidth="1"/>
    <col min="2826" max="2826" width="22.86328125" style="126" customWidth="1"/>
    <col min="2827" max="2827" width="6.1328125" style="126" customWidth="1"/>
    <col min="2828" max="3057" width="12.59765625" style="126"/>
    <col min="3058" max="3058" width="8.265625" style="126" bestFit="1" customWidth="1"/>
    <col min="3059" max="3059" width="2.265625" style="126" customWidth="1"/>
    <col min="3060" max="3060" width="41.3984375" style="126" customWidth="1"/>
    <col min="3061" max="3061" width="9.265625" style="126" customWidth="1"/>
    <col min="3062" max="3062" width="20" style="126" customWidth="1"/>
    <col min="3063" max="3063" width="2.265625" style="126" customWidth="1"/>
    <col min="3064" max="3064" width="23.59765625" style="126" customWidth="1"/>
    <col min="3065" max="3065" width="14.265625" style="126" customWidth="1"/>
    <col min="3066" max="3066" width="11.86328125" style="126" customWidth="1"/>
    <col min="3067" max="3067" width="17.3984375" style="126" customWidth="1"/>
    <col min="3068" max="3068" width="20.265625" style="126" bestFit="1" customWidth="1"/>
    <col min="3069" max="3069" width="19.86328125" style="126" customWidth="1"/>
    <col min="3070" max="3070" width="10.3984375" style="126" bestFit="1" customWidth="1"/>
    <col min="3071" max="3071" width="13.1328125" style="126" bestFit="1" customWidth="1"/>
    <col min="3072" max="3072" width="2.265625" style="126" customWidth="1"/>
    <col min="3073" max="3073" width="22.73046875" style="126" customWidth="1"/>
    <col min="3074" max="3074" width="2.265625" style="126" customWidth="1"/>
    <col min="3075" max="3075" width="25.86328125" style="126" bestFit="1" customWidth="1"/>
    <col min="3076" max="3076" width="2.265625" style="126" customWidth="1"/>
    <col min="3077" max="3077" width="13.86328125" style="126" customWidth="1"/>
    <col min="3078" max="3078" width="2.265625" style="126" customWidth="1"/>
    <col min="3079" max="3079" width="16.3984375" style="126" bestFit="1" customWidth="1"/>
    <col min="3080" max="3080" width="2.265625" style="126" customWidth="1"/>
    <col min="3081" max="3081" width="19" style="126" bestFit="1" customWidth="1"/>
    <col min="3082" max="3082" width="22.86328125" style="126" customWidth="1"/>
    <col min="3083" max="3083" width="6.1328125" style="126" customWidth="1"/>
    <col min="3084" max="3313" width="12.59765625" style="126"/>
    <col min="3314" max="3314" width="8.265625" style="126" bestFit="1" customWidth="1"/>
    <col min="3315" max="3315" width="2.265625" style="126" customWidth="1"/>
    <col min="3316" max="3316" width="41.3984375" style="126" customWidth="1"/>
    <col min="3317" max="3317" width="9.265625" style="126" customWidth="1"/>
    <col min="3318" max="3318" width="20" style="126" customWidth="1"/>
    <col min="3319" max="3319" width="2.265625" style="126" customWidth="1"/>
    <col min="3320" max="3320" width="23.59765625" style="126" customWidth="1"/>
    <col min="3321" max="3321" width="14.265625" style="126" customWidth="1"/>
    <col min="3322" max="3322" width="11.86328125" style="126" customWidth="1"/>
    <col min="3323" max="3323" width="17.3984375" style="126" customWidth="1"/>
    <col min="3324" max="3324" width="20.265625" style="126" bestFit="1" customWidth="1"/>
    <col min="3325" max="3325" width="19.86328125" style="126" customWidth="1"/>
    <col min="3326" max="3326" width="10.3984375" style="126" bestFit="1" customWidth="1"/>
    <col min="3327" max="3327" width="13.1328125" style="126" bestFit="1" customWidth="1"/>
    <col min="3328" max="3328" width="2.265625" style="126" customWidth="1"/>
    <col min="3329" max="3329" width="22.73046875" style="126" customWidth="1"/>
    <col min="3330" max="3330" width="2.265625" style="126" customWidth="1"/>
    <col min="3331" max="3331" width="25.86328125" style="126" bestFit="1" customWidth="1"/>
    <col min="3332" max="3332" width="2.265625" style="126" customWidth="1"/>
    <col min="3333" max="3333" width="13.86328125" style="126" customWidth="1"/>
    <col min="3334" max="3334" width="2.265625" style="126" customWidth="1"/>
    <col min="3335" max="3335" width="16.3984375" style="126" bestFit="1" customWidth="1"/>
    <col min="3336" max="3336" width="2.265625" style="126" customWidth="1"/>
    <col min="3337" max="3337" width="19" style="126" bestFit="1" customWidth="1"/>
    <col min="3338" max="3338" width="22.86328125" style="126" customWidth="1"/>
    <col min="3339" max="3339" width="6.1328125" style="126" customWidth="1"/>
    <col min="3340" max="3569" width="12.59765625" style="126"/>
    <col min="3570" max="3570" width="8.265625" style="126" bestFit="1" customWidth="1"/>
    <col min="3571" max="3571" width="2.265625" style="126" customWidth="1"/>
    <col min="3572" max="3572" width="41.3984375" style="126" customWidth="1"/>
    <col min="3573" max="3573" width="9.265625" style="126" customWidth="1"/>
    <col min="3574" max="3574" width="20" style="126" customWidth="1"/>
    <col min="3575" max="3575" width="2.265625" style="126" customWidth="1"/>
    <col min="3576" max="3576" width="23.59765625" style="126" customWidth="1"/>
    <col min="3577" max="3577" width="14.265625" style="126" customWidth="1"/>
    <col min="3578" max="3578" width="11.86328125" style="126" customWidth="1"/>
    <col min="3579" max="3579" width="17.3984375" style="126" customWidth="1"/>
    <col min="3580" max="3580" width="20.265625" style="126" bestFit="1" customWidth="1"/>
    <col min="3581" max="3581" width="19.86328125" style="126" customWidth="1"/>
    <col min="3582" max="3582" width="10.3984375" style="126" bestFit="1" customWidth="1"/>
    <col min="3583" max="3583" width="13.1328125" style="126" bestFit="1" customWidth="1"/>
    <col min="3584" max="3584" width="2.265625" style="126" customWidth="1"/>
    <col min="3585" max="3585" width="22.73046875" style="126" customWidth="1"/>
    <col min="3586" max="3586" width="2.265625" style="126" customWidth="1"/>
    <col min="3587" max="3587" width="25.86328125" style="126" bestFit="1" customWidth="1"/>
    <col min="3588" max="3588" width="2.265625" style="126" customWidth="1"/>
    <col min="3589" max="3589" width="13.86328125" style="126" customWidth="1"/>
    <col min="3590" max="3590" width="2.265625" style="126" customWidth="1"/>
    <col min="3591" max="3591" width="16.3984375" style="126" bestFit="1" customWidth="1"/>
    <col min="3592" max="3592" width="2.265625" style="126" customWidth="1"/>
    <col min="3593" max="3593" width="19" style="126" bestFit="1" customWidth="1"/>
    <col min="3594" max="3594" width="22.86328125" style="126" customWidth="1"/>
    <col min="3595" max="3595" width="6.1328125" style="126" customWidth="1"/>
    <col min="3596" max="3825" width="12.59765625" style="126"/>
    <col min="3826" max="3826" width="8.265625" style="126" bestFit="1" customWidth="1"/>
    <col min="3827" max="3827" width="2.265625" style="126" customWidth="1"/>
    <col min="3828" max="3828" width="41.3984375" style="126" customWidth="1"/>
    <col min="3829" max="3829" width="9.265625" style="126" customWidth="1"/>
    <col min="3830" max="3830" width="20" style="126" customWidth="1"/>
    <col min="3831" max="3831" width="2.265625" style="126" customWidth="1"/>
    <col min="3832" max="3832" width="23.59765625" style="126" customWidth="1"/>
    <col min="3833" max="3833" width="14.265625" style="126" customWidth="1"/>
    <col min="3834" max="3834" width="11.86328125" style="126" customWidth="1"/>
    <col min="3835" max="3835" width="17.3984375" style="126" customWidth="1"/>
    <col min="3836" max="3836" width="20.265625" style="126" bestFit="1" customWidth="1"/>
    <col min="3837" max="3837" width="19.86328125" style="126" customWidth="1"/>
    <col min="3838" max="3838" width="10.3984375" style="126" bestFit="1" customWidth="1"/>
    <col min="3839" max="3839" width="13.1328125" style="126" bestFit="1" customWidth="1"/>
    <col min="3840" max="3840" width="2.265625" style="126" customWidth="1"/>
    <col min="3841" max="3841" width="22.73046875" style="126" customWidth="1"/>
    <col min="3842" max="3842" width="2.265625" style="126" customWidth="1"/>
    <col min="3843" max="3843" width="25.86328125" style="126" bestFit="1" customWidth="1"/>
    <col min="3844" max="3844" width="2.265625" style="126" customWidth="1"/>
    <col min="3845" max="3845" width="13.86328125" style="126" customWidth="1"/>
    <col min="3846" max="3846" width="2.265625" style="126" customWidth="1"/>
    <col min="3847" max="3847" width="16.3984375" style="126" bestFit="1" customWidth="1"/>
    <col min="3848" max="3848" width="2.265625" style="126" customWidth="1"/>
    <col min="3849" max="3849" width="19" style="126" bestFit="1" customWidth="1"/>
    <col min="3850" max="3850" width="22.86328125" style="126" customWidth="1"/>
    <col min="3851" max="3851" width="6.1328125" style="126" customWidth="1"/>
    <col min="3852" max="4081" width="12.59765625" style="126"/>
    <col min="4082" max="4082" width="8.265625" style="126" bestFit="1" customWidth="1"/>
    <col min="4083" max="4083" width="2.265625" style="126" customWidth="1"/>
    <col min="4084" max="4084" width="41.3984375" style="126" customWidth="1"/>
    <col min="4085" max="4085" width="9.265625" style="126" customWidth="1"/>
    <col min="4086" max="4086" width="20" style="126" customWidth="1"/>
    <col min="4087" max="4087" width="2.265625" style="126" customWidth="1"/>
    <col min="4088" max="4088" width="23.59765625" style="126" customWidth="1"/>
    <col min="4089" max="4089" width="14.265625" style="126" customWidth="1"/>
    <col min="4090" max="4090" width="11.86328125" style="126" customWidth="1"/>
    <col min="4091" max="4091" width="17.3984375" style="126" customWidth="1"/>
    <col min="4092" max="4092" width="20.265625" style="126" bestFit="1" customWidth="1"/>
    <col min="4093" max="4093" width="19.86328125" style="126" customWidth="1"/>
    <col min="4094" max="4094" width="10.3984375" style="126" bestFit="1" customWidth="1"/>
    <col min="4095" max="4095" width="13.1328125" style="126" bestFit="1" customWidth="1"/>
    <col min="4096" max="4096" width="2.265625" style="126" customWidth="1"/>
    <col min="4097" max="4097" width="22.73046875" style="126" customWidth="1"/>
    <col min="4098" max="4098" width="2.265625" style="126" customWidth="1"/>
    <col min="4099" max="4099" width="25.86328125" style="126" bestFit="1" customWidth="1"/>
    <col min="4100" max="4100" width="2.265625" style="126" customWidth="1"/>
    <col min="4101" max="4101" width="13.86328125" style="126" customWidth="1"/>
    <col min="4102" max="4102" width="2.265625" style="126" customWidth="1"/>
    <col min="4103" max="4103" width="16.3984375" style="126" bestFit="1" customWidth="1"/>
    <col min="4104" max="4104" width="2.265625" style="126" customWidth="1"/>
    <col min="4105" max="4105" width="19" style="126" bestFit="1" customWidth="1"/>
    <col min="4106" max="4106" width="22.86328125" style="126" customWidth="1"/>
    <col min="4107" max="4107" width="6.1328125" style="126" customWidth="1"/>
    <col min="4108" max="4337" width="12.59765625" style="126"/>
    <col min="4338" max="4338" width="8.265625" style="126" bestFit="1" customWidth="1"/>
    <col min="4339" max="4339" width="2.265625" style="126" customWidth="1"/>
    <col min="4340" max="4340" width="41.3984375" style="126" customWidth="1"/>
    <col min="4341" max="4341" width="9.265625" style="126" customWidth="1"/>
    <col min="4342" max="4342" width="20" style="126" customWidth="1"/>
    <col min="4343" max="4343" width="2.265625" style="126" customWidth="1"/>
    <col min="4344" max="4344" width="23.59765625" style="126" customWidth="1"/>
    <col min="4345" max="4345" width="14.265625" style="126" customWidth="1"/>
    <col min="4346" max="4346" width="11.86328125" style="126" customWidth="1"/>
    <col min="4347" max="4347" width="17.3984375" style="126" customWidth="1"/>
    <col min="4348" max="4348" width="20.265625" style="126" bestFit="1" customWidth="1"/>
    <col min="4349" max="4349" width="19.86328125" style="126" customWidth="1"/>
    <col min="4350" max="4350" width="10.3984375" style="126" bestFit="1" customWidth="1"/>
    <col min="4351" max="4351" width="13.1328125" style="126" bestFit="1" customWidth="1"/>
    <col min="4352" max="4352" width="2.265625" style="126" customWidth="1"/>
    <col min="4353" max="4353" width="22.73046875" style="126" customWidth="1"/>
    <col min="4354" max="4354" width="2.265625" style="126" customWidth="1"/>
    <col min="4355" max="4355" width="25.86328125" style="126" bestFit="1" customWidth="1"/>
    <col min="4356" max="4356" width="2.265625" style="126" customWidth="1"/>
    <col min="4357" max="4357" width="13.86328125" style="126" customWidth="1"/>
    <col min="4358" max="4358" width="2.265625" style="126" customWidth="1"/>
    <col min="4359" max="4359" width="16.3984375" style="126" bestFit="1" customWidth="1"/>
    <col min="4360" max="4360" width="2.265625" style="126" customWidth="1"/>
    <col min="4361" max="4361" width="19" style="126" bestFit="1" customWidth="1"/>
    <col min="4362" max="4362" width="22.86328125" style="126" customWidth="1"/>
    <col min="4363" max="4363" width="6.1328125" style="126" customWidth="1"/>
    <col min="4364" max="4593" width="12.59765625" style="126"/>
    <col min="4594" max="4594" width="8.265625" style="126" bestFit="1" customWidth="1"/>
    <col min="4595" max="4595" width="2.265625" style="126" customWidth="1"/>
    <col min="4596" max="4596" width="41.3984375" style="126" customWidth="1"/>
    <col min="4597" max="4597" width="9.265625" style="126" customWidth="1"/>
    <col min="4598" max="4598" width="20" style="126" customWidth="1"/>
    <col min="4599" max="4599" width="2.265625" style="126" customWidth="1"/>
    <col min="4600" max="4600" width="23.59765625" style="126" customWidth="1"/>
    <col min="4601" max="4601" width="14.265625" style="126" customWidth="1"/>
    <col min="4602" max="4602" width="11.86328125" style="126" customWidth="1"/>
    <col min="4603" max="4603" width="17.3984375" style="126" customWidth="1"/>
    <col min="4604" max="4604" width="20.265625" style="126" bestFit="1" customWidth="1"/>
    <col min="4605" max="4605" width="19.86328125" style="126" customWidth="1"/>
    <col min="4606" max="4606" width="10.3984375" style="126" bestFit="1" customWidth="1"/>
    <col min="4607" max="4607" width="13.1328125" style="126" bestFit="1" customWidth="1"/>
    <col min="4608" max="4608" width="2.265625" style="126" customWidth="1"/>
    <col min="4609" max="4609" width="22.73046875" style="126" customWidth="1"/>
    <col min="4610" max="4610" width="2.265625" style="126" customWidth="1"/>
    <col min="4611" max="4611" width="25.86328125" style="126" bestFit="1" customWidth="1"/>
    <col min="4612" max="4612" width="2.265625" style="126" customWidth="1"/>
    <col min="4613" max="4613" width="13.86328125" style="126" customWidth="1"/>
    <col min="4614" max="4614" width="2.265625" style="126" customWidth="1"/>
    <col min="4615" max="4615" width="16.3984375" style="126" bestFit="1" customWidth="1"/>
    <col min="4616" max="4616" width="2.265625" style="126" customWidth="1"/>
    <col min="4617" max="4617" width="19" style="126" bestFit="1" customWidth="1"/>
    <col min="4618" max="4618" width="22.86328125" style="126" customWidth="1"/>
    <col min="4619" max="4619" width="6.1328125" style="126" customWidth="1"/>
    <col min="4620" max="4849" width="12.59765625" style="126"/>
    <col min="4850" max="4850" width="8.265625" style="126" bestFit="1" customWidth="1"/>
    <col min="4851" max="4851" width="2.265625" style="126" customWidth="1"/>
    <col min="4852" max="4852" width="41.3984375" style="126" customWidth="1"/>
    <col min="4853" max="4853" width="9.265625" style="126" customWidth="1"/>
    <col min="4854" max="4854" width="20" style="126" customWidth="1"/>
    <col min="4855" max="4855" width="2.265625" style="126" customWidth="1"/>
    <col min="4856" max="4856" width="23.59765625" style="126" customWidth="1"/>
    <col min="4857" max="4857" width="14.265625" style="126" customWidth="1"/>
    <col min="4858" max="4858" width="11.86328125" style="126" customWidth="1"/>
    <col min="4859" max="4859" width="17.3984375" style="126" customWidth="1"/>
    <col min="4860" max="4860" width="20.265625" style="126" bestFit="1" customWidth="1"/>
    <col min="4861" max="4861" width="19.86328125" style="126" customWidth="1"/>
    <col min="4862" max="4862" width="10.3984375" style="126" bestFit="1" customWidth="1"/>
    <col min="4863" max="4863" width="13.1328125" style="126" bestFit="1" customWidth="1"/>
    <col min="4864" max="4864" width="2.265625" style="126" customWidth="1"/>
    <col min="4865" max="4865" width="22.73046875" style="126" customWidth="1"/>
    <col min="4866" max="4866" width="2.265625" style="126" customWidth="1"/>
    <col min="4867" max="4867" width="25.86328125" style="126" bestFit="1" customWidth="1"/>
    <col min="4868" max="4868" width="2.265625" style="126" customWidth="1"/>
    <col min="4869" max="4869" width="13.86328125" style="126" customWidth="1"/>
    <col min="4870" max="4870" width="2.265625" style="126" customWidth="1"/>
    <col min="4871" max="4871" width="16.3984375" style="126" bestFit="1" customWidth="1"/>
    <col min="4872" max="4872" width="2.265625" style="126" customWidth="1"/>
    <col min="4873" max="4873" width="19" style="126" bestFit="1" customWidth="1"/>
    <col min="4874" max="4874" width="22.86328125" style="126" customWidth="1"/>
    <col min="4875" max="4875" width="6.1328125" style="126" customWidth="1"/>
    <col min="4876" max="5105" width="12.59765625" style="126"/>
    <col min="5106" max="5106" width="8.265625" style="126" bestFit="1" customWidth="1"/>
    <col min="5107" max="5107" width="2.265625" style="126" customWidth="1"/>
    <col min="5108" max="5108" width="41.3984375" style="126" customWidth="1"/>
    <col min="5109" max="5109" width="9.265625" style="126" customWidth="1"/>
    <col min="5110" max="5110" width="20" style="126" customWidth="1"/>
    <col min="5111" max="5111" width="2.265625" style="126" customWidth="1"/>
    <col min="5112" max="5112" width="23.59765625" style="126" customWidth="1"/>
    <col min="5113" max="5113" width="14.265625" style="126" customWidth="1"/>
    <col min="5114" max="5114" width="11.86328125" style="126" customWidth="1"/>
    <col min="5115" max="5115" width="17.3984375" style="126" customWidth="1"/>
    <col min="5116" max="5116" width="20.265625" style="126" bestFit="1" customWidth="1"/>
    <col min="5117" max="5117" width="19.86328125" style="126" customWidth="1"/>
    <col min="5118" max="5118" width="10.3984375" style="126" bestFit="1" customWidth="1"/>
    <col min="5119" max="5119" width="13.1328125" style="126" bestFit="1" customWidth="1"/>
    <col min="5120" max="5120" width="2.265625" style="126" customWidth="1"/>
    <col min="5121" max="5121" width="22.73046875" style="126" customWidth="1"/>
    <col min="5122" max="5122" width="2.265625" style="126" customWidth="1"/>
    <col min="5123" max="5123" width="25.86328125" style="126" bestFit="1" customWidth="1"/>
    <col min="5124" max="5124" width="2.265625" style="126" customWidth="1"/>
    <col min="5125" max="5125" width="13.86328125" style="126" customWidth="1"/>
    <col min="5126" max="5126" width="2.265625" style="126" customWidth="1"/>
    <col min="5127" max="5127" width="16.3984375" style="126" bestFit="1" customWidth="1"/>
    <col min="5128" max="5128" width="2.265625" style="126" customWidth="1"/>
    <col min="5129" max="5129" width="19" style="126" bestFit="1" customWidth="1"/>
    <col min="5130" max="5130" width="22.86328125" style="126" customWidth="1"/>
    <col min="5131" max="5131" width="6.1328125" style="126" customWidth="1"/>
    <col min="5132" max="5361" width="12.59765625" style="126"/>
    <col min="5362" max="5362" width="8.265625" style="126" bestFit="1" customWidth="1"/>
    <col min="5363" max="5363" width="2.265625" style="126" customWidth="1"/>
    <col min="5364" max="5364" width="41.3984375" style="126" customWidth="1"/>
    <col min="5365" max="5365" width="9.265625" style="126" customWidth="1"/>
    <col min="5366" max="5366" width="20" style="126" customWidth="1"/>
    <col min="5367" max="5367" width="2.265625" style="126" customWidth="1"/>
    <col min="5368" max="5368" width="23.59765625" style="126" customWidth="1"/>
    <col min="5369" max="5369" width="14.265625" style="126" customWidth="1"/>
    <col min="5370" max="5370" width="11.86328125" style="126" customWidth="1"/>
    <col min="5371" max="5371" width="17.3984375" style="126" customWidth="1"/>
    <col min="5372" max="5372" width="20.265625" style="126" bestFit="1" customWidth="1"/>
    <col min="5373" max="5373" width="19.86328125" style="126" customWidth="1"/>
    <col min="5374" max="5374" width="10.3984375" style="126" bestFit="1" customWidth="1"/>
    <col min="5375" max="5375" width="13.1328125" style="126" bestFit="1" customWidth="1"/>
    <col min="5376" max="5376" width="2.265625" style="126" customWidth="1"/>
    <col min="5377" max="5377" width="22.73046875" style="126" customWidth="1"/>
    <col min="5378" max="5378" width="2.265625" style="126" customWidth="1"/>
    <col min="5379" max="5379" width="25.86328125" style="126" bestFit="1" customWidth="1"/>
    <col min="5380" max="5380" width="2.265625" style="126" customWidth="1"/>
    <col min="5381" max="5381" width="13.86328125" style="126" customWidth="1"/>
    <col min="5382" max="5382" width="2.265625" style="126" customWidth="1"/>
    <col min="5383" max="5383" width="16.3984375" style="126" bestFit="1" customWidth="1"/>
    <col min="5384" max="5384" width="2.265625" style="126" customWidth="1"/>
    <col min="5385" max="5385" width="19" style="126" bestFit="1" customWidth="1"/>
    <col min="5386" max="5386" width="22.86328125" style="126" customWidth="1"/>
    <col min="5387" max="5387" width="6.1328125" style="126" customWidth="1"/>
    <col min="5388" max="5617" width="12.59765625" style="126"/>
    <col min="5618" max="5618" width="8.265625" style="126" bestFit="1" customWidth="1"/>
    <col min="5619" max="5619" width="2.265625" style="126" customWidth="1"/>
    <col min="5620" max="5620" width="41.3984375" style="126" customWidth="1"/>
    <col min="5621" max="5621" width="9.265625" style="126" customWidth="1"/>
    <col min="5622" max="5622" width="20" style="126" customWidth="1"/>
    <col min="5623" max="5623" width="2.265625" style="126" customWidth="1"/>
    <col min="5624" max="5624" width="23.59765625" style="126" customWidth="1"/>
    <col min="5625" max="5625" width="14.265625" style="126" customWidth="1"/>
    <col min="5626" max="5626" width="11.86328125" style="126" customWidth="1"/>
    <col min="5627" max="5627" width="17.3984375" style="126" customWidth="1"/>
    <col min="5628" max="5628" width="20.265625" style="126" bestFit="1" customWidth="1"/>
    <col min="5629" max="5629" width="19.86328125" style="126" customWidth="1"/>
    <col min="5630" max="5630" width="10.3984375" style="126" bestFit="1" customWidth="1"/>
    <col min="5631" max="5631" width="13.1328125" style="126" bestFit="1" customWidth="1"/>
    <col min="5632" max="5632" width="2.265625" style="126" customWidth="1"/>
    <col min="5633" max="5633" width="22.73046875" style="126" customWidth="1"/>
    <col min="5634" max="5634" width="2.265625" style="126" customWidth="1"/>
    <col min="5635" max="5635" width="25.86328125" style="126" bestFit="1" customWidth="1"/>
    <col min="5636" max="5636" width="2.265625" style="126" customWidth="1"/>
    <col min="5637" max="5637" width="13.86328125" style="126" customWidth="1"/>
    <col min="5638" max="5638" width="2.265625" style="126" customWidth="1"/>
    <col min="5639" max="5639" width="16.3984375" style="126" bestFit="1" customWidth="1"/>
    <col min="5640" max="5640" width="2.265625" style="126" customWidth="1"/>
    <col min="5641" max="5641" width="19" style="126" bestFit="1" customWidth="1"/>
    <col min="5642" max="5642" width="22.86328125" style="126" customWidth="1"/>
    <col min="5643" max="5643" width="6.1328125" style="126" customWidth="1"/>
    <col min="5644" max="5873" width="12.59765625" style="126"/>
    <col min="5874" max="5874" width="8.265625" style="126" bestFit="1" customWidth="1"/>
    <col min="5875" max="5875" width="2.265625" style="126" customWidth="1"/>
    <col min="5876" max="5876" width="41.3984375" style="126" customWidth="1"/>
    <col min="5877" max="5877" width="9.265625" style="126" customWidth="1"/>
    <col min="5878" max="5878" width="20" style="126" customWidth="1"/>
    <col min="5879" max="5879" width="2.265625" style="126" customWidth="1"/>
    <col min="5880" max="5880" width="23.59765625" style="126" customWidth="1"/>
    <col min="5881" max="5881" width="14.265625" style="126" customWidth="1"/>
    <col min="5882" max="5882" width="11.86328125" style="126" customWidth="1"/>
    <col min="5883" max="5883" width="17.3984375" style="126" customWidth="1"/>
    <col min="5884" max="5884" width="20.265625" style="126" bestFit="1" customWidth="1"/>
    <col min="5885" max="5885" width="19.86328125" style="126" customWidth="1"/>
    <col min="5886" max="5886" width="10.3984375" style="126" bestFit="1" customWidth="1"/>
    <col min="5887" max="5887" width="13.1328125" style="126" bestFit="1" customWidth="1"/>
    <col min="5888" max="5888" width="2.265625" style="126" customWidth="1"/>
    <col min="5889" max="5889" width="22.73046875" style="126" customWidth="1"/>
    <col min="5890" max="5890" width="2.265625" style="126" customWidth="1"/>
    <col min="5891" max="5891" width="25.86328125" style="126" bestFit="1" customWidth="1"/>
    <col min="5892" max="5892" width="2.265625" style="126" customWidth="1"/>
    <col min="5893" max="5893" width="13.86328125" style="126" customWidth="1"/>
    <col min="5894" max="5894" width="2.265625" style="126" customWidth="1"/>
    <col min="5895" max="5895" width="16.3984375" style="126" bestFit="1" customWidth="1"/>
    <col min="5896" max="5896" width="2.265625" style="126" customWidth="1"/>
    <col min="5897" max="5897" width="19" style="126" bestFit="1" customWidth="1"/>
    <col min="5898" max="5898" width="22.86328125" style="126" customWidth="1"/>
    <col min="5899" max="5899" width="6.1328125" style="126" customWidth="1"/>
    <col min="5900" max="6129" width="12.59765625" style="126"/>
    <col min="6130" max="6130" width="8.265625" style="126" bestFit="1" customWidth="1"/>
    <col min="6131" max="6131" width="2.265625" style="126" customWidth="1"/>
    <col min="6132" max="6132" width="41.3984375" style="126" customWidth="1"/>
    <col min="6133" max="6133" width="9.265625" style="126" customWidth="1"/>
    <col min="6134" max="6134" width="20" style="126" customWidth="1"/>
    <col min="6135" max="6135" width="2.265625" style="126" customWidth="1"/>
    <col min="6136" max="6136" width="23.59765625" style="126" customWidth="1"/>
    <col min="6137" max="6137" width="14.265625" style="126" customWidth="1"/>
    <col min="6138" max="6138" width="11.86328125" style="126" customWidth="1"/>
    <col min="6139" max="6139" width="17.3984375" style="126" customWidth="1"/>
    <col min="6140" max="6140" width="20.265625" style="126" bestFit="1" customWidth="1"/>
    <col min="6141" max="6141" width="19.86328125" style="126" customWidth="1"/>
    <col min="6142" max="6142" width="10.3984375" style="126" bestFit="1" customWidth="1"/>
    <col min="6143" max="6143" width="13.1328125" style="126" bestFit="1" customWidth="1"/>
    <col min="6144" max="6144" width="2.265625" style="126" customWidth="1"/>
    <col min="6145" max="6145" width="22.73046875" style="126" customWidth="1"/>
    <col min="6146" max="6146" width="2.265625" style="126" customWidth="1"/>
    <col min="6147" max="6147" width="25.86328125" style="126" bestFit="1" customWidth="1"/>
    <col min="6148" max="6148" width="2.265625" style="126" customWidth="1"/>
    <col min="6149" max="6149" width="13.86328125" style="126" customWidth="1"/>
    <col min="6150" max="6150" width="2.265625" style="126" customWidth="1"/>
    <col min="6151" max="6151" width="16.3984375" style="126" bestFit="1" customWidth="1"/>
    <col min="6152" max="6152" width="2.265625" style="126" customWidth="1"/>
    <col min="6153" max="6153" width="19" style="126" bestFit="1" customWidth="1"/>
    <col min="6154" max="6154" width="22.86328125" style="126" customWidth="1"/>
    <col min="6155" max="6155" width="6.1328125" style="126" customWidth="1"/>
    <col min="6156" max="6385" width="12.59765625" style="126"/>
    <col min="6386" max="6386" width="8.265625" style="126" bestFit="1" customWidth="1"/>
    <col min="6387" max="6387" width="2.265625" style="126" customWidth="1"/>
    <col min="6388" max="6388" width="41.3984375" style="126" customWidth="1"/>
    <col min="6389" max="6389" width="9.265625" style="126" customWidth="1"/>
    <col min="6390" max="6390" width="20" style="126" customWidth="1"/>
    <col min="6391" max="6391" width="2.265625" style="126" customWidth="1"/>
    <col min="6392" max="6392" width="23.59765625" style="126" customWidth="1"/>
    <col min="6393" max="6393" width="14.265625" style="126" customWidth="1"/>
    <col min="6394" max="6394" width="11.86328125" style="126" customWidth="1"/>
    <col min="6395" max="6395" width="17.3984375" style="126" customWidth="1"/>
    <col min="6396" max="6396" width="20.265625" style="126" bestFit="1" customWidth="1"/>
    <col min="6397" max="6397" width="19.86328125" style="126" customWidth="1"/>
    <col min="6398" max="6398" width="10.3984375" style="126" bestFit="1" customWidth="1"/>
    <col min="6399" max="6399" width="13.1328125" style="126" bestFit="1" customWidth="1"/>
    <col min="6400" max="6400" width="2.265625" style="126" customWidth="1"/>
    <col min="6401" max="6401" width="22.73046875" style="126" customWidth="1"/>
    <col min="6402" max="6402" width="2.265625" style="126" customWidth="1"/>
    <col min="6403" max="6403" width="25.86328125" style="126" bestFit="1" customWidth="1"/>
    <col min="6404" max="6404" width="2.265625" style="126" customWidth="1"/>
    <col min="6405" max="6405" width="13.86328125" style="126" customWidth="1"/>
    <col min="6406" max="6406" width="2.265625" style="126" customWidth="1"/>
    <col min="6407" max="6407" width="16.3984375" style="126" bestFit="1" customWidth="1"/>
    <col min="6408" max="6408" width="2.265625" style="126" customWidth="1"/>
    <col min="6409" max="6409" width="19" style="126" bestFit="1" customWidth="1"/>
    <col min="6410" max="6410" width="22.86328125" style="126" customWidth="1"/>
    <col min="6411" max="6411" width="6.1328125" style="126" customWidth="1"/>
    <col min="6412" max="6641" width="12.59765625" style="126"/>
    <col min="6642" max="6642" width="8.265625" style="126" bestFit="1" customWidth="1"/>
    <col min="6643" max="6643" width="2.265625" style="126" customWidth="1"/>
    <col min="6644" max="6644" width="41.3984375" style="126" customWidth="1"/>
    <col min="6645" max="6645" width="9.265625" style="126" customWidth="1"/>
    <col min="6646" max="6646" width="20" style="126" customWidth="1"/>
    <col min="6647" max="6647" width="2.265625" style="126" customWidth="1"/>
    <col min="6648" max="6648" width="23.59765625" style="126" customWidth="1"/>
    <col min="6649" max="6649" width="14.265625" style="126" customWidth="1"/>
    <col min="6650" max="6650" width="11.86328125" style="126" customWidth="1"/>
    <col min="6651" max="6651" width="17.3984375" style="126" customWidth="1"/>
    <col min="6652" max="6652" width="20.265625" style="126" bestFit="1" customWidth="1"/>
    <col min="6653" max="6653" width="19.86328125" style="126" customWidth="1"/>
    <col min="6654" max="6654" width="10.3984375" style="126" bestFit="1" customWidth="1"/>
    <col min="6655" max="6655" width="13.1328125" style="126" bestFit="1" customWidth="1"/>
    <col min="6656" max="6656" width="2.265625" style="126" customWidth="1"/>
    <col min="6657" max="6657" width="22.73046875" style="126" customWidth="1"/>
    <col min="6658" max="6658" width="2.265625" style="126" customWidth="1"/>
    <col min="6659" max="6659" width="25.86328125" style="126" bestFit="1" customWidth="1"/>
    <col min="6660" max="6660" width="2.265625" style="126" customWidth="1"/>
    <col min="6661" max="6661" width="13.86328125" style="126" customWidth="1"/>
    <col min="6662" max="6662" width="2.265625" style="126" customWidth="1"/>
    <col min="6663" max="6663" width="16.3984375" style="126" bestFit="1" customWidth="1"/>
    <col min="6664" max="6664" width="2.265625" style="126" customWidth="1"/>
    <col min="6665" max="6665" width="19" style="126" bestFit="1" customWidth="1"/>
    <col min="6666" max="6666" width="22.86328125" style="126" customWidth="1"/>
    <col min="6667" max="6667" width="6.1328125" style="126" customWidth="1"/>
    <col min="6668" max="6897" width="12.59765625" style="126"/>
    <col min="6898" max="6898" width="8.265625" style="126" bestFit="1" customWidth="1"/>
    <col min="6899" max="6899" width="2.265625" style="126" customWidth="1"/>
    <col min="6900" max="6900" width="41.3984375" style="126" customWidth="1"/>
    <col min="6901" max="6901" width="9.265625" style="126" customWidth="1"/>
    <col min="6902" max="6902" width="20" style="126" customWidth="1"/>
    <col min="6903" max="6903" width="2.265625" style="126" customWidth="1"/>
    <col min="6904" max="6904" width="23.59765625" style="126" customWidth="1"/>
    <col min="6905" max="6905" width="14.265625" style="126" customWidth="1"/>
    <col min="6906" max="6906" width="11.86328125" style="126" customWidth="1"/>
    <col min="6907" max="6907" width="17.3984375" style="126" customWidth="1"/>
    <col min="6908" max="6908" width="20.265625" style="126" bestFit="1" customWidth="1"/>
    <col min="6909" max="6909" width="19.86328125" style="126" customWidth="1"/>
    <col min="6910" max="6910" width="10.3984375" style="126" bestFit="1" customWidth="1"/>
    <col min="6911" max="6911" width="13.1328125" style="126" bestFit="1" customWidth="1"/>
    <col min="6912" max="6912" width="2.265625" style="126" customWidth="1"/>
    <col min="6913" max="6913" width="22.73046875" style="126" customWidth="1"/>
    <col min="6914" max="6914" width="2.265625" style="126" customWidth="1"/>
    <col min="6915" max="6915" width="25.86328125" style="126" bestFit="1" customWidth="1"/>
    <col min="6916" max="6916" width="2.265625" style="126" customWidth="1"/>
    <col min="6917" max="6917" width="13.86328125" style="126" customWidth="1"/>
    <col min="6918" max="6918" width="2.265625" style="126" customWidth="1"/>
    <col min="6919" max="6919" width="16.3984375" style="126" bestFit="1" customWidth="1"/>
    <col min="6920" max="6920" width="2.265625" style="126" customWidth="1"/>
    <col min="6921" max="6921" width="19" style="126" bestFit="1" customWidth="1"/>
    <col min="6922" max="6922" width="22.86328125" style="126" customWidth="1"/>
    <col min="6923" max="6923" width="6.1328125" style="126" customWidth="1"/>
    <col min="6924" max="7153" width="12.59765625" style="126"/>
    <col min="7154" max="7154" width="8.265625" style="126" bestFit="1" customWidth="1"/>
    <col min="7155" max="7155" width="2.265625" style="126" customWidth="1"/>
    <col min="7156" max="7156" width="41.3984375" style="126" customWidth="1"/>
    <col min="7157" max="7157" width="9.265625" style="126" customWidth="1"/>
    <col min="7158" max="7158" width="20" style="126" customWidth="1"/>
    <col min="7159" max="7159" width="2.265625" style="126" customWidth="1"/>
    <col min="7160" max="7160" width="23.59765625" style="126" customWidth="1"/>
    <col min="7161" max="7161" width="14.265625" style="126" customWidth="1"/>
    <col min="7162" max="7162" width="11.86328125" style="126" customWidth="1"/>
    <col min="7163" max="7163" width="17.3984375" style="126" customWidth="1"/>
    <col min="7164" max="7164" width="20.265625" style="126" bestFit="1" customWidth="1"/>
    <col min="7165" max="7165" width="19.86328125" style="126" customWidth="1"/>
    <col min="7166" max="7166" width="10.3984375" style="126" bestFit="1" customWidth="1"/>
    <col min="7167" max="7167" width="13.1328125" style="126" bestFit="1" customWidth="1"/>
    <col min="7168" max="7168" width="2.265625" style="126" customWidth="1"/>
    <col min="7169" max="7169" width="22.73046875" style="126" customWidth="1"/>
    <col min="7170" max="7170" width="2.265625" style="126" customWidth="1"/>
    <col min="7171" max="7171" width="25.86328125" style="126" bestFit="1" customWidth="1"/>
    <col min="7172" max="7172" width="2.265625" style="126" customWidth="1"/>
    <col min="7173" max="7173" width="13.86328125" style="126" customWidth="1"/>
    <col min="7174" max="7174" width="2.265625" style="126" customWidth="1"/>
    <col min="7175" max="7175" width="16.3984375" style="126" bestFit="1" customWidth="1"/>
    <col min="7176" max="7176" width="2.265625" style="126" customWidth="1"/>
    <col min="7177" max="7177" width="19" style="126" bestFit="1" customWidth="1"/>
    <col min="7178" max="7178" width="22.86328125" style="126" customWidth="1"/>
    <col min="7179" max="7179" width="6.1328125" style="126" customWidth="1"/>
    <col min="7180" max="7409" width="12.59765625" style="126"/>
    <col min="7410" max="7410" width="8.265625" style="126" bestFit="1" customWidth="1"/>
    <col min="7411" max="7411" width="2.265625" style="126" customWidth="1"/>
    <col min="7412" max="7412" width="41.3984375" style="126" customWidth="1"/>
    <col min="7413" max="7413" width="9.265625" style="126" customWidth="1"/>
    <col min="7414" max="7414" width="20" style="126" customWidth="1"/>
    <col min="7415" max="7415" width="2.265625" style="126" customWidth="1"/>
    <col min="7416" max="7416" width="23.59765625" style="126" customWidth="1"/>
    <col min="7417" max="7417" width="14.265625" style="126" customWidth="1"/>
    <col min="7418" max="7418" width="11.86328125" style="126" customWidth="1"/>
    <col min="7419" max="7419" width="17.3984375" style="126" customWidth="1"/>
    <col min="7420" max="7420" width="20.265625" style="126" bestFit="1" customWidth="1"/>
    <col min="7421" max="7421" width="19.86328125" style="126" customWidth="1"/>
    <col min="7422" max="7422" width="10.3984375" style="126" bestFit="1" customWidth="1"/>
    <col min="7423" max="7423" width="13.1328125" style="126" bestFit="1" customWidth="1"/>
    <col min="7424" max="7424" width="2.265625" style="126" customWidth="1"/>
    <col min="7425" max="7425" width="22.73046875" style="126" customWidth="1"/>
    <col min="7426" max="7426" width="2.265625" style="126" customWidth="1"/>
    <col min="7427" max="7427" width="25.86328125" style="126" bestFit="1" customWidth="1"/>
    <col min="7428" max="7428" width="2.265625" style="126" customWidth="1"/>
    <col min="7429" max="7429" width="13.86328125" style="126" customWidth="1"/>
    <col min="7430" max="7430" width="2.265625" style="126" customWidth="1"/>
    <col min="7431" max="7431" width="16.3984375" style="126" bestFit="1" customWidth="1"/>
    <col min="7432" max="7432" width="2.265625" style="126" customWidth="1"/>
    <col min="7433" max="7433" width="19" style="126" bestFit="1" customWidth="1"/>
    <col min="7434" max="7434" width="22.86328125" style="126" customWidth="1"/>
    <col min="7435" max="7435" width="6.1328125" style="126" customWidth="1"/>
    <col min="7436" max="7665" width="12.59765625" style="126"/>
    <col min="7666" max="7666" width="8.265625" style="126" bestFit="1" customWidth="1"/>
    <col min="7667" max="7667" width="2.265625" style="126" customWidth="1"/>
    <col min="7668" max="7668" width="41.3984375" style="126" customWidth="1"/>
    <col min="7669" max="7669" width="9.265625" style="126" customWidth="1"/>
    <col min="7670" max="7670" width="20" style="126" customWidth="1"/>
    <col min="7671" max="7671" width="2.265625" style="126" customWidth="1"/>
    <col min="7672" max="7672" width="23.59765625" style="126" customWidth="1"/>
    <col min="7673" max="7673" width="14.265625" style="126" customWidth="1"/>
    <col min="7674" max="7674" width="11.86328125" style="126" customWidth="1"/>
    <col min="7675" max="7675" width="17.3984375" style="126" customWidth="1"/>
    <col min="7676" max="7676" width="20.265625" style="126" bestFit="1" customWidth="1"/>
    <col min="7677" max="7677" width="19.86328125" style="126" customWidth="1"/>
    <col min="7678" max="7678" width="10.3984375" style="126" bestFit="1" customWidth="1"/>
    <col min="7679" max="7679" width="13.1328125" style="126" bestFit="1" customWidth="1"/>
    <col min="7680" max="7680" width="2.265625" style="126" customWidth="1"/>
    <col min="7681" max="7681" width="22.73046875" style="126" customWidth="1"/>
    <col min="7682" max="7682" width="2.265625" style="126" customWidth="1"/>
    <col min="7683" max="7683" width="25.86328125" style="126" bestFit="1" customWidth="1"/>
    <col min="7684" max="7684" width="2.265625" style="126" customWidth="1"/>
    <col min="7685" max="7685" width="13.86328125" style="126" customWidth="1"/>
    <col min="7686" max="7686" width="2.265625" style="126" customWidth="1"/>
    <col min="7687" max="7687" width="16.3984375" style="126" bestFit="1" customWidth="1"/>
    <col min="7688" max="7688" width="2.265625" style="126" customWidth="1"/>
    <col min="7689" max="7689" width="19" style="126" bestFit="1" customWidth="1"/>
    <col min="7690" max="7690" width="22.86328125" style="126" customWidth="1"/>
    <col min="7691" max="7691" width="6.1328125" style="126" customWidth="1"/>
    <col min="7692" max="7921" width="12.59765625" style="126"/>
    <col min="7922" max="7922" width="8.265625" style="126" bestFit="1" customWidth="1"/>
    <col min="7923" max="7923" width="2.265625" style="126" customWidth="1"/>
    <col min="7924" max="7924" width="41.3984375" style="126" customWidth="1"/>
    <col min="7925" max="7925" width="9.265625" style="126" customWidth="1"/>
    <col min="7926" max="7926" width="20" style="126" customWidth="1"/>
    <col min="7927" max="7927" width="2.265625" style="126" customWidth="1"/>
    <col min="7928" max="7928" width="23.59765625" style="126" customWidth="1"/>
    <col min="7929" max="7929" width="14.265625" style="126" customWidth="1"/>
    <col min="7930" max="7930" width="11.86328125" style="126" customWidth="1"/>
    <col min="7931" max="7931" width="17.3984375" style="126" customWidth="1"/>
    <col min="7932" max="7932" width="20.265625" style="126" bestFit="1" customWidth="1"/>
    <col min="7933" max="7933" width="19.86328125" style="126" customWidth="1"/>
    <col min="7934" max="7934" width="10.3984375" style="126" bestFit="1" customWidth="1"/>
    <col min="7935" max="7935" width="13.1328125" style="126" bestFit="1" customWidth="1"/>
    <col min="7936" max="7936" width="2.265625" style="126" customWidth="1"/>
    <col min="7937" max="7937" width="22.73046875" style="126" customWidth="1"/>
    <col min="7938" max="7938" width="2.265625" style="126" customWidth="1"/>
    <col min="7939" max="7939" width="25.86328125" style="126" bestFit="1" customWidth="1"/>
    <col min="7940" max="7940" width="2.265625" style="126" customWidth="1"/>
    <col min="7941" max="7941" width="13.86328125" style="126" customWidth="1"/>
    <col min="7942" max="7942" width="2.265625" style="126" customWidth="1"/>
    <col min="7943" max="7943" width="16.3984375" style="126" bestFit="1" customWidth="1"/>
    <col min="7944" max="7944" width="2.265625" style="126" customWidth="1"/>
    <col min="7945" max="7945" width="19" style="126" bestFit="1" customWidth="1"/>
    <col min="7946" max="7946" width="22.86328125" style="126" customWidth="1"/>
    <col min="7947" max="7947" width="6.1328125" style="126" customWidth="1"/>
    <col min="7948" max="8177" width="12.59765625" style="126"/>
    <col min="8178" max="8178" width="8.265625" style="126" bestFit="1" customWidth="1"/>
    <col min="8179" max="8179" width="2.265625" style="126" customWidth="1"/>
    <col min="8180" max="8180" width="41.3984375" style="126" customWidth="1"/>
    <col min="8181" max="8181" width="9.265625" style="126" customWidth="1"/>
    <col min="8182" max="8182" width="20" style="126" customWidth="1"/>
    <col min="8183" max="8183" width="2.265625" style="126" customWidth="1"/>
    <col min="8184" max="8184" width="23.59765625" style="126" customWidth="1"/>
    <col min="8185" max="8185" width="14.265625" style="126" customWidth="1"/>
    <col min="8186" max="8186" width="11.86328125" style="126" customWidth="1"/>
    <col min="8187" max="8187" width="17.3984375" style="126" customWidth="1"/>
    <col min="8188" max="8188" width="20.265625" style="126" bestFit="1" customWidth="1"/>
    <col min="8189" max="8189" width="19.86328125" style="126" customWidth="1"/>
    <col min="8190" max="8190" width="10.3984375" style="126" bestFit="1" customWidth="1"/>
    <col min="8191" max="8191" width="13.1328125" style="126" bestFit="1" customWidth="1"/>
    <col min="8192" max="8192" width="2.265625" style="126" customWidth="1"/>
    <col min="8193" max="8193" width="22.73046875" style="126" customWidth="1"/>
    <col min="8194" max="8194" width="2.265625" style="126" customWidth="1"/>
    <col min="8195" max="8195" width="25.86328125" style="126" bestFit="1" customWidth="1"/>
    <col min="8196" max="8196" width="2.265625" style="126" customWidth="1"/>
    <col min="8197" max="8197" width="13.86328125" style="126" customWidth="1"/>
    <col min="8198" max="8198" width="2.265625" style="126" customWidth="1"/>
    <col min="8199" max="8199" width="16.3984375" style="126" bestFit="1" customWidth="1"/>
    <col min="8200" max="8200" width="2.265625" style="126" customWidth="1"/>
    <col min="8201" max="8201" width="19" style="126" bestFit="1" customWidth="1"/>
    <col min="8202" max="8202" width="22.86328125" style="126" customWidth="1"/>
    <col min="8203" max="8203" width="6.1328125" style="126" customWidth="1"/>
    <col min="8204" max="8433" width="12.59765625" style="126"/>
    <col min="8434" max="8434" width="8.265625" style="126" bestFit="1" customWidth="1"/>
    <col min="8435" max="8435" width="2.265625" style="126" customWidth="1"/>
    <col min="8436" max="8436" width="41.3984375" style="126" customWidth="1"/>
    <col min="8437" max="8437" width="9.265625" style="126" customWidth="1"/>
    <col min="8438" max="8438" width="20" style="126" customWidth="1"/>
    <col min="8439" max="8439" width="2.265625" style="126" customWidth="1"/>
    <col min="8440" max="8440" width="23.59765625" style="126" customWidth="1"/>
    <col min="8441" max="8441" width="14.265625" style="126" customWidth="1"/>
    <col min="8442" max="8442" width="11.86328125" style="126" customWidth="1"/>
    <col min="8443" max="8443" width="17.3984375" style="126" customWidth="1"/>
    <col min="8444" max="8444" width="20.265625" style="126" bestFit="1" customWidth="1"/>
    <col min="8445" max="8445" width="19.86328125" style="126" customWidth="1"/>
    <col min="8446" max="8446" width="10.3984375" style="126" bestFit="1" customWidth="1"/>
    <col min="8447" max="8447" width="13.1328125" style="126" bestFit="1" customWidth="1"/>
    <col min="8448" max="8448" width="2.265625" style="126" customWidth="1"/>
    <col min="8449" max="8449" width="22.73046875" style="126" customWidth="1"/>
    <col min="8450" max="8450" width="2.265625" style="126" customWidth="1"/>
    <col min="8451" max="8451" width="25.86328125" style="126" bestFit="1" customWidth="1"/>
    <col min="8452" max="8452" width="2.265625" style="126" customWidth="1"/>
    <col min="8453" max="8453" width="13.86328125" style="126" customWidth="1"/>
    <col min="8454" max="8454" width="2.265625" style="126" customWidth="1"/>
    <col min="8455" max="8455" width="16.3984375" style="126" bestFit="1" customWidth="1"/>
    <col min="8456" max="8456" width="2.265625" style="126" customWidth="1"/>
    <col min="8457" max="8457" width="19" style="126" bestFit="1" customWidth="1"/>
    <col min="8458" max="8458" width="22.86328125" style="126" customWidth="1"/>
    <col min="8459" max="8459" width="6.1328125" style="126" customWidth="1"/>
    <col min="8460" max="8689" width="12.59765625" style="126"/>
    <col min="8690" max="8690" width="8.265625" style="126" bestFit="1" customWidth="1"/>
    <col min="8691" max="8691" width="2.265625" style="126" customWidth="1"/>
    <col min="8692" max="8692" width="41.3984375" style="126" customWidth="1"/>
    <col min="8693" max="8693" width="9.265625" style="126" customWidth="1"/>
    <col min="8694" max="8694" width="20" style="126" customWidth="1"/>
    <col min="8695" max="8695" width="2.265625" style="126" customWidth="1"/>
    <col min="8696" max="8696" width="23.59765625" style="126" customWidth="1"/>
    <col min="8697" max="8697" width="14.265625" style="126" customWidth="1"/>
    <col min="8698" max="8698" width="11.86328125" style="126" customWidth="1"/>
    <col min="8699" max="8699" width="17.3984375" style="126" customWidth="1"/>
    <col min="8700" max="8700" width="20.265625" style="126" bestFit="1" customWidth="1"/>
    <col min="8701" max="8701" width="19.86328125" style="126" customWidth="1"/>
    <col min="8702" max="8702" width="10.3984375" style="126" bestFit="1" customWidth="1"/>
    <col min="8703" max="8703" width="13.1328125" style="126" bestFit="1" customWidth="1"/>
    <col min="8704" max="8704" width="2.265625" style="126" customWidth="1"/>
    <col min="8705" max="8705" width="22.73046875" style="126" customWidth="1"/>
    <col min="8706" max="8706" width="2.265625" style="126" customWidth="1"/>
    <col min="8707" max="8707" width="25.86328125" style="126" bestFit="1" customWidth="1"/>
    <col min="8708" max="8708" width="2.265625" style="126" customWidth="1"/>
    <col min="8709" max="8709" width="13.86328125" style="126" customWidth="1"/>
    <col min="8710" max="8710" width="2.265625" style="126" customWidth="1"/>
    <col min="8711" max="8711" width="16.3984375" style="126" bestFit="1" customWidth="1"/>
    <col min="8712" max="8712" width="2.265625" style="126" customWidth="1"/>
    <col min="8713" max="8713" width="19" style="126" bestFit="1" customWidth="1"/>
    <col min="8714" max="8714" width="22.86328125" style="126" customWidth="1"/>
    <col min="8715" max="8715" width="6.1328125" style="126" customWidth="1"/>
    <col min="8716" max="8945" width="12.59765625" style="126"/>
    <col min="8946" max="8946" width="8.265625" style="126" bestFit="1" customWidth="1"/>
    <col min="8947" max="8947" width="2.265625" style="126" customWidth="1"/>
    <col min="8948" max="8948" width="41.3984375" style="126" customWidth="1"/>
    <col min="8949" max="8949" width="9.265625" style="126" customWidth="1"/>
    <col min="8950" max="8950" width="20" style="126" customWidth="1"/>
    <col min="8951" max="8951" width="2.265625" style="126" customWidth="1"/>
    <col min="8952" max="8952" width="23.59765625" style="126" customWidth="1"/>
    <col min="8953" max="8953" width="14.265625" style="126" customWidth="1"/>
    <col min="8954" max="8954" width="11.86328125" style="126" customWidth="1"/>
    <col min="8955" max="8955" width="17.3984375" style="126" customWidth="1"/>
    <col min="8956" max="8956" width="20.265625" style="126" bestFit="1" customWidth="1"/>
    <col min="8957" max="8957" width="19.86328125" style="126" customWidth="1"/>
    <col min="8958" max="8958" width="10.3984375" style="126" bestFit="1" customWidth="1"/>
    <col min="8959" max="8959" width="13.1328125" style="126" bestFit="1" customWidth="1"/>
    <col min="8960" max="8960" width="2.265625" style="126" customWidth="1"/>
    <col min="8961" max="8961" width="22.73046875" style="126" customWidth="1"/>
    <col min="8962" max="8962" width="2.265625" style="126" customWidth="1"/>
    <col min="8963" max="8963" width="25.86328125" style="126" bestFit="1" customWidth="1"/>
    <col min="8964" max="8964" width="2.265625" style="126" customWidth="1"/>
    <col min="8965" max="8965" width="13.86328125" style="126" customWidth="1"/>
    <col min="8966" max="8966" width="2.265625" style="126" customWidth="1"/>
    <col min="8967" max="8967" width="16.3984375" style="126" bestFit="1" customWidth="1"/>
    <col min="8968" max="8968" width="2.265625" style="126" customWidth="1"/>
    <col min="8969" max="8969" width="19" style="126" bestFit="1" customWidth="1"/>
    <col min="8970" max="8970" width="22.86328125" style="126" customWidth="1"/>
    <col min="8971" max="8971" width="6.1328125" style="126" customWidth="1"/>
    <col min="8972" max="9201" width="12.59765625" style="126"/>
    <col min="9202" max="9202" width="8.265625" style="126" bestFit="1" customWidth="1"/>
    <col min="9203" max="9203" width="2.265625" style="126" customWidth="1"/>
    <col min="9204" max="9204" width="41.3984375" style="126" customWidth="1"/>
    <col min="9205" max="9205" width="9.265625" style="126" customWidth="1"/>
    <col min="9206" max="9206" width="20" style="126" customWidth="1"/>
    <col min="9207" max="9207" width="2.265625" style="126" customWidth="1"/>
    <col min="9208" max="9208" width="23.59765625" style="126" customWidth="1"/>
    <col min="9209" max="9209" width="14.265625" style="126" customWidth="1"/>
    <col min="9210" max="9210" width="11.86328125" style="126" customWidth="1"/>
    <col min="9211" max="9211" width="17.3984375" style="126" customWidth="1"/>
    <col min="9212" max="9212" width="20.265625" style="126" bestFit="1" customWidth="1"/>
    <col min="9213" max="9213" width="19.86328125" style="126" customWidth="1"/>
    <col min="9214" max="9214" width="10.3984375" style="126" bestFit="1" customWidth="1"/>
    <col min="9215" max="9215" width="13.1328125" style="126" bestFit="1" customWidth="1"/>
    <col min="9216" max="9216" width="2.265625" style="126" customWidth="1"/>
    <col min="9217" max="9217" width="22.73046875" style="126" customWidth="1"/>
    <col min="9218" max="9218" width="2.265625" style="126" customWidth="1"/>
    <col min="9219" max="9219" width="25.86328125" style="126" bestFit="1" customWidth="1"/>
    <col min="9220" max="9220" width="2.265625" style="126" customWidth="1"/>
    <col min="9221" max="9221" width="13.86328125" style="126" customWidth="1"/>
    <col min="9222" max="9222" width="2.265625" style="126" customWidth="1"/>
    <col min="9223" max="9223" width="16.3984375" style="126" bestFit="1" customWidth="1"/>
    <col min="9224" max="9224" width="2.265625" style="126" customWidth="1"/>
    <col min="9225" max="9225" width="19" style="126" bestFit="1" customWidth="1"/>
    <col min="9226" max="9226" width="22.86328125" style="126" customWidth="1"/>
    <col min="9227" max="9227" width="6.1328125" style="126" customWidth="1"/>
    <col min="9228" max="9457" width="12.59765625" style="126"/>
    <col min="9458" max="9458" width="8.265625" style="126" bestFit="1" customWidth="1"/>
    <col min="9459" max="9459" width="2.265625" style="126" customWidth="1"/>
    <col min="9460" max="9460" width="41.3984375" style="126" customWidth="1"/>
    <col min="9461" max="9461" width="9.265625" style="126" customWidth="1"/>
    <col min="9462" max="9462" width="20" style="126" customWidth="1"/>
    <col min="9463" max="9463" width="2.265625" style="126" customWidth="1"/>
    <col min="9464" max="9464" width="23.59765625" style="126" customWidth="1"/>
    <col min="9465" max="9465" width="14.265625" style="126" customWidth="1"/>
    <col min="9466" max="9466" width="11.86328125" style="126" customWidth="1"/>
    <col min="9467" max="9467" width="17.3984375" style="126" customWidth="1"/>
    <col min="9468" max="9468" width="20.265625" style="126" bestFit="1" customWidth="1"/>
    <col min="9469" max="9469" width="19.86328125" style="126" customWidth="1"/>
    <col min="9470" max="9470" width="10.3984375" style="126" bestFit="1" customWidth="1"/>
    <col min="9471" max="9471" width="13.1328125" style="126" bestFit="1" customWidth="1"/>
    <col min="9472" max="9472" width="2.265625" style="126" customWidth="1"/>
    <col min="9473" max="9473" width="22.73046875" style="126" customWidth="1"/>
    <col min="9474" max="9474" width="2.265625" style="126" customWidth="1"/>
    <col min="9475" max="9475" width="25.86328125" style="126" bestFit="1" customWidth="1"/>
    <col min="9476" max="9476" width="2.265625" style="126" customWidth="1"/>
    <col min="9477" max="9477" width="13.86328125" style="126" customWidth="1"/>
    <col min="9478" max="9478" width="2.265625" style="126" customWidth="1"/>
    <col min="9479" max="9479" width="16.3984375" style="126" bestFit="1" customWidth="1"/>
    <col min="9480" max="9480" width="2.265625" style="126" customWidth="1"/>
    <col min="9481" max="9481" width="19" style="126" bestFit="1" customWidth="1"/>
    <col min="9482" max="9482" width="22.86328125" style="126" customWidth="1"/>
    <col min="9483" max="9483" width="6.1328125" style="126" customWidth="1"/>
    <col min="9484" max="9713" width="12.59765625" style="126"/>
    <col min="9714" max="9714" width="8.265625" style="126" bestFit="1" customWidth="1"/>
    <col min="9715" max="9715" width="2.265625" style="126" customWidth="1"/>
    <col min="9716" max="9716" width="41.3984375" style="126" customWidth="1"/>
    <col min="9717" max="9717" width="9.265625" style="126" customWidth="1"/>
    <col min="9718" max="9718" width="20" style="126" customWidth="1"/>
    <col min="9719" max="9719" width="2.265625" style="126" customWidth="1"/>
    <col min="9720" max="9720" width="23.59765625" style="126" customWidth="1"/>
    <col min="9721" max="9721" width="14.265625" style="126" customWidth="1"/>
    <col min="9722" max="9722" width="11.86328125" style="126" customWidth="1"/>
    <col min="9723" max="9723" width="17.3984375" style="126" customWidth="1"/>
    <col min="9724" max="9724" width="20.265625" style="126" bestFit="1" customWidth="1"/>
    <col min="9725" max="9725" width="19.86328125" style="126" customWidth="1"/>
    <col min="9726" max="9726" width="10.3984375" style="126" bestFit="1" customWidth="1"/>
    <col min="9727" max="9727" width="13.1328125" style="126" bestFit="1" customWidth="1"/>
    <col min="9728" max="9728" width="2.265625" style="126" customWidth="1"/>
    <col min="9729" max="9729" width="22.73046875" style="126" customWidth="1"/>
    <col min="9730" max="9730" width="2.265625" style="126" customWidth="1"/>
    <col min="9731" max="9731" width="25.86328125" style="126" bestFit="1" customWidth="1"/>
    <col min="9732" max="9732" width="2.265625" style="126" customWidth="1"/>
    <col min="9733" max="9733" width="13.86328125" style="126" customWidth="1"/>
    <col min="9734" max="9734" width="2.265625" style="126" customWidth="1"/>
    <col min="9735" max="9735" width="16.3984375" style="126" bestFit="1" customWidth="1"/>
    <col min="9736" max="9736" width="2.265625" style="126" customWidth="1"/>
    <col min="9737" max="9737" width="19" style="126" bestFit="1" customWidth="1"/>
    <col min="9738" max="9738" width="22.86328125" style="126" customWidth="1"/>
    <col min="9739" max="9739" width="6.1328125" style="126" customWidth="1"/>
    <col min="9740" max="9969" width="12.59765625" style="126"/>
    <col min="9970" max="9970" width="8.265625" style="126" bestFit="1" customWidth="1"/>
    <col min="9971" max="9971" width="2.265625" style="126" customWidth="1"/>
    <col min="9972" max="9972" width="41.3984375" style="126" customWidth="1"/>
    <col min="9973" max="9973" width="9.265625" style="126" customWidth="1"/>
    <col min="9974" max="9974" width="20" style="126" customWidth="1"/>
    <col min="9975" max="9975" width="2.265625" style="126" customWidth="1"/>
    <col min="9976" max="9976" width="23.59765625" style="126" customWidth="1"/>
    <col min="9977" max="9977" width="14.265625" style="126" customWidth="1"/>
    <col min="9978" max="9978" width="11.86328125" style="126" customWidth="1"/>
    <col min="9979" max="9979" width="17.3984375" style="126" customWidth="1"/>
    <col min="9980" max="9980" width="20.265625" style="126" bestFit="1" customWidth="1"/>
    <col min="9981" max="9981" width="19.86328125" style="126" customWidth="1"/>
    <col min="9982" max="9982" width="10.3984375" style="126" bestFit="1" customWidth="1"/>
    <col min="9983" max="9983" width="13.1328125" style="126" bestFit="1" customWidth="1"/>
    <col min="9984" max="9984" width="2.265625" style="126" customWidth="1"/>
    <col min="9985" max="9985" width="22.73046875" style="126" customWidth="1"/>
    <col min="9986" max="9986" width="2.265625" style="126" customWidth="1"/>
    <col min="9987" max="9987" width="25.86328125" style="126" bestFit="1" customWidth="1"/>
    <col min="9988" max="9988" width="2.265625" style="126" customWidth="1"/>
    <col min="9989" max="9989" width="13.86328125" style="126" customWidth="1"/>
    <col min="9990" max="9990" width="2.265625" style="126" customWidth="1"/>
    <col min="9991" max="9991" width="16.3984375" style="126" bestFit="1" customWidth="1"/>
    <col min="9992" max="9992" width="2.265625" style="126" customWidth="1"/>
    <col min="9993" max="9993" width="19" style="126" bestFit="1" customWidth="1"/>
    <col min="9994" max="9994" width="22.86328125" style="126" customWidth="1"/>
    <col min="9995" max="9995" width="6.1328125" style="126" customWidth="1"/>
    <col min="9996" max="10225" width="12.59765625" style="126"/>
    <col min="10226" max="10226" width="8.265625" style="126" bestFit="1" customWidth="1"/>
    <col min="10227" max="10227" width="2.265625" style="126" customWidth="1"/>
    <col min="10228" max="10228" width="41.3984375" style="126" customWidth="1"/>
    <col min="10229" max="10229" width="9.265625" style="126" customWidth="1"/>
    <col min="10230" max="10230" width="20" style="126" customWidth="1"/>
    <col min="10231" max="10231" width="2.265625" style="126" customWidth="1"/>
    <col min="10232" max="10232" width="23.59765625" style="126" customWidth="1"/>
    <col min="10233" max="10233" width="14.265625" style="126" customWidth="1"/>
    <col min="10234" max="10234" width="11.86328125" style="126" customWidth="1"/>
    <col min="10235" max="10235" width="17.3984375" style="126" customWidth="1"/>
    <col min="10236" max="10236" width="20.265625" style="126" bestFit="1" customWidth="1"/>
    <col min="10237" max="10237" width="19.86328125" style="126" customWidth="1"/>
    <col min="10238" max="10238" width="10.3984375" style="126" bestFit="1" customWidth="1"/>
    <col min="10239" max="10239" width="13.1328125" style="126" bestFit="1" customWidth="1"/>
    <col min="10240" max="10240" width="2.265625" style="126" customWidth="1"/>
    <col min="10241" max="10241" width="22.73046875" style="126" customWidth="1"/>
    <col min="10242" max="10242" width="2.265625" style="126" customWidth="1"/>
    <col min="10243" max="10243" width="25.86328125" style="126" bestFit="1" customWidth="1"/>
    <col min="10244" max="10244" width="2.265625" style="126" customWidth="1"/>
    <col min="10245" max="10245" width="13.86328125" style="126" customWidth="1"/>
    <col min="10246" max="10246" width="2.265625" style="126" customWidth="1"/>
    <col min="10247" max="10247" width="16.3984375" style="126" bestFit="1" customWidth="1"/>
    <col min="10248" max="10248" width="2.265625" style="126" customWidth="1"/>
    <col min="10249" max="10249" width="19" style="126" bestFit="1" customWidth="1"/>
    <col min="10250" max="10250" width="22.86328125" style="126" customWidth="1"/>
    <col min="10251" max="10251" width="6.1328125" style="126" customWidth="1"/>
    <col min="10252" max="10481" width="12.59765625" style="126"/>
    <col min="10482" max="10482" width="8.265625" style="126" bestFit="1" customWidth="1"/>
    <col min="10483" max="10483" width="2.265625" style="126" customWidth="1"/>
    <col min="10484" max="10484" width="41.3984375" style="126" customWidth="1"/>
    <col min="10485" max="10485" width="9.265625" style="126" customWidth="1"/>
    <col min="10486" max="10486" width="20" style="126" customWidth="1"/>
    <col min="10487" max="10487" width="2.265625" style="126" customWidth="1"/>
    <col min="10488" max="10488" width="23.59765625" style="126" customWidth="1"/>
    <col min="10489" max="10489" width="14.265625" style="126" customWidth="1"/>
    <col min="10490" max="10490" width="11.86328125" style="126" customWidth="1"/>
    <col min="10491" max="10491" width="17.3984375" style="126" customWidth="1"/>
    <col min="10492" max="10492" width="20.265625" style="126" bestFit="1" customWidth="1"/>
    <col min="10493" max="10493" width="19.86328125" style="126" customWidth="1"/>
    <col min="10494" max="10494" width="10.3984375" style="126" bestFit="1" customWidth="1"/>
    <col min="10495" max="10495" width="13.1328125" style="126" bestFit="1" customWidth="1"/>
    <col min="10496" max="10496" width="2.265625" style="126" customWidth="1"/>
    <col min="10497" max="10497" width="22.73046875" style="126" customWidth="1"/>
    <col min="10498" max="10498" width="2.265625" style="126" customWidth="1"/>
    <col min="10499" max="10499" width="25.86328125" style="126" bestFit="1" customWidth="1"/>
    <col min="10500" max="10500" width="2.265625" style="126" customWidth="1"/>
    <col min="10501" max="10501" width="13.86328125" style="126" customWidth="1"/>
    <col min="10502" max="10502" width="2.265625" style="126" customWidth="1"/>
    <col min="10503" max="10503" width="16.3984375" style="126" bestFit="1" customWidth="1"/>
    <col min="10504" max="10504" width="2.265625" style="126" customWidth="1"/>
    <col min="10505" max="10505" width="19" style="126" bestFit="1" customWidth="1"/>
    <col min="10506" max="10506" width="22.86328125" style="126" customWidth="1"/>
    <col min="10507" max="10507" width="6.1328125" style="126" customWidth="1"/>
    <col min="10508" max="10737" width="12.59765625" style="126"/>
    <col min="10738" max="10738" width="8.265625" style="126" bestFit="1" customWidth="1"/>
    <col min="10739" max="10739" width="2.265625" style="126" customWidth="1"/>
    <col min="10740" max="10740" width="41.3984375" style="126" customWidth="1"/>
    <col min="10741" max="10741" width="9.265625" style="126" customWidth="1"/>
    <col min="10742" max="10742" width="20" style="126" customWidth="1"/>
    <col min="10743" max="10743" width="2.265625" style="126" customWidth="1"/>
    <col min="10744" max="10744" width="23.59765625" style="126" customWidth="1"/>
    <col min="10745" max="10745" width="14.265625" style="126" customWidth="1"/>
    <col min="10746" max="10746" width="11.86328125" style="126" customWidth="1"/>
    <col min="10747" max="10747" width="17.3984375" style="126" customWidth="1"/>
    <col min="10748" max="10748" width="20.265625" style="126" bestFit="1" customWidth="1"/>
    <col min="10749" max="10749" width="19.86328125" style="126" customWidth="1"/>
    <col min="10750" max="10750" width="10.3984375" style="126" bestFit="1" customWidth="1"/>
    <col min="10751" max="10751" width="13.1328125" style="126" bestFit="1" customWidth="1"/>
    <col min="10752" max="10752" width="2.265625" style="126" customWidth="1"/>
    <col min="10753" max="10753" width="22.73046875" style="126" customWidth="1"/>
    <col min="10754" max="10754" width="2.265625" style="126" customWidth="1"/>
    <col min="10755" max="10755" width="25.86328125" style="126" bestFit="1" customWidth="1"/>
    <col min="10756" max="10756" width="2.265625" style="126" customWidth="1"/>
    <col min="10757" max="10757" width="13.86328125" style="126" customWidth="1"/>
    <col min="10758" max="10758" width="2.265625" style="126" customWidth="1"/>
    <col min="10759" max="10759" width="16.3984375" style="126" bestFit="1" customWidth="1"/>
    <col min="10760" max="10760" width="2.265625" style="126" customWidth="1"/>
    <col min="10761" max="10761" width="19" style="126" bestFit="1" customWidth="1"/>
    <col min="10762" max="10762" width="22.86328125" style="126" customWidth="1"/>
    <col min="10763" max="10763" width="6.1328125" style="126" customWidth="1"/>
    <col min="10764" max="10993" width="12.59765625" style="126"/>
    <col min="10994" max="10994" width="8.265625" style="126" bestFit="1" customWidth="1"/>
    <col min="10995" max="10995" width="2.265625" style="126" customWidth="1"/>
    <col min="10996" max="10996" width="41.3984375" style="126" customWidth="1"/>
    <col min="10997" max="10997" width="9.265625" style="126" customWidth="1"/>
    <col min="10998" max="10998" width="20" style="126" customWidth="1"/>
    <col min="10999" max="10999" width="2.265625" style="126" customWidth="1"/>
    <col min="11000" max="11000" width="23.59765625" style="126" customWidth="1"/>
    <col min="11001" max="11001" width="14.265625" style="126" customWidth="1"/>
    <col min="11002" max="11002" width="11.86328125" style="126" customWidth="1"/>
    <col min="11003" max="11003" width="17.3984375" style="126" customWidth="1"/>
    <col min="11004" max="11004" width="20.265625" style="126" bestFit="1" customWidth="1"/>
    <col min="11005" max="11005" width="19.86328125" style="126" customWidth="1"/>
    <col min="11006" max="11006" width="10.3984375" style="126" bestFit="1" customWidth="1"/>
    <col min="11007" max="11007" width="13.1328125" style="126" bestFit="1" customWidth="1"/>
    <col min="11008" max="11008" width="2.265625" style="126" customWidth="1"/>
    <col min="11009" max="11009" width="22.73046875" style="126" customWidth="1"/>
    <col min="11010" max="11010" width="2.265625" style="126" customWidth="1"/>
    <col min="11011" max="11011" width="25.86328125" style="126" bestFit="1" customWidth="1"/>
    <col min="11012" max="11012" width="2.265625" style="126" customWidth="1"/>
    <col min="11013" max="11013" width="13.86328125" style="126" customWidth="1"/>
    <col min="11014" max="11014" width="2.265625" style="126" customWidth="1"/>
    <col min="11015" max="11015" width="16.3984375" style="126" bestFit="1" customWidth="1"/>
    <col min="11016" max="11016" width="2.265625" style="126" customWidth="1"/>
    <col min="11017" max="11017" width="19" style="126" bestFit="1" customWidth="1"/>
    <col min="11018" max="11018" width="22.86328125" style="126" customWidth="1"/>
    <col min="11019" max="11019" width="6.1328125" style="126" customWidth="1"/>
    <col min="11020" max="11249" width="12.59765625" style="126"/>
    <col min="11250" max="11250" width="8.265625" style="126" bestFit="1" customWidth="1"/>
    <col min="11251" max="11251" width="2.265625" style="126" customWidth="1"/>
    <col min="11252" max="11252" width="41.3984375" style="126" customWidth="1"/>
    <col min="11253" max="11253" width="9.265625" style="126" customWidth="1"/>
    <col min="11254" max="11254" width="20" style="126" customWidth="1"/>
    <col min="11255" max="11255" width="2.265625" style="126" customWidth="1"/>
    <col min="11256" max="11256" width="23.59765625" style="126" customWidth="1"/>
    <col min="11257" max="11257" width="14.265625" style="126" customWidth="1"/>
    <col min="11258" max="11258" width="11.86328125" style="126" customWidth="1"/>
    <col min="11259" max="11259" width="17.3984375" style="126" customWidth="1"/>
    <col min="11260" max="11260" width="20.265625" style="126" bestFit="1" customWidth="1"/>
    <col min="11261" max="11261" width="19.86328125" style="126" customWidth="1"/>
    <col min="11262" max="11262" width="10.3984375" style="126" bestFit="1" customWidth="1"/>
    <col min="11263" max="11263" width="13.1328125" style="126" bestFit="1" customWidth="1"/>
    <col min="11264" max="11264" width="2.265625" style="126" customWidth="1"/>
    <col min="11265" max="11265" width="22.73046875" style="126" customWidth="1"/>
    <col min="11266" max="11266" width="2.265625" style="126" customWidth="1"/>
    <col min="11267" max="11267" width="25.86328125" style="126" bestFit="1" customWidth="1"/>
    <col min="11268" max="11268" width="2.265625" style="126" customWidth="1"/>
    <col min="11269" max="11269" width="13.86328125" style="126" customWidth="1"/>
    <col min="11270" max="11270" width="2.265625" style="126" customWidth="1"/>
    <col min="11271" max="11271" width="16.3984375" style="126" bestFit="1" customWidth="1"/>
    <col min="11272" max="11272" width="2.265625" style="126" customWidth="1"/>
    <col min="11273" max="11273" width="19" style="126" bestFit="1" customWidth="1"/>
    <col min="11274" max="11274" width="22.86328125" style="126" customWidth="1"/>
    <col min="11275" max="11275" width="6.1328125" style="126" customWidth="1"/>
    <col min="11276" max="11505" width="12.59765625" style="126"/>
    <col min="11506" max="11506" width="8.265625" style="126" bestFit="1" customWidth="1"/>
    <col min="11507" max="11507" width="2.265625" style="126" customWidth="1"/>
    <col min="11508" max="11508" width="41.3984375" style="126" customWidth="1"/>
    <col min="11509" max="11509" width="9.265625" style="126" customWidth="1"/>
    <col min="11510" max="11510" width="20" style="126" customWidth="1"/>
    <col min="11511" max="11511" width="2.265625" style="126" customWidth="1"/>
    <col min="11512" max="11512" width="23.59765625" style="126" customWidth="1"/>
    <col min="11513" max="11513" width="14.265625" style="126" customWidth="1"/>
    <col min="11514" max="11514" width="11.86328125" style="126" customWidth="1"/>
    <col min="11515" max="11515" width="17.3984375" style="126" customWidth="1"/>
    <col min="11516" max="11516" width="20.265625" style="126" bestFit="1" customWidth="1"/>
    <col min="11517" max="11517" width="19.86328125" style="126" customWidth="1"/>
    <col min="11518" max="11518" width="10.3984375" style="126" bestFit="1" customWidth="1"/>
    <col min="11519" max="11519" width="13.1328125" style="126" bestFit="1" customWidth="1"/>
    <col min="11520" max="11520" width="2.265625" style="126" customWidth="1"/>
    <col min="11521" max="11521" width="22.73046875" style="126" customWidth="1"/>
    <col min="11522" max="11522" width="2.265625" style="126" customWidth="1"/>
    <col min="11523" max="11523" width="25.86328125" style="126" bestFit="1" customWidth="1"/>
    <col min="11524" max="11524" width="2.265625" style="126" customWidth="1"/>
    <col min="11525" max="11525" width="13.86328125" style="126" customWidth="1"/>
    <col min="11526" max="11526" width="2.265625" style="126" customWidth="1"/>
    <col min="11527" max="11527" width="16.3984375" style="126" bestFit="1" customWidth="1"/>
    <col min="11528" max="11528" width="2.265625" style="126" customWidth="1"/>
    <col min="11529" max="11529" width="19" style="126" bestFit="1" customWidth="1"/>
    <col min="11530" max="11530" width="22.86328125" style="126" customWidth="1"/>
    <col min="11531" max="11531" width="6.1328125" style="126" customWidth="1"/>
    <col min="11532" max="11761" width="12.59765625" style="126"/>
    <col min="11762" max="11762" width="8.265625" style="126" bestFit="1" customWidth="1"/>
    <col min="11763" max="11763" width="2.265625" style="126" customWidth="1"/>
    <col min="11764" max="11764" width="41.3984375" style="126" customWidth="1"/>
    <col min="11765" max="11765" width="9.265625" style="126" customWidth="1"/>
    <col min="11766" max="11766" width="20" style="126" customWidth="1"/>
    <col min="11767" max="11767" width="2.265625" style="126" customWidth="1"/>
    <col min="11768" max="11768" width="23.59765625" style="126" customWidth="1"/>
    <col min="11769" max="11769" width="14.265625" style="126" customWidth="1"/>
    <col min="11770" max="11770" width="11.86328125" style="126" customWidth="1"/>
    <col min="11771" max="11771" width="17.3984375" style="126" customWidth="1"/>
    <col min="11772" max="11772" width="20.265625" style="126" bestFit="1" customWidth="1"/>
    <col min="11773" max="11773" width="19.86328125" style="126" customWidth="1"/>
    <col min="11774" max="11774" width="10.3984375" style="126" bestFit="1" customWidth="1"/>
    <col min="11775" max="11775" width="13.1328125" style="126" bestFit="1" customWidth="1"/>
    <col min="11776" max="11776" width="2.265625" style="126" customWidth="1"/>
    <col min="11777" max="11777" width="22.73046875" style="126" customWidth="1"/>
    <col min="11778" max="11778" width="2.265625" style="126" customWidth="1"/>
    <col min="11779" max="11779" width="25.86328125" style="126" bestFit="1" customWidth="1"/>
    <col min="11780" max="11780" width="2.265625" style="126" customWidth="1"/>
    <col min="11781" max="11781" width="13.86328125" style="126" customWidth="1"/>
    <col min="11782" max="11782" width="2.265625" style="126" customWidth="1"/>
    <col min="11783" max="11783" width="16.3984375" style="126" bestFit="1" customWidth="1"/>
    <col min="11784" max="11784" width="2.265625" style="126" customWidth="1"/>
    <col min="11785" max="11785" width="19" style="126" bestFit="1" customWidth="1"/>
    <col min="11786" max="11786" width="22.86328125" style="126" customWidth="1"/>
    <col min="11787" max="11787" width="6.1328125" style="126" customWidth="1"/>
    <col min="11788" max="12017" width="12.59765625" style="126"/>
    <col min="12018" max="12018" width="8.265625" style="126" bestFit="1" customWidth="1"/>
    <col min="12019" max="12019" width="2.265625" style="126" customWidth="1"/>
    <col min="12020" max="12020" width="41.3984375" style="126" customWidth="1"/>
    <col min="12021" max="12021" width="9.265625" style="126" customWidth="1"/>
    <col min="12022" max="12022" width="20" style="126" customWidth="1"/>
    <col min="12023" max="12023" width="2.265625" style="126" customWidth="1"/>
    <col min="12024" max="12024" width="23.59765625" style="126" customWidth="1"/>
    <col min="12025" max="12025" width="14.265625" style="126" customWidth="1"/>
    <col min="12026" max="12026" width="11.86328125" style="126" customWidth="1"/>
    <col min="12027" max="12027" width="17.3984375" style="126" customWidth="1"/>
    <col min="12028" max="12028" width="20.265625" style="126" bestFit="1" customWidth="1"/>
    <col min="12029" max="12029" width="19.86328125" style="126" customWidth="1"/>
    <col min="12030" max="12030" width="10.3984375" style="126" bestFit="1" customWidth="1"/>
    <col min="12031" max="12031" width="13.1328125" style="126" bestFit="1" customWidth="1"/>
    <col min="12032" max="12032" width="2.265625" style="126" customWidth="1"/>
    <col min="12033" max="12033" width="22.73046875" style="126" customWidth="1"/>
    <col min="12034" max="12034" width="2.265625" style="126" customWidth="1"/>
    <col min="12035" max="12035" width="25.86328125" style="126" bestFit="1" customWidth="1"/>
    <col min="12036" max="12036" width="2.265625" style="126" customWidth="1"/>
    <col min="12037" max="12037" width="13.86328125" style="126" customWidth="1"/>
    <col min="12038" max="12038" width="2.265625" style="126" customWidth="1"/>
    <col min="12039" max="12039" width="16.3984375" style="126" bestFit="1" customWidth="1"/>
    <col min="12040" max="12040" width="2.265625" style="126" customWidth="1"/>
    <col min="12041" max="12041" width="19" style="126" bestFit="1" customWidth="1"/>
    <col min="12042" max="12042" width="22.86328125" style="126" customWidth="1"/>
    <col min="12043" max="12043" width="6.1328125" style="126" customWidth="1"/>
    <col min="12044" max="12273" width="12.59765625" style="126"/>
    <col min="12274" max="12274" width="8.265625" style="126" bestFit="1" customWidth="1"/>
    <col min="12275" max="12275" width="2.265625" style="126" customWidth="1"/>
    <col min="12276" max="12276" width="41.3984375" style="126" customWidth="1"/>
    <col min="12277" max="12277" width="9.265625" style="126" customWidth="1"/>
    <col min="12278" max="12278" width="20" style="126" customWidth="1"/>
    <col min="12279" max="12279" width="2.265625" style="126" customWidth="1"/>
    <col min="12280" max="12280" width="23.59765625" style="126" customWidth="1"/>
    <col min="12281" max="12281" width="14.265625" style="126" customWidth="1"/>
    <col min="12282" max="12282" width="11.86328125" style="126" customWidth="1"/>
    <col min="12283" max="12283" width="17.3984375" style="126" customWidth="1"/>
    <col min="12284" max="12284" width="20.265625" style="126" bestFit="1" customWidth="1"/>
    <col min="12285" max="12285" width="19.86328125" style="126" customWidth="1"/>
    <col min="12286" max="12286" width="10.3984375" style="126" bestFit="1" customWidth="1"/>
    <col min="12287" max="12287" width="13.1328125" style="126" bestFit="1" customWidth="1"/>
    <col min="12288" max="12288" width="2.265625" style="126" customWidth="1"/>
    <col min="12289" max="12289" width="22.73046875" style="126" customWidth="1"/>
    <col min="12290" max="12290" width="2.265625" style="126" customWidth="1"/>
    <col min="12291" max="12291" width="25.86328125" style="126" bestFit="1" customWidth="1"/>
    <col min="12292" max="12292" width="2.265625" style="126" customWidth="1"/>
    <col min="12293" max="12293" width="13.86328125" style="126" customWidth="1"/>
    <col min="12294" max="12294" width="2.265625" style="126" customWidth="1"/>
    <col min="12295" max="12295" width="16.3984375" style="126" bestFit="1" customWidth="1"/>
    <col min="12296" max="12296" width="2.265625" style="126" customWidth="1"/>
    <col min="12297" max="12297" width="19" style="126" bestFit="1" customWidth="1"/>
    <col min="12298" max="12298" width="22.86328125" style="126" customWidth="1"/>
    <col min="12299" max="12299" width="6.1328125" style="126" customWidth="1"/>
    <col min="12300" max="12529" width="12.59765625" style="126"/>
    <col min="12530" max="12530" width="8.265625" style="126" bestFit="1" customWidth="1"/>
    <col min="12531" max="12531" width="2.265625" style="126" customWidth="1"/>
    <col min="12532" max="12532" width="41.3984375" style="126" customWidth="1"/>
    <col min="12533" max="12533" width="9.265625" style="126" customWidth="1"/>
    <col min="12534" max="12534" width="20" style="126" customWidth="1"/>
    <col min="12535" max="12535" width="2.265625" style="126" customWidth="1"/>
    <col min="12536" max="12536" width="23.59765625" style="126" customWidth="1"/>
    <col min="12537" max="12537" width="14.265625" style="126" customWidth="1"/>
    <col min="12538" max="12538" width="11.86328125" style="126" customWidth="1"/>
    <col min="12539" max="12539" width="17.3984375" style="126" customWidth="1"/>
    <col min="12540" max="12540" width="20.265625" style="126" bestFit="1" customWidth="1"/>
    <col min="12541" max="12541" width="19.86328125" style="126" customWidth="1"/>
    <col min="12542" max="12542" width="10.3984375" style="126" bestFit="1" customWidth="1"/>
    <col min="12543" max="12543" width="13.1328125" style="126" bestFit="1" customWidth="1"/>
    <col min="12544" max="12544" width="2.265625" style="126" customWidth="1"/>
    <col min="12545" max="12545" width="22.73046875" style="126" customWidth="1"/>
    <col min="12546" max="12546" width="2.265625" style="126" customWidth="1"/>
    <col min="12547" max="12547" width="25.86328125" style="126" bestFit="1" customWidth="1"/>
    <col min="12548" max="12548" width="2.265625" style="126" customWidth="1"/>
    <col min="12549" max="12549" width="13.86328125" style="126" customWidth="1"/>
    <col min="12550" max="12550" width="2.265625" style="126" customWidth="1"/>
    <col min="12551" max="12551" width="16.3984375" style="126" bestFit="1" customWidth="1"/>
    <col min="12552" max="12552" width="2.265625" style="126" customWidth="1"/>
    <col min="12553" max="12553" width="19" style="126" bestFit="1" customWidth="1"/>
    <col min="12554" max="12554" width="22.86328125" style="126" customWidth="1"/>
    <col min="12555" max="12555" width="6.1328125" style="126" customWidth="1"/>
    <col min="12556" max="12785" width="12.59765625" style="126"/>
    <col min="12786" max="12786" width="8.265625" style="126" bestFit="1" customWidth="1"/>
    <col min="12787" max="12787" width="2.265625" style="126" customWidth="1"/>
    <col min="12788" max="12788" width="41.3984375" style="126" customWidth="1"/>
    <col min="12789" max="12789" width="9.265625" style="126" customWidth="1"/>
    <col min="12790" max="12790" width="20" style="126" customWidth="1"/>
    <col min="12791" max="12791" width="2.265625" style="126" customWidth="1"/>
    <col min="12792" max="12792" width="23.59765625" style="126" customWidth="1"/>
    <col min="12793" max="12793" width="14.265625" style="126" customWidth="1"/>
    <col min="12794" max="12794" width="11.86328125" style="126" customWidth="1"/>
    <col min="12795" max="12795" width="17.3984375" style="126" customWidth="1"/>
    <col min="12796" max="12796" width="20.265625" style="126" bestFit="1" customWidth="1"/>
    <col min="12797" max="12797" width="19.86328125" style="126" customWidth="1"/>
    <col min="12798" max="12798" width="10.3984375" style="126" bestFit="1" customWidth="1"/>
    <col min="12799" max="12799" width="13.1328125" style="126" bestFit="1" customWidth="1"/>
    <col min="12800" max="12800" width="2.265625" style="126" customWidth="1"/>
    <col min="12801" max="12801" width="22.73046875" style="126" customWidth="1"/>
    <col min="12802" max="12802" width="2.265625" style="126" customWidth="1"/>
    <col min="12803" max="12803" width="25.86328125" style="126" bestFit="1" customWidth="1"/>
    <col min="12804" max="12804" width="2.265625" style="126" customWidth="1"/>
    <col min="12805" max="12805" width="13.86328125" style="126" customWidth="1"/>
    <col min="12806" max="12806" width="2.265625" style="126" customWidth="1"/>
    <col min="12807" max="12807" width="16.3984375" style="126" bestFit="1" customWidth="1"/>
    <col min="12808" max="12808" width="2.265625" style="126" customWidth="1"/>
    <col min="12809" max="12809" width="19" style="126" bestFit="1" customWidth="1"/>
    <col min="12810" max="12810" width="22.86328125" style="126" customWidth="1"/>
    <col min="12811" max="12811" width="6.1328125" style="126" customWidth="1"/>
    <col min="12812" max="13041" width="12.59765625" style="126"/>
    <col min="13042" max="13042" width="8.265625" style="126" bestFit="1" customWidth="1"/>
    <col min="13043" max="13043" width="2.265625" style="126" customWidth="1"/>
    <col min="13044" max="13044" width="41.3984375" style="126" customWidth="1"/>
    <col min="13045" max="13045" width="9.265625" style="126" customWidth="1"/>
    <col min="13046" max="13046" width="20" style="126" customWidth="1"/>
    <col min="13047" max="13047" width="2.265625" style="126" customWidth="1"/>
    <col min="13048" max="13048" width="23.59765625" style="126" customWidth="1"/>
    <col min="13049" max="13049" width="14.265625" style="126" customWidth="1"/>
    <col min="13050" max="13050" width="11.86328125" style="126" customWidth="1"/>
    <col min="13051" max="13051" width="17.3984375" style="126" customWidth="1"/>
    <col min="13052" max="13052" width="20.265625" style="126" bestFit="1" customWidth="1"/>
    <col min="13053" max="13053" width="19.86328125" style="126" customWidth="1"/>
    <col min="13054" max="13054" width="10.3984375" style="126" bestFit="1" customWidth="1"/>
    <col min="13055" max="13055" width="13.1328125" style="126" bestFit="1" customWidth="1"/>
    <col min="13056" max="13056" width="2.265625" style="126" customWidth="1"/>
    <col min="13057" max="13057" width="22.73046875" style="126" customWidth="1"/>
    <col min="13058" max="13058" width="2.265625" style="126" customWidth="1"/>
    <col min="13059" max="13059" width="25.86328125" style="126" bestFit="1" customWidth="1"/>
    <col min="13060" max="13060" width="2.265625" style="126" customWidth="1"/>
    <col min="13061" max="13061" width="13.86328125" style="126" customWidth="1"/>
    <col min="13062" max="13062" width="2.265625" style="126" customWidth="1"/>
    <col min="13063" max="13063" width="16.3984375" style="126" bestFit="1" customWidth="1"/>
    <col min="13064" max="13064" width="2.265625" style="126" customWidth="1"/>
    <col min="13065" max="13065" width="19" style="126" bestFit="1" customWidth="1"/>
    <col min="13066" max="13066" width="22.86328125" style="126" customWidth="1"/>
    <col min="13067" max="13067" width="6.1328125" style="126" customWidth="1"/>
    <col min="13068" max="13297" width="12.59765625" style="126"/>
    <col min="13298" max="13298" width="8.265625" style="126" bestFit="1" customWidth="1"/>
    <col min="13299" max="13299" width="2.265625" style="126" customWidth="1"/>
    <col min="13300" max="13300" width="41.3984375" style="126" customWidth="1"/>
    <col min="13301" max="13301" width="9.265625" style="126" customWidth="1"/>
    <col min="13302" max="13302" width="20" style="126" customWidth="1"/>
    <col min="13303" max="13303" width="2.265625" style="126" customWidth="1"/>
    <col min="13304" max="13304" width="23.59765625" style="126" customWidth="1"/>
    <col min="13305" max="13305" width="14.265625" style="126" customWidth="1"/>
    <col min="13306" max="13306" width="11.86328125" style="126" customWidth="1"/>
    <col min="13307" max="13307" width="17.3984375" style="126" customWidth="1"/>
    <col min="13308" max="13308" width="20.265625" style="126" bestFit="1" customWidth="1"/>
    <col min="13309" max="13309" width="19.86328125" style="126" customWidth="1"/>
    <col min="13310" max="13310" width="10.3984375" style="126" bestFit="1" customWidth="1"/>
    <col min="13311" max="13311" width="13.1328125" style="126" bestFit="1" customWidth="1"/>
    <col min="13312" max="13312" width="2.265625" style="126" customWidth="1"/>
    <col min="13313" max="13313" width="22.73046875" style="126" customWidth="1"/>
    <col min="13314" max="13314" width="2.265625" style="126" customWidth="1"/>
    <col min="13315" max="13315" width="25.86328125" style="126" bestFit="1" customWidth="1"/>
    <col min="13316" max="13316" width="2.265625" style="126" customWidth="1"/>
    <col min="13317" max="13317" width="13.86328125" style="126" customWidth="1"/>
    <col min="13318" max="13318" width="2.265625" style="126" customWidth="1"/>
    <col min="13319" max="13319" width="16.3984375" style="126" bestFit="1" customWidth="1"/>
    <col min="13320" max="13320" width="2.265625" style="126" customWidth="1"/>
    <col min="13321" max="13321" width="19" style="126" bestFit="1" customWidth="1"/>
    <col min="13322" max="13322" width="22.86328125" style="126" customWidth="1"/>
    <col min="13323" max="13323" width="6.1328125" style="126" customWidth="1"/>
    <col min="13324" max="13553" width="12.59765625" style="126"/>
    <col min="13554" max="13554" width="8.265625" style="126" bestFit="1" customWidth="1"/>
    <col min="13555" max="13555" width="2.265625" style="126" customWidth="1"/>
    <col min="13556" max="13556" width="41.3984375" style="126" customWidth="1"/>
    <col min="13557" max="13557" width="9.265625" style="126" customWidth="1"/>
    <col min="13558" max="13558" width="20" style="126" customWidth="1"/>
    <col min="13559" max="13559" width="2.265625" style="126" customWidth="1"/>
    <col min="13560" max="13560" width="23.59765625" style="126" customWidth="1"/>
    <col min="13561" max="13561" width="14.265625" style="126" customWidth="1"/>
    <col min="13562" max="13562" width="11.86328125" style="126" customWidth="1"/>
    <col min="13563" max="13563" width="17.3984375" style="126" customWidth="1"/>
    <col min="13564" max="13564" width="20.265625" style="126" bestFit="1" customWidth="1"/>
    <col min="13565" max="13565" width="19.86328125" style="126" customWidth="1"/>
    <col min="13566" max="13566" width="10.3984375" style="126" bestFit="1" customWidth="1"/>
    <col min="13567" max="13567" width="13.1328125" style="126" bestFit="1" customWidth="1"/>
    <col min="13568" max="13568" width="2.265625" style="126" customWidth="1"/>
    <col min="13569" max="13569" width="22.73046875" style="126" customWidth="1"/>
    <col min="13570" max="13570" width="2.265625" style="126" customWidth="1"/>
    <col min="13571" max="13571" width="25.86328125" style="126" bestFit="1" customWidth="1"/>
    <col min="13572" max="13572" width="2.265625" style="126" customWidth="1"/>
    <col min="13573" max="13573" width="13.86328125" style="126" customWidth="1"/>
    <col min="13574" max="13574" width="2.265625" style="126" customWidth="1"/>
    <col min="13575" max="13575" width="16.3984375" style="126" bestFit="1" customWidth="1"/>
    <col min="13576" max="13576" width="2.265625" style="126" customWidth="1"/>
    <col min="13577" max="13577" width="19" style="126" bestFit="1" customWidth="1"/>
    <col min="13578" max="13578" width="22.86328125" style="126" customWidth="1"/>
    <col min="13579" max="13579" width="6.1328125" style="126" customWidth="1"/>
    <col min="13580" max="13809" width="12.59765625" style="126"/>
    <col min="13810" max="13810" width="8.265625" style="126" bestFit="1" customWidth="1"/>
    <col min="13811" max="13811" width="2.265625" style="126" customWidth="1"/>
    <col min="13812" max="13812" width="41.3984375" style="126" customWidth="1"/>
    <col min="13813" max="13813" width="9.265625" style="126" customWidth="1"/>
    <col min="13814" max="13814" width="20" style="126" customWidth="1"/>
    <col min="13815" max="13815" width="2.265625" style="126" customWidth="1"/>
    <col min="13816" max="13816" width="23.59765625" style="126" customWidth="1"/>
    <col min="13817" max="13817" width="14.265625" style="126" customWidth="1"/>
    <col min="13818" max="13818" width="11.86328125" style="126" customWidth="1"/>
    <col min="13819" max="13819" width="17.3984375" style="126" customWidth="1"/>
    <col min="13820" max="13820" width="20.265625" style="126" bestFit="1" customWidth="1"/>
    <col min="13821" max="13821" width="19.86328125" style="126" customWidth="1"/>
    <col min="13822" max="13822" width="10.3984375" style="126" bestFit="1" customWidth="1"/>
    <col min="13823" max="13823" width="13.1328125" style="126" bestFit="1" customWidth="1"/>
    <col min="13824" max="13824" width="2.265625" style="126" customWidth="1"/>
    <col min="13825" max="13825" width="22.73046875" style="126" customWidth="1"/>
    <col min="13826" max="13826" width="2.265625" style="126" customWidth="1"/>
    <col min="13827" max="13827" width="25.86328125" style="126" bestFit="1" customWidth="1"/>
    <col min="13828" max="13828" width="2.265625" style="126" customWidth="1"/>
    <col min="13829" max="13829" width="13.86328125" style="126" customWidth="1"/>
    <col min="13830" max="13830" width="2.265625" style="126" customWidth="1"/>
    <col min="13831" max="13831" width="16.3984375" style="126" bestFit="1" customWidth="1"/>
    <col min="13832" max="13832" width="2.265625" style="126" customWidth="1"/>
    <col min="13833" max="13833" width="19" style="126" bestFit="1" customWidth="1"/>
    <col min="13834" max="13834" width="22.86328125" style="126" customWidth="1"/>
    <col min="13835" max="13835" width="6.1328125" style="126" customWidth="1"/>
    <col min="13836" max="14065" width="12.59765625" style="126"/>
    <col min="14066" max="14066" width="8.265625" style="126" bestFit="1" customWidth="1"/>
    <col min="14067" max="14067" width="2.265625" style="126" customWidth="1"/>
    <col min="14068" max="14068" width="41.3984375" style="126" customWidth="1"/>
    <col min="14069" max="14069" width="9.265625" style="126" customWidth="1"/>
    <col min="14070" max="14070" width="20" style="126" customWidth="1"/>
    <col min="14071" max="14071" width="2.265625" style="126" customWidth="1"/>
    <col min="14072" max="14072" width="23.59765625" style="126" customWidth="1"/>
    <col min="14073" max="14073" width="14.265625" style="126" customWidth="1"/>
    <col min="14074" max="14074" width="11.86328125" style="126" customWidth="1"/>
    <col min="14075" max="14075" width="17.3984375" style="126" customWidth="1"/>
    <col min="14076" max="14076" width="20.265625" style="126" bestFit="1" customWidth="1"/>
    <col min="14077" max="14077" width="19.86328125" style="126" customWidth="1"/>
    <col min="14078" max="14078" width="10.3984375" style="126" bestFit="1" customWidth="1"/>
    <col min="14079" max="14079" width="13.1328125" style="126" bestFit="1" customWidth="1"/>
    <col min="14080" max="14080" width="2.265625" style="126" customWidth="1"/>
    <col min="14081" max="14081" width="22.73046875" style="126" customWidth="1"/>
    <col min="14082" max="14082" width="2.265625" style="126" customWidth="1"/>
    <col min="14083" max="14083" width="25.86328125" style="126" bestFit="1" customWidth="1"/>
    <col min="14084" max="14084" width="2.265625" style="126" customWidth="1"/>
    <col min="14085" max="14085" width="13.86328125" style="126" customWidth="1"/>
    <col min="14086" max="14086" width="2.265625" style="126" customWidth="1"/>
    <col min="14087" max="14087" width="16.3984375" style="126" bestFit="1" customWidth="1"/>
    <col min="14088" max="14088" width="2.265625" style="126" customWidth="1"/>
    <col min="14089" max="14089" width="19" style="126" bestFit="1" customWidth="1"/>
    <col min="14090" max="14090" width="22.86328125" style="126" customWidth="1"/>
    <col min="14091" max="14091" width="6.1328125" style="126" customWidth="1"/>
    <col min="14092" max="14321" width="12.59765625" style="126"/>
    <col min="14322" max="14322" width="8.265625" style="126" bestFit="1" customWidth="1"/>
    <col min="14323" max="14323" width="2.265625" style="126" customWidth="1"/>
    <col min="14324" max="14324" width="41.3984375" style="126" customWidth="1"/>
    <col min="14325" max="14325" width="9.265625" style="126" customWidth="1"/>
    <col min="14326" max="14326" width="20" style="126" customWidth="1"/>
    <col min="14327" max="14327" width="2.265625" style="126" customWidth="1"/>
    <col min="14328" max="14328" width="23.59765625" style="126" customWidth="1"/>
    <col min="14329" max="14329" width="14.265625" style="126" customWidth="1"/>
    <col min="14330" max="14330" width="11.86328125" style="126" customWidth="1"/>
    <col min="14331" max="14331" width="17.3984375" style="126" customWidth="1"/>
    <col min="14332" max="14332" width="20.265625" style="126" bestFit="1" customWidth="1"/>
    <col min="14333" max="14333" width="19.86328125" style="126" customWidth="1"/>
    <col min="14334" max="14334" width="10.3984375" style="126" bestFit="1" customWidth="1"/>
    <col min="14335" max="14335" width="13.1328125" style="126" bestFit="1" customWidth="1"/>
    <col min="14336" max="14336" width="2.265625" style="126" customWidth="1"/>
    <col min="14337" max="14337" width="22.73046875" style="126" customWidth="1"/>
    <col min="14338" max="14338" width="2.265625" style="126" customWidth="1"/>
    <col min="14339" max="14339" width="25.86328125" style="126" bestFit="1" customWidth="1"/>
    <col min="14340" max="14340" width="2.265625" style="126" customWidth="1"/>
    <col min="14341" max="14341" width="13.86328125" style="126" customWidth="1"/>
    <col min="14342" max="14342" width="2.265625" style="126" customWidth="1"/>
    <col min="14343" max="14343" width="16.3984375" style="126" bestFit="1" customWidth="1"/>
    <col min="14344" max="14344" width="2.265625" style="126" customWidth="1"/>
    <col min="14345" max="14345" width="19" style="126" bestFit="1" customWidth="1"/>
    <col min="14346" max="14346" width="22.86328125" style="126" customWidth="1"/>
    <col min="14347" max="14347" width="6.1328125" style="126" customWidth="1"/>
    <col min="14348" max="14577" width="12.59765625" style="126"/>
    <col min="14578" max="14578" width="8.265625" style="126" bestFit="1" customWidth="1"/>
    <col min="14579" max="14579" width="2.265625" style="126" customWidth="1"/>
    <col min="14580" max="14580" width="41.3984375" style="126" customWidth="1"/>
    <col min="14581" max="14581" width="9.265625" style="126" customWidth="1"/>
    <col min="14582" max="14582" width="20" style="126" customWidth="1"/>
    <col min="14583" max="14583" width="2.265625" style="126" customWidth="1"/>
    <col min="14584" max="14584" width="23.59765625" style="126" customWidth="1"/>
    <col min="14585" max="14585" width="14.265625" style="126" customWidth="1"/>
    <col min="14586" max="14586" width="11.86328125" style="126" customWidth="1"/>
    <col min="14587" max="14587" width="17.3984375" style="126" customWidth="1"/>
    <col min="14588" max="14588" width="20.265625" style="126" bestFit="1" customWidth="1"/>
    <col min="14589" max="14589" width="19.86328125" style="126" customWidth="1"/>
    <col min="14590" max="14590" width="10.3984375" style="126" bestFit="1" customWidth="1"/>
    <col min="14591" max="14591" width="13.1328125" style="126" bestFit="1" customWidth="1"/>
    <col min="14592" max="14592" width="2.265625" style="126" customWidth="1"/>
    <col min="14593" max="14593" width="22.73046875" style="126" customWidth="1"/>
    <col min="14594" max="14594" width="2.265625" style="126" customWidth="1"/>
    <col min="14595" max="14595" width="25.86328125" style="126" bestFit="1" customWidth="1"/>
    <col min="14596" max="14596" width="2.265625" style="126" customWidth="1"/>
    <col min="14597" max="14597" width="13.86328125" style="126" customWidth="1"/>
    <col min="14598" max="14598" width="2.265625" style="126" customWidth="1"/>
    <col min="14599" max="14599" width="16.3984375" style="126" bestFit="1" customWidth="1"/>
    <col min="14600" max="14600" width="2.265625" style="126" customWidth="1"/>
    <col min="14601" max="14601" width="19" style="126" bestFit="1" customWidth="1"/>
    <col min="14602" max="14602" width="22.86328125" style="126" customWidth="1"/>
    <col min="14603" max="14603" width="6.1328125" style="126" customWidth="1"/>
    <col min="14604" max="14833" width="12.59765625" style="126"/>
    <col min="14834" max="14834" width="8.265625" style="126" bestFit="1" customWidth="1"/>
    <col min="14835" max="14835" width="2.265625" style="126" customWidth="1"/>
    <col min="14836" max="14836" width="41.3984375" style="126" customWidth="1"/>
    <col min="14837" max="14837" width="9.265625" style="126" customWidth="1"/>
    <col min="14838" max="14838" width="20" style="126" customWidth="1"/>
    <col min="14839" max="14839" width="2.265625" style="126" customWidth="1"/>
    <col min="14840" max="14840" width="23.59765625" style="126" customWidth="1"/>
    <col min="14841" max="14841" width="14.265625" style="126" customWidth="1"/>
    <col min="14842" max="14842" width="11.86328125" style="126" customWidth="1"/>
    <col min="14843" max="14843" width="17.3984375" style="126" customWidth="1"/>
    <col min="14844" max="14844" width="20.265625" style="126" bestFit="1" customWidth="1"/>
    <col min="14845" max="14845" width="19.86328125" style="126" customWidth="1"/>
    <col min="14846" max="14846" width="10.3984375" style="126" bestFit="1" customWidth="1"/>
    <col min="14847" max="14847" width="13.1328125" style="126" bestFit="1" customWidth="1"/>
    <col min="14848" max="14848" width="2.265625" style="126" customWidth="1"/>
    <col min="14849" max="14849" width="22.73046875" style="126" customWidth="1"/>
    <col min="14850" max="14850" width="2.265625" style="126" customWidth="1"/>
    <col min="14851" max="14851" width="25.86328125" style="126" bestFit="1" customWidth="1"/>
    <col min="14852" max="14852" width="2.265625" style="126" customWidth="1"/>
    <col min="14853" max="14853" width="13.86328125" style="126" customWidth="1"/>
    <col min="14854" max="14854" width="2.265625" style="126" customWidth="1"/>
    <col min="14855" max="14855" width="16.3984375" style="126" bestFit="1" customWidth="1"/>
    <col min="14856" max="14856" width="2.265625" style="126" customWidth="1"/>
    <col min="14857" max="14857" width="19" style="126" bestFit="1" customWidth="1"/>
    <col min="14858" max="14858" width="22.86328125" style="126" customWidth="1"/>
    <col min="14859" max="14859" width="6.1328125" style="126" customWidth="1"/>
    <col min="14860" max="15089" width="12.59765625" style="126"/>
    <col min="15090" max="15090" width="8.265625" style="126" bestFit="1" customWidth="1"/>
    <col min="15091" max="15091" width="2.265625" style="126" customWidth="1"/>
    <col min="15092" max="15092" width="41.3984375" style="126" customWidth="1"/>
    <col min="15093" max="15093" width="9.265625" style="126" customWidth="1"/>
    <col min="15094" max="15094" width="20" style="126" customWidth="1"/>
    <col min="15095" max="15095" width="2.265625" style="126" customWidth="1"/>
    <col min="15096" max="15096" width="23.59765625" style="126" customWidth="1"/>
    <col min="15097" max="15097" width="14.265625" style="126" customWidth="1"/>
    <col min="15098" max="15098" width="11.86328125" style="126" customWidth="1"/>
    <col min="15099" max="15099" width="17.3984375" style="126" customWidth="1"/>
    <col min="15100" max="15100" width="20.265625" style="126" bestFit="1" customWidth="1"/>
    <col min="15101" max="15101" width="19.86328125" style="126" customWidth="1"/>
    <col min="15102" max="15102" width="10.3984375" style="126" bestFit="1" customWidth="1"/>
    <col min="15103" max="15103" width="13.1328125" style="126" bestFit="1" customWidth="1"/>
    <col min="15104" max="15104" width="2.265625" style="126" customWidth="1"/>
    <col min="15105" max="15105" width="22.73046875" style="126" customWidth="1"/>
    <col min="15106" max="15106" width="2.265625" style="126" customWidth="1"/>
    <col min="15107" max="15107" width="25.86328125" style="126" bestFit="1" customWidth="1"/>
    <col min="15108" max="15108" width="2.265625" style="126" customWidth="1"/>
    <col min="15109" max="15109" width="13.86328125" style="126" customWidth="1"/>
    <col min="15110" max="15110" width="2.265625" style="126" customWidth="1"/>
    <col min="15111" max="15111" width="16.3984375" style="126" bestFit="1" customWidth="1"/>
    <col min="15112" max="15112" width="2.265625" style="126" customWidth="1"/>
    <col min="15113" max="15113" width="19" style="126" bestFit="1" customWidth="1"/>
    <col min="15114" max="15114" width="22.86328125" style="126" customWidth="1"/>
    <col min="15115" max="15115" width="6.1328125" style="126" customWidth="1"/>
    <col min="15116" max="15345" width="12.59765625" style="126"/>
    <col min="15346" max="15346" width="8.265625" style="126" bestFit="1" customWidth="1"/>
    <col min="15347" max="15347" width="2.265625" style="126" customWidth="1"/>
    <col min="15348" max="15348" width="41.3984375" style="126" customWidth="1"/>
    <col min="15349" max="15349" width="9.265625" style="126" customWidth="1"/>
    <col min="15350" max="15350" width="20" style="126" customWidth="1"/>
    <col min="15351" max="15351" width="2.265625" style="126" customWidth="1"/>
    <col min="15352" max="15352" width="23.59765625" style="126" customWidth="1"/>
    <col min="15353" max="15353" width="14.265625" style="126" customWidth="1"/>
    <col min="15354" max="15354" width="11.86328125" style="126" customWidth="1"/>
    <col min="15355" max="15355" width="17.3984375" style="126" customWidth="1"/>
    <col min="15356" max="15356" width="20.265625" style="126" bestFit="1" customWidth="1"/>
    <col min="15357" max="15357" width="19.86328125" style="126" customWidth="1"/>
    <col min="15358" max="15358" width="10.3984375" style="126" bestFit="1" customWidth="1"/>
    <col min="15359" max="15359" width="13.1328125" style="126" bestFit="1" customWidth="1"/>
    <col min="15360" max="15360" width="2.265625" style="126" customWidth="1"/>
    <col min="15361" max="15361" width="22.73046875" style="126" customWidth="1"/>
    <col min="15362" max="15362" width="2.265625" style="126" customWidth="1"/>
    <col min="15363" max="15363" width="25.86328125" style="126" bestFit="1" customWidth="1"/>
    <col min="15364" max="15364" width="2.265625" style="126" customWidth="1"/>
    <col min="15365" max="15365" width="13.86328125" style="126" customWidth="1"/>
    <col min="15366" max="15366" width="2.265625" style="126" customWidth="1"/>
    <col min="15367" max="15367" width="16.3984375" style="126" bestFit="1" customWidth="1"/>
    <col min="15368" max="15368" width="2.265625" style="126" customWidth="1"/>
    <col min="15369" max="15369" width="19" style="126" bestFit="1" customWidth="1"/>
    <col min="15370" max="15370" width="22.86328125" style="126" customWidth="1"/>
    <col min="15371" max="15371" width="6.1328125" style="126" customWidth="1"/>
    <col min="15372" max="15601" width="12.59765625" style="126"/>
    <col min="15602" max="15602" width="8.265625" style="126" bestFit="1" customWidth="1"/>
    <col min="15603" max="15603" width="2.265625" style="126" customWidth="1"/>
    <col min="15604" max="15604" width="41.3984375" style="126" customWidth="1"/>
    <col min="15605" max="15605" width="9.265625" style="126" customWidth="1"/>
    <col min="15606" max="15606" width="20" style="126" customWidth="1"/>
    <col min="15607" max="15607" width="2.265625" style="126" customWidth="1"/>
    <col min="15608" max="15608" width="23.59765625" style="126" customWidth="1"/>
    <col min="15609" max="15609" width="14.265625" style="126" customWidth="1"/>
    <col min="15610" max="15610" width="11.86328125" style="126" customWidth="1"/>
    <col min="15611" max="15611" width="17.3984375" style="126" customWidth="1"/>
    <col min="15612" max="15612" width="20.265625" style="126" bestFit="1" customWidth="1"/>
    <col min="15613" max="15613" width="19.86328125" style="126" customWidth="1"/>
    <col min="15614" max="15614" width="10.3984375" style="126" bestFit="1" customWidth="1"/>
    <col min="15615" max="15615" width="13.1328125" style="126" bestFit="1" customWidth="1"/>
    <col min="15616" max="15616" width="2.265625" style="126" customWidth="1"/>
    <col min="15617" max="15617" width="22.73046875" style="126" customWidth="1"/>
    <col min="15618" max="15618" width="2.265625" style="126" customWidth="1"/>
    <col min="15619" max="15619" width="25.86328125" style="126" bestFit="1" customWidth="1"/>
    <col min="15620" max="15620" width="2.265625" style="126" customWidth="1"/>
    <col min="15621" max="15621" width="13.86328125" style="126" customWidth="1"/>
    <col min="15622" max="15622" width="2.265625" style="126" customWidth="1"/>
    <col min="15623" max="15623" width="16.3984375" style="126" bestFit="1" customWidth="1"/>
    <col min="15624" max="15624" width="2.265625" style="126" customWidth="1"/>
    <col min="15625" max="15625" width="19" style="126" bestFit="1" customWidth="1"/>
    <col min="15626" max="15626" width="22.86328125" style="126" customWidth="1"/>
    <col min="15627" max="15627" width="6.1328125" style="126" customWidth="1"/>
    <col min="15628" max="15857" width="12.59765625" style="126"/>
    <col min="15858" max="15858" width="8.265625" style="126" bestFit="1" customWidth="1"/>
    <col min="15859" max="15859" width="2.265625" style="126" customWidth="1"/>
    <col min="15860" max="15860" width="41.3984375" style="126" customWidth="1"/>
    <col min="15861" max="15861" width="9.265625" style="126" customWidth="1"/>
    <col min="15862" max="15862" width="20" style="126" customWidth="1"/>
    <col min="15863" max="15863" width="2.265625" style="126" customWidth="1"/>
    <col min="15864" max="15864" width="23.59765625" style="126" customWidth="1"/>
    <col min="15865" max="15865" width="14.265625" style="126" customWidth="1"/>
    <col min="15866" max="15866" width="11.86328125" style="126" customWidth="1"/>
    <col min="15867" max="15867" width="17.3984375" style="126" customWidth="1"/>
    <col min="15868" max="15868" width="20.265625" style="126" bestFit="1" customWidth="1"/>
    <col min="15869" max="15869" width="19.86328125" style="126" customWidth="1"/>
    <col min="15870" max="15870" width="10.3984375" style="126" bestFit="1" customWidth="1"/>
    <col min="15871" max="15871" width="13.1328125" style="126" bestFit="1" customWidth="1"/>
    <col min="15872" max="15872" width="2.265625" style="126" customWidth="1"/>
    <col min="15873" max="15873" width="22.73046875" style="126" customWidth="1"/>
    <col min="15874" max="15874" width="2.265625" style="126" customWidth="1"/>
    <col min="15875" max="15875" width="25.86328125" style="126" bestFit="1" customWidth="1"/>
    <col min="15876" max="15876" width="2.265625" style="126" customWidth="1"/>
    <col min="15877" max="15877" width="13.86328125" style="126" customWidth="1"/>
    <col min="15878" max="15878" width="2.265625" style="126" customWidth="1"/>
    <col min="15879" max="15879" width="16.3984375" style="126" bestFit="1" customWidth="1"/>
    <col min="15880" max="15880" width="2.265625" style="126" customWidth="1"/>
    <col min="15881" max="15881" width="19" style="126" bestFit="1" customWidth="1"/>
    <col min="15882" max="15882" width="22.86328125" style="126" customWidth="1"/>
    <col min="15883" max="15883" width="6.1328125" style="126" customWidth="1"/>
    <col min="15884" max="16113" width="12.59765625" style="126"/>
    <col min="16114" max="16114" width="8.265625" style="126" bestFit="1" customWidth="1"/>
    <col min="16115" max="16115" width="2.265625" style="126" customWidth="1"/>
    <col min="16116" max="16116" width="41.3984375" style="126" customWidth="1"/>
    <col min="16117" max="16117" width="9.265625" style="126" customWidth="1"/>
    <col min="16118" max="16118" width="20" style="126" customWidth="1"/>
    <col min="16119" max="16119" width="2.265625" style="126" customWidth="1"/>
    <col min="16120" max="16120" width="23.59765625" style="126" customWidth="1"/>
    <col min="16121" max="16121" width="14.265625" style="126" customWidth="1"/>
    <col min="16122" max="16122" width="11.86328125" style="126" customWidth="1"/>
    <col min="16123" max="16123" width="17.3984375" style="126" customWidth="1"/>
    <col min="16124" max="16124" width="20.265625" style="126" bestFit="1" customWidth="1"/>
    <col min="16125" max="16125" width="19.86328125" style="126" customWidth="1"/>
    <col min="16126" max="16126" width="10.3984375" style="126" bestFit="1" customWidth="1"/>
    <col min="16127" max="16127" width="13.1328125" style="126" bestFit="1" customWidth="1"/>
    <col min="16128" max="16128" width="2.265625" style="126" customWidth="1"/>
    <col min="16129" max="16129" width="22.73046875" style="126" customWidth="1"/>
    <col min="16130" max="16130" width="2.265625" style="126" customWidth="1"/>
    <col min="16131" max="16131" width="25.86328125" style="126" bestFit="1" customWidth="1"/>
    <col min="16132" max="16132" width="2.265625" style="126" customWidth="1"/>
    <col min="16133" max="16133" width="13.86328125" style="126" customWidth="1"/>
    <col min="16134" max="16134" width="2.265625" style="126" customWidth="1"/>
    <col min="16135" max="16135" width="16.3984375" style="126" bestFit="1" customWidth="1"/>
    <col min="16136" max="16136" width="2.265625" style="126" customWidth="1"/>
    <col min="16137" max="16137" width="19" style="126" bestFit="1" customWidth="1"/>
    <col min="16138" max="16138" width="22.86328125" style="126" customWidth="1"/>
    <col min="16139" max="16139" width="6.1328125" style="126" customWidth="1"/>
    <col min="16140" max="16384" width="12.59765625" style="126"/>
  </cols>
  <sheetData>
    <row r="1" spans="1:17" ht="14.25">
      <c r="G1" s="418"/>
    </row>
    <row r="2" spans="1:17">
      <c r="A2" s="528" t="s">
        <v>1768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</row>
    <row r="3" spans="1:17">
      <c r="A3" s="528" t="s">
        <v>1769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</row>
    <row r="4" spans="1:17">
      <c r="A4" s="132"/>
      <c r="B4" s="132"/>
      <c r="C4" s="132"/>
      <c r="D4" s="132"/>
      <c r="F4" s="132"/>
      <c r="G4" s="132"/>
      <c r="H4" s="132"/>
      <c r="I4" s="132"/>
      <c r="J4" s="132"/>
      <c r="L4" s="132"/>
      <c r="M4" s="132"/>
    </row>
    <row r="5" spans="1:17" ht="13.15" thickBo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7" ht="25.5">
      <c r="A6" s="456" t="s">
        <v>1725</v>
      </c>
      <c r="B6" s="456"/>
      <c r="C6" s="456" t="s">
        <v>1641</v>
      </c>
      <c r="D6" s="456"/>
      <c r="E6" s="457" t="s">
        <v>1770</v>
      </c>
      <c r="F6" s="456"/>
      <c r="G6" s="457" t="s">
        <v>1727</v>
      </c>
      <c r="H6" s="456"/>
      <c r="I6" s="457" t="s">
        <v>1728</v>
      </c>
      <c r="J6" s="457"/>
      <c r="K6" s="457" t="s">
        <v>1771</v>
      </c>
      <c r="L6" s="456"/>
      <c r="M6" s="457" t="s">
        <v>1730</v>
      </c>
      <c r="N6" s="458"/>
      <c r="O6" s="459" t="s">
        <v>1772</v>
      </c>
      <c r="P6" s="459"/>
      <c r="Q6" s="459" t="s">
        <v>1773</v>
      </c>
    </row>
    <row r="7" spans="1:17">
      <c r="A7" s="132"/>
      <c r="B7" s="132"/>
      <c r="C7" s="132"/>
      <c r="D7" s="132"/>
      <c r="E7" s="460"/>
      <c r="F7" s="132"/>
      <c r="G7" s="460"/>
      <c r="H7" s="132"/>
      <c r="I7" s="460"/>
      <c r="J7" s="460"/>
      <c r="K7" s="460"/>
      <c r="L7" s="132"/>
      <c r="M7" s="460"/>
    </row>
    <row r="8" spans="1:17" ht="13.15">
      <c r="A8" s="132"/>
      <c r="B8" s="132"/>
      <c r="C8" s="427" t="s">
        <v>1736</v>
      </c>
      <c r="D8" s="132"/>
      <c r="E8" s="460"/>
      <c r="F8" s="132"/>
      <c r="G8" s="460"/>
      <c r="H8" s="132"/>
      <c r="I8" s="460"/>
      <c r="J8" s="460"/>
      <c r="K8" s="460"/>
      <c r="L8" s="132"/>
      <c r="M8" s="460"/>
    </row>
    <row r="9" spans="1:17">
      <c r="A9" s="132">
        <v>1</v>
      </c>
      <c r="C9" s="126" t="s">
        <v>1737</v>
      </c>
      <c r="E9" s="428">
        <v>40000000</v>
      </c>
      <c r="G9" s="461">
        <v>34310</v>
      </c>
      <c r="H9" s="462"/>
      <c r="I9" s="461" t="s">
        <v>1738</v>
      </c>
      <c r="J9" s="463"/>
      <c r="K9" s="464">
        <f>(I9-G9)/365</f>
        <v>30.002739726027396</v>
      </c>
      <c r="L9" s="462"/>
      <c r="M9" s="465">
        <v>2.9499999999999998E-2</v>
      </c>
      <c r="O9" s="466">
        <v>7.2599999999999998E-2</v>
      </c>
      <c r="Q9" s="466">
        <v>7.6399999999999996E-2</v>
      </c>
    </row>
    <row r="10" spans="1:17">
      <c r="A10" s="132">
        <v>2</v>
      </c>
      <c r="C10" s="126" t="s">
        <v>1739</v>
      </c>
      <c r="E10" s="428">
        <v>39480000</v>
      </c>
      <c r="G10" s="461">
        <v>34310</v>
      </c>
      <c r="H10" s="462"/>
      <c r="I10" s="461" t="s">
        <v>1738</v>
      </c>
      <c r="J10" s="463"/>
      <c r="K10" s="464">
        <f t="shared" ref="K10:K25" si="0">(I10-G10)/365</f>
        <v>30.002739726027396</v>
      </c>
      <c r="L10" s="462"/>
      <c r="M10" s="465">
        <v>2.9499999999999998E-2</v>
      </c>
      <c r="N10" s="467"/>
      <c r="O10" s="466">
        <v>7.2599999999999998E-2</v>
      </c>
      <c r="Q10" s="466">
        <v>7.6399999999999996E-2</v>
      </c>
    </row>
    <row r="11" spans="1:17" ht="15" customHeight="1">
      <c r="A11" s="132">
        <v>3</v>
      </c>
      <c r="C11" s="126" t="s">
        <v>1740</v>
      </c>
      <c r="E11" s="428">
        <v>0</v>
      </c>
      <c r="G11" s="461">
        <v>34388</v>
      </c>
      <c r="H11" s="462"/>
      <c r="I11" s="461" t="s">
        <v>1741</v>
      </c>
      <c r="J11" s="463"/>
      <c r="K11" s="464">
        <f t="shared" si="0"/>
        <v>41.547945205479451</v>
      </c>
      <c r="L11" s="462"/>
      <c r="M11" s="465">
        <v>4.65E-2</v>
      </c>
      <c r="O11" s="466">
        <v>7.5899999999999995E-2</v>
      </c>
      <c r="Q11" s="466">
        <v>7.9000000000000001E-2</v>
      </c>
    </row>
    <row r="12" spans="1:17">
      <c r="A12" s="132">
        <v>4</v>
      </c>
      <c r="C12" s="468" t="s">
        <v>1742</v>
      </c>
      <c r="E12" s="428">
        <v>0</v>
      </c>
      <c r="G12" s="461">
        <v>38596</v>
      </c>
      <c r="H12" s="462"/>
      <c r="I12" s="461" t="s">
        <v>1741</v>
      </c>
      <c r="J12" s="463"/>
      <c r="K12" s="464">
        <f t="shared" si="0"/>
        <v>30.019178082191782</v>
      </c>
      <c r="L12" s="462"/>
      <c r="M12" s="465">
        <v>4.65E-2</v>
      </c>
      <c r="N12" s="467"/>
      <c r="O12" s="466">
        <v>5.33E-2</v>
      </c>
      <c r="Q12" s="466">
        <v>5.6500000000000002E-2</v>
      </c>
    </row>
    <row r="13" spans="1:17">
      <c r="A13" s="132">
        <v>5</v>
      </c>
      <c r="C13" s="468" t="s">
        <v>1743</v>
      </c>
      <c r="E13" s="428">
        <v>250000000</v>
      </c>
      <c r="G13" s="461">
        <v>38673</v>
      </c>
      <c r="H13" s="462"/>
      <c r="I13" s="461">
        <v>49628</v>
      </c>
      <c r="J13" s="463"/>
      <c r="K13" s="464">
        <f t="shared" si="0"/>
        <v>30.013698630136986</v>
      </c>
      <c r="L13" s="462"/>
      <c r="M13" s="465">
        <v>6.0499999999999998E-2</v>
      </c>
      <c r="N13" s="467"/>
      <c r="O13" s="466">
        <v>5.79E-2</v>
      </c>
      <c r="Q13" s="466">
        <v>6.0999999999999999E-2</v>
      </c>
    </row>
    <row r="14" spans="1:17">
      <c r="A14" s="132">
        <v>6</v>
      </c>
      <c r="C14" s="126" t="s">
        <v>1744</v>
      </c>
      <c r="E14" s="428">
        <v>400000000</v>
      </c>
      <c r="G14" s="461">
        <v>40806</v>
      </c>
      <c r="H14" s="462"/>
      <c r="I14" s="461">
        <v>51775</v>
      </c>
      <c r="J14" s="463"/>
      <c r="K14" s="464">
        <f t="shared" si="0"/>
        <v>30.052054794520547</v>
      </c>
      <c r="L14" s="462"/>
      <c r="M14" s="465">
        <v>5.2999999999999999E-2</v>
      </c>
      <c r="N14" s="467"/>
      <c r="O14" s="466">
        <v>4.4999999999999998E-2</v>
      </c>
      <c r="Q14" s="466">
        <v>5.16E-2</v>
      </c>
    </row>
    <row r="15" spans="1:17">
      <c r="A15" s="132">
        <v>7</v>
      </c>
      <c r="C15" s="468" t="s">
        <v>1745</v>
      </c>
      <c r="E15" s="428">
        <v>300000000</v>
      </c>
      <c r="G15" s="461">
        <v>41347</v>
      </c>
      <c r="H15" s="462"/>
      <c r="I15" s="461">
        <v>45000</v>
      </c>
      <c r="J15" s="463"/>
      <c r="K15" s="464">
        <f t="shared" si="0"/>
        <v>10.008219178082191</v>
      </c>
      <c r="L15" s="462"/>
      <c r="M15" s="465">
        <v>3.15E-2</v>
      </c>
      <c r="N15" s="467"/>
      <c r="O15" s="466">
        <v>4.2800000000000005E-2</v>
      </c>
      <c r="Q15" s="466">
        <v>4.7899999999999998E-2</v>
      </c>
    </row>
    <row r="16" spans="1:17">
      <c r="A16" s="132">
        <v>8</v>
      </c>
      <c r="C16" s="468" t="s">
        <v>1746</v>
      </c>
      <c r="E16" s="428">
        <v>350000000</v>
      </c>
      <c r="G16" s="461">
        <v>42229</v>
      </c>
      <c r="H16" s="462"/>
      <c r="I16" s="461">
        <v>45884</v>
      </c>
      <c r="J16" s="463"/>
      <c r="K16" s="464">
        <f t="shared" si="0"/>
        <v>10.013698630136986</v>
      </c>
      <c r="L16" s="462"/>
      <c r="M16" s="465">
        <v>3.6499999999999998E-2</v>
      </c>
      <c r="N16" s="467"/>
      <c r="O16" s="466">
        <v>4.2500000000000003E-2</v>
      </c>
      <c r="Q16" s="466">
        <v>5.2000000000000005E-2</v>
      </c>
    </row>
    <row r="17" spans="1:17">
      <c r="A17" s="132">
        <v>9</v>
      </c>
      <c r="C17" s="126" t="s">
        <v>1747</v>
      </c>
      <c r="E17" s="428">
        <v>300000000</v>
      </c>
      <c r="G17" s="461">
        <v>42901</v>
      </c>
      <c r="H17" s="462"/>
      <c r="I17" s="461">
        <v>53858</v>
      </c>
      <c r="J17" s="463"/>
      <c r="K17" s="464">
        <f t="shared" si="0"/>
        <v>30.019178082191782</v>
      </c>
      <c r="L17" s="462"/>
      <c r="M17" s="465">
        <v>4.2000000000000003E-2</v>
      </c>
      <c r="N17" s="467"/>
      <c r="O17" s="466">
        <v>3.9300000000000002E-2</v>
      </c>
      <c r="Q17" s="466">
        <v>4.2900000000000001E-2</v>
      </c>
    </row>
    <row r="18" spans="1:17">
      <c r="A18" s="132">
        <v>10</v>
      </c>
      <c r="C18" s="468" t="s">
        <v>1748</v>
      </c>
      <c r="E18" s="428">
        <v>300000000</v>
      </c>
      <c r="G18" s="461">
        <v>43160</v>
      </c>
      <c r="H18" s="462"/>
      <c r="I18" s="461">
        <v>54132</v>
      </c>
      <c r="J18" s="463"/>
      <c r="K18" s="464">
        <f t="shared" si="0"/>
        <v>30.06027397260274</v>
      </c>
      <c r="L18" s="462"/>
      <c r="M18" s="465">
        <v>4.2000000000000003E-2</v>
      </c>
      <c r="N18" s="467"/>
      <c r="O18" s="466">
        <v>4.07E-2</v>
      </c>
      <c r="Q18" s="466">
        <v>4.41E-2</v>
      </c>
    </row>
    <row r="19" spans="1:17">
      <c r="A19" s="132">
        <v>11</v>
      </c>
      <c r="C19" s="468" t="s">
        <v>1749</v>
      </c>
      <c r="E19" s="428">
        <v>400000000</v>
      </c>
      <c r="G19" s="461">
        <v>43551</v>
      </c>
      <c r="H19" s="462"/>
      <c r="I19" s="461">
        <v>54514</v>
      </c>
      <c r="J19" s="463"/>
      <c r="K19" s="464">
        <f t="shared" si="0"/>
        <v>30.035616438356165</v>
      </c>
      <c r="L19" s="462"/>
      <c r="M19" s="465">
        <v>4.1250000000000002E-2</v>
      </c>
      <c r="N19" s="467"/>
      <c r="O19" s="466">
        <v>0.04</v>
      </c>
      <c r="Q19" s="466">
        <v>4.4900000000000002E-2</v>
      </c>
    </row>
    <row r="20" spans="1:17">
      <c r="A20" s="132">
        <v>12</v>
      </c>
      <c r="C20" s="468" t="s">
        <v>1750</v>
      </c>
      <c r="E20" s="428">
        <v>400000000</v>
      </c>
      <c r="G20" s="461">
        <v>43977</v>
      </c>
      <c r="H20" s="462"/>
      <c r="I20" s="461">
        <v>47635</v>
      </c>
      <c r="J20" s="463"/>
      <c r="K20" s="464">
        <f t="shared" si="0"/>
        <v>10.021917808219179</v>
      </c>
      <c r="L20" s="462"/>
      <c r="M20" s="465">
        <v>2.2499999999999999E-2</v>
      </c>
      <c r="N20" s="467"/>
      <c r="O20" s="466">
        <v>3.1800000000000002E-2</v>
      </c>
      <c r="Q20" s="466">
        <v>3.5699999999999996E-2</v>
      </c>
    </row>
    <row r="21" spans="1:17">
      <c r="A21" s="132"/>
      <c r="E21" s="428"/>
      <c r="G21" s="461"/>
      <c r="H21" s="462"/>
      <c r="I21" s="461"/>
      <c r="J21" s="463"/>
      <c r="K21" s="464"/>
      <c r="L21" s="462"/>
      <c r="M21" s="465"/>
      <c r="N21" s="467"/>
      <c r="O21" s="466"/>
      <c r="Q21" s="466"/>
    </row>
    <row r="22" spans="1:17" ht="13.15">
      <c r="A22" s="132"/>
      <c r="C22" s="441" t="s">
        <v>1767</v>
      </c>
      <c r="E22" s="428"/>
      <c r="G22" s="461"/>
      <c r="H22" s="462"/>
      <c r="I22" s="461"/>
      <c r="J22" s="463"/>
      <c r="K22" s="464"/>
      <c r="L22" s="462"/>
      <c r="M22" s="465"/>
      <c r="N22" s="467"/>
      <c r="O22" s="466"/>
      <c r="Q22" s="466"/>
    </row>
    <row r="23" spans="1:17">
      <c r="A23" s="132">
        <v>13</v>
      </c>
      <c r="C23" s="468" t="s">
        <v>1751</v>
      </c>
      <c r="E23" s="428">
        <v>73250000</v>
      </c>
      <c r="G23" s="461">
        <v>39344</v>
      </c>
      <c r="H23" s="462"/>
      <c r="I23" s="461" t="s">
        <v>1741</v>
      </c>
      <c r="J23" s="442"/>
      <c r="K23" s="464">
        <f t="shared" si="0"/>
        <v>27.969863013698632</v>
      </c>
      <c r="L23" s="462"/>
      <c r="M23" s="465">
        <f>0.094%+0.08%</f>
        <v>1.74E-3</v>
      </c>
      <c r="N23" s="467"/>
      <c r="O23" s="466">
        <v>6.2400000000000004E-2</v>
      </c>
      <c r="Q23" s="466">
        <v>6.5000000000000002E-2</v>
      </c>
    </row>
    <row r="24" spans="1:17">
      <c r="A24" s="132">
        <v>14</v>
      </c>
      <c r="C24" s="126" t="s">
        <v>1752</v>
      </c>
      <c r="E24" s="428">
        <v>73250000</v>
      </c>
      <c r="G24" s="461">
        <v>39344</v>
      </c>
      <c r="H24" s="462"/>
      <c r="I24" s="461" t="s">
        <v>1741</v>
      </c>
      <c r="J24" s="443"/>
      <c r="K24" s="464">
        <f t="shared" si="0"/>
        <v>27.969863013698632</v>
      </c>
      <c r="L24" s="462"/>
      <c r="M24" s="469">
        <f>M23</f>
        <v>1.74E-3</v>
      </c>
      <c r="N24" s="467"/>
      <c r="O24" s="466">
        <v>6.2400000000000004E-2</v>
      </c>
      <c r="Q24" s="466">
        <v>6.5000000000000002E-2</v>
      </c>
    </row>
    <row r="25" spans="1:17">
      <c r="A25" s="132">
        <v>15</v>
      </c>
      <c r="C25" s="126" t="s">
        <v>1753</v>
      </c>
      <c r="E25" s="428">
        <v>23400000</v>
      </c>
      <c r="G25" s="461">
        <v>39596</v>
      </c>
      <c r="H25" s="462"/>
      <c r="I25" s="461" t="s">
        <v>1754</v>
      </c>
      <c r="J25" s="463"/>
      <c r="K25" s="464">
        <f t="shared" si="0"/>
        <v>29.945205479452056</v>
      </c>
      <c r="L25" s="462"/>
      <c r="M25" s="465">
        <v>2.8750000000000001E-2</v>
      </c>
      <c r="N25" s="467"/>
      <c r="O25" s="466">
        <v>6.3700000000000007E-2</v>
      </c>
      <c r="Q25" s="466">
        <v>6.93E-2</v>
      </c>
    </row>
    <row r="26" spans="1:17">
      <c r="A26" s="470"/>
      <c r="B26" s="470"/>
      <c r="C26" s="470"/>
      <c r="D26" s="470"/>
      <c r="E26" s="471"/>
      <c r="F26" s="470"/>
      <c r="G26" s="471"/>
      <c r="H26" s="470"/>
      <c r="I26" s="471"/>
      <c r="J26" s="471"/>
      <c r="K26" s="471"/>
      <c r="L26" s="470"/>
      <c r="M26" s="471"/>
      <c r="N26" s="472"/>
      <c r="O26" s="473"/>
      <c r="P26" s="473"/>
      <c r="Q26" s="473"/>
    </row>
    <row r="27" spans="1:17" ht="13.15">
      <c r="A27" s="474"/>
      <c r="B27" s="475"/>
      <c r="C27" s="475" t="s">
        <v>52</v>
      </c>
      <c r="D27" s="475"/>
      <c r="E27" s="476">
        <f>SUM(E9:E25)</f>
        <v>2949380000</v>
      </c>
      <c r="F27" s="475"/>
      <c r="G27" s="475"/>
      <c r="H27" s="475"/>
      <c r="I27" s="475"/>
      <c r="J27" s="475"/>
      <c r="K27" s="477" t="s">
        <v>1774</v>
      </c>
      <c r="L27" s="475"/>
      <c r="M27" s="478">
        <f>SUMPRODUCT(M9:M25,E9:E25)/E27</f>
        <v>3.8151177535617656E-2</v>
      </c>
      <c r="N27" s="475"/>
      <c r="O27" s="478">
        <f>SUMPRODUCT(O9:O25,E9:E25)/E27</f>
        <v>4.3843936013670669E-2</v>
      </c>
      <c r="P27" s="478" t="e">
        <f t="shared" ref="P27" si="1">SUMPRODUCT(P9:P25,F9:F25)/F27</f>
        <v>#DIV/0!</v>
      </c>
      <c r="Q27" s="478">
        <f>SUMPRODUCT(Q9:Q25,E9:E25)/E27</f>
        <v>4.882937837782856E-2</v>
      </c>
    </row>
    <row r="29" spans="1:17" ht="17.25" customHeight="1">
      <c r="A29" s="132"/>
      <c r="C29" s="479" t="s">
        <v>22</v>
      </c>
    </row>
    <row r="30" spans="1:17">
      <c r="C30" s="480" t="s">
        <v>1775</v>
      </c>
      <c r="G30" s="481"/>
      <c r="H30" s="481"/>
      <c r="I30" s="481"/>
    </row>
    <row r="31" spans="1:17">
      <c r="C31" s="480" t="s">
        <v>1000</v>
      </c>
      <c r="G31" s="481"/>
      <c r="H31" s="481"/>
      <c r="I31" s="481"/>
    </row>
  </sheetData>
  <mergeCells count="2">
    <mergeCell ref="A2:Q2"/>
    <mergeCell ref="A3:Q3"/>
  </mergeCells>
  <pageMargins left="0.7" right="0.7" top="0.75" bottom="0.75" header="0.3" footer="0.3"/>
  <pageSetup scale="62" orientation="landscape" useFirstPageNumber="1" horizontalDpi="1200" verticalDpi="1200" r:id="rId1"/>
  <headerFooter>
    <oddHeader>&amp;LDRAFT- PRIVILEGED AND CONFIDENTIAL
PREPARED AT THE REQUEST OF COUNSEL&amp;RSchedule AEB-15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9392488121346A2C8A851D682641F" ma:contentTypeVersion="" ma:contentTypeDescription="Create a new document." ma:contentTypeScope="" ma:versionID="d74ea585b01f0792e6bb5c708fb983fe">
  <xsd:schema xmlns:xsd="http://www.w3.org/2001/XMLSchema" xmlns:xs="http://www.w3.org/2001/XMLSchema" xmlns:p="http://schemas.microsoft.com/office/2006/metadata/properties" xmlns:ns2="7D38F4D2-C310-4AD9-8D3F-38996F12E2AC" xmlns:ns3="7d38f4d2-c310-4ad9-8d3f-38996f12e2ac" xmlns:ns4="b95115da-3ec3-4f45-8f03-fcf4d770a292" targetNamespace="http://schemas.microsoft.com/office/2006/metadata/properties" ma:root="true" ma:fieldsID="c236b24c262096a6e7f2341f1ad2cfb3" ns2:_="" ns3:_="" ns4:_="">
    <xsd:import namespace="7D38F4D2-C310-4AD9-8D3F-38996F12E2AC"/>
    <xsd:import namespace="7d38f4d2-c310-4ad9-8d3f-38996f12e2ac"/>
    <xsd:import namespace="b95115da-3ec3-4f45-8f03-fcf4d770a29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8F4D2-C310-4AD9-8D3F-38996F12E2AC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8f4d2-c310-4ad9-8d3f-38996f12e2a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115da-3ec3-4f45-8f03-fcf4d770a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5115da-3ec3-4f45-8f03-fcf4d770a292">
      <UserInfo>
        <DisplayName>Valerie Smith</DisplayName>
        <AccountId>45</AccountId>
        <AccountType/>
      </UserInfo>
      <UserInfo>
        <DisplayName>Ann Bulkley</DisplayName>
        <AccountId>37</AccountId>
        <AccountType/>
      </UserInfo>
      <UserInfo>
        <DisplayName>Lisa Quilici</DisplayName>
        <AccountId>13</AccountId>
        <AccountType/>
      </UserInfo>
      <UserInfo>
        <DisplayName>Michael Adams</DisplayName>
        <AccountId>56</AccountId>
        <AccountType/>
      </UserInfo>
    </SharedWithUsers>
    <Comments xmlns="7D38F4D2-C310-4AD9-8D3F-38996F12E2AC" xsi:nil="true"/>
    <CaseNumber xmlns="7d38f4d2-c310-4ad9-8d3f-38996f12e2ac" xsi:nil="true"/>
    <CaseStatus xmlns="7d38f4d2-c310-4ad9-8d3f-38996f12e2ac" xsi:nil="true"/>
    <CasePracticeArea xmlns="7d38f4d2-c310-4ad9-8d3f-38996f12e2ac" xsi:nil="true"/>
    <CaseJurisdiction xmlns="7d38f4d2-c310-4ad9-8d3f-38996f12e2ac" xsi:nil="true"/>
    <IsKeyDocket xmlns="7d38f4d2-c310-4ad9-8d3f-38996f12e2ac">false</IsKeyDocket>
    <CaseCompanyName xmlns="7d38f4d2-c310-4ad9-8d3f-38996f12e2ac" xsi:nil="true"/>
    <CaseSubjects xmlns="7d38f4d2-c310-4ad9-8d3f-38996f12e2ac" xsi:nil="true"/>
    <SRCH_ObjectType xmlns="7d38f4d2-c310-4ad9-8d3f-38996f12e2ac">PWD</SRCH_ObjectType>
    <SRCH_DocketId xmlns="7d38f4d2-c310-4ad9-8d3f-38996f12e2ac">662</SRCH_DocketId>
    <CaseType xmlns="7d38f4d2-c310-4ad9-8d3f-38996f12e2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DE603E-A67D-4CB8-B7C0-D4BB9317AB30}"/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elements/1.1/"/>
    <ds:schemaRef ds:uri="10beea81-bf02-45eb-8e4c-955844111c8a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4dab05c0-a249-4791-9940-91138f79173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AEB-1 Summary</vt:lpstr>
      <vt:lpstr>AEB-2 Proxy Selection</vt:lpstr>
      <vt:lpstr>AEB-3 Constant DCF</vt:lpstr>
      <vt:lpstr>AEB-4 CAPM</vt:lpstr>
      <vt:lpstr>AEB-5 CAPM LT Beta</vt:lpstr>
      <vt:lpstr>AEB-6 Market Return</vt:lpstr>
      <vt:lpstr>AEB-7 Risk Premium</vt:lpstr>
      <vt:lpstr>AEB-8 CapEx 1</vt:lpstr>
      <vt:lpstr>AEB-8 CapEx 2</vt:lpstr>
      <vt:lpstr>AEB-9 Regulatory Risk</vt:lpstr>
      <vt:lpstr>AEB-10 Fixed Cost Recovery</vt:lpstr>
      <vt:lpstr>AEB-11 RRA Reg Env</vt:lpstr>
      <vt:lpstr>AEB-12 S&amp;P Cred Sup</vt:lpstr>
      <vt:lpstr>AEB-13 Metro Capital Projected</vt:lpstr>
      <vt:lpstr>AEB-13 Metro Capital Actual</vt:lpstr>
      <vt:lpstr>AEB-13 Cost of Debt</vt:lpstr>
      <vt:lpstr>AEB-14 Capital Structure</vt:lpstr>
      <vt:lpstr>AEB-15 Cost of Debt</vt:lpstr>
      <vt:lpstr>'AEB-10 Fixed Cost Recovery'!Average_Number_of_Days_in_a_Month</vt:lpstr>
      <vt:lpstr>'AEB-1 Summary'!Print_Area</vt:lpstr>
      <vt:lpstr>'AEB-11 RRA Reg Env'!Print_Area</vt:lpstr>
      <vt:lpstr>'AEB-12 S&amp;P Cred Sup'!Print_Area</vt:lpstr>
      <vt:lpstr>'AEB-13 Metro Capital Actual'!Print_Area</vt:lpstr>
      <vt:lpstr>'AEB-13 Metro Capital Projected'!Print_Area</vt:lpstr>
      <vt:lpstr>'AEB-14 Capital Structure'!Print_Area</vt:lpstr>
      <vt:lpstr>'AEB-2 Proxy Selection'!Print_Area</vt:lpstr>
      <vt:lpstr>'AEB-3 Constant DCF'!Print_Area</vt:lpstr>
      <vt:lpstr>'AEB-4 CAPM'!Print_Area</vt:lpstr>
      <vt:lpstr>'AEB-6 Market Return'!Print_Area</vt:lpstr>
      <vt:lpstr>'AEB-7 Risk Premium'!Print_Area</vt:lpstr>
      <vt:lpstr>'AEB-8 CapEx 1'!Print_Area</vt:lpstr>
      <vt:lpstr>'AEB-8 CapEx 2'!Print_Area</vt:lpstr>
      <vt:lpstr>'AEB-9 Regulatory Risk'!Print_Area</vt:lpstr>
      <vt:lpstr>'AEB-10 Fixed Cost Recovery'!Print_Titles</vt:lpstr>
      <vt:lpstr>'AEB-11 RRA Reg Env'!Print_Titles</vt:lpstr>
      <vt:lpstr>'AEB-12 S&amp;P Cred Sup'!Print_Titles</vt:lpstr>
      <vt:lpstr>'AEB-6 Market Return'!Print_Titles</vt:lpstr>
      <vt:lpstr>'AEB-7 Risk Premium'!Print_Titles</vt:lpstr>
      <vt:lpstr>'AEB-8 CapEx 1'!Print_Titles</vt:lpstr>
      <vt:lpstr>'AEB-9 Regulatory Risk'!Print_Titles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nstandish</dc:creator>
  <cp:lastModifiedBy>Ann Bulkley</cp:lastModifiedBy>
  <cp:lastPrinted>2021-11-19T19:34:55Z</cp:lastPrinted>
  <dcterms:created xsi:type="dcterms:W3CDTF">2012-10-05T12:50:21Z</dcterms:created>
  <dcterms:modified xsi:type="dcterms:W3CDTF">2021-12-23T23:20:55Z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0x0101001D09392488121346A2C8A851D682641F</vt:lpwstr>
  </property>
</Properties>
</file>