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PSC Cases\EO-2018-0211 MEEIA 3\Pleadings\Filing of MEEIA 3\"/>
    </mc:Choice>
  </mc:AlternateContent>
  <bookViews>
    <workbookView xWindow="120" yWindow="165" windowWidth="19080" windowHeight="7455" tabRatio="736" activeTab="5"/>
  </bookViews>
  <sheets>
    <sheet name="PY1-PY2019" sheetId="14" r:id="rId1"/>
    <sheet name="PY2-PY2020" sheetId="15" r:id="rId2"/>
    <sheet name="PY3-PY2021" sheetId="16" r:id="rId3"/>
    <sheet name="PY4-PY2022" sheetId="17" r:id="rId4"/>
    <sheet name="PY5-PY2023" sheetId="18" r:id="rId5"/>
    <sheet name="PY6-PY2024" sheetId="19" r:id="rId6"/>
  </sheets>
  <calcPr calcId="162913" iterate="1"/>
</workbook>
</file>

<file path=xl/calcChain.xml><?xml version="1.0" encoding="utf-8"?>
<calcChain xmlns="http://schemas.openxmlformats.org/spreadsheetml/2006/main">
  <c r="F16" i="19" l="1"/>
  <c r="F16" i="18"/>
  <c r="F16" i="17"/>
  <c r="G16" i="17" s="1"/>
  <c r="F16" i="16"/>
  <c r="F16" i="15"/>
  <c r="F16" i="14"/>
  <c r="F10" i="19"/>
  <c r="F10" i="18"/>
  <c r="G10" i="18" s="1"/>
  <c r="N10" i="18" s="1"/>
  <c r="P10" i="18" s="1"/>
  <c r="F10" i="17"/>
  <c r="G10" i="17" s="1"/>
  <c r="F10" i="16"/>
  <c r="F10" i="15"/>
  <c r="G10" i="15" s="1"/>
  <c r="F10" i="14"/>
  <c r="G10" i="14" s="1"/>
  <c r="N10" i="14" s="1"/>
  <c r="P10" i="14" s="1"/>
  <c r="F22" i="14"/>
  <c r="G22" i="14"/>
  <c r="I22" i="14"/>
  <c r="I16" i="19"/>
  <c r="J16" i="19" s="1"/>
  <c r="I16" i="18"/>
  <c r="J16" i="18" s="1"/>
  <c r="I16" i="17"/>
  <c r="J16" i="17"/>
  <c r="I16" i="16"/>
  <c r="J16" i="16"/>
  <c r="I16" i="15"/>
  <c r="J16" i="15"/>
  <c r="N16" i="15" s="1"/>
  <c r="P16" i="15" s="1"/>
  <c r="I16" i="14"/>
  <c r="J16" i="14" s="1"/>
  <c r="N16" i="14" s="1"/>
  <c r="P16" i="14" s="1"/>
  <c r="F28" i="14"/>
  <c r="G28" i="14"/>
  <c r="I28" i="14"/>
  <c r="F52" i="14"/>
  <c r="G52" i="14"/>
  <c r="I52" i="14" s="1"/>
  <c r="F46" i="14"/>
  <c r="G46" i="14"/>
  <c r="I46" i="14" s="1"/>
  <c r="F40" i="14"/>
  <c r="G40" i="14"/>
  <c r="I40" i="14" s="1"/>
  <c r="F34" i="14"/>
  <c r="G34" i="14" s="1"/>
  <c r="I34" i="14" s="1"/>
  <c r="E10" i="14"/>
  <c r="I10" i="14"/>
  <c r="J10" i="14"/>
  <c r="M16" i="14"/>
  <c r="M10" i="14"/>
  <c r="F34" i="19"/>
  <c r="F22" i="19"/>
  <c r="G22" i="19" s="1"/>
  <c r="I22" i="19" s="1"/>
  <c r="F46" i="19"/>
  <c r="F28" i="19"/>
  <c r="G28" i="19"/>
  <c r="I28" i="19" s="1"/>
  <c r="M16" i="19"/>
  <c r="E16" i="19"/>
  <c r="G16" i="19"/>
  <c r="M10" i="19"/>
  <c r="I10" i="19"/>
  <c r="J10" i="19"/>
  <c r="E10" i="19"/>
  <c r="G10" i="19"/>
  <c r="I52" i="18"/>
  <c r="F34" i="18"/>
  <c r="G34" i="18"/>
  <c r="I28" i="18"/>
  <c r="F28" i="18"/>
  <c r="F22" i="18"/>
  <c r="G22" i="18" s="1"/>
  <c r="F46" i="18"/>
  <c r="I46" i="18"/>
  <c r="I40" i="18"/>
  <c r="I34" i="18"/>
  <c r="I22" i="18"/>
  <c r="M16" i="18"/>
  <c r="E16" i="18"/>
  <c r="G16" i="18" s="1"/>
  <c r="M10" i="18"/>
  <c r="I10" i="18"/>
  <c r="J10" i="18"/>
  <c r="E10" i="18"/>
  <c r="I46" i="17"/>
  <c r="I40" i="17"/>
  <c r="F34" i="17"/>
  <c r="G34" i="17" s="1"/>
  <c r="F28" i="17"/>
  <c r="G28" i="17"/>
  <c r="F22" i="17"/>
  <c r="G22" i="17" s="1"/>
  <c r="F28" i="16"/>
  <c r="G28" i="16"/>
  <c r="F28" i="15"/>
  <c r="C22" i="15"/>
  <c r="I22" i="15" s="1"/>
  <c r="F22" i="15"/>
  <c r="I52" i="17"/>
  <c r="F46" i="17"/>
  <c r="I34" i="17"/>
  <c r="I28" i="17"/>
  <c r="I22" i="17"/>
  <c r="M16" i="17"/>
  <c r="E16" i="17"/>
  <c r="M10" i="17"/>
  <c r="I10" i="17"/>
  <c r="J10" i="17" s="1"/>
  <c r="E10" i="17"/>
  <c r="I40" i="16"/>
  <c r="F46" i="16"/>
  <c r="G46" i="16"/>
  <c r="F34" i="16"/>
  <c r="G34" i="16" s="1"/>
  <c r="I28" i="16"/>
  <c r="I52" i="16"/>
  <c r="I46" i="16"/>
  <c r="I22" i="16"/>
  <c r="F22" i="16"/>
  <c r="G22" i="16"/>
  <c r="M16" i="16"/>
  <c r="E16" i="16"/>
  <c r="G16" i="16"/>
  <c r="M10" i="16"/>
  <c r="I10" i="16"/>
  <c r="J10" i="16" s="1"/>
  <c r="N10" i="16" s="1"/>
  <c r="P10" i="16" s="1"/>
  <c r="E10" i="16"/>
  <c r="G10" i="16"/>
  <c r="F46" i="15"/>
  <c r="I40" i="15"/>
  <c r="F34" i="15"/>
  <c r="G34" i="15" s="1"/>
  <c r="I28" i="15"/>
  <c r="I52" i="15"/>
  <c r="I34" i="15"/>
  <c r="M16" i="15"/>
  <c r="E16" i="15"/>
  <c r="G16" i="15"/>
  <c r="M10" i="15"/>
  <c r="I10" i="15"/>
  <c r="J10" i="15"/>
  <c r="E10" i="15"/>
  <c r="G34" i="19"/>
  <c r="I34" i="19" s="1"/>
  <c r="G46" i="19"/>
  <c r="I46" i="19"/>
  <c r="F52" i="19"/>
  <c r="G52" i="19"/>
  <c r="I52" i="19" s="1"/>
  <c r="F40" i="19"/>
  <c r="G40" i="19"/>
  <c r="I40" i="19" s="1"/>
  <c r="G46" i="18"/>
  <c r="G28" i="18"/>
  <c r="F40" i="18"/>
  <c r="G40" i="18"/>
  <c r="F52" i="18"/>
  <c r="G52" i="18"/>
  <c r="G46" i="17"/>
  <c r="G22" i="15"/>
  <c r="F40" i="17"/>
  <c r="G40" i="17"/>
  <c r="F52" i="17"/>
  <c r="G52" i="17"/>
  <c r="I34" i="16"/>
  <c r="F40" i="16"/>
  <c r="G40" i="16"/>
  <c r="F52" i="16"/>
  <c r="G52" i="16"/>
  <c r="I46" i="15"/>
  <c r="G28" i="15"/>
  <c r="F40" i="15"/>
  <c r="G40" i="15" s="1"/>
  <c r="F52" i="15"/>
  <c r="G52" i="15"/>
  <c r="G46" i="15"/>
  <c r="E16" i="14"/>
  <c r="G16" i="14"/>
  <c r="N16" i="16" l="1"/>
  <c r="P16" i="16" s="1"/>
  <c r="N16" i="17"/>
  <c r="P16" i="17" s="1"/>
  <c r="N16" i="18"/>
  <c r="P16" i="18" s="1"/>
  <c r="I2" i="18"/>
  <c r="N16" i="19"/>
  <c r="P16" i="19" s="1"/>
  <c r="I2" i="16"/>
  <c r="I2" i="14"/>
  <c r="N10" i="15"/>
  <c r="P10" i="15" s="1"/>
  <c r="I2" i="15" s="1"/>
  <c r="N10" i="19"/>
  <c r="P10" i="19" s="1"/>
  <c r="I2" i="19" s="1"/>
  <c r="N10" i="17"/>
  <c r="P10" i="17" s="1"/>
  <c r="I2" i="17" s="1"/>
</calcChain>
</file>

<file path=xl/sharedStrings.xml><?xml version="1.0" encoding="utf-8"?>
<sst xmlns="http://schemas.openxmlformats.org/spreadsheetml/2006/main" count="1324" uniqueCount="76">
  <si>
    <t>Earnings Opportunity Calculator</t>
  </si>
  <si>
    <t>Evaluation/Actual Inputs</t>
  </si>
  <si>
    <t>Formula</t>
  </si>
  <si>
    <t>Source</t>
  </si>
  <si>
    <t>Description</t>
  </si>
  <si>
    <t>Approved Plan</t>
  </si>
  <si>
    <t>Calculation</t>
  </si>
  <si>
    <t>Evaluation Report</t>
  </si>
  <si>
    <t>12 Months Usage for Participating Properties</t>
  </si>
  <si>
    <t>a</t>
  </si>
  <si>
    <t>b</t>
  </si>
  <si>
    <t>c=a*b</t>
  </si>
  <si>
    <t>d</t>
  </si>
  <si>
    <t>e=if d &gt;=c then 100%, else 0%</t>
  </si>
  <si>
    <t>f</t>
  </si>
  <si>
    <t>g</t>
  </si>
  <si>
    <t>i</t>
  </si>
  <si>
    <t>EO Cap Multiplier</t>
  </si>
  <si>
    <t>j</t>
  </si>
  <si>
    <t>k=i*j</t>
  </si>
  <si>
    <t>m</t>
  </si>
  <si>
    <t>n=l*100*m</t>
  </si>
  <si>
    <t>EO Payout Amount</t>
  </si>
  <si>
    <t>Home Energy Report</t>
  </si>
  <si>
    <t>c</t>
  </si>
  <si>
    <t>d=b*c</t>
  </si>
  <si>
    <t>e=minimum of (a or d)</t>
  </si>
  <si>
    <t>Residential Lighting</t>
  </si>
  <si>
    <t>EE MWh</t>
  </si>
  <si>
    <t>EE Coincident MW &lt;10 Year EUL</t>
  </si>
  <si>
    <t>EE Coincident MW &gt;=10 Year EUL</t>
  </si>
  <si>
    <t>DR Cumulative Enrolled MW</t>
  </si>
  <si>
    <t>Evaluated 1st year MWh savings for the Residential Lighting Program</t>
  </si>
  <si>
    <t>EO Target (MWh)</t>
  </si>
  <si>
    <t>EO Target (MW)</t>
  </si>
  <si>
    <t>EO Maximum (MWh)</t>
  </si>
  <si>
    <t>EO Maximum (MW)</t>
  </si>
  <si>
    <t>EO Eligible Performance (MW)</t>
  </si>
  <si>
    <t>Payout Amount per Unit (MWh)</t>
  </si>
  <si>
    <t>Payout Amount per Unit (MW)</t>
  </si>
  <si>
    <t>EO Payout Amount ($)</t>
  </si>
  <si>
    <t>g=e*f</t>
  </si>
  <si>
    <t>Budget Threshold Metric (%)</t>
  </si>
  <si>
    <t>Budget Threshold Metric ($)</t>
  </si>
  <si>
    <t>Evaluated First Year Incremental kWh</t>
  </si>
  <si>
    <t>Average kWh Savings Per Property</t>
  </si>
  <si>
    <t>h=f/g</t>
  </si>
  <si>
    <t>EO Target (%)</t>
  </si>
  <si>
    <t>EO Maximum (%)</t>
  </si>
  <si>
    <t>EO Eligible Performance (%)</t>
  </si>
  <si>
    <t>l=e*[minimum of (h or k)]</t>
  </si>
  <si>
    <t>Total EO Payout</t>
  </si>
  <si>
    <t>PY2019</t>
  </si>
  <si>
    <t>PY2020</t>
  </si>
  <si>
    <t>PY2021</t>
  </si>
  <si>
    <t>PY2022</t>
  </si>
  <si>
    <t>PY2024</t>
  </si>
  <si>
    <t>PY2023</t>
  </si>
  <si>
    <t>Program Cost Budget 
(Admin + Incentive)</t>
  </si>
  <si>
    <t>Actual Spend 
(Admin + Incentive)</t>
  </si>
  <si>
    <t>Company Records to General Ledger 
(Project Code)</t>
  </si>
  <si>
    <t>Evaluation Report/
Billing System</t>
  </si>
  <si>
    <t>Payout Amount per Unit 
(Basis Point)</t>
  </si>
  <si>
    <t>EO Maximum 
(MWh)</t>
  </si>
  <si>
    <t>Evaluated 1st yr incremental MWh savings excluding HER, RES Low Income, RES lighting program, and DR programs</t>
  </si>
  <si>
    <t xml:space="preserve"> Evaluated 1st yr incremental MW reduction, coincident with system peak with less than 10yr life excluding HER, RES Low Income, RES lighting program, and DR programs</t>
  </si>
  <si>
    <t>Evaluated 1st yr incremental MW reduction, coincident with system peak with 10 years and greater life excluding HER, RES Low Income, RES lighting program, and DR programs</t>
  </si>
  <si>
    <t>Evaluated 1st yr incremental MW reduction, coincident with system peak with less than 10yr life excluding HER, RES Low Income, RES lighting program, and DR programs</t>
  </si>
  <si>
    <t>General Ledger 
(Project Codes)</t>
  </si>
  <si>
    <t>Column ref</t>
  </si>
  <si>
    <t>Evaluated MWh savings for the HER</t>
  </si>
  <si>
    <t>Budget Threshold Multiplier 
(0% or 100%)</t>
  </si>
  <si>
    <t>Static Inputs-DO NOT CHANGE</t>
  </si>
  <si>
    <t>Evaluated cumulative MW capability, coincident with system peak @ design criteria</t>
  </si>
  <si>
    <t>Low-Income Single Family (Excluding Efficiency Home Grants)</t>
  </si>
  <si>
    <t>Low-Income Multifamily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</si>
</sst>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2" xfId="0" applyBorder="1"/>
    <xf numFmtId="0" fontId="0" fillId="0" borderId="0" xfId="0" applyAlignment="1">
      <alignment wrapText="1"/>
    </xf>
    <xf numFmtId="0" fontId="0" fillId="3" borderId="0" xfId="0" applyFill="1"/>
    <xf numFmtId="0" fontId="4" fillId="0" borderId="0" xfId="0" applyFont="1"/>
    <xf numFmtId="0" fontId="4" fillId="0" borderId="2" xfId="0" applyFont="1" applyBorder="1"/>
    <xf numFmtId="0" fontId="0" fillId="0" borderId="3" xfId="0" applyBorder="1"/>
    <xf numFmtId="0" fontId="0" fillId="0" borderId="0" xfId="0" applyBorder="1" applyAlignment="1">
      <alignment horizontal="center" wrapText="1"/>
    </xf>
    <xf numFmtId="44" fontId="0" fillId="3" borderId="8" xfId="0" applyNumberFormat="1" applyFill="1" applyBorder="1"/>
    <xf numFmtId="0" fontId="2" fillId="3" borderId="0" xfId="0" applyFont="1" applyFill="1"/>
    <xf numFmtId="44" fontId="2" fillId="3" borderId="0" xfId="1" applyNumberFormat="1" applyFont="1" applyFill="1"/>
    <xf numFmtId="0" fontId="0" fillId="2" borderId="9" xfId="0" applyFill="1" applyBorder="1" applyAlignment="1">
      <alignment horizontal="center" wrapText="1"/>
    </xf>
    <xf numFmtId="164" fontId="0" fillId="4" borderId="7" xfId="1" applyNumberFormat="1" applyFont="1" applyFill="1" applyBorder="1"/>
    <xf numFmtId="9" fontId="0" fillId="4" borderId="7" xfId="0" applyNumberFormat="1" applyFill="1" applyBorder="1"/>
    <xf numFmtId="10" fontId="0" fillId="4" borderId="7" xfId="2" applyNumberFormat="1" applyFont="1" applyFill="1" applyBorder="1"/>
    <xf numFmtId="44" fontId="0" fillId="4" borderId="7" xfId="1" applyFont="1" applyFill="1" applyBorder="1"/>
    <xf numFmtId="0" fontId="0" fillId="4" borderId="0" xfId="0" applyFill="1"/>
    <xf numFmtId="164" fontId="0" fillId="5" borderId="7" xfId="0" applyNumberFormat="1" applyFill="1" applyBorder="1"/>
    <xf numFmtId="9" fontId="0" fillId="5" borderId="7" xfId="2" applyNumberFormat="1" applyFont="1" applyFill="1" applyBorder="1"/>
    <xf numFmtId="10" fontId="0" fillId="5" borderId="7" xfId="2" applyNumberFormat="1" applyFont="1" applyFill="1" applyBorder="1"/>
    <xf numFmtId="166" fontId="0" fillId="5" borderId="7" xfId="2" applyNumberFormat="1" applyFont="1" applyFill="1" applyBorder="1"/>
    <xf numFmtId="0" fontId="0" fillId="5" borderId="0" xfId="0" applyFill="1"/>
    <xf numFmtId="164" fontId="0" fillId="6" borderId="7" xfId="1" applyNumberFormat="1" applyFont="1" applyFill="1" applyBorder="1"/>
    <xf numFmtId="165" fontId="0" fillId="6" borderId="7" xfId="3" applyNumberFormat="1" applyFont="1" applyFill="1" applyBorder="1"/>
    <xf numFmtId="0" fontId="0" fillId="6" borderId="0" xfId="0" applyFill="1"/>
    <xf numFmtId="43" fontId="0" fillId="6" borderId="7" xfId="3" applyNumberFormat="1" applyFont="1" applyFill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44" fontId="5" fillId="0" borderId="0" xfId="1" applyFont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44" fontId="5" fillId="0" borderId="0" xfId="1" applyFont="1" applyFill="1" applyBorder="1" applyAlignment="1">
      <alignment horizontal="center"/>
    </xf>
    <xf numFmtId="165" fontId="0" fillId="4" borderId="7" xfId="3" applyNumberFormat="1" applyFont="1" applyFill="1" applyBorder="1"/>
    <xf numFmtId="5" fontId="0" fillId="4" borderId="7" xfId="1" applyNumberFormat="1" applyFont="1" applyFill="1" applyBorder="1"/>
    <xf numFmtId="43" fontId="0" fillId="4" borderId="7" xfId="3" applyNumberFormat="1" applyFont="1" applyFill="1" applyBorder="1"/>
    <xf numFmtId="165" fontId="0" fillId="5" borderId="7" xfId="3" applyNumberFormat="1" applyFont="1" applyFill="1" applyBorder="1"/>
    <xf numFmtId="43" fontId="0" fillId="5" borderId="7" xfId="3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quotePrefix="1" applyFont="1" applyBorder="1" applyAlignment="1">
      <alignment horizontal="center" wrapText="1"/>
    </xf>
    <xf numFmtId="44" fontId="3" fillId="0" borderId="0" xfId="1" applyFont="1" applyBorder="1" applyAlignment="1">
      <alignment horizontal="center"/>
    </xf>
    <xf numFmtId="0" fontId="3" fillId="0" borderId="5" xfId="0" quotePrefix="1" applyFont="1" applyBorder="1" applyAlignment="1">
      <alignment horizontal="center" wrapText="1"/>
    </xf>
    <xf numFmtId="44" fontId="0" fillId="0" borderId="0" xfId="1" applyFont="1" applyBorder="1" applyAlignment="1">
      <alignment horizontal="center"/>
    </xf>
    <xf numFmtId="0" fontId="0" fillId="0" borderId="5" xfId="0" quotePrefix="1" applyBorder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view="pageLayout" topLeftCell="A19" zoomScaleNormal="100" workbookViewId="0">
      <selection activeCell="D35" sqref="D35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8.28515625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52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10148481.819148814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30" x14ac:dyDescent="0.25">
      <c r="B8" s="5" t="s">
        <v>3</v>
      </c>
      <c r="C8" s="32" t="s">
        <v>5</v>
      </c>
      <c r="D8" s="32"/>
      <c r="E8" s="32" t="s">
        <v>6</v>
      </c>
      <c r="F8" s="32" t="s">
        <v>68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3689354</v>
      </c>
      <c r="D10" s="18">
        <v>0.85</v>
      </c>
      <c r="E10" s="22">
        <f>C10*D10</f>
        <v>3135950.9</v>
      </c>
      <c r="F10" s="27">
        <f>C10</f>
        <v>3689354</v>
      </c>
      <c r="G10" s="23">
        <f>IF(F10&gt;=E10,100%, 0%)</f>
        <v>1</v>
      </c>
      <c r="H10" s="28">
        <v>6164083.6202673465</v>
      </c>
      <c r="I10" s="28">
        <f>H10/0.1</f>
        <v>61640836.202673465</v>
      </c>
      <c r="J10" s="24">
        <f>H10/I10</f>
        <v>0.1</v>
      </c>
      <c r="K10" s="19">
        <v>0.1</v>
      </c>
      <c r="L10" s="19">
        <v>1.3</v>
      </c>
      <c r="M10" s="25">
        <f>L10*K10</f>
        <v>0.13</v>
      </c>
      <c r="N10" s="24">
        <f>G10*MIN(M10,J10)</f>
        <v>0.1</v>
      </c>
      <c r="O10" s="20">
        <v>33333.333333000002</v>
      </c>
      <c r="P10" s="13">
        <f>N10*100*O10</f>
        <v>333333.33333000005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30" x14ac:dyDescent="0.25">
      <c r="B14" s="5" t="s">
        <v>3</v>
      </c>
      <c r="C14" s="32" t="s">
        <v>5</v>
      </c>
      <c r="D14" s="32"/>
      <c r="E14" s="32" t="s">
        <v>6</v>
      </c>
      <c r="F14" s="32" t="s">
        <v>68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2582610</v>
      </c>
      <c r="D16" s="18">
        <v>0.85</v>
      </c>
      <c r="E16" s="22">
        <f>C16*D16</f>
        <v>2195218.5</v>
      </c>
      <c r="F16" s="27">
        <f>C16</f>
        <v>2582610</v>
      </c>
      <c r="G16" s="23">
        <f>IF(F16&gt;=E16,100%, 0%)</f>
        <v>1</v>
      </c>
      <c r="H16" s="28">
        <v>6417101</v>
      </c>
      <c r="I16" s="28">
        <f>H16/0.1</f>
        <v>64171010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30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63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G22*H22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63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 t="s">
        <v>69</v>
      </c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19475.228716891339</v>
      </c>
      <c r="D28" s="38">
        <v>19475.228716891339</v>
      </c>
      <c r="E28" s="19">
        <v>1.3</v>
      </c>
      <c r="F28" s="41">
        <f>E28*D28</f>
        <v>25317.79733195874</v>
      </c>
      <c r="G28" s="41">
        <f>MIN(F28,C28)</f>
        <v>19475.228716891339</v>
      </c>
      <c r="H28" s="20">
        <v>7.5</v>
      </c>
      <c r="I28" s="13">
        <f>G28*H28</f>
        <v>146064.21537668505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63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161122.57398288979</v>
      </c>
      <c r="D34" s="38">
        <v>161122.57398288979</v>
      </c>
      <c r="E34" s="19">
        <v>1.5</v>
      </c>
      <c r="F34" s="41">
        <f>E34*D34</f>
        <v>241683.8609743347</v>
      </c>
      <c r="G34" s="41">
        <f>MIN(F34,C34)</f>
        <v>161122.57398288979</v>
      </c>
      <c r="H34" s="20">
        <v>28.83</v>
      </c>
      <c r="I34" s="13">
        <f>G34*H34</f>
        <v>4645163.8079267126</v>
      </c>
    </row>
    <row r="35" spans="2:9" ht="81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67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1.99736354449102</v>
      </c>
      <c r="D40" s="40">
        <v>1.99736354449102</v>
      </c>
      <c r="E40" s="19">
        <v>1.3</v>
      </c>
      <c r="F40" s="42">
        <f>E40*D40</f>
        <v>2.596572607838326</v>
      </c>
      <c r="G40" s="42">
        <f>MIN(F40,C40)</f>
        <v>1.99736354449102</v>
      </c>
      <c r="H40" s="39">
        <v>45000</v>
      </c>
      <c r="I40" s="13">
        <f>G40*H40</f>
        <v>89881.359502095904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51.397928275994417</v>
      </c>
      <c r="D46" s="40">
        <v>51.397928275994417</v>
      </c>
      <c r="E46" s="19">
        <v>1.5</v>
      </c>
      <c r="F46" s="42">
        <f>E46*D46</f>
        <v>77.096892413991625</v>
      </c>
      <c r="G46" s="42">
        <f>MIN(F46,C46)</f>
        <v>51.397928275994417</v>
      </c>
      <c r="H46" s="39">
        <v>75000</v>
      </c>
      <c r="I46" s="13">
        <f>G46*H46</f>
        <v>3854844.6206995812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36.495577122999997</v>
      </c>
      <c r="D52" s="40">
        <v>36.495577122999997</v>
      </c>
      <c r="E52" s="19">
        <v>1.3</v>
      </c>
      <c r="F52" s="42">
        <f>E52*D52</f>
        <v>47.444250259899995</v>
      </c>
      <c r="G52" s="42">
        <f>MIN(F52,C52)</f>
        <v>36.495577122999997</v>
      </c>
      <c r="H52" s="39">
        <v>13193</v>
      </c>
      <c r="I52" s="13">
        <f>G52*H52</f>
        <v>481486.14898373897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opLeftCell="A33" workbookViewId="0">
      <selection activeCell="K37" sqref="K37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53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15232779.974264789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45" x14ac:dyDescent="0.25">
      <c r="B8" s="5" t="s">
        <v>3</v>
      </c>
      <c r="C8" s="32" t="s">
        <v>5</v>
      </c>
      <c r="D8" s="32"/>
      <c r="E8" s="32" t="s">
        <v>6</v>
      </c>
      <c r="F8" s="32" t="s">
        <v>60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4320803</v>
      </c>
      <c r="D10" s="18">
        <v>0.85</v>
      </c>
      <c r="E10" s="22">
        <f>C10*D10</f>
        <v>3672682.55</v>
      </c>
      <c r="F10" s="27">
        <f>C10</f>
        <v>4320803</v>
      </c>
      <c r="G10" s="23">
        <f>IF(F10&gt;=E10,100%, 0%)</f>
        <v>1</v>
      </c>
      <c r="H10" s="28">
        <v>7527420.8399291849</v>
      </c>
      <c r="I10" s="28">
        <f>H10/0.15</f>
        <v>50182805.599527903</v>
      </c>
      <c r="J10" s="24">
        <f>H10/I10</f>
        <v>0.15</v>
      </c>
      <c r="K10" s="19">
        <v>0.15</v>
      </c>
      <c r="L10" s="19">
        <v>1.3</v>
      </c>
      <c r="M10" s="25">
        <f>L10*K10</f>
        <v>0.19500000000000001</v>
      </c>
      <c r="N10" s="24">
        <f>G10*MIN(M10,J10)</f>
        <v>0.15</v>
      </c>
      <c r="O10" s="20">
        <v>33333.333333000002</v>
      </c>
      <c r="P10" s="13">
        <f>N10*100*O10</f>
        <v>499999.99999500002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45" x14ac:dyDescent="0.25">
      <c r="B14" s="5" t="s">
        <v>3</v>
      </c>
      <c r="C14" s="32" t="s">
        <v>5</v>
      </c>
      <c r="D14" s="32"/>
      <c r="E14" s="32" t="s">
        <v>6</v>
      </c>
      <c r="F14" s="32" t="s">
        <v>60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3020490</v>
      </c>
      <c r="D16" s="18">
        <v>0.85</v>
      </c>
      <c r="E16" s="22">
        <f>C16*D16</f>
        <v>2567416.5</v>
      </c>
      <c r="F16" s="27">
        <f>C16</f>
        <v>3020490</v>
      </c>
      <c r="G16" s="23">
        <f>IF(F16&gt;=E16,100%, 0%)</f>
        <v>1</v>
      </c>
      <c r="H16" s="28">
        <v>7811272</v>
      </c>
      <c r="I16" s="28">
        <f>H16/0.1</f>
        <v>78112720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45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35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f>D22</f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C22*H22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35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 t="s">
        <v>69</v>
      </c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20312.538899734511</v>
      </c>
      <c r="D28" s="38">
        <v>20312.538899734511</v>
      </c>
      <c r="E28" s="19">
        <v>1.3</v>
      </c>
      <c r="F28" s="41">
        <f>E28*D28</f>
        <v>26406.300569654864</v>
      </c>
      <c r="G28" s="41">
        <f>MIN(F28,C28)</f>
        <v>20312.538899734511</v>
      </c>
      <c r="H28" s="20">
        <v>7.5</v>
      </c>
      <c r="I28" s="13">
        <f>C28*H28</f>
        <v>152344.04174800884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35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249427.34544789078</v>
      </c>
      <c r="D34" s="38">
        <v>249427.34544789078</v>
      </c>
      <c r="E34" s="19">
        <v>1.5</v>
      </c>
      <c r="F34" s="41">
        <f>E34*D34</f>
        <v>374141.01817183616</v>
      </c>
      <c r="G34" s="41">
        <f>MIN(F34,C34)</f>
        <v>249427.34544789078</v>
      </c>
      <c r="H34" s="20">
        <v>28.83</v>
      </c>
      <c r="I34" s="13">
        <f>C34*H34</f>
        <v>7190990.3692626907</v>
      </c>
    </row>
    <row r="35" spans="2:9" ht="31.5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65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3.5677821385782846</v>
      </c>
      <c r="D40" s="40">
        <v>3.5677821385782846</v>
      </c>
      <c r="E40" s="19">
        <v>1.3</v>
      </c>
      <c r="F40" s="42">
        <f>E40*D40</f>
        <v>4.63811678015177</v>
      </c>
      <c r="G40" s="42">
        <f>MIN(F40,C40)</f>
        <v>3.5677821385782846</v>
      </c>
      <c r="H40" s="39">
        <v>45000</v>
      </c>
      <c r="I40" s="13">
        <f>C40*H40</f>
        <v>160550.19623602281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75.252652691842528</v>
      </c>
      <c r="D46" s="40">
        <v>75.252652691842528</v>
      </c>
      <c r="E46" s="19">
        <v>1.5</v>
      </c>
      <c r="F46" s="42">
        <f>E46*D46</f>
        <v>112.8789790377638</v>
      </c>
      <c r="G46" s="42">
        <f>MIN(F46,C46)</f>
        <v>75.252652691842528</v>
      </c>
      <c r="H46" s="39">
        <v>75000</v>
      </c>
      <c r="I46" s="13">
        <f>C46*H46</f>
        <v>5643948.9518881897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74.830446585679994</v>
      </c>
      <c r="D52" s="40">
        <v>74.830446585679994</v>
      </c>
      <c r="E52" s="19">
        <v>1.3</v>
      </c>
      <c r="F52" s="42">
        <f>E52*D52</f>
        <v>97.279580561383995</v>
      </c>
      <c r="G52" s="42">
        <f>MIN(F52,C52)</f>
        <v>74.830446585679994</v>
      </c>
      <c r="H52" s="39">
        <v>13193</v>
      </c>
      <c r="I52" s="13">
        <f>C52*H52</f>
        <v>987238.0818048761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opLeftCell="A34" workbookViewId="0">
      <selection activeCell="J37" sqref="J37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54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19806207.95069408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45" x14ac:dyDescent="0.25">
      <c r="B8" s="5" t="s">
        <v>3</v>
      </c>
      <c r="C8" s="32" t="s">
        <v>5</v>
      </c>
      <c r="D8" s="32"/>
      <c r="E8" s="32" t="s">
        <v>6</v>
      </c>
      <c r="F8" s="32" t="s">
        <v>60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4550719</v>
      </c>
      <c r="D10" s="18">
        <v>0.85</v>
      </c>
      <c r="E10" s="22">
        <f>C10*D10</f>
        <v>3868111.15</v>
      </c>
      <c r="F10" s="27">
        <f>C10</f>
        <v>4550719</v>
      </c>
      <c r="G10" s="23">
        <f>IF(F10&gt;=E10,100%, 0%)</f>
        <v>1</v>
      </c>
      <c r="H10" s="28">
        <v>7790489.8111581849</v>
      </c>
      <c r="I10" s="28">
        <f>H10/0.15</f>
        <v>51936598.741054565</v>
      </c>
      <c r="J10" s="24">
        <f>H10/I10</f>
        <v>0.15</v>
      </c>
      <c r="K10" s="19">
        <v>0.15</v>
      </c>
      <c r="L10" s="19">
        <v>1.3</v>
      </c>
      <c r="M10" s="25">
        <f>L10*K10</f>
        <v>0.19500000000000001</v>
      </c>
      <c r="N10" s="24">
        <f>G10*MIN(M10,J10)</f>
        <v>0.15</v>
      </c>
      <c r="O10" s="20">
        <v>33333.333333000002</v>
      </c>
      <c r="P10" s="13">
        <f>N10*100*O10</f>
        <v>499999.99999500002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45" x14ac:dyDescent="0.25">
      <c r="B14" s="5" t="s">
        <v>3</v>
      </c>
      <c r="C14" s="32" t="s">
        <v>5</v>
      </c>
      <c r="D14" s="32"/>
      <c r="E14" s="32" t="s">
        <v>6</v>
      </c>
      <c r="F14" s="32" t="s">
        <v>60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3105419</v>
      </c>
      <c r="D16" s="18">
        <v>0.85</v>
      </c>
      <c r="E16" s="22">
        <f>C16*D16</f>
        <v>2639606.15</v>
      </c>
      <c r="F16" s="27">
        <f>C16</f>
        <v>3105419</v>
      </c>
      <c r="G16" s="23">
        <f>IF(F16&gt;=E16,100%, 0%)</f>
        <v>1</v>
      </c>
      <c r="H16" s="28">
        <v>8116253</v>
      </c>
      <c r="I16" s="28">
        <f>H16/0.1</f>
        <v>81162530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45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35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C22*H22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35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/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17289.880947552661</v>
      </c>
      <c r="D28" s="38">
        <v>17289.880947552661</v>
      </c>
      <c r="E28" s="19">
        <v>1.3</v>
      </c>
      <c r="F28" s="41">
        <f>E28*D28</f>
        <v>22476.845231818461</v>
      </c>
      <c r="G28" s="41">
        <f>MIN(F28,C28)</f>
        <v>17289.880947552661</v>
      </c>
      <c r="H28" s="20">
        <v>7.5</v>
      </c>
      <c r="I28" s="13">
        <f>C28*H28</f>
        <v>129674.10710664497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35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305228.16604187008</v>
      </c>
      <c r="D34" s="38">
        <v>305228.16604187008</v>
      </c>
      <c r="E34" s="19">
        <v>1.5</v>
      </c>
      <c r="F34" s="41">
        <f>E34*D34</f>
        <v>457842.24906280509</v>
      </c>
      <c r="G34" s="41">
        <f>MIN(F34,C34)</f>
        <v>305228.16604187008</v>
      </c>
      <c r="H34" s="20">
        <v>28.83</v>
      </c>
      <c r="I34" s="13">
        <f>C34*H34</f>
        <v>8799728.0269871131</v>
      </c>
    </row>
    <row r="35" spans="2:9" ht="29.25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65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4.0629738066146652</v>
      </c>
      <c r="D40" s="40">
        <v>4.0629738066146652</v>
      </c>
      <c r="E40" s="19">
        <v>1.3</v>
      </c>
      <c r="F40" s="42">
        <f>E40*D40</f>
        <v>5.2818659485990649</v>
      </c>
      <c r="G40" s="42">
        <f>MIN(F40,C40)</f>
        <v>4.0629738066146652</v>
      </c>
      <c r="H40" s="39">
        <v>45000</v>
      </c>
      <c r="I40" s="13">
        <f>C40*H40</f>
        <v>182833.82129765995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89.309961321816047</v>
      </c>
      <c r="D46" s="40">
        <v>89.309961321816047</v>
      </c>
      <c r="E46" s="19">
        <v>1.5</v>
      </c>
      <c r="F46" s="42">
        <f>E46*D46</f>
        <v>133.96494198272407</v>
      </c>
      <c r="G46" s="42">
        <f>MIN(F46,C46)</f>
        <v>89.309961321816047</v>
      </c>
      <c r="H46" s="39">
        <v>75000</v>
      </c>
      <c r="I46" s="13">
        <f>C46*H46</f>
        <v>6698247.0991362035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219.66319736537997</v>
      </c>
      <c r="D52" s="40">
        <v>219.66319736537997</v>
      </c>
      <c r="E52" s="19">
        <v>1.3</v>
      </c>
      <c r="F52" s="42">
        <f>E52*D52</f>
        <v>285.56215657499399</v>
      </c>
      <c r="G52" s="42">
        <f>MIN(F52,C52)</f>
        <v>219.66319736537997</v>
      </c>
      <c r="H52" s="39">
        <v>13193</v>
      </c>
      <c r="I52" s="13">
        <f>C52*H52</f>
        <v>2898016.5628414578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opLeftCell="A28" workbookViewId="0">
      <selection activeCell="A35" sqref="A35:XFD35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55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22124375.385068271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45" x14ac:dyDescent="0.25">
      <c r="B8" s="5" t="s">
        <v>3</v>
      </c>
      <c r="C8" s="32" t="s">
        <v>5</v>
      </c>
      <c r="D8" s="32"/>
      <c r="E8" s="32" t="s">
        <v>6</v>
      </c>
      <c r="F8" s="32" t="s">
        <v>60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4433729</v>
      </c>
      <c r="D10" s="18">
        <v>0.85</v>
      </c>
      <c r="E10" s="22">
        <f>C10*D10</f>
        <v>3768669.65</v>
      </c>
      <c r="F10" s="27">
        <f>C10</f>
        <v>4433729</v>
      </c>
      <c r="G10" s="23">
        <f>IF(F10&gt;=E10,100%, 0%)</f>
        <v>1</v>
      </c>
      <c r="H10" s="28">
        <v>7316321.5202608556</v>
      </c>
      <c r="I10" s="28">
        <f>H10/0.15</f>
        <v>48775476.801739037</v>
      </c>
      <c r="J10" s="24">
        <f>H10/I10</f>
        <v>0.15</v>
      </c>
      <c r="K10" s="19">
        <v>0.15</v>
      </c>
      <c r="L10" s="19">
        <v>1.3</v>
      </c>
      <c r="M10" s="25">
        <f>L10*K10</f>
        <v>0.19500000000000001</v>
      </c>
      <c r="N10" s="24">
        <f>G10*MIN(M10,J10)</f>
        <v>0.15</v>
      </c>
      <c r="O10" s="20">
        <v>33333.333333000002</v>
      </c>
      <c r="P10" s="13">
        <f>N10*100*O10</f>
        <v>499999.99999500002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45" x14ac:dyDescent="0.25">
      <c r="B14" s="5" t="s">
        <v>3</v>
      </c>
      <c r="C14" s="32" t="s">
        <v>5</v>
      </c>
      <c r="D14" s="32"/>
      <c r="E14" s="32" t="s">
        <v>6</v>
      </c>
      <c r="F14" s="32" t="s">
        <v>60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2998947</v>
      </c>
      <c r="D16" s="18">
        <v>0.85</v>
      </c>
      <c r="E16" s="22">
        <f>C16*D16</f>
        <v>2549104.9499999997</v>
      </c>
      <c r="F16" s="27">
        <f>C16</f>
        <v>2998947</v>
      </c>
      <c r="G16" s="23">
        <f>IF(F16&gt;=E16,100%, 0%)</f>
        <v>1</v>
      </c>
      <c r="H16" s="28">
        <v>4333075</v>
      </c>
      <c r="I16" s="28">
        <f>H16/0.1</f>
        <v>43330750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45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35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C22*H22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35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/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8726.6838272509667</v>
      </c>
      <c r="D28" s="38">
        <v>8726.6838272509667</v>
      </c>
      <c r="E28" s="19">
        <v>1.3</v>
      </c>
      <c r="F28" s="41">
        <f>E28*D28</f>
        <v>11344.688975426257</v>
      </c>
      <c r="G28" s="41">
        <f>MIN(F28,C28)</f>
        <v>8726.6838272509667</v>
      </c>
      <c r="H28" s="20">
        <v>7.5</v>
      </c>
      <c r="I28" s="13">
        <f>C28*H28</f>
        <v>65450.128704382252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35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336351.80168415944</v>
      </c>
      <c r="D34" s="38">
        <v>336351.80168415944</v>
      </c>
      <c r="E34" s="19">
        <v>1.5</v>
      </c>
      <c r="F34" s="41">
        <f>E34*D34</f>
        <v>504527.70252623915</v>
      </c>
      <c r="G34" s="41">
        <f>MIN(F34,C34)</f>
        <v>336351.80168415944</v>
      </c>
      <c r="H34" s="20">
        <v>28.83</v>
      </c>
      <c r="I34" s="13">
        <f>C34*H34</f>
        <v>9697022.4425543156</v>
      </c>
    </row>
    <row r="35" spans="2:9" ht="34.5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65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4.4913451001654741</v>
      </c>
      <c r="D40" s="40">
        <v>4.4913451001654741</v>
      </c>
      <c r="E40" s="19">
        <v>1.3</v>
      </c>
      <c r="F40" s="42">
        <f>E40*D40</f>
        <v>5.8387486302151164</v>
      </c>
      <c r="G40" s="42">
        <f>MIN(F40,C40)</f>
        <v>4.4913451001654741</v>
      </c>
      <c r="H40" s="39">
        <v>45000</v>
      </c>
      <c r="I40" s="13">
        <f>C40*H40</f>
        <v>202110.52950744634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100.88696614852981</v>
      </c>
      <c r="D46" s="40">
        <v>100.88696614852981</v>
      </c>
      <c r="E46" s="19">
        <v>1.5</v>
      </c>
      <c r="F46" s="42">
        <f>E46*D46</f>
        <v>151.3304492227947</v>
      </c>
      <c r="G46" s="42">
        <f>MIN(F46,C46)</f>
        <v>100.88696614852981</v>
      </c>
      <c r="H46" s="39">
        <v>75000</v>
      </c>
      <c r="I46" s="13">
        <f>C46*H46</f>
        <v>7566522.4611397358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264.95577122999998</v>
      </c>
      <c r="D52" s="40">
        <v>264.95577122999998</v>
      </c>
      <c r="E52" s="19">
        <v>1.3</v>
      </c>
      <c r="F52" s="42">
        <f>E52*D52</f>
        <v>344.44250259899997</v>
      </c>
      <c r="G52" s="42">
        <f>MIN(F52,C52)</f>
        <v>264.95577122999998</v>
      </c>
      <c r="H52" s="39">
        <v>13193</v>
      </c>
      <c r="I52" s="13">
        <f>C52*H52</f>
        <v>3495561.4898373899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opLeftCell="A25" workbookViewId="0">
      <selection activeCell="K37" sqref="K37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57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23326463.264206622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45" x14ac:dyDescent="0.25">
      <c r="B8" s="5" t="s">
        <v>3</v>
      </c>
      <c r="C8" s="32" t="s">
        <v>5</v>
      </c>
      <c r="D8" s="32"/>
      <c r="E8" s="32" t="s">
        <v>6</v>
      </c>
      <c r="F8" s="32" t="s">
        <v>60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4089590</v>
      </c>
      <c r="D10" s="18">
        <v>0.85</v>
      </c>
      <c r="E10" s="22">
        <f>C10*D10</f>
        <v>3476151.5</v>
      </c>
      <c r="F10" s="27">
        <f>C10</f>
        <v>4089590</v>
      </c>
      <c r="G10" s="23">
        <f>IF(F10&gt;=E10,100%, 0%)</f>
        <v>1</v>
      </c>
      <c r="H10" s="28">
        <v>7246528.1467856448</v>
      </c>
      <c r="I10" s="28">
        <f>H10/0.15</f>
        <v>48310187.645237632</v>
      </c>
      <c r="J10" s="24">
        <f>H10/I10</f>
        <v>0.15</v>
      </c>
      <c r="K10" s="19">
        <v>0.15</v>
      </c>
      <c r="L10" s="19">
        <v>1.3</v>
      </c>
      <c r="M10" s="25">
        <f>L10*K10</f>
        <v>0.19500000000000001</v>
      </c>
      <c r="N10" s="24">
        <f>G10*MIN(M10,J10)</f>
        <v>0.15</v>
      </c>
      <c r="O10" s="20">
        <v>33333.333333000002</v>
      </c>
      <c r="P10" s="13">
        <f>N10*100*O10</f>
        <v>499999.99999500002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45" x14ac:dyDescent="0.25">
      <c r="B14" s="5" t="s">
        <v>3</v>
      </c>
      <c r="C14" s="32" t="s">
        <v>5</v>
      </c>
      <c r="D14" s="32"/>
      <c r="E14" s="32" t="s">
        <v>6</v>
      </c>
      <c r="F14" s="32" t="s">
        <v>60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2911828</v>
      </c>
      <c r="D16" s="18">
        <v>0.85</v>
      </c>
      <c r="E16" s="22">
        <f>C16*D16</f>
        <v>2475053.7999999998</v>
      </c>
      <c r="F16" s="27">
        <f>C16</f>
        <v>2911828</v>
      </c>
      <c r="G16" s="23">
        <f>IF(F16&gt;=E16,100%, 0%)</f>
        <v>1</v>
      </c>
      <c r="H16" s="28">
        <v>4330112</v>
      </c>
      <c r="I16" s="28">
        <f>H16/0.1</f>
        <v>43301120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45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35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C22*H22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35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 t="s">
        <v>69</v>
      </c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2037.4770086476658</v>
      </c>
      <c r="D28" s="38">
        <v>2037.4770086476658</v>
      </c>
      <c r="E28" s="19">
        <v>1.3</v>
      </c>
      <c r="F28" s="41">
        <f>E28*D28</f>
        <v>2648.7201112419657</v>
      </c>
      <c r="G28" s="41">
        <f>MIN(F28,C28)</f>
        <v>2037.4770086476658</v>
      </c>
      <c r="H28" s="20">
        <v>7.5</v>
      </c>
      <c r="I28" s="13">
        <f>C28*H28</f>
        <v>15281.077564857493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35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342598.94999330665</v>
      </c>
      <c r="D34" s="38">
        <v>342598.94999330665</v>
      </c>
      <c r="E34" s="19">
        <v>1.5</v>
      </c>
      <c r="F34" s="41">
        <f>E34*D34</f>
        <v>513898.42498995998</v>
      </c>
      <c r="G34" s="41">
        <f>MIN(F34,C34)</f>
        <v>342598.94999330665</v>
      </c>
      <c r="H34" s="20">
        <v>28.83</v>
      </c>
      <c r="I34" s="13">
        <f>C34*H34</f>
        <v>9877127.7283070311</v>
      </c>
    </row>
    <row r="35" spans="2:9" ht="30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65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4.5855004462423938</v>
      </c>
      <c r="D40" s="40">
        <v>4.5855004462423938</v>
      </c>
      <c r="E40" s="19">
        <v>1.3</v>
      </c>
      <c r="F40" s="42">
        <f>E40*D40</f>
        <v>5.9611505801151123</v>
      </c>
      <c r="G40" s="42">
        <f>MIN(F40,C40)</f>
        <v>4.5855004462423938</v>
      </c>
      <c r="H40" s="39">
        <v>45000</v>
      </c>
      <c r="I40" s="13">
        <f>C40*H40</f>
        <v>206347.52008090774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105.41951466625984</v>
      </c>
      <c r="D46" s="40">
        <v>105.41951466625984</v>
      </c>
      <c r="E46" s="19">
        <v>1.5</v>
      </c>
      <c r="F46" s="42">
        <f>E46*D46</f>
        <v>158.12927199938977</v>
      </c>
      <c r="G46" s="42">
        <f>MIN(F46,C46)</f>
        <v>105.41951466625984</v>
      </c>
      <c r="H46" s="39">
        <v>75000</v>
      </c>
      <c r="I46" s="13">
        <f>C46*H46</f>
        <v>7906463.5999694886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320.13454142039996</v>
      </c>
      <c r="D52" s="40">
        <v>320.13454142039996</v>
      </c>
      <c r="E52" s="19">
        <v>1.3</v>
      </c>
      <c r="F52" s="42">
        <f>E52*D52</f>
        <v>416.17490384651995</v>
      </c>
      <c r="G52" s="42">
        <f>MIN(F52,C52)</f>
        <v>320.13454142039996</v>
      </c>
      <c r="H52" s="39">
        <v>13193</v>
      </c>
      <c r="I52" s="13">
        <f>C52*H52</f>
        <v>4223535.0049593365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workbookViewId="0">
      <selection activeCell="K37" sqref="K37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56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24362740.748436376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45" x14ac:dyDescent="0.25">
      <c r="B8" s="5" t="s">
        <v>3</v>
      </c>
      <c r="C8" s="32" t="s">
        <v>5</v>
      </c>
      <c r="D8" s="32"/>
      <c r="E8" s="32" t="s">
        <v>6</v>
      </c>
      <c r="F8" s="32" t="s">
        <v>60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3915832</v>
      </c>
      <c r="D10" s="18">
        <v>0.85</v>
      </c>
      <c r="E10" s="22">
        <f>C10*D10</f>
        <v>3328457.1999999997</v>
      </c>
      <c r="F10" s="27">
        <f>C10</f>
        <v>3915832</v>
      </c>
      <c r="G10" s="23">
        <f>IF(F10&gt;=E10,100%, 0%)</f>
        <v>1</v>
      </c>
      <c r="H10" s="28">
        <v>6944608.0020345207</v>
      </c>
      <c r="I10" s="28">
        <f>H10/0.15</f>
        <v>46297386.680230141</v>
      </c>
      <c r="J10" s="24">
        <f>H10/I10</f>
        <v>0.15</v>
      </c>
      <c r="K10" s="19">
        <v>0.15</v>
      </c>
      <c r="L10" s="19">
        <v>1.3</v>
      </c>
      <c r="M10" s="25">
        <f>L10*K10</f>
        <v>0.19500000000000001</v>
      </c>
      <c r="N10" s="24">
        <f>G10*MIN(M10,J10)</f>
        <v>0.15</v>
      </c>
      <c r="O10" s="20">
        <v>33333.333333000002</v>
      </c>
      <c r="P10" s="13">
        <f>N10*100*O10</f>
        <v>499999.99999500002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45" x14ac:dyDescent="0.25">
      <c r="B14" s="5" t="s">
        <v>3</v>
      </c>
      <c r="C14" s="32" t="s">
        <v>5</v>
      </c>
      <c r="D14" s="32"/>
      <c r="E14" s="32" t="s">
        <v>6</v>
      </c>
      <c r="F14" s="32" t="s">
        <v>60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2971789</v>
      </c>
      <c r="D16" s="18">
        <v>0.85</v>
      </c>
      <c r="E16" s="22">
        <f>C16*D16</f>
        <v>2526020.65</v>
      </c>
      <c r="F16" s="27">
        <f>C16</f>
        <v>2971789</v>
      </c>
      <c r="G16" s="23">
        <f>IF(F16&gt;=E16,100%, 0%)</f>
        <v>1</v>
      </c>
      <c r="H16" s="28">
        <v>4419207</v>
      </c>
      <c r="I16" s="28">
        <f>H16/0.1</f>
        <v>44192070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45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35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G22*H22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35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 t="s">
        <v>69</v>
      </c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1896.0293726267444</v>
      </c>
      <c r="D28" s="38">
        <v>1896.0293726267444</v>
      </c>
      <c r="E28" s="19">
        <v>1.3</v>
      </c>
      <c r="F28" s="41">
        <f>E28*D28</f>
        <v>2464.838184414768</v>
      </c>
      <c r="G28" s="41">
        <f>MIN(F28,C28)</f>
        <v>1896.0293726267444</v>
      </c>
      <c r="H28" s="20">
        <v>7.5</v>
      </c>
      <c r="I28" s="13">
        <f>G28*H28</f>
        <v>14220.220294700583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35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342581.67596154904</v>
      </c>
      <c r="D34" s="38">
        <v>342581.67596154904</v>
      </c>
      <c r="E34" s="19">
        <v>1.5</v>
      </c>
      <c r="F34" s="41">
        <f>E34*D34</f>
        <v>513872.51394232357</v>
      </c>
      <c r="G34" s="41">
        <f>MIN(F34,C34)</f>
        <v>342581.67596154904</v>
      </c>
      <c r="H34" s="20">
        <v>28.83</v>
      </c>
      <c r="I34" s="13">
        <f>G34*H34</f>
        <v>9876629.717971459</v>
      </c>
    </row>
    <row r="35" spans="2:9" ht="29.25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65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4.4512273879143738</v>
      </c>
      <c r="D40" s="40">
        <v>4.4512273879143738</v>
      </c>
      <c r="E40" s="19">
        <v>1.3</v>
      </c>
      <c r="F40" s="42">
        <f>E40*D40</f>
        <v>5.7865956042886859</v>
      </c>
      <c r="G40" s="42">
        <f>MIN(F40,C40)</f>
        <v>4.4512273879143738</v>
      </c>
      <c r="H40" s="39">
        <v>45000</v>
      </c>
      <c r="I40" s="13">
        <f>G40*H40</f>
        <v>200305.23245614683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108.82272352952388</v>
      </c>
      <c r="D46" s="40">
        <v>108.82272352952388</v>
      </c>
      <c r="E46" s="19">
        <v>1.5</v>
      </c>
      <c r="F46" s="42">
        <f>E46*D46</f>
        <v>163.23408529428582</v>
      </c>
      <c r="G46" s="42">
        <f>MIN(F46,C46)</f>
        <v>108.82272352952388</v>
      </c>
      <c r="H46" s="39">
        <v>75000</v>
      </c>
      <c r="I46" s="13">
        <f>G46*H46</f>
        <v>8161704.2647142913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379.91154245999996</v>
      </c>
      <c r="D52" s="40">
        <v>379.91154245999996</v>
      </c>
      <c r="E52" s="19">
        <v>1.3</v>
      </c>
      <c r="F52" s="42">
        <f>E52*D52</f>
        <v>493.88500519799999</v>
      </c>
      <c r="G52" s="42">
        <f>MIN(F52,C52)</f>
        <v>379.91154245999996</v>
      </c>
      <c r="H52" s="39">
        <v>13193</v>
      </c>
      <c r="I52" s="13">
        <f>G52*H52</f>
        <v>5012172.9796747798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>READY FOR LEGAL CONTROL</Comment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80AF4DCE38445A71E18D7EAE40C02" ma:contentTypeVersion="" ma:contentTypeDescription="Create a new document." ma:contentTypeScope="" ma:versionID="a2340176934241bed4e1fdd2ccabb98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545A21-75C0-4013-836B-09067AAB4C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F052E-1D73-4575-B897-BDFA8309098E}">
  <ds:schemaRefs>
    <ds:schemaRef ds:uri="$ListId:Library;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1193A2-566E-4714-B60C-83D080E8D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PY1-PY2019</vt:lpstr>
      <vt:lpstr>PY2-PY2020</vt:lpstr>
      <vt:lpstr>PY3-PY2021</vt:lpstr>
      <vt:lpstr>PY4-PY2022</vt:lpstr>
      <vt:lpstr>PY5-PY2023</vt:lpstr>
      <vt:lpstr>PY6-PY2024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Price, Mary L</cp:lastModifiedBy>
  <cp:lastPrinted>2018-06-01T16:04:41Z</cp:lastPrinted>
  <dcterms:created xsi:type="dcterms:W3CDTF">2015-10-30T03:16:52Z</dcterms:created>
  <dcterms:modified xsi:type="dcterms:W3CDTF">2018-06-01T16:05:32Z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0x01010060080AF4DCE38445A71E18D7EAE40C02</vt:lpwstr>
  </property>
  <property fmtid="{D5CDD505-2E9C-101B-9397-08002B2CF9AE}" pid="3" name="SV_QUERY_LIST_4F35BF76-6C0D-4D9B-82B2-816C12CF3733">
    <vt:lpwstr>empty_477D106A-C0D6-4607-AEBD-E2C9D60EA279</vt:lpwstr>
  </property>
</Properties>
</file>