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8" windowWidth="17376" windowHeight="10896"/>
  </bookViews>
  <sheets>
    <sheet name="Title Page" sheetId="16" r:id="rId1"/>
    <sheet name="Rate Design" sheetId="4" r:id="rId2"/>
    <sheet name="Rate Base &amp; Return" sheetId="1" r:id="rId3"/>
    <sheet name="PreTax Rate of Return" sheetId="2" r:id="rId4"/>
    <sheet name="Capital Structure" sheetId="3" r:id="rId5"/>
    <sheet name="Plant" sheetId="5" r:id="rId6"/>
    <sheet name="Plant Adj" sheetId="6" r:id="rId7"/>
    <sheet name="Depreciation Expense" sheetId="7" r:id="rId8"/>
    <sheet name="Depreciation Reserve" sheetId="8" r:id="rId9"/>
    <sheet name="Reserve Adjustments" sheetId="9" r:id="rId10"/>
    <sheet name="Revenue" sheetId="10" r:id="rId11"/>
    <sheet name="Revenue Adj" sheetId="11" r:id="rId12"/>
    <sheet name="Rate Revenue Feeder" sheetId="12" r:id="rId13"/>
    <sheet name="Misc Revenue Feeder" sheetId="13" r:id="rId14"/>
    <sheet name="Expenses" sheetId="14" r:id="rId15"/>
    <sheet name="Expense Adjustments" sheetId="15" r:id="rId16"/>
  </sheets>
  <calcPr calcId="125725" iterate="1"/>
</workbook>
</file>

<file path=xl/calcChain.xml><?xml version="1.0" encoding="utf-8"?>
<calcChain xmlns="http://schemas.openxmlformats.org/spreadsheetml/2006/main">
  <c r="E115" i="15"/>
  <c r="E62" i="14"/>
  <c r="B97" i="15"/>
  <c r="E97"/>
  <c r="F62" i="14" s="1"/>
  <c r="C64" i="8"/>
  <c r="F21"/>
  <c r="B13" i="9"/>
  <c r="E60" i="5"/>
  <c r="E59"/>
  <c r="E20"/>
  <c r="E31" i="6"/>
  <c r="F20" i="5"/>
  <c r="B13" i="6"/>
  <c r="E13"/>
  <c r="E68" i="14"/>
  <c r="E67"/>
  <c r="E54"/>
  <c r="E53"/>
  <c r="E52"/>
  <c r="E51"/>
  <c r="E48"/>
  <c r="E46"/>
  <c r="E45"/>
  <c r="E44"/>
  <c r="E43"/>
  <c r="E41"/>
  <c r="E39"/>
  <c r="E38"/>
  <c r="E36"/>
  <c r="E28"/>
  <c r="F28"/>
  <c r="B13" i="15"/>
  <c r="E13"/>
  <c r="F67" i="14"/>
  <c r="B103" i="15"/>
  <c r="E103"/>
  <c r="F60" i="5"/>
  <c r="B25" i="6"/>
  <c r="B19"/>
  <c r="E25"/>
  <c r="F53" i="14"/>
  <c r="B85" i="15"/>
  <c r="E85"/>
  <c r="F52" i="14"/>
  <c r="B79" i="15"/>
  <c r="E79"/>
  <c r="F51" i="14"/>
  <c r="B73" i="15"/>
  <c r="E73"/>
  <c r="F68" i="14"/>
  <c r="B109" i="15"/>
  <c r="E109"/>
  <c r="F54" i="14"/>
  <c r="E91" i="15"/>
  <c r="B91"/>
  <c r="F48" i="14"/>
  <c r="B67" i="15"/>
  <c r="E67"/>
  <c r="F46" i="14"/>
  <c r="B61" i="15"/>
  <c r="E61"/>
  <c r="F45" i="14"/>
  <c r="B55" i="15"/>
  <c r="E55"/>
  <c r="F44" i="14"/>
  <c r="B49" i="15"/>
  <c r="E49"/>
  <c r="F43" i="14"/>
  <c r="B43" i="15"/>
  <c r="E43"/>
  <c r="F41" i="14"/>
  <c r="B37" i="15"/>
  <c r="E37"/>
  <c r="F39" i="14"/>
  <c r="B31" i="15"/>
  <c r="E31"/>
  <c r="F38" i="14"/>
  <c r="B25" i="15"/>
  <c r="E25"/>
  <c r="F36" i="14"/>
  <c r="B19" i="15"/>
  <c r="D47" i="4" l="1"/>
  <c r="D52"/>
  <c r="D54"/>
  <c r="D55"/>
  <c r="B47"/>
  <c r="B48"/>
  <c r="B49"/>
  <c r="B50"/>
  <c r="B51"/>
  <c r="B52"/>
  <c r="B53"/>
  <c r="B54"/>
  <c r="B55"/>
  <c r="B56"/>
  <c r="B57"/>
  <c r="B58"/>
  <c r="B59"/>
  <c r="H42" i="14"/>
  <c r="H43"/>
  <c r="D48" i="4" s="1"/>
  <c r="H44" i="14"/>
  <c r="D49" i="4" s="1"/>
  <c r="H45" i="14"/>
  <c r="D50" i="4" s="1"/>
  <c r="H46" i="14"/>
  <c r="D51" i="4" s="1"/>
  <c r="H47" i="14"/>
  <c r="H48"/>
  <c r="D53" i="4" s="1"/>
  <c r="H49" i="14"/>
  <c r="H50"/>
  <c r="H51"/>
  <c r="D56" i="4" s="1"/>
  <c r="H52" i="14"/>
  <c r="D57" i="4" s="1"/>
  <c r="H53" i="14"/>
  <c r="D58" i="4" s="1"/>
  <c r="H54" i="14"/>
  <c r="D59" i="4" s="1"/>
  <c r="F55" i="14"/>
  <c r="D55"/>
  <c r="H14" i="10"/>
  <c r="D13" i="4" s="1"/>
  <c r="C59" i="8"/>
  <c r="C60"/>
  <c r="C61"/>
  <c r="C62"/>
  <c r="C63"/>
  <c r="C58"/>
  <c r="B59"/>
  <c r="B60"/>
  <c r="B61"/>
  <c r="B62"/>
  <c r="B63"/>
  <c r="B64"/>
  <c r="B58"/>
  <c r="C44"/>
  <c r="C45"/>
  <c r="C46"/>
  <c r="C47"/>
  <c r="C48"/>
  <c r="C49"/>
  <c r="C50"/>
  <c r="C51"/>
  <c r="C52"/>
  <c r="C53"/>
  <c r="C54"/>
  <c r="C43"/>
  <c r="B44"/>
  <c r="B45"/>
  <c r="B46"/>
  <c r="B47"/>
  <c r="B48"/>
  <c r="B49"/>
  <c r="B50"/>
  <c r="B51"/>
  <c r="B52"/>
  <c r="B53"/>
  <c r="B54"/>
  <c r="B43"/>
  <c r="C38"/>
  <c r="C39"/>
  <c r="C37"/>
  <c r="B38"/>
  <c r="B39"/>
  <c r="B37"/>
  <c r="C31"/>
  <c r="C32"/>
  <c r="C33"/>
  <c r="C30"/>
  <c r="B31"/>
  <c r="B32"/>
  <c r="B33"/>
  <c r="B30"/>
  <c r="C21"/>
  <c r="C22"/>
  <c r="C23"/>
  <c r="C24"/>
  <c r="C25"/>
  <c r="C26"/>
  <c r="C20"/>
  <c r="B21"/>
  <c r="B22"/>
  <c r="B23"/>
  <c r="B24"/>
  <c r="B25"/>
  <c r="B26"/>
  <c r="B20"/>
  <c r="C15"/>
  <c r="C16"/>
  <c r="C14"/>
  <c r="B15"/>
  <c r="B16"/>
  <c r="B14"/>
  <c r="B58" i="7"/>
  <c r="B59"/>
  <c r="B60"/>
  <c r="B61"/>
  <c r="B62"/>
  <c r="B63"/>
  <c r="B57"/>
  <c r="B43"/>
  <c r="B44"/>
  <c r="B45"/>
  <c r="B46"/>
  <c r="B47"/>
  <c r="B48"/>
  <c r="B49"/>
  <c r="B50"/>
  <c r="B51"/>
  <c r="B52"/>
  <c r="B53"/>
  <c r="B42"/>
  <c r="B37"/>
  <c r="B38"/>
  <c r="B36"/>
  <c r="B30"/>
  <c r="B31"/>
  <c r="B32"/>
  <c r="B29"/>
  <c r="B20"/>
  <c r="B21"/>
  <c r="B22"/>
  <c r="B23"/>
  <c r="B24"/>
  <c r="B25"/>
  <c r="B19"/>
  <c r="B14"/>
  <c r="B15"/>
  <c r="B13"/>
  <c r="C58"/>
  <c r="C59"/>
  <c r="C60"/>
  <c r="C61"/>
  <c r="C62"/>
  <c r="C63"/>
  <c r="C57"/>
  <c r="C43"/>
  <c r="C44"/>
  <c r="C45"/>
  <c r="C46"/>
  <c r="C47"/>
  <c r="C48"/>
  <c r="C49"/>
  <c r="C50"/>
  <c r="C51"/>
  <c r="C52"/>
  <c r="C53"/>
  <c r="C42"/>
  <c r="C37"/>
  <c r="C38"/>
  <c r="C36"/>
  <c r="C30"/>
  <c r="C31"/>
  <c r="C32"/>
  <c r="C29"/>
  <c r="C20"/>
  <c r="C21"/>
  <c r="C22"/>
  <c r="C23"/>
  <c r="C24"/>
  <c r="C25"/>
  <c r="C19"/>
  <c r="C14"/>
  <c r="C15"/>
  <c r="C13"/>
  <c r="B73" i="4"/>
  <c r="B72"/>
  <c r="B64"/>
  <c r="B65"/>
  <c r="B66"/>
  <c r="B67"/>
  <c r="B68"/>
  <c r="B63"/>
  <c r="B42"/>
  <c r="B43"/>
  <c r="B44"/>
  <c r="B45"/>
  <c r="B46"/>
  <c r="B41"/>
  <c r="B34"/>
  <c r="B35"/>
  <c r="B36"/>
  <c r="B37"/>
  <c r="B33"/>
  <c r="B27"/>
  <c r="B28"/>
  <c r="B29"/>
  <c r="B26"/>
  <c r="B20"/>
  <c r="B21"/>
  <c r="B22"/>
  <c r="B19"/>
  <c r="B14"/>
  <c r="B13"/>
  <c r="D65"/>
  <c r="D66"/>
  <c r="D42"/>
  <c r="D45"/>
  <c r="D34"/>
  <c r="D36"/>
  <c r="D37"/>
  <c r="D27"/>
  <c r="D28"/>
  <c r="D29"/>
  <c r="D26"/>
  <c r="D20"/>
  <c r="D19"/>
  <c r="F61" i="7"/>
  <c r="F46"/>
  <c r="F50"/>
  <c r="F42"/>
  <c r="F36"/>
  <c r="F32"/>
  <c r="F21"/>
  <c r="F15"/>
  <c r="D58"/>
  <c r="D61"/>
  <c r="D62"/>
  <c r="F62" s="1"/>
  <c r="D63"/>
  <c r="F63" s="1"/>
  <c r="D57"/>
  <c r="F57" s="1"/>
  <c r="D43"/>
  <c r="F43" s="1"/>
  <c r="D45"/>
  <c r="F45" s="1"/>
  <c r="D46"/>
  <c r="D48"/>
  <c r="F48" s="1"/>
  <c r="D50"/>
  <c r="D52"/>
  <c r="F52" s="1"/>
  <c r="D42"/>
  <c r="D37"/>
  <c r="F37" s="1"/>
  <c r="D36"/>
  <c r="D31"/>
  <c r="F31" s="1"/>
  <c r="D32"/>
  <c r="D29"/>
  <c r="D21"/>
  <c r="D22"/>
  <c r="F22" s="1"/>
  <c r="D23"/>
  <c r="F23" s="1"/>
  <c r="D24"/>
  <c r="F24" s="1"/>
  <c r="D19"/>
  <c r="F19" s="1"/>
  <c r="D14"/>
  <c r="F14" s="1"/>
  <c r="D15"/>
  <c r="D13"/>
  <c r="F13" s="1"/>
  <c r="F16" s="1"/>
  <c r="E19" i="11"/>
  <c r="E19" i="15"/>
  <c r="A3"/>
  <c r="A4"/>
  <c r="A5"/>
  <c r="A2"/>
  <c r="H68" i="14"/>
  <c r="H69" s="1"/>
  <c r="H67"/>
  <c r="D72" i="4" s="1"/>
  <c r="H59" i="14"/>
  <c r="D64" i="4" s="1"/>
  <c r="H60" i="14"/>
  <c r="H61"/>
  <c r="H62"/>
  <c r="D67" i="4" s="1"/>
  <c r="H63" i="14"/>
  <c r="D68" i="4" s="1"/>
  <c r="H58" i="14"/>
  <c r="H37"/>
  <c r="H38"/>
  <c r="D43" i="4" s="1"/>
  <c r="H39" i="14"/>
  <c r="D44" i="4" s="1"/>
  <c r="H40" i="14"/>
  <c r="H41"/>
  <c r="D46" i="4" s="1"/>
  <c r="H36" i="14"/>
  <c r="H29"/>
  <c r="H30"/>
  <c r="H31"/>
  <c r="H32"/>
  <c r="H28"/>
  <c r="D33" i="4" s="1"/>
  <c r="H25" i="14"/>
  <c r="H24"/>
  <c r="H22"/>
  <c r="H23"/>
  <c r="H21"/>
  <c r="H15"/>
  <c r="H16"/>
  <c r="H18" s="1"/>
  <c r="H17"/>
  <c r="D22" i="4" s="1"/>
  <c r="H14" i="14"/>
  <c r="F69"/>
  <c r="F64"/>
  <c r="F33"/>
  <c r="F25"/>
  <c r="F18"/>
  <c r="D69"/>
  <c r="D64"/>
  <c r="D33"/>
  <c r="D25"/>
  <c r="D18"/>
  <c r="A5"/>
  <c r="A3"/>
  <c r="A4"/>
  <c r="A2"/>
  <c r="C14" i="13"/>
  <c r="A3"/>
  <c r="A4"/>
  <c r="A5"/>
  <c r="A2"/>
  <c r="K41" i="12"/>
  <c r="H41"/>
  <c r="E41"/>
  <c r="K39"/>
  <c r="J29"/>
  <c r="J27"/>
  <c r="J25"/>
  <c r="K21"/>
  <c r="J17"/>
  <c r="J15"/>
  <c r="G29"/>
  <c r="G31"/>
  <c r="G35"/>
  <c r="H39"/>
  <c r="H21"/>
  <c r="G17"/>
  <c r="E39"/>
  <c r="D35"/>
  <c r="D31"/>
  <c r="D29"/>
  <c r="E21"/>
  <c r="D17"/>
  <c r="A3"/>
  <c r="A4"/>
  <c r="A5"/>
  <c r="A2"/>
  <c r="E13" i="11"/>
  <c r="A5"/>
  <c r="A4"/>
  <c r="A3"/>
  <c r="A2"/>
  <c r="F16" i="10"/>
  <c r="H15"/>
  <c r="D14" i="4" s="1"/>
  <c r="D88" s="1"/>
  <c r="D16" i="10"/>
  <c r="A3"/>
  <c r="A4"/>
  <c r="A5"/>
  <c r="A2"/>
  <c r="E13" i="9"/>
  <c r="I59" i="8"/>
  <c r="I60"/>
  <c r="I61"/>
  <c r="I62"/>
  <c r="I63"/>
  <c r="I64"/>
  <c r="I58"/>
  <c r="I44"/>
  <c r="I45"/>
  <c r="I46"/>
  <c r="I47"/>
  <c r="I48"/>
  <c r="I49"/>
  <c r="I50"/>
  <c r="I51"/>
  <c r="I52"/>
  <c r="I53"/>
  <c r="I54"/>
  <c r="I43"/>
  <c r="I38"/>
  <c r="I39"/>
  <c r="I40" s="1"/>
  <c r="I37"/>
  <c r="I31"/>
  <c r="I32"/>
  <c r="I33"/>
  <c r="I30"/>
  <c r="I34" s="1"/>
  <c r="I22"/>
  <c r="I23"/>
  <c r="I24"/>
  <c r="I25"/>
  <c r="I26"/>
  <c r="I20"/>
  <c r="I15"/>
  <c r="I16"/>
  <c r="I14"/>
  <c r="G65"/>
  <c r="G55"/>
  <c r="G40"/>
  <c r="G34"/>
  <c r="G17"/>
  <c r="A3" i="9"/>
  <c r="A4"/>
  <c r="A5"/>
  <c r="A2"/>
  <c r="D65" i="8"/>
  <c r="D55"/>
  <c r="D40"/>
  <c r="D34"/>
  <c r="D27"/>
  <c r="D17"/>
  <c r="A3"/>
  <c r="A4"/>
  <c r="A5"/>
  <c r="A2"/>
  <c r="A3" i="7"/>
  <c r="A4"/>
  <c r="A5"/>
  <c r="A2"/>
  <c r="E19" i="6"/>
  <c r="F59" i="5" s="1"/>
  <c r="A3" i="6"/>
  <c r="A4"/>
  <c r="A5"/>
  <c r="A2"/>
  <c r="H58" i="5"/>
  <c r="H59"/>
  <c r="D59" i="7" s="1"/>
  <c r="F59" s="1"/>
  <c r="H60" i="5"/>
  <c r="D60" i="7" s="1"/>
  <c r="F60" s="1"/>
  <c r="H61" i="5"/>
  <c r="H62"/>
  <c r="H63"/>
  <c r="H57"/>
  <c r="H43"/>
  <c r="H44"/>
  <c r="D44" i="7" s="1"/>
  <c r="F44" s="1"/>
  <c r="H45" i="5"/>
  <c r="H46"/>
  <c r="H47"/>
  <c r="H48"/>
  <c r="H49"/>
  <c r="D49" i="7" s="1"/>
  <c r="F49" s="1"/>
  <c r="H50" i="5"/>
  <c r="H51"/>
  <c r="D51" i="7" s="1"/>
  <c r="F51" s="1"/>
  <c r="H52" i="5"/>
  <c r="H53"/>
  <c r="D53" i="7" s="1"/>
  <c r="F53" s="1"/>
  <c r="H42" i="5"/>
  <c r="H37"/>
  <c r="H38"/>
  <c r="D38" i="7" s="1"/>
  <c r="H36" i="5"/>
  <c r="H30"/>
  <c r="H33" s="1"/>
  <c r="H31"/>
  <c r="H32"/>
  <c r="H29"/>
  <c r="H20"/>
  <c r="D20" i="7" s="1"/>
  <c r="F20" s="1"/>
  <c r="H21" i="5"/>
  <c r="H22"/>
  <c r="H23"/>
  <c r="H24"/>
  <c r="H25"/>
  <c r="D25" i="7" s="1"/>
  <c r="F25" s="1"/>
  <c r="H19" i="5"/>
  <c r="H14"/>
  <c r="H15"/>
  <c r="H16"/>
  <c r="H13"/>
  <c r="F66"/>
  <c r="F64"/>
  <c r="F54"/>
  <c r="F39"/>
  <c r="F33"/>
  <c r="F26"/>
  <c r="F16"/>
  <c r="D64"/>
  <c r="D54"/>
  <c r="D39"/>
  <c r="D33"/>
  <c r="D26"/>
  <c r="D16"/>
  <c r="A3"/>
  <c r="A4"/>
  <c r="A5"/>
  <c r="A2"/>
  <c r="D26" i="3"/>
  <c r="F18" s="1"/>
  <c r="J18" s="1"/>
  <c r="A3"/>
  <c r="A4"/>
  <c r="A5"/>
  <c r="A2"/>
  <c r="A5" i="2"/>
  <c r="A4"/>
  <c r="A3"/>
  <c r="A2"/>
  <c r="A5" i="1"/>
  <c r="A4"/>
  <c r="A3"/>
  <c r="A2"/>
  <c r="I17" i="8"/>
  <c r="H16" i="10"/>
  <c r="E19" i="9" l="1"/>
  <c r="G21" i="8"/>
  <c r="F71" i="14"/>
  <c r="H55"/>
  <c r="D41" i="4"/>
  <c r="D60" s="1"/>
  <c r="D73"/>
  <c r="D74" s="1"/>
  <c r="H64" i="14"/>
  <c r="D63" i="4"/>
  <c r="D69" s="1"/>
  <c r="D71" i="14"/>
  <c r="H33"/>
  <c r="D35" i="4"/>
  <c r="D38" s="1"/>
  <c r="D30"/>
  <c r="D21"/>
  <c r="D23" s="1"/>
  <c r="D15"/>
  <c r="I65" i="8"/>
  <c r="I55"/>
  <c r="D67"/>
  <c r="H64" i="5"/>
  <c r="D64" i="7"/>
  <c r="H54" i="5"/>
  <c r="D47" i="7"/>
  <c r="F47" s="1"/>
  <c r="F54" s="1"/>
  <c r="F38"/>
  <c r="D39"/>
  <c r="H39" i="5"/>
  <c r="F39" i="7"/>
  <c r="D66" i="5"/>
  <c r="D30" i="7"/>
  <c r="F30" s="1"/>
  <c r="H26" i="5"/>
  <c r="F24" i="3"/>
  <c r="J24" s="1"/>
  <c r="F16"/>
  <c r="J16" s="1"/>
  <c r="F20"/>
  <c r="J20" s="1"/>
  <c r="F22"/>
  <c r="J22" s="1"/>
  <c r="F14"/>
  <c r="F26" i="7"/>
  <c r="F64"/>
  <c r="D16"/>
  <c r="D26"/>
  <c r="F29"/>
  <c r="F58"/>
  <c r="G27" i="8" l="1"/>
  <c r="G67" s="1"/>
  <c r="I21"/>
  <c r="I27" s="1"/>
  <c r="I67" s="1"/>
  <c r="D14" i="1" s="1"/>
  <c r="H71" i="14"/>
  <c r="H66" i="5"/>
  <c r="D12" i="1" s="1"/>
  <c r="D76" i="4"/>
  <c r="D54" i="7"/>
  <c r="D66" s="1"/>
  <c r="D33"/>
  <c r="F33"/>
  <c r="F66" s="1"/>
  <c r="F26" i="3"/>
  <c r="J14"/>
  <c r="E23" i="2"/>
  <c r="D16" i="1" l="1"/>
  <c r="D26" s="1"/>
  <c r="D78" i="4" s="1"/>
  <c r="J26" i="3"/>
  <c r="E18" i="2"/>
  <c r="D80" i="4" l="1"/>
  <c r="E10" i="2"/>
  <c r="C12"/>
  <c r="E12"/>
  <c r="O12"/>
  <c r="Q12"/>
  <c r="O13"/>
  <c r="Q13"/>
  <c r="E14"/>
  <c r="O14"/>
  <c r="Q14"/>
  <c r="O15"/>
  <c r="Q15"/>
  <c r="E16"/>
  <c r="O16"/>
  <c r="Q16"/>
  <c r="O17"/>
  <c r="Q17"/>
  <c r="Q19"/>
  <c r="E21"/>
  <c r="E26"/>
  <c r="E31"/>
  <c r="D29" i="1"/>
  <c r="D31"/>
  <c r="D82" i="4"/>
  <c r="D84"/>
  <c r="D86"/>
  <c r="D90"/>
  <c r="D92"/>
  <c r="D94"/>
</calcChain>
</file>

<file path=xl/sharedStrings.xml><?xml version="1.0" encoding="utf-8"?>
<sst xmlns="http://schemas.openxmlformats.org/spreadsheetml/2006/main" count="468" uniqueCount="290">
  <si>
    <t>Informal Rate Case</t>
  </si>
  <si>
    <t>Rate Base &amp; Required Return on Investment Schedule - Water</t>
  </si>
  <si>
    <t>Number</t>
  </si>
  <si>
    <t>Line</t>
  </si>
  <si>
    <t>Rate Base Description</t>
  </si>
  <si>
    <t>Dollar</t>
  </si>
  <si>
    <t>Amount</t>
  </si>
  <si>
    <t>Plant In Service</t>
  </si>
  <si>
    <t>Less Accumulated Depreciation</t>
  </si>
  <si>
    <t>Net Plant In Service</t>
  </si>
  <si>
    <t>Other Rate Base Items:</t>
  </si>
  <si>
    <t>Contributions in Aid of Construction</t>
  </si>
  <si>
    <t>CIAC Depreciation</t>
  </si>
  <si>
    <t>Total Rate Base</t>
  </si>
  <si>
    <t>Total Weighted Rate of Return</t>
  </si>
  <si>
    <t>Including Income Tax</t>
  </si>
  <si>
    <t>Required Return &amp; Income Tax</t>
  </si>
  <si>
    <t>From Plant Schedule</t>
  </si>
  <si>
    <t>From Reserve Sch</t>
  </si>
  <si>
    <t>Rate Design Schedule - Water</t>
  </si>
  <si>
    <t>Description</t>
  </si>
  <si>
    <t>OPC</t>
  </si>
  <si>
    <t>Annualized</t>
  </si>
  <si>
    <t>Rev-1</t>
  </si>
  <si>
    <t>Rev-2</t>
  </si>
  <si>
    <t>Rev-3</t>
  </si>
  <si>
    <t>Rev-4</t>
  </si>
  <si>
    <t>ANNUALIZED REVENUES</t>
  </si>
  <si>
    <t>Annualized Rate Revenues</t>
  </si>
  <si>
    <t>Miscellaneous Revenues</t>
  </si>
  <si>
    <t>TOTAL ANNUALIZED REVENUES</t>
  </si>
  <si>
    <t>OPERATIONS EXPENSES</t>
  </si>
  <si>
    <t>Management Salary</t>
  </si>
  <si>
    <t>Operators Salary/Contract Services</t>
  </si>
  <si>
    <t>Electricity - Pumping</t>
  </si>
  <si>
    <t>Chemicals</t>
  </si>
  <si>
    <t>TOTAL OPERATIONS EXPENSE</t>
  </si>
  <si>
    <t>MAINTENANCE EXPENSES</t>
  </si>
  <si>
    <t>Main Break Repairs</t>
  </si>
  <si>
    <t>Mowing Expense</t>
  </si>
  <si>
    <t>Maintenance &amp; Repairs</t>
  </si>
  <si>
    <t>Miscellaneous Expense</t>
  </si>
  <si>
    <t>TOTAL MAINTENANCE EXPENSE</t>
  </si>
  <si>
    <t>CUSTOMER ACCOUNT EXPENSE</t>
  </si>
  <si>
    <t>Uncollectible Accounts</t>
  </si>
  <si>
    <t>TOTAL CUSTOMER ACCOUNT EXPENSE</t>
  </si>
  <si>
    <t>ADMINISTRATIVE &amp; GENERAL EXPENSES</t>
  </si>
  <si>
    <t>TOTAL ADMINISTRATIVE &amp; GENERAL</t>
  </si>
  <si>
    <t>OTHER OPERATING EXPENSES</t>
  </si>
  <si>
    <t>MO DNR Fees (Lab Fees)</t>
  </si>
  <si>
    <t>PSC Assessment</t>
  </si>
  <si>
    <t>Corporate Registration/Franchise Fees</t>
  </si>
  <si>
    <t>Depreciation</t>
  </si>
  <si>
    <t>TOTAL OTHER OPERATING EXPENSES</t>
  </si>
  <si>
    <t>TAXES OTHER THAN INCOME</t>
  </si>
  <si>
    <t>Real &amp; Personal Property Taxes</t>
  </si>
  <si>
    <t>TOTAL TAXES OTHER THAN INCOME</t>
  </si>
  <si>
    <t>TOTAL OPERATING EXPENSES</t>
  </si>
  <si>
    <t>Interest Expense</t>
  </si>
  <si>
    <t>Return on Equity</t>
  </si>
  <si>
    <t>Income Taxes</t>
  </si>
  <si>
    <t>TOTAL INTEREST RETURN &amp; TAXES</t>
  </si>
  <si>
    <t>TOTAL COST OF SERVICE</t>
  </si>
  <si>
    <t>Less: Miscellaneous Revenues</t>
  </si>
  <si>
    <t>COST TO RECOVER IN RATES</t>
  </si>
  <si>
    <t>INCREMENTAL INCREASE IN RATE REVENUES</t>
  </si>
  <si>
    <t>PERCENTAGE OF INCREASE</t>
  </si>
  <si>
    <t>REQUESTED INCREASE IN REVENUES</t>
  </si>
  <si>
    <t>Rate of Return Including Income Tax - Water</t>
  </si>
  <si>
    <t>State Income Tax Rate</t>
  </si>
  <si>
    <t>Federal Income Tax Rate</t>
  </si>
  <si>
    <t>Composite Effective Income Tax Rate</t>
  </si>
  <si>
    <t>Equity Tax Factor</t>
  </si>
  <si>
    <t xml:space="preserve">Recommended Weighted Rate of Return on Equity - </t>
  </si>
  <si>
    <t xml:space="preserve">      Common and Preferred</t>
  </si>
  <si>
    <t>Weighted Rate of Return on Equity Inc. Income Tax</t>
  </si>
  <si>
    <t xml:space="preserve">Recommended Weighted Rate of Return on Debt - </t>
  </si>
  <si>
    <t xml:space="preserve">      Long-Term and Short-Term</t>
  </si>
  <si>
    <t>Total Weighted Rate of Return Inc. Income Tax</t>
  </si>
  <si>
    <t xml:space="preserve">   From Cap. Struct.</t>
  </si>
  <si>
    <t xml:space="preserve">   To Rate Base Sch.</t>
  </si>
  <si>
    <t>Start</t>
  </si>
  <si>
    <t>End</t>
  </si>
  <si>
    <t>Net Income Range</t>
  </si>
  <si>
    <t>Tax Rate</t>
  </si>
  <si>
    <t>in Range</t>
  </si>
  <si>
    <t>Tax</t>
  </si>
  <si>
    <t>on Range</t>
  </si>
  <si>
    <t>Capital Structure Schedule - Water</t>
  </si>
  <si>
    <t>Percentage</t>
  </si>
  <si>
    <t>of Total</t>
  </si>
  <si>
    <t>Capital</t>
  </si>
  <si>
    <t>Structure</t>
  </si>
  <si>
    <t>Embedded</t>
  </si>
  <si>
    <t>Cost of</t>
  </si>
  <si>
    <t>Weighted</t>
  </si>
  <si>
    <t>Common Stock</t>
  </si>
  <si>
    <t>Other Security - Non-Tax Deductible</t>
  </si>
  <si>
    <t>Preferred Stock</t>
  </si>
  <si>
    <t>Long-Term Debt</t>
  </si>
  <si>
    <t>Short-Term Debt</t>
  </si>
  <si>
    <t>Other Security - Tax Deductible</t>
  </si>
  <si>
    <t>TOTAL CAPITALIZATION</t>
  </si>
  <si>
    <t>Plant In Service - Water</t>
  </si>
  <si>
    <t>Account #</t>
  </si>
  <si>
    <t>Plant Account Description</t>
  </si>
  <si>
    <t>Total</t>
  </si>
  <si>
    <t>Plant</t>
  </si>
  <si>
    <t>Adjustment</t>
  </si>
  <si>
    <t>Adjustments</t>
  </si>
  <si>
    <t>Jurisdictional</t>
  </si>
  <si>
    <t>Allocation</t>
  </si>
  <si>
    <t>Adjusted</t>
  </si>
  <si>
    <t>INTANGIBLE PLANT</t>
  </si>
  <si>
    <t>Organization</t>
  </si>
  <si>
    <t>Franchises</t>
  </si>
  <si>
    <t>Miscellaneous Intangible Plant</t>
  </si>
  <si>
    <t>TOTAL INTANGIBLE PLANT</t>
  </si>
  <si>
    <t>SOURCE OF SUPPLY PLANT</t>
  </si>
  <si>
    <t>Land &amp; Land Rights - SSP</t>
  </si>
  <si>
    <t>Structures &amp; Improvements - SSP</t>
  </si>
  <si>
    <t>Collections &amp; Impounding Reservoirs</t>
  </si>
  <si>
    <t>Lake, River, &amp; Other Intakes</t>
  </si>
  <si>
    <t xml:space="preserve">Infiltration Galleries &amp; Tunnels </t>
  </si>
  <si>
    <t>Supply Mains</t>
  </si>
  <si>
    <t>TOTAL SOURCE OF SUPPLY PLANT</t>
  </si>
  <si>
    <t>PUMPING PLANT</t>
  </si>
  <si>
    <t>Electric Pumping Equipment</t>
  </si>
  <si>
    <t>Diesel Pumping Equipment</t>
  </si>
  <si>
    <t>Other Pumping Equipment</t>
  </si>
  <si>
    <t>TOTAL PUMPING EQUIPMENT</t>
  </si>
  <si>
    <t>WATER TREATMENT PLANT</t>
  </si>
  <si>
    <t>Land &amp; Land Rights - WTP</t>
  </si>
  <si>
    <t>Structures &amp; Improvements - WTP</t>
  </si>
  <si>
    <t>Water Treament Equipment</t>
  </si>
  <si>
    <t>TOTAL WATER TREATMENT PLANT</t>
  </si>
  <si>
    <t>TRANSMISSION &amp; DISTRIBUTION PLANT</t>
  </si>
  <si>
    <t>Land &amp; Land Rights - T&amp;D</t>
  </si>
  <si>
    <t>Structures &amp; Improvements - T&amp;D</t>
  </si>
  <si>
    <t>Distribution Reservoirs &amp; Standpipes</t>
  </si>
  <si>
    <t>Fire Mains</t>
  </si>
  <si>
    <t>Services</t>
  </si>
  <si>
    <t>Transmission &amp; Distribution Mains</t>
  </si>
  <si>
    <t>Meters - Bronze Chamber</t>
  </si>
  <si>
    <t>Meters - Plastic Chamber</t>
  </si>
  <si>
    <t>Meter Installations - Bronze</t>
  </si>
  <si>
    <t>Meter Installations - Plastic</t>
  </si>
  <si>
    <t>Other Transmission &amp; Distribution Plant</t>
  </si>
  <si>
    <t>Hydrants</t>
  </si>
  <si>
    <t>TOTAL TRANS. &amp; DISTRIBUTION PLANT</t>
  </si>
  <si>
    <t>GENERAL PLANT</t>
  </si>
  <si>
    <t>Land &amp; Land Rights - GP</t>
  </si>
  <si>
    <t>Structures &amp; Improvements - GP</t>
  </si>
  <si>
    <t>Other General Equipment 1</t>
  </si>
  <si>
    <t>Laboratory Equipment</t>
  </si>
  <si>
    <t>TOTAL GENERAL PLANT</t>
  </si>
  <si>
    <t>TOTAL PLANT IN SERVICE</t>
  </si>
  <si>
    <t>Schedule of Adjustments for Plant in Service - Water</t>
  </si>
  <si>
    <t>Plant in Service Adjustment Description</t>
  </si>
  <si>
    <t>Account</t>
  </si>
  <si>
    <t>P-1</t>
  </si>
  <si>
    <t>Depreciation Expense</t>
  </si>
  <si>
    <t>Plant Description</t>
  </si>
  <si>
    <t>Rate</t>
  </si>
  <si>
    <t>Expense</t>
  </si>
  <si>
    <t>TOTAL PLANT DEPRECIATION EXPENSE</t>
  </si>
  <si>
    <t>Depreciation Reserve</t>
  </si>
  <si>
    <t>TOTAL DEPRECIATION RESERVE</t>
  </si>
  <si>
    <t>Adjustments to Depreciation Reserve</t>
  </si>
  <si>
    <t>Reserve</t>
  </si>
  <si>
    <t>Accumulated Depreciation Reserve</t>
  </si>
  <si>
    <t>Adjustments Description</t>
  </si>
  <si>
    <t>R-1</t>
  </si>
  <si>
    <t>Revenue Schedule - Water</t>
  </si>
  <si>
    <t>Revenue Description</t>
  </si>
  <si>
    <t>Company/</t>
  </si>
  <si>
    <t>Test Year</t>
  </si>
  <si>
    <t>Revenue Adjustment Schedule - Water</t>
  </si>
  <si>
    <t>Revenue</t>
  </si>
  <si>
    <t>Adjustment Description</t>
  </si>
  <si>
    <t>TOTAL REVENUES ADJUSTMENTS</t>
  </si>
  <si>
    <t>TOTAL RESERVE ADJUSTMENTS</t>
  </si>
  <si>
    <t>TOTAL PLANT ADJUSTMENTS</t>
  </si>
  <si>
    <t>Rate Revenue Feeder Schedule - Water</t>
  </si>
  <si>
    <t>Residential</t>
  </si>
  <si>
    <t>Commercial</t>
  </si>
  <si>
    <t>Customer Charge Revenues:</t>
  </si>
  <si>
    <t>Customer Number</t>
  </si>
  <si>
    <t>Bills Per Year</t>
  </si>
  <si>
    <t>Customer Bills Per Year</t>
  </si>
  <si>
    <t>Current Customer Charge</t>
  </si>
  <si>
    <t>Annualized Customer Charge Revenues</t>
  </si>
  <si>
    <t>Commodity Charge Revenues:</t>
  </si>
  <si>
    <t>Total Gallons Sold</t>
  </si>
  <si>
    <t>Less: Base Gallons Included in Customer Charge</t>
  </si>
  <si>
    <t>Commodity Gallons</t>
  </si>
  <si>
    <t>Block 1, Commodity Gallons per Block</t>
  </si>
  <si>
    <t>Block 1, Number of Commodity Gallons per Unit</t>
  </si>
  <si>
    <t>Block 1, Commodity Billing Units</t>
  </si>
  <si>
    <t>Block 1, Existing Commodity Charge</t>
  </si>
  <si>
    <t>Block 1, Annualized Commodity Charge Rev.</t>
  </si>
  <si>
    <t>TOTAL ANNUALIZED WATER RATE REVENUES</t>
  </si>
  <si>
    <t>Miscellaneous Revenues Feeder - Water</t>
  </si>
  <si>
    <t>Late Charge Fees</t>
  </si>
  <si>
    <t>Disconnect Fees</t>
  </si>
  <si>
    <t>TOTAL MISCELLANEOUS REVENUES</t>
  </si>
  <si>
    <t>Expense Schedule - Water</t>
  </si>
  <si>
    <t>Expense Description</t>
  </si>
  <si>
    <t>Expense Adjustment Schedule - Water</t>
  </si>
  <si>
    <t>W-1</t>
  </si>
  <si>
    <t>TOTAL EXPENSE ADJUSTMENTS</t>
  </si>
  <si>
    <t>To PreTax Return Rate Schedule</t>
  </si>
  <si>
    <t>Equity Income Required &amp; Preliminary Federal Tax</t>
  </si>
  <si>
    <t>If Sub-Chapter S Corporation, Enter Y:</t>
  </si>
  <si>
    <t>N</t>
  </si>
  <si>
    <t>Is Preferred Stock Tax Deductible?</t>
  </si>
  <si>
    <t>Average Tax Rate:</t>
  </si>
  <si>
    <t>Consolidated Tax Rate:</t>
  </si>
  <si>
    <t>A</t>
  </si>
  <si>
    <t>B</t>
  </si>
  <si>
    <t xml:space="preserve">   (1-(B2 x .5)) x A1</t>
  </si>
  <si>
    <t xml:space="preserve">   (1-B1) x A2</t>
  </si>
  <si>
    <t xml:space="preserve">   B1 + B2</t>
  </si>
  <si>
    <t xml:space="preserve">   1 / (1-B3)</t>
  </si>
  <si>
    <t xml:space="preserve">   B4 x B5</t>
  </si>
  <si>
    <t xml:space="preserve">   B6 + B7</t>
  </si>
  <si>
    <t xml:space="preserve">   Formulas</t>
  </si>
  <si>
    <t>From PreTax Return Schedule</t>
  </si>
  <si>
    <t>Prepayments (Workers Comp)</t>
  </si>
  <si>
    <t>Wells &amp; Springs</t>
  </si>
  <si>
    <t>Other Power Production Equipment</t>
  </si>
  <si>
    <t>Office Furniture &amp; Equipment - CSWR 14%</t>
  </si>
  <si>
    <t>Office Supplies &amp; Postage</t>
  </si>
  <si>
    <t>Billing &amp; Collections</t>
  </si>
  <si>
    <t>Bank Fees</t>
  </si>
  <si>
    <t>Payroll Taxes - CSWR 14%</t>
  </si>
  <si>
    <t>Administration &amp; General Salary - CSWR 14%</t>
  </si>
  <si>
    <t>Communication Services - CSWR 14%</t>
  </si>
  <si>
    <t>Office Supplies - CSWR 14%</t>
  </si>
  <si>
    <t>Legal Fees - CSWR 14%</t>
  </si>
  <si>
    <t xml:space="preserve">Legal Fees  </t>
  </si>
  <si>
    <t>Accounting Fees - CSWR 14%</t>
  </si>
  <si>
    <t>Management Consultants - CSWR 14%</t>
  </si>
  <si>
    <t>Payroll Fees - CSWR 14%</t>
  </si>
  <si>
    <t>IT Services - CSWR 14%</t>
  </si>
  <si>
    <t>Property Ins - Environmental</t>
  </si>
  <si>
    <t>Property Ins - Workers Comp - CSWR 14%</t>
  </si>
  <si>
    <t>Property Ins - Commercial</t>
  </si>
  <si>
    <t>Emp Benefits - Keyman - CSWR 14%</t>
  </si>
  <si>
    <t>Emp Benefits - UHC - CSWR 14%</t>
  </si>
  <si>
    <t>Emp Benefits - 401k - CSWR 14%</t>
  </si>
  <si>
    <t>Emp Benefits - Life/STD/LTD - CSWR 14%</t>
  </si>
  <si>
    <t>Rent Expense - CSWR 14%</t>
  </si>
  <si>
    <t>Hillcrest Utility Operating Company, Inc.</t>
  </si>
  <si>
    <t>Case Number WR-2016-0064</t>
  </si>
  <si>
    <t>Test Year Ending 7/31/2015, Update 10/31/2015</t>
  </si>
  <si>
    <t>Office Computer Equipment - CSWR 14%</t>
  </si>
  <si>
    <t>Adjust from Staff's 14% allocation to 10.49%</t>
  </si>
  <si>
    <t>Web Pages</t>
  </si>
  <si>
    <t>Travel Expense</t>
  </si>
  <si>
    <t>Adjust from Staff 14% allocation to 10.49%</t>
  </si>
  <si>
    <t>P-2</t>
  </si>
  <si>
    <t>W-2</t>
  </si>
  <si>
    <t>W-3</t>
  </si>
  <si>
    <t>W-4</t>
  </si>
  <si>
    <t>W-5</t>
  </si>
  <si>
    <t>W-6</t>
  </si>
  <si>
    <t>W-7</t>
  </si>
  <si>
    <t>W-8</t>
  </si>
  <si>
    <t>W-9</t>
  </si>
  <si>
    <t>W-10</t>
  </si>
  <si>
    <t>W-11</t>
  </si>
  <si>
    <t>W-12</t>
  </si>
  <si>
    <t>W-13</t>
  </si>
  <si>
    <t>W-14</t>
  </si>
  <si>
    <t>Adjust 401k to OPC salaries</t>
  </si>
  <si>
    <t>Adjust PR taxes to OPC salaries</t>
  </si>
  <si>
    <t xml:space="preserve">Adjust property tax expense </t>
  </si>
  <si>
    <t>W-15</t>
  </si>
  <si>
    <t>Remove Munibilling QTRLY fees</t>
  </si>
  <si>
    <t>W-16</t>
  </si>
  <si>
    <t>P-3</t>
  </si>
  <si>
    <t>Adjust PR portion for Chalfant &amp; Eaves</t>
  </si>
  <si>
    <t>Adjust reserve due to PR adjustment</t>
  </si>
  <si>
    <t>Communication Equipment</t>
  </si>
  <si>
    <t>W-17</t>
  </si>
  <si>
    <t>Adjust depreciation due to plant adjustments</t>
  </si>
  <si>
    <t xml:space="preserve">SOS Fees </t>
  </si>
  <si>
    <t>Adjust PR portion for Cox</t>
  </si>
  <si>
    <t>Schedule KNR-2-Water</t>
  </si>
</sst>
</file>

<file path=xl/styles.xml><?xml version="1.0" encoding="utf-8"?>
<styleSheet xmlns="http://schemas.openxmlformats.org/spreadsheetml/2006/main">
  <numFmts count="11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  <numFmt numFmtId="165" formatCode="0.0000"/>
    <numFmt numFmtId="166" formatCode="_(&quot;$&quot;* #,##0_);_(&quot;$&quot;* \(#,##0\);_(&quot;$&quot;* &quot;-&quot;??_);_(@_)"/>
    <numFmt numFmtId="167" formatCode="&quot;$&quot;#,##0.00"/>
    <numFmt numFmtId="168" formatCode="&quot;$&quot;#,##0"/>
    <numFmt numFmtId="169" formatCode="0.000%"/>
    <numFmt numFmtId="170" formatCode="0.0000%"/>
    <numFmt numFmtId="171" formatCode="_(* #,##0_);_(* \(#,##0\);_(* &quot;-&quot;??_);_(@_)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3" tint="0.3999755851924192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36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4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/>
    <xf numFmtId="0" fontId="0" fillId="0" borderId="1" xfId="0" applyBorder="1"/>
    <xf numFmtId="0" fontId="2" fillId="2" borderId="2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/>
    <xf numFmtId="0" fontId="2" fillId="2" borderId="3" xfId="0" applyFont="1" applyFill="1" applyBorder="1"/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5" xfId="0" applyFont="1" applyFill="1" applyBorder="1"/>
    <xf numFmtId="0" fontId="2" fillId="2" borderId="6" xfId="0" applyFont="1" applyFill="1" applyBorder="1"/>
    <xf numFmtId="0" fontId="0" fillId="2" borderId="2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/>
    <xf numFmtId="0" fontId="0" fillId="2" borderId="3" xfId="0" applyFill="1" applyBorder="1"/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5" xfId="0" applyFill="1" applyBorder="1"/>
    <xf numFmtId="0" fontId="0" fillId="2" borderId="6" xfId="0" applyFill="1" applyBorder="1"/>
    <xf numFmtId="0" fontId="2" fillId="0" borderId="0" xfId="0" applyFont="1" applyAlignment="1">
      <alignment horizontal="center"/>
    </xf>
    <xf numFmtId="0" fontId="0" fillId="2" borderId="0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ill="1" applyBorder="1"/>
    <xf numFmtId="10" fontId="0" fillId="0" borderId="0" xfId="0" applyNumberFormat="1"/>
    <xf numFmtId="10" fontId="3" fillId="0" borderId="0" xfId="0" applyNumberFormat="1" applyFont="1"/>
    <xf numFmtId="9" fontId="1" fillId="0" borderId="0" xfId="3" applyFont="1"/>
    <xf numFmtId="10" fontId="1" fillId="0" borderId="0" xfId="3" applyNumberFormat="1" applyFont="1"/>
    <xf numFmtId="10" fontId="1" fillId="0" borderId="5" xfId="3" applyNumberFormat="1" applyFont="1" applyBorder="1"/>
    <xf numFmtId="165" fontId="0" fillId="0" borderId="0" xfId="0" applyNumberFormat="1"/>
    <xf numFmtId="10" fontId="0" fillId="0" borderId="7" xfId="0" applyNumberFormat="1" applyBorder="1"/>
    <xf numFmtId="168" fontId="1" fillId="0" borderId="8" xfId="2" applyNumberFormat="1" applyFont="1" applyBorder="1"/>
    <xf numFmtId="10" fontId="1" fillId="0" borderId="8" xfId="3" applyNumberFormat="1" applyFont="1" applyBorder="1"/>
    <xf numFmtId="168" fontId="3" fillId="0" borderId="0" xfId="2" applyNumberFormat="1" applyFont="1"/>
    <xf numFmtId="10" fontId="3" fillId="0" borderId="0" xfId="3" applyNumberFormat="1" applyFont="1"/>
    <xf numFmtId="169" fontId="1" fillId="0" borderId="0" xfId="3" applyNumberFormat="1" applyFont="1"/>
    <xf numFmtId="169" fontId="0" fillId="0" borderId="8" xfId="0" applyNumberFormat="1" applyBorder="1"/>
    <xf numFmtId="0" fontId="0" fillId="2" borderId="0" xfId="0" applyFill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164" fontId="0" fillId="0" borderId="0" xfId="0" applyNumberFormat="1" applyAlignment="1">
      <alignment horizontal="center"/>
    </xf>
    <xf numFmtId="164" fontId="3" fillId="0" borderId="0" xfId="0" applyNumberFormat="1" applyFont="1" applyAlignment="1">
      <alignment horizontal="center"/>
    </xf>
    <xf numFmtId="0" fontId="4" fillId="0" borderId="0" xfId="0" applyFont="1"/>
    <xf numFmtId="168" fontId="0" fillId="0" borderId="0" xfId="0" applyNumberFormat="1"/>
    <xf numFmtId="168" fontId="3" fillId="0" borderId="0" xfId="0" applyNumberFormat="1" applyFont="1"/>
    <xf numFmtId="168" fontId="0" fillId="0" borderId="1" xfId="0" applyNumberFormat="1" applyBorder="1"/>
    <xf numFmtId="0" fontId="0" fillId="2" borderId="0" xfId="0" applyFill="1"/>
    <xf numFmtId="168" fontId="0" fillId="2" borderId="0" xfId="0" applyNumberFormat="1" applyFill="1"/>
    <xf numFmtId="164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10" fontId="1" fillId="0" borderId="0" xfId="3" applyNumberFormat="1" applyFont="1"/>
    <xf numFmtId="170" fontId="1" fillId="0" borderId="0" xfId="3" applyNumberFormat="1" applyFont="1"/>
    <xf numFmtId="37" fontId="0" fillId="0" borderId="0" xfId="0" applyNumberFormat="1"/>
    <xf numFmtId="14" fontId="0" fillId="2" borderId="5" xfId="0" applyNumberFormat="1" applyFill="1" applyBorder="1" applyAlignment="1">
      <alignment horizontal="center"/>
    </xf>
    <xf numFmtId="37" fontId="3" fillId="0" borderId="0" xfId="0" applyNumberFormat="1" applyFont="1"/>
    <xf numFmtId="0" fontId="0" fillId="2" borderId="0" xfId="0" applyFill="1" applyBorder="1"/>
    <xf numFmtId="5" fontId="0" fillId="0" borderId="0" xfId="0" applyNumberFormat="1"/>
    <xf numFmtId="5" fontId="0" fillId="0" borderId="1" xfId="0" applyNumberFormat="1" applyBorder="1"/>
    <xf numFmtId="168" fontId="0" fillId="0" borderId="0" xfId="0" applyNumberFormat="1" applyBorder="1"/>
    <xf numFmtId="5" fontId="0" fillId="0" borderId="0" xfId="0" applyNumberFormat="1" applyBorder="1"/>
    <xf numFmtId="0" fontId="0" fillId="0" borderId="0" xfId="0" applyBorder="1"/>
    <xf numFmtId="0" fontId="0" fillId="0" borderId="9" xfId="0" applyBorder="1"/>
    <xf numFmtId="37" fontId="0" fillId="2" borderId="0" xfId="0" applyNumberFormat="1" applyFill="1" applyBorder="1"/>
    <xf numFmtId="170" fontId="3" fillId="0" borderId="0" xfId="3" applyNumberFormat="1" applyFont="1"/>
    <xf numFmtId="170" fontId="3" fillId="0" borderId="0" xfId="3" applyNumberFormat="1" applyFont="1" applyBorder="1"/>
    <xf numFmtId="0" fontId="3" fillId="0" borderId="0" xfId="0" applyFont="1" applyBorder="1"/>
    <xf numFmtId="5" fontId="3" fillId="0" borderId="0" xfId="0" applyNumberFormat="1" applyFont="1"/>
    <xf numFmtId="5" fontId="0" fillId="2" borderId="8" xfId="0" applyNumberFormat="1" applyFill="1" applyBorder="1"/>
    <xf numFmtId="5" fontId="0" fillId="2" borderId="1" xfId="0" applyNumberFormat="1" applyFill="1" applyBorder="1"/>
    <xf numFmtId="168" fontId="0" fillId="2" borderId="8" xfId="0" applyNumberFormat="1" applyFill="1" applyBorder="1"/>
    <xf numFmtId="0" fontId="5" fillId="0" borderId="0" xfId="0" applyFont="1"/>
    <xf numFmtId="167" fontId="3" fillId="0" borderId="0" xfId="0" applyNumberFormat="1" applyFont="1"/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0" borderId="12" xfId="0" applyBorder="1"/>
    <xf numFmtId="171" fontId="3" fillId="0" borderId="0" xfId="1" applyNumberFormat="1" applyFont="1"/>
    <xf numFmtId="5" fontId="0" fillId="0" borderId="8" xfId="0" applyNumberFormat="1" applyBorder="1"/>
    <xf numFmtId="10" fontId="1" fillId="2" borderId="0" xfId="3" applyNumberFormat="1" applyFont="1" applyFill="1"/>
    <xf numFmtId="164" fontId="3" fillId="2" borderId="0" xfId="0" applyNumberFormat="1" applyFont="1" applyFill="1" applyAlignment="1">
      <alignment horizontal="center"/>
    </xf>
    <xf numFmtId="9" fontId="1" fillId="2" borderId="0" xfId="3" applyFont="1" applyFill="1"/>
    <xf numFmtId="0" fontId="6" fillId="0" borderId="0" xfId="0" applyFont="1" applyAlignment="1">
      <alignment horizontal="center"/>
    </xf>
    <xf numFmtId="0" fontId="0" fillId="0" borderId="14" xfId="0" applyBorder="1"/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66" fontId="1" fillId="0" borderId="16" xfId="2" applyNumberFormat="1" applyFont="1" applyBorder="1"/>
    <xf numFmtId="166" fontId="1" fillId="0" borderId="0" xfId="2" applyNumberFormat="1" applyFont="1" applyBorder="1"/>
    <xf numFmtId="10" fontId="1" fillId="0" borderId="0" xfId="3" applyNumberFormat="1" applyFont="1" applyBorder="1"/>
    <xf numFmtId="5" fontId="0" fillId="0" borderId="17" xfId="0" applyNumberFormat="1" applyBorder="1"/>
    <xf numFmtId="0" fontId="0" fillId="0" borderId="16" xfId="0" applyBorder="1"/>
    <xf numFmtId="5" fontId="0" fillId="0" borderId="18" xfId="0" applyNumberFormat="1" applyBorder="1"/>
    <xf numFmtId="0" fontId="0" fillId="0" borderId="0" xfId="0" applyBorder="1" applyAlignment="1">
      <alignment horizontal="right"/>
    </xf>
    <xf numFmtId="0" fontId="0" fillId="0" borderId="17" xfId="0" applyBorder="1"/>
    <xf numFmtId="0" fontId="0" fillId="0" borderId="19" xfId="0" applyBorder="1"/>
    <xf numFmtId="0" fontId="0" fillId="0" borderId="20" xfId="0" applyBorder="1"/>
    <xf numFmtId="0" fontId="0" fillId="0" borderId="20" xfId="0" applyBorder="1" applyAlignment="1">
      <alignment horizontal="right"/>
    </xf>
    <xf numFmtId="0" fontId="0" fillId="0" borderId="21" xfId="0" applyBorder="1"/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10" fontId="1" fillId="0" borderId="5" xfId="3" applyNumberFormat="1" applyFont="1" applyBorder="1"/>
    <xf numFmtId="0" fontId="0" fillId="0" borderId="9" xfId="0" applyFill="1" applyBorder="1"/>
    <xf numFmtId="10" fontId="1" fillId="0" borderId="0" xfId="3" applyNumberFormat="1" applyFont="1" applyBorder="1"/>
    <xf numFmtId="10" fontId="0" fillId="0" borderId="0" xfId="0" applyNumberFormat="1" applyBorder="1"/>
    <xf numFmtId="5" fontId="0" fillId="0" borderId="5" xfId="0" applyNumberFormat="1" applyBorder="1"/>
    <xf numFmtId="169" fontId="1" fillId="0" borderId="0" xfId="3" applyNumberFormat="1" applyFont="1"/>
    <xf numFmtId="0" fontId="3" fillId="0" borderId="0" xfId="0" applyFont="1" applyFill="1"/>
    <xf numFmtId="168" fontId="0" fillId="0" borderId="0" xfId="0" applyNumberFormat="1" applyFill="1"/>
    <xf numFmtId="0" fontId="3" fillId="0" borderId="0" xfId="0" applyFont="1"/>
    <xf numFmtId="0" fontId="3" fillId="3" borderId="0" xfId="0" applyFont="1" applyFill="1"/>
    <xf numFmtId="0" fontId="0" fillId="3" borderId="0" xfId="0" applyFill="1"/>
    <xf numFmtId="5" fontId="3" fillId="3" borderId="0" xfId="0" applyNumberFormat="1" applyFont="1" applyFill="1"/>
    <xf numFmtId="0" fontId="0" fillId="3" borderId="0" xfId="0" applyFill="1" applyAlignment="1">
      <alignment horizontal="center"/>
    </xf>
    <xf numFmtId="164" fontId="3" fillId="3" borderId="0" xfId="0" applyNumberFormat="1" applyFont="1" applyFill="1" applyAlignment="1">
      <alignment horizontal="center"/>
    </xf>
    <xf numFmtId="168" fontId="3" fillId="3" borderId="0" xfId="0" applyNumberFormat="1" applyFont="1" applyFill="1"/>
    <xf numFmtId="168" fontId="0" fillId="3" borderId="0" xfId="0" applyNumberFormat="1" applyFill="1"/>
    <xf numFmtId="10" fontId="3" fillId="3" borderId="0" xfId="3" applyNumberFormat="1" applyFont="1" applyFill="1"/>
    <xf numFmtId="0" fontId="4" fillId="3" borderId="0" xfId="0" applyFont="1" applyFill="1" applyAlignment="1">
      <alignment horizontal="center"/>
    </xf>
    <xf numFmtId="164" fontId="4" fillId="3" borderId="0" xfId="0" applyNumberFormat="1" applyFont="1" applyFill="1" applyAlignment="1">
      <alignment horizontal="center"/>
    </xf>
    <xf numFmtId="0" fontId="4" fillId="3" borderId="0" xfId="0" applyFont="1" applyFill="1"/>
    <xf numFmtId="5" fontId="0" fillId="3" borderId="0" xfId="0" applyNumberFormat="1" applyFill="1"/>
    <xf numFmtId="170" fontId="3" fillId="3" borderId="0" xfId="3" applyNumberFormat="1" applyFont="1" applyFill="1"/>
    <xf numFmtId="5" fontId="0" fillId="3" borderId="0" xfId="0" applyNumberFormat="1" applyFill="1" applyBorder="1"/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0" fillId="0" borderId="22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7" fillId="0" borderId="0" xfId="0" applyFont="1" applyAlignment="1">
      <alignment horizontal="center" vertic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3"/>
  <sheetViews>
    <sheetView tabSelected="1" workbookViewId="0">
      <selection activeCell="A14" sqref="A14"/>
    </sheetView>
  </sheetViews>
  <sheetFormatPr defaultRowHeight="14.4"/>
  <cols>
    <col min="1" max="1" width="93.21875" customWidth="1"/>
  </cols>
  <sheetData>
    <row r="13" spans="1:1" ht="46.2">
      <c r="A13" s="133" t="s">
        <v>289</v>
      </c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2:E20"/>
  <sheetViews>
    <sheetView workbookViewId="0"/>
  </sheetViews>
  <sheetFormatPr defaultRowHeight="14.4"/>
  <cols>
    <col min="1" max="1" width="14.44140625" customWidth="1"/>
    <col min="2" max="2" width="45.5546875" customWidth="1"/>
    <col min="3" max="3" width="10.5546875" customWidth="1"/>
    <col min="4" max="4" width="13.33203125" customWidth="1"/>
    <col min="5" max="5" width="13.6640625" customWidth="1"/>
  </cols>
  <sheetData>
    <row r="2" spans="1:5">
      <c r="A2" s="128" t="str">
        <f>'Rate Design'!A2:F2</f>
        <v>Hillcrest Utility Operating Company, Inc.</v>
      </c>
      <c r="B2" s="128"/>
      <c r="C2" s="128"/>
      <c r="D2" s="128"/>
      <c r="E2" s="128"/>
    </row>
    <row r="3" spans="1:5">
      <c r="A3" s="128" t="str">
        <f>'Rate Design'!A3:F3</f>
        <v>Informal Rate Case</v>
      </c>
      <c r="B3" s="128"/>
      <c r="C3" s="128"/>
      <c r="D3" s="128"/>
      <c r="E3" s="128"/>
    </row>
    <row r="4" spans="1:5">
      <c r="A4" s="128" t="str">
        <f>'Rate Design'!A4:F4</f>
        <v>Case Number WR-2016-0064</v>
      </c>
      <c r="B4" s="128"/>
      <c r="C4" s="128"/>
      <c r="D4" s="128"/>
      <c r="E4" s="128"/>
    </row>
    <row r="5" spans="1:5">
      <c r="A5" s="128" t="str">
        <f>'Rate Design'!A5:F5</f>
        <v>Test Year Ending 7/31/2015, Update 10/31/2015</v>
      </c>
      <c r="B5" s="128"/>
      <c r="C5" s="128"/>
      <c r="D5" s="128"/>
      <c r="E5" s="128"/>
    </row>
    <row r="6" spans="1:5">
      <c r="A6" s="128" t="s">
        <v>168</v>
      </c>
      <c r="B6" s="128"/>
      <c r="C6" s="128"/>
      <c r="D6" s="128"/>
      <c r="E6" s="128"/>
    </row>
    <row r="9" spans="1:5">
      <c r="A9" s="12" t="s">
        <v>169</v>
      </c>
      <c r="B9" s="13"/>
      <c r="C9" s="13"/>
      <c r="D9" s="13"/>
      <c r="E9" s="38" t="s">
        <v>106</v>
      </c>
    </row>
    <row r="10" spans="1:5">
      <c r="A10" s="39" t="s">
        <v>108</v>
      </c>
      <c r="B10" s="21" t="s">
        <v>170</v>
      </c>
      <c r="C10" s="21" t="s">
        <v>159</v>
      </c>
      <c r="D10" s="21" t="s">
        <v>108</v>
      </c>
      <c r="E10" s="40" t="s">
        <v>108</v>
      </c>
    </row>
    <row r="11" spans="1:5">
      <c r="A11" s="16" t="s">
        <v>2</v>
      </c>
      <c r="B11" s="17" t="s">
        <v>171</v>
      </c>
      <c r="C11" s="17" t="s">
        <v>2</v>
      </c>
      <c r="D11" s="17" t="s">
        <v>6</v>
      </c>
      <c r="E11" s="41" t="s">
        <v>6</v>
      </c>
    </row>
    <row r="12" spans="1:5">
      <c r="A12" s="1"/>
    </row>
    <row r="13" spans="1:5">
      <c r="A13" s="37" t="s">
        <v>172</v>
      </c>
      <c r="B13" s="48" t="str">
        <f>'Depreciation Reserve'!C21</f>
        <v>Structures &amp; Improvements - SSP</v>
      </c>
      <c r="C13" s="48"/>
      <c r="D13" s="48"/>
      <c r="E13" s="49">
        <f>SUM(D14:D18)</f>
        <v>7</v>
      </c>
    </row>
    <row r="14" spans="1:5">
      <c r="A14" s="1"/>
      <c r="D14" s="2"/>
    </row>
    <row r="15" spans="1:5">
      <c r="A15" s="1"/>
      <c r="B15" s="110" t="s">
        <v>283</v>
      </c>
      <c r="D15" s="46">
        <v>7</v>
      </c>
    </row>
    <row r="16" spans="1:5">
      <c r="A16" s="1"/>
      <c r="B16" s="2"/>
      <c r="D16" s="46"/>
    </row>
    <row r="17" spans="1:5">
      <c r="A17" s="1"/>
      <c r="B17" s="2" t="s">
        <v>20</v>
      </c>
      <c r="D17" s="46">
        <v>0</v>
      </c>
    </row>
    <row r="19" spans="1:5" ht="15" thickBot="1">
      <c r="A19" s="48"/>
      <c r="B19" s="48" t="s">
        <v>181</v>
      </c>
      <c r="C19" s="48"/>
      <c r="D19" s="48"/>
      <c r="E19" s="71">
        <f>SUM(E13:E18)</f>
        <v>7</v>
      </c>
    </row>
    <row r="20" spans="1:5" ht="15" thickTop="1"/>
  </sheetData>
  <mergeCells count="5">
    <mergeCell ref="A2:E2"/>
    <mergeCell ref="A3:E3"/>
    <mergeCell ref="A4:E4"/>
    <mergeCell ref="A5:E5"/>
    <mergeCell ref="A6:E6"/>
  </mergeCells>
  <pageMargins left="0.7" right="0.7" top="0.75" bottom="0.75" header="0.3" footer="0.3"/>
  <pageSetup scale="93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H16"/>
  <sheetViews>
    <sheetView workbookViewId="0"/>
  </sheetViews>
  <sheetFormatPr defaultRowHeight="14.4"/>
  <cols>
    <col min="2" max="2" width="10.33203125" customWidth="1"/>
    <col min="3" max="3" width="29.6640625" customWidth="1"/>
    <col min="4" max="4" width="13.33203125" customWidth="1"/>
    <col min="5" max="5" width="12.33203125" customWidth="1"/>
    <col min="6" max="6" width="15.88671875" customWidth="1"/>
    <col min="7" max="7" width="14.5546875" customWidth="1"/>
    <col min="8" max="8" width="14.44140625" customWidth="1"/>
  </cols>
  <sheetData>
    <row r="2" spans="1:8">
      <c r="A2" s="128" t="str">
        <f>'Rate Design'!A2:F2</f>
        <v>Hillcrest Utility Operating Company, Inc.</v>
      </c>
      <c r="B2" s="128"/>
      <c r="C2" s="128"/>
      <c r="D2" s="128"/>
      <c r="E2" s="128"/>
      <c r="F2" s="128"/>
      <c r="G2" s="128"/>
      <c r="H2" s="128"/>
    </row>
    <row r="3" spans="1:8">
      <c r="A3" s="128" t="str">
        <f>'Rate Design'!A3:F3</f>
        <v>Informal Rate Case</v>
      </c>
      <c r="B3" s="128"/>
      <c r="C3" s="128"/>
      <c r="D3" s="128"/>
      <c r="E3" s="128"/>
      <c r="F3" s="128"/>
      <c r="G3" s="128"/>
      <c r="H3" s="128"/>
    </row>
    <row r="4" spans="1:8">
      <c r="A4" s="128" t="str">
        <f>'Rate Design'!A4:F4</f>
        <v>Case Number WR-2016-0064</v>
      </c>
      <c r="B4" s="128"/>
      <c r="C4" s="128"/>
      <c r="D4" s="128"/>
      <c r="E4" s="128"/>
      <c r="F4" s="128"/>
      <c r="G4" s="128"/>
      <c r="H4" s="128"/>
    </row>
    <row r="5" spans="1:8">
      <c r="A5" s="128" t="str">
        <f>'Rate Design'!A5:F5</f>
        <v>Test Year Ending 7/31/2015, Update 10/31/2015</v>
      </c>
      <c r="B5" s="128"/>
      <c r="C5" s="128"/>
      <c r="D5" s="128"/>
      <c r="E5" s="128"/>
      <c r="F5" s="128"/>
      <c r="G5" s="128"/>
      <c r="H5" s="128"/>
    </row>
    <row r="6" spans="1:8">
      <c r="A6" s="128" t="s">
        <v>173</v>
      </c>
      <c r="B6" s="128"/>
      <c r="C6" s="128"/>
      <c r="D6" s="128"/>
      <c r="E6" s="128"/>
      <c r="F6" s="128"/>
      <c r="G6" s="128"/>
      <c r="H6" s="128"/>
    </row>
    <row r="9" spans="1:8">
      <c r="A9" s="12"/>
      <c r="B9" s="13"/>
      <c r="C9" s="13"/>
      <c r="D9" s="13" t="s">
        <v>175</v>
      </c>
      <c r="E9" s="13"/>
      <c r="F9" s="13"/>
      <c r="G9" s="13"/>
      <c r="H9" s="38"/>
    </row>
    <row r="10" spans="1:8">
      <c r="A10" s="39" t="s">
        <v>3</v>
      </c>
      <c r="B10" s="21" t="s">
        <v>159</v>
      </c>
      <c r="C10" s="21"/>
      <c r="D10" s="21" t="s">
        <v>176</v>
      </c>
      <c r="E10" s="21" t="s">
        <v>108</v>
      </c>
      <c r="F10" s="21" t="s">
        <v>110</v>
      </c>
      <c r="G10" s="21" t="s">
        <v>110</v>
      </c>
      <c r="H10" s="40" t="s">
        <v>112</v>
      </c>
    </row>
    <row r="11" spans="1:8">
      <c r="A11" s="16" t="s">
        <v>2</v>
      </c>
      <c r="B11" s="17" t="s">
        <v>2</v>
      </c>
      <c r="C11" s="17" t="s">
        <v>174</v>
      </c>
      <c r="D11" s="17" t="s">
        <v>6</v>
      </c>
      <c r="E11" s="17" t="s">
        <v>2</v>
      </c>
      <c r="F11" s="17" t="s">
        <v>109</v>
      </c>
      <c r="G11" s="17" t="s">
        <v>111</v>
      </c>
      <c r="H11" s="41" t="s">
        <v>110</v>
      </c>
    </row>
    <row r="13" spans="1:8">
      <c r="A13" s="1" t="s">
        <v>23</v>
      </c>
      <c r="C13" t="s">
        <v>27</v>
      </c>
    </row>
    <row r="14" spans="1:8">
      <c r="A14" s="1" t="s">
        <v>24</v>
      </c>
      <c r="C14" t="s">
        <v>28</v>
      </c>
      <c r="D14" s="68">
        <v>32378</v>
      </c>
      <c r="F14" s="58">
        <v>0</v>
      </c>
      <c r="G14" s="52">
        <v>1</v>
      </c>
      <c r="H14" s="58">
        <f>(D14+F14)*G14</f>
        <v>32378</v>
      </c>
    </row>
    <row r="15" spans="1:8">
      <c r="A15" s="1" t="s">
        <v>25</v>
      </c>
      <c r="C15" t="s">
        <v>29</v>
      </c>
      <c r="D15" s="68">
        <v>15</v>
      </c>
      <c r="F15" s="58">
        <v>0</v>
      </c>
      <c r="G15" s="52">
        <v>1</v>
      </c>
      <c r="H15" s="58">
        <f>(D15+F15)*G15</f>
        <v>15</v>
      </c>
    </row>
    <row r="16" spans="1:8">
      <c r="A16" s="37" t="s">
        <v>26</v>
      </c>
      <c r="B16" s="48"/>
      <c r="C16" s="48" t="s">
        <v>30</v>
      </c>
      <c r="D16" s="70">
        <f>SUM(D14:D15)</f>
        <v>32393</v>
      </c>
      <c r="E16" s="48"/>
      <c r="F16" s="70">
        <f>SUM(F14:F15)</f>
        <v>0</v>
      </c>
      <c r="G16" s="48"/>
      <c r="H16" s="70">
        <f>SUM(H14:H15)</f>
        <v>32393</v>
      </c>
    </row>
  </sheetData>
  <mergeCells count="5">
    <mergeCell ref="A2:H2"/>
    <mergeCell ref="A3:H3"/>
    <mergeCell ref="A4:H4"/>
    <mergeCell ref="A5:H5"/>
    <mergeCell ref="A6:H6"/>
  </mergeCells>
  <pageMargins left="0.2" right="0.2" top="0.25" bottom="0.25" header="0.3" footer="0.3"/>
  <pageSetup scale="86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2:E20"/>
  <sheetViews>
    <sheetView workbookViewId="0"/>
  </sheetViews>
  <sheetFormatPr defaultRowHeight="14.4"/>
  <cols>
    <col min="1" max="1" width="14.44140625" customWidth="1"/>
    <col min="2" max="2" width="45.5546875" customWidth="1"/>
    <col min="3" max="3" width="10.5546875" customWidth="1"/>
    <col min="4" max="4" width="13.33203125" customWidth="1"/>
    <col min="5" max="5" width="13.6640625" customWidth="1"/>
  </cols>
  <sheetData>
    <row r="2" spans="1:5">
      <c r="A2" s="128" t="str">
        <f>'Rate Design'!A2:F2</f>
        <v>Hillcrest Utility Operating Company, Inc.</v>
      </c>
      <c r="B2" s="128"/>
      <c r="C2" s="128"/>
      <c r="D2" s="128"/>
      <c r="E2" s="128"/>
    </row>
    <row r="3" spans="1:5">
      <c r="A3" s="128" t="str">
        <f>'Rate Design'!A3:F3</f>
        <v>Informal Rate Case</v>
      </c>
      <c r="B3" s="128"/>
      <c r="C3" s="128"/>
      <c r="D3" s="128"/>
      <c r="E3" s="128"/>
    </row>
    <row r="4" spans="1:5">
      <c r="A4" s="128" t="str">
        <f>'Rate Design'!A4:F4</f>
        <v>Case Number WR-2016-0064</v>
      </c>
      <c r="B4" s="128"/>
      <c r="C4" s="128"/>
      <c r="D4" s="128"/>
      <c r="E4" s="128"/>
    </row>
    <row r="5" spans="1:5">
      <c r="A5" s="128" t="str">
        <f>'Rate Design'!A5:F5</f>
        <v>Test Year Ending 7/31/2015, Update 10/31/2015</v>
      </c>
      <c r="B5" s="128"/>
      <c r="C5" s="128"/>
      <c r="D5" s="128"/>
      <c r="E5" s="128"/>
    </row>
    <row r="6" spans="1:5">
      <c r="A6" s="128" t="s">
        <v>177</v>
      </c>
      <c r="B6" s="128"/>
      <c r="C6" s="128"/>
      <c r="D6" s="128"/>
      <c r="E6" s="128"/>
    </row>
    <row r="9" spans="1:5">
      <c r="A9" s="12" t="s">
        <v>178</v>
      </c>
      <c r="B9" s="13"/>
      <c r="C9" s="13"/>
      <c r="D9" s="13"/>
      <c r="E9" s="38" t="s">
        <v>106</v>
      </c>
    </row>
    <row r="10" spans="1:5">
      <c r="A10" s="39" t="s">
        <v>108</v>
      </c>
      <c r="B10" s="21"/>
      <c r="C10" s="21" t="s">
        <v>159</v>
      </c>
      <c r="D10" s="21" t="s">
        <v>108</v>
      </c>
      <c r="E10" s="40" t="s">
        <v>108</v>
      </c>
    </row>
    <row r="11" spans="1:5">
      <c r="A11" s="16" t="s">
        <v>2</v>
      </c>
      <c r="B11" s="17" t="s">
        <v>179</v>
      </c>
      <c r="C11" s="17" t="s">
        <v>2</v>
      </c>
      <c r="D11" s="17" t="s">
        <v>6</v>
      </c>
      <c r="E11" s="41" t="s">
        <v>6</v>
      </c>
    </row>
    <row r="12" spans="1:5">
      <c r="A12" s="1"/>
    </row>
    <row r="13" spans="1:5">
      <c r="A13" s="37" t="s">
        <v>23</v>
      </c>
      <c r="B13" s="48"/>
      <c r="C13" s="48"/>
      <c r="D13" s="48"/>
      <c r="E13" s="49">
        <f>SUM(D14:D18)</f>
        <v>0</v>
      </c>
    </row>
    <row r="14" spans="1:5">
      <c r="A14" s="1"/>
      <c r="D14" s="2"/>
    </row>
    <row r="15" spans="1:5">
      <c r="A15" s="1"/>
      <c r="B15" s="2" t="s">
        <v>20</v>
      </c>
      <c r="D15" s="46">
        <v>0</v>
      </c>
    </row>
    <row r="16" spans="1:5">
      <c r="A16" s="1"/>
      <c r="B16" s="2"/>
      <c r="D16" s="46"/>
    </row>
    <row r="17" spans="1:5">
      <c r="A17" s="1"/>
      <c r="B17" s="2" t="s">
        <v>20</v>
      </c>
      <c r="D17" s="46">
        <v>0</v>
      </c>
    </row>
    <row r="19" spans="1:5" ht="15" thickBot="1">
      <c r="A19" s="48"/>
      <c r="B19" s="48" t="s">
        <v>180</v>
      </c>
      <c r="C19" s="48"/>
      <c r="D19" s="48"/>
      <c r="E19" s="71">
        <f>SUM(E13:E18)</f>
        <v>0</v>
      </c>
    </row>
    <row r="20" spans="1:5" ht="15" thickTop="1"/>
  </sheetData>
  <mergeCells count="5">
    <mergeCell ref="A2:E2"/>
    <mergeCell ref="A3:E3"/>
    <mergeCell ref="A4:E4"/>
    <mergeCell ref="A5:E5"/>
    <mergeCell ref="A6:E6"/>
  </mergeCells>
  <pageMargins left="0.7" right="0.7" top="0.75" bottom="0.75" header="0.3" footer="0.3"/>
  <pageSetup scale="93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2:L42"/>
  <sheetViews>
    <sheetView workbookViewId="0"/>
  </sheetViews>
  <sheetFormatPr defaultRowHeight="14.4"/>
  <cols>
    <col min="1" max="1" width="9.109375" style="1"/>
    <col min="2" max="2" width="44.6640625" customWidth="1"/>
    <col min="3" max="3" width="1.5546875" customWidth="1"/>
    <col min="4" max="4" width="11.44140625" customWidth="1"/>
    <col min="5" max="5" width="11.6640625" customWidth="1"/>
    <col min="6" max="6" width="1.44140625" customWidth="1"/>
    <col min="7" max="7" width="10.88671875" customWidth="1"/>
    <col min="8" max="8" width="11.44140625" customWidth="1"/>
    <col min="9" max="9" width="1.44140625" customWidth="1"/>
    <col min="10" max="11" width="11.44140625" customWidth="1"/>
  </cols>
  <sheetData>
    <row r="2" spans="1:12">
      <c r="A2" s="128" t="str">
        <f>'Rate Design'!A2:F2</f>
        <v>Hillcrest Utility Operating Company, Inc.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</row>
    <row r="3" spans="1:12">
      <c r="A3" s="128" t="str">
        <f>'Rate Design'!A3:F3</f>
        <v>Informal Rate Case</v>
      </c>
      <c r="B3" s="128"/>
      <c r="C3" s="128"/>
      <c r="D3" s="128"/>
      <c r="E3" s="128"/>
      <c r="F3" s="128"/>
      <c r="G3" s="128"/>
      <c r="H3" s="128"/>
      <c r="I3" s="128"/>
      <c r="J3" s="128"/>
      <c r="K3" s="128"/>
    </row>
    <row r="4" spans="1:12">
      <c r="A4" s="128" t="str">
        <f>'Rate Design'!A4:F4</f>
        <v>Case Number WR-2016-0064</v>
      </c>
      <c r="B4" s="128"/>
      <c r="C4" s="128"/>
      <c r="D4" s="128"/>
      <c r="E4" s="128"/>
      <c r="F4" s="128"/>
      <c r="G4" s="128"/>
      <c r="H4" s="128"/>
      <c r="I4" s="128"/>
      <c r="J4" s="128"/>
      <c r="K4" s="128"/>
    </row>
    <row r="5" spans="1:12">
      <c r="A5" s="128" t="str">
        <f>'Rate Design'!A5:F5</f>
        <v>Test Year Ending 7/31/2015, Update 10/31/2015</v>
      </c>
      <c r="B5" s="128"/>
      <c r="C5" s="128"/>
      <c r="D5" s="128"/>
      <c r="E5" s="128"/>
      <c r="F5" s="128"/>
      <c r="G5" s="128"/>
      <c r="H5" s="128"/>
      <c r="I5" s="128"/>
      <c r="J5" s="128"/>
      <c r="K5" s="128"/>
    </row>
    <row r="6" spans="1:12">
      <c r="A6" s="128" t="s">
        <v>183</v>
      </c>
      <c r="B6" s="128"/>
      <c r="C6" s="128"/>
      <c r="D6" s="128"/>
      <c r="E6" s="128"/>
      <c r="F6" s="128"/>
      <c r="G6" s="128"/>
      <c r="H6" s="128"/>
      <c r="I6" s="128"/>
      <c r="J6" s="128"/>
      <c r="K6" s="128"/>
    </row>
    <row r="9" spans="1:12">
      <c r="A9" s="12"/>
      <c r="B9" s="13"/>
      <c r="C9" s="74"/>
      <c r="D9" s="131" t="s">
        <v>184</v>
      </c>
      <c r="E9" s="131"/>
      <c r="F9" s="74"/>
      <c r="G9" s="131" t="s">
        <v>185</v>
      </c>
      <c r="H9" s="131"/>
      <c r="I9" s="74"/>
      <c r="J9" s="131" t="s">
        <v>106</v>
      </c>
      <c r="K9" s="132"/>
    </row>
    <row r="10" spans="1:12">
      <c r="A10" s="39" t="s">
        <v>3</v>
      </c>
      <c r="B10" s="21"/>
      <c r="C10" s="75"/>
      <c r="D10" s="21"/>
      <c r="E10" s="21"/>
      <c r="F10" s="75"/>
      <c r="G10" s="21"/>
      <c r="H10" s="21"/>
      <c r="I10" s="75"/>
      <c r="J10" s="21"/>
      <c r="K10" s="40"/>
    </row>
    <row r="11" spans="1:12">
      <c r="A11" s="16" t="s">
        <v>2</v>
      </c>
      <c r="B11" s="17" t="s">
        <v>20</v>
      </c>
      <c r="C11" s="76"/>
      <c r="D11" s="17" t="s">
        <v>6</v>
      </c>
      <c r="E11" s="17" t="s">
        <v>6</v>
      </c>
      <c r="F11" s="76"/>
      <c r="G11" s="17" t="s">
        <v>6</v>
      </c>
      <c r="H11" s="17" t="s">
        <v>6</v>
      </c>
      <c r="I11" s="76"/>
      <c r="J11" s="17" t="s">
        <v>6</v>
      </c>
      <c r="K11" s="41" t="s">
        <v>6</v>
      </c>
    </row>
    <row r="12" spans="1:12">
      <c r="C12" s="77"/>
      <c r="F12" s="77"/>
      <c r="I12" s="77"/>
      <c r="L12" s="63"/>
    </row>
    <row r="13" spans="1:12">
      <c r="A13" s="1">
        <v>1</v>
      </c>
      <c r="B13" s="72" t="s">
        <v>186</v>
      </c>
      <c r="C13" s="77"/>
      <c r="F13" s="77"/>
      <c r="I13" s="77"/>
      <c r="L13" s="63"/>
    </row>
    <row r="14" spans="1:12">
      <c r="C14" s="77"/>
      <c r="F14" s="77"/>
      <c r="I14" s="77"/>
      <c r="L14" s="63"/>
    </row>
    <row r="15" spans="1:12">
      <c r="A15" s="1">
        <v>2</v>
      </c>
      <c r="B15" t="s">
        <v>187</v>
      </c>
      <c r="C15" s="77"/>
      <c r="D15" s="56">
        <v>0</v>
      </c>
      <c r="F15" s="77"/>
      <c r="G15" s="56">
        <v>0</v>
      </c>
      <c r="I15" s="77"/>
      <c r="J15" s="54">
        <f>D15+G15</f>
        <v>0</v>
      </c>
      <c r="L15" s="63"/>
    </row>
    <row r="16" spans="1:12">
      <c r="A16" s="1">
        <v>3</v>
      </c>
      <c r="B16" t="s">
        <v>188</v>
      </c>
      <c r="C16" s="77"/>
      <c r="D16" s="56">
        <v>0</v>
      </c>
      <c r="F16" s="77"/>
      <c r="G16" s="56">
        <v>0</v>
      </c>
      <c r="I16" s="77"/>
      <c r="L16" s="63"/>
    </row>
    <row r="17" spans="1:12">
      <c r="A17" s="1">
        <v>4</v>
      </c>
      <c r="B17" t="s">
        <v>189</v>
      </c>
      <c r="C17" s="77"/>
      <c r="D17" s="54">
        <f>D15*D16</f>
        <v>0</v>
      </c>
      <c r="F17" s="77"/>
      <c r="G17" s="54">
        <f>G15*G16</f>
        <v>0</v>
      </c>
      <c r="I17" s="77"/>
      <c r="J17" s="54">
        <f>D17+G17</f>
        <v>0</v>
      </c>
      <c r="L17" s="63"/>
    </row>
    <row r="18" spans="1:12">
      <c r="C18" s="77"/>
      <c r="F18" s="77"/>
      <c r="I18" s="77"/>
      <c r="L18" s="63"/>
    </row>
    <row r="19" spans="1:12">
      <c r="A19" s="1">
        <v>5</v>
      </c>
      <c r="B19" t="s">
        <v>190</v>
      </c>
      <c r="C19" s="77"/>
      <c r="D19" s="73">
        <v>0</v>
      </c>
      <c r="F19" s="77"/>
      <c r="G19" s="73">
        <v>0</v>
      </c>
      <c r="I19" s="77"/>
      <c r="L19" s="63"/>
    </row>
    <row r="20" spans="1:12">
      <c r="C20" s="77"/>
      <c r="D20" s="3"/>
      <c r="F20" s="77"/>
      <c r="G20" s="3"/>
      <c r="I20" s="77"/>
      <c r="L20" s="63"/>
    </row>
    <row r="21" spans="1:12">
      <c r="A21" s="1">
        <v>6</v>
      </c>
      <c r="B21" t="s">
        <v>191</v>
      </c>
      <c r="C21" s="77"/>
      <c r="E21" s="45">
        <f>D19*D17</f>
        <v>0</v>
      </c>
      <c r="F21" s="77"/>
      <c r="H21" s="45">
        <f>G19*G17</f>
        <v>0</v>
      </c>
      <c r="I21" s="77"/>
      <c r="K21" s="45">
        <f>E21+H21</f>
        <v>0</v>
      </c>
      <c r="L21" s="63"/>
    </row>
    <row r="22" spans="1:12">
      <c r="C22" s="77"/>
      <c r="F22" s="77"/>
      <c r="I22" s="77"/>
      <c r="L22" s="63"/>
    </row>
    <row r="23" spans="1:12">
      <c r="A23" s="1">
        <v>7</v>
      </c>
      <c r="B23" s="72" t="s">
        <v>192</v>
      </c>
      <c r="C23" s="77"/>
      <c r="F23" s="77"/>
      <c r="I23" s="77"/>
      <c r="L23" s="63"/>
    </row>
    <row r="24" spans="1:12">
      <c r="C24" s="77"/>
      <c r="F24" s="77"/>
      <c r="I24" s="77"/>
      <c r="L24" s="63"/>
    </row>
    <row r="25" spans="1:12">
      <c r="A25" s="1">
        <v>8</v>
      </c>
      <c r="B25" t="s">
        <v>193</v>
      </c>
      <c r="C25" s="77"/>
      <c r="D25" s="56">
        <v>0</v>
      </c>
      <c r="F25" s="77"/>
      <c r="G25" s="56">
        <v>0</v>
      </c>
      <c r="I25" s="77"/>
      <c r="J25" s="54">
        <f>D25+G25</f>
        <v>0</v>
      </c>
      <c r="L25" s="63"/>
    </row>
    <row r="26" spans="1:12">
      <c r="C26" s="77"/>
      <c r="D26" s="2"/>
      <c r="F26" s="77"/>
      <c r="G26" s="2"/>
      <c r="I26" s="77"/>
      <c r="L26" s="63"/>
    </row>
    <row r="27" spans="1:12">
      <c r="A27" s="1">
        <v>9</v>
      </c>
      <c r="B27" t="s">
        <v>194</v>
      </c>
      <c r="C27" s="77"/>
      <c r="D27" s="56">
        <v>0</v>
      </c>
      <c r="F27" s="77"/>
      <c r="G27" s="56">
        <v>0</v>
      </c>
      <c r="I27" s="77"/>
      <c r="J27" s="54">
        <f>D27+G27</f>
        <v>0</v>
      </c>
      <c r="L27" s="63"/>
    </row>
    <row r="28" spans="1:12">
      <c r="C28" s="77"/>
      <c r="D28" s="3"/>
      <c r="F28" s="77"/>
      <c r="G28" s="3"/>
      <c r="I28" s="77"/>
      <c r="L28" s="63"/>
    </row>
    <row r="29" spans="1:12">
      <c r="A29" s="1">
        <v>10</v>
      </c>
      <c r="B29" t="s">
        <v>195</v>
      </c>
      <c r="C29" s="77"/>
      <c r="D29" s="54">
        <f>D27-D25</f>
        <v>0</v>
      </c>
      <c r="F29" s="77"/>
      <c r="G29" s="54">
        <f>G27-G25</f>
        <v>0</v>
      </c>
      <c r="I29" s="77"/>
      <c r="J29" s="54">
        <f>D29+G29</f>
        <v>0</v>
      </c>
      <c r="L29" s="63"/>
    </row>
    <row r="30" spans="1:12">
      <c r="C30" s="77"/>
      <c r="F30" s="77"/>
      <c r="I30" s="77"/>
      <c r="L30" s="63"/>
    </row>
    <row r="31" spans="1:12">
      <c r="A31" s="1">
        <v>11</v>
      </c>
      <c r="B31" t="s">
        <v>196</v>
      </c>
      <c r="C31" s="77"/>
      <c r="D31" s="54">
        <f>D29</f>
        <v>0</v>
      </c>
      <c r="F31" s="77"/>
      <c r="G31" s="54">
        <f>G29</f>
        <v>0</v>
      </c>
      <c r="I31" s="77"/>
      <c r="L31" s="63"/>
    </row>
    <row r="32" spans="1:12">
      <c r="C32" s="77"/>
      <c r="F32" s="77"/>
      <c r="I32" s="77"/>
      <c r="L32" s="63"/>
    </row>
    <row r="33" spans="1:12">
      <c r="A33" s="1">
        <v>12</v>
      </c>
      <c r="B33" t="s">
        <v>197</v>
      </c>
      <c r="C33" s="77"/>
      <c r="D33" s="78">
        <v>1000</v>
      </c>
      <c r="F33" s="77"/>
      <c r="G33" s="78">
        <v>1000</v>
      </c>
      <c r="I33" s="77"/>
      <c r="L33" s="63"/>
    </row>
    <row r="34" spans="1:12">
      <c r="C34" s="77"/>
      <c r="F34" s="77"/>
      <c r="I34" s="77"/>
      <c r="L34" s="63"/>
    </row>
    <row r="35" spans="1:12">
      <c r="A35" s="1">
        <v>13</v>
      </c>
      <c r="B35" t="s">
        <v>198</v>
      </c>
      <c r="C35" s="77"/>
      <c r="D35">
        <f>D31/D33</f>
        <v>0</v>
      </c>
      <c r="F35" s="77"/>
      <c r="G35">
        <f>G31/G33</f>
        <v>0</v>
      </c>
      <c r="I35" s="77"/>
      <c r="L35" s="63"/>
    </row>
    <row r="36" spans="1:12">
      <c r="C36" s="77"/>
      <c r="F36" s="77"/>
      <c r="I36" s="77"/>
      <c r="L36" s="63"/>
    </row>
    <row r="37" spans="1:12">
      <c r="A37" s="1">
        <v>14</v>
      </c>
      <c r="B37" t="s">
        <v>199</v>
      </c>
      <c r="C37" s="77"/>
      <c r="D37" s="73">
        <v>0</v>
      </c>
      <c r="F37" s="77"/>
      <c r="G37" s="73">
        <v>0</v>
      </c>
      <c r="I37" s="77"/>
      <c r="L37" s="63"/>
    </row>
    <row r="38" spans="1:12">
      <c r="C38" s="77"/>
      <c r="D38" s="3"/>
      <c r="F38" s="77"/>
      <c r="G38" s="3"/>
      <c r="I38" s="77"/>
      <c r="L38" s="63"/>
    </row>
    <row r="39" spans="1:12">
      <c r="A39" s="1">
        <v>15</v>
      </c>
      <c r="B39" t="s">
        <v>200</v>
      </c>
      <c r="C39" s="77"/>
      <c r="D39" s="62"/>
      <c r="E39" s="45">
        <f>D35*D37</f>
        <v>0</v>
      </c>
      <c r="F39" s="77"/>
      <c r="G39" s="62"/>
      <c r="H39" s="45">
        <f>G35*G37</f>
        <v>0</v>
      </c>
      <c r="I39" s="77"/>
      <c r="K39" s="45">
        <f>E39+H39</f>
        <v>0</v>
      </c>
      <c r="L39" s="63"/>
    </row>
    <row r="40" spans="1:12">
      <c r="C40" s="77"/>
      <c r="D40" s="62"/>
      <c r="F40" s="77"/>
      <c r="I40" s="77"/>
      <c r="L40" s="63"/>
    </row>
    <row r="41" spans="1:12" ht="15" thickBot="1">
      <c r="A41" s="37">
        <v>16</v>
      </c>
      <c r="B41" s="48" t="s">
        <v>201</v>
      </c>
      <c r="C41" s="48"/>
      <c r="D41" s="48"/>
      <c r="E41" s="71">
        <f>E21+E39</f>
        <v>0</v>
      </c>
      <c r="F41" s="48"/>
      <c r="G41" s="48"/>
      <c r="H41" s="71">
        <f>H21+H39</f>
        <v>0</v>
      </c>
      <c r="I41" s="48"/>
      <c r="J41" s="48"/>
      <c r="K41" s="71">
        <f>K21+K39</f>
        <v>0</v>
      </c>
    </row>
    <row r="42" spans="1:12" ht="15" thickTop="1"/>
  </sheetData>
  <mergeCells count="8">
    <mergeCell ref="D9:E9"/>
    <mergeCell ref="G9:H9"/>
    <mergeCell ref="J9:K9"/>
    <mergeCell ref="A2:K2"/>
    <mergeCell ref="A3:K3"/>
    <mergeCell ref="A4:K4"/>
    <mergeCell ref="A5:K5"/>
    <mergeCell ref="A6:K6"/>
  </mergeCells>
  <pageMargins left="0.2" right="0.2" top="0.25" bottom="0.25" header="0.3" footer="0.3"/>
  <pageSetup scale="76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2:C15"/>
  <sheetViews>
    <sheetView workbookViewId="0"/>
  </sheetViews>
  <sheetFormatPr defaultRowHeight="14.4"/>
  <cols>
    <col min="1" max="1" width="24.88671875" style="1" customWidth="1"/>
    <col min="2" max="2" width="43.88671875" customWidth="1"/>
    <col min="3" max="3" width="14.109375" customWidth="1"/>
  </cols>
  <sheetData>
    <row r="2" spans="1:3">
      <c r="A2" s="128" t="str">
        <f>'Rate Design'!A2:F2</f>
        <v>Hillcrest Utility Operating Company, Inc.</v>
      </c>
      <c r="B2" s="128"/>
      <c r="C2" s="128"/>
    </row>
    <row r="3" spans="1:3">
      <c r="A3" s="128" t="str">
        <f>'Rate Design'!A3:F3</f>
        <v>Informal Rate Case</v>
      </c>
      <c r="B3" s="128"/>
      <c r="C3" s="128"/>
    </row>
    <row r="4" spans="1:3">
      <c r="A4" s="128" t="str">
        <f>'Rate Design'!A4:F4</f>
        <v>Case Number WR-2016-0064</v>
      </c>
      <c r="B4" s="128"/>
      <c r="C4" s="128"/>
    </row>
    <row r="5" spans="1:3">
      <c r="A5" s="128" t="str">
        <f>'Rate Design'!A5:F5</f>
        <v>Test Year Ending 7/31/2015, Update 10/31/2015</v>
      </c>
      <c r="B5" s="128"/>
      <c r="C5" s="128"/>
    </row>
    <row r="6" spans="1:3">
      <c r="A6" s="128" t="s">
        <v>202</v>
      </c>
      <c r="B6" s="128"/>
      <c r="C6" s="128"/>
    </row>
    <row r="9" spans="1:3">
      <c r="A9" s="12" t="s">
        <v>3</v>
      </c>
      <c r="B9" s="13"/>
      <c r="C9" s="38"/>
    </row>
    <row r="10" spans="1:3">
      <c r="A10" s="16" t="s">
        <v>2</v>
      </c>
      <c r="B10" s="17" t="s">
        <v>20</v>
      </c>
      <c r="C10" s="41" t="s">
        <v>6</v>
      </c>
    </row>
    <row r="12" spans="1:3">
      <c r="A12" s="1">
        <v>1</v>
      </c>
      <c r="B12" s="2" t="s">
        <v>203</v>
      </c>
      <c r="C12" s="68">
        <v>0</v>
      </c>
    </row>
    <row r="13" spans="1:3">
      <c r="A13" s="1">
        <v>2</v>
      </c>
      <c r="B13" s="2" t="s">
        <v>204</v>
      </c>
      <c r="C13" s="68">
        <v>0</v>
      </c>
    </row>
    <row r="14" spans="1:3" ht="15" thickBot="1">
      <c r="A14" s="37">
        <v>3</v>
      </c>
      <c r="B14" s="48" t="s">
        <v>205</v>
      </c>
      <c r="C14" s="69">
        <f>SUM(C12:C13)</f>
        <v>0</v>
      </c>
    </row>
    <row r="15" spans="1:3" ht="15" thickTop="1"/>
  </sheetData>
  <mergeCells count="5">
    <mergeCell ref="A2:C2"/>
    <mergeCell ref="A3:C3"/>
    <mergeCell ref="A4:C4"/>
    <mergeCell ref="A5:C5"/>
    <mergeCell ref="A6:C6"/>
  </mergeCells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>
  <sheetPr>
    <pageSetUpPr fitToPage="1"/>
  </sheetPr>
  <dimension ref="A2:H72"/>
  <sheetViews>
    <sheetView workbookViewId="0"/>
  </sheetViews>
  <sheetFormatPr defaultRowHeight="14.4"/>
  <cols>
    <col min="2" max="2" width="11" customWidth="1"/>
    <col min="3" max="3" width="34.5546875" customWidth="1"/>
    <col min="4" max="4" width="12.44140625" customWidth="1"/>
    <col min="5" max="5" width="12" customWidth="1"/>
    <col min="6" max="6" width="13.5546875" customWidth="1"/>
    <col min="7" max="7" width="13.88671875" customWidth="1"/>
    <col min="8" max="8" width="13.109375" customWidth="1"/>
  </cols>
  <sheetData>
    <row r="2" spans="1:8">
      <c r="A2" s="128" t="str">
        <f>'Rate Design'!A2:F2</f>
        <v>Hillcrest Utility Operating Company, Inc.</v>
      </c>
      <c r="B2" s="128"/>
      <c r="C2" s="128"/>
      <c r="D2" s="128"/>
      <c r="E2" s="128"/>
      <c r="F2" s="128"/>
      <c r="G2" s="128"/>
      <c r="H2" s="128"/>
    </row>
    <row r="3" spans="1:8">
      <c r="A3" s="128" t="str">
        <f>'Rate Design'!A3:F3</f>
        <v>Informal Rate Case</v>
      </c>
      <c r="B3" s="128"/>
      <c r="C3" s="128"/>
      <c r="D3" s="128"/>
      <c r="E3" s="128"/>
      <c r="F3" s="128"/>
      <c r="G3" s="128"/>
      <c r="H3" s="128"/>
    </row>
    <row r="4" spans="1:8">
      <c r="A4" s="128" t="str">
        <f>'Rate Design'!A4:F4</f>
        <v>Case Number WR-2016-0064</v>
      </c>
      <c r="B4" s="128"/>
      <c r="C4" s="128"/>
      <c r="D4" s="128"/>
      <c r="E4" s="128"/>
      <c r="F4" s="128"/>
      <c r="G4" s="128"/>
      <c r="H4" s="128"/>
    </row>
    <row r="5" spans="1:8">
      <c r="A5" s="128" t="str">
        <f>'Rate Design'!A5:F5</f>
        <v>Test Year Ending 7/31/2015, Update 10/31/2015</v>
      </c>
      <c r="B5" s="128"/>
      <c r="C5" s="128"/>
      <c r="D5" s="128"/>
      <c r="E5" s="128"/>
      <c r="F5" s="128"/>
      <c r="G5" s="128"/>
      <c r="H5" s="128"/>
    </row>
    <row r="6" spans="1:8">
      <c r="A6" s="128" t="s">
        <v>206</v>
      </c>
      <c r="B6" s="128"/>
      <c r="C6" s="128"/>
      <c r="D6" s="128"/>
      <c r="E6" s="128"/>
      <c r="F6" s="128"/>
      <c r="G6" s="128"/>
      <c r="H6" s="128"/>
    </row>
    <row r="9" spans="1:8">
      <c r="A9" s="12"/>
      <c r="B9" s="13"/>
      <c r="C9" s="13"/>
      <c r="D9" s="13" t="s">
        <v>175</v>
      </c>
      <c r="E9" s="13"/>
      <c r="F9" s="13"/>
      <c r="G9" s="13"/>
      <c r="H9" s="38"/>
    </row>
    <row r="10" spans="1:8">
      <c r="A10" s="39" t="s">
        <v>3</v>
      </c>
      <c r="B10" s="21" t="s">
        <v>159</v>
      </c>
      <c r="C10" s="21"/>
      <c r="D10" s="21" t="s">
        <v>176</v>
      </c>
      <c r="E10" s="21" t="s">
        <v>108</v>
      </c>
      <c r="F10" s="21"/>
      <c r="G10" s="21" t="s">
        <v>110</v>
      </c>
      <c r="H10" s="40" t="s">
        <v>112</v>
      </c>
    </row>
    <row r="11" spans="1:8">
      <c r="A11" s="16" t="s">
        <v>2</v>
      </c>
      <c r="B11" s="17" t="s">
        <v>2</v>
      </c>
      <c r="C11" s="17" t="s">
        <v>207</v>
      </c>
      <c r="D11" s="17" t="s">
        <v>6</v>
      </c>
      <c r="E11" s="17" t="s">
        <v>2</v>
      </c>
      <c r="F11" s="17" t="s">
        <v>109</v>
      </c>
      <c r="G11" s="17" t="s">
        <v>111</v>
      </c>
      <c r="H11" s="41" t="s">
        <v>110</v>
      </c>
    </row>
    <row r="13" spans="1:8">
      <c r="A13" s="1">
        <v>1</v>
      </c>
      <c r="C13" t="s">
        <v>31</v>
      </c>
      <c r="D13" s="58"/>
      <c r="F13" s="58"/>
      <c r="H13" s="58"/>
    </row>
    <row r="14" spans="1:8">
      <c r="A14" s="1">
        <v>2</v>
      </c>
      <c r="C14" s="2" t="s">
        <v>32</v>
      </c>
      <c r="D14" s="68">
        <v>0</v>
      </c>
      <c r="F14" s="58">
        <v>0</v>
      </c>
      <c r="G14" s="34">
        <v>1</v>
      </c>
      <c r="H14" s="58">
        <f>(D14+F14)*G14</f>
        <v>0</v>
      </c>
    </row>
    <row r="15" spans="1:8">
      <c r="A15" s="1">
        <v>3</v>
      </c>
      <c r="C15" s="2" t="s">
        <v>33</v>
      </c>
      <c r="D15" s="68">
        <v>18479</v>
      </c>
      <c r="F15" s="58">
        <v>0</v>
      </c>
      <c r="G15" s="34">
        <v>1</v>
      </c>
      <c r="H15" s="58">
        <f>(D15+F15)*G15</f>
        <v>18479</v>
      </c>
    </row>
    <row r="16" spans="1:8">
      <c r="A16" s="1">
        <v>4</v>
      </c>
      <c r="C16" s="2" t="s">
        <v>34</v>
      </c>
      <c r="D16" s="68">
        <v>6129</v>
      </c>
      <c r="F16" s="58">
        <v>0</v>
      </c>
      <c r="G16" s="34">
        <v>1</v>
      </c>
      <c r="H16" s="58">
        <f>(D16+F16)*G16</f>
        <v>6129</v>
      </c>
    </row>
    <row r="17" spans="1:8">
      <c r="A17" s="1">
        <v>5</v>
      </c>
      <c r="C17" s="2" t="s">
        <v>35</v>
      </c>
      <c r="D17" s="68">
        <v>1797</v>
      </c>
      <c r="F17" s="58">
        <v>0</v>
      </c>
      <c r="G17" s="34">
        <v>1</v>
      </c>
      <c r="H17" s="58">
        <f>(D17+F17)*G17</f>
        <v>1797</v>
      </c>
    </row>
    <row r="18" spans="1:8">
      <c r="A18" s="1">
        <v>6</v>
      </c>
      <c r="C18" t="s">
        <v>36</v>
      </c>
      <c r="D18" s="59">
        <f>SUM(D14:D17)</f>
        <v>26405</v>
      </c>
      <c r="F18" s="59">
        <f>SUM(F14:F17)</f>
        <v>0</v>
      </c>
      <c r="G18" s="34"/>
      <c r="H18" s="59">
        <f>SUM(H14:H17)</f>
        <v>26405</v>
      </c>
    </row>
    <row r="19" spans="1:8">
      <c r="A19" s="1"/>
      <c r="D19" s="58"/>
      <c r="F19" s="58"/>
      <c r="G19" s="34"/>
      <c r="H19" s="58"/>
    </row>
    <row r="20" spans="1:8">
      <c r="A20" s="1">
        <v>7</v>
      </c>
      <c r="C20" t="s">
        <v>37</v>
      </c>
      <c r="D20" s="58"/>
      <c r="F20" s="58"/>
      <c r="G20" s="34"/>
      <c r="H20" s="58"/>
    </row>
    <row r="21" spans="1:8">
      <c r="A21" s="1">
        <v>8</v>
      </c>
      <c r="C21" s="2" t="s">
        <v>38</v>
      </c>
      <c r="D21" s="68">
        <v>0</v>
      </c>
      <c r="F21" s="58">
        <v>0</v>
      </c>
      <c r="G21" s="34">
        <v>1</v>
      </c>
      <c r="H21" s="58">
        <f>(D21+F21)*G21</f>
        <v>0</v>
      </c>
    </row>
    <row r="22" spans="1:8">
      <c r="A22" s="1">
        <v>9</v>
      </c>
      <c r="C22" s="2" t="s">
        <v>39</v>
      </c>
      <c r="D22" s="68">
        <v>0</v>
      </c>
      <c r="F22" s="58">
        <v>0</v>
      </c>
      <c r="G22" s="34">
        <v>1</v>
      </c>
      <c r="H22" s="58">
        <f>(D22+F22)*G22</f>
        <v>0</v>
      </c>
    </row>
    <row r="23" spans="1:8">
      <c r="A23" s="1">
        <v>10</v>
      </c>
      <c r="C23" s="2" t="s">
        <v>40</v>
      </c>
      <c r="D23" s="68">
        <v>1037</v>
      </c>
      <c r="F23" s="58">
        <v>0</v>
      </c>
      <c r="G23" s="34">
        <v>1</v>
      </c>
      <c r="H23" s="58">
        <f>(D23+F23)*G23</f>
        <v>1037</v>
      </c>
    </row>
    <row r="24" spans="1:8">
      <c r="A24" s="1">
        <v>11</v>
      </c>
      <c r="C24" s="2" t="s">
        <v>41</v>
      </c>
      <c r="D24" s="68">
        <v>0</v>
      </c>
      <c r="F24" s="58">
        <v>0</v>
      </c>
      <c r="G24" s="34">
        <v>1</v>
      </c>
      <c r="H24" s="58">
        <f>(D24+F24)*G24</f>
        <v>0</v>
      </c>
    </row>
    <row r="25" spans="1:8">
      <c r="A25" s="1">
        <v>12</v>
      </c>
      <c r="C25" t="s">
        <v>42</v>
      </c>
      <c r="D25" s="59">
        <f>SUM(D21:D24)</f>
        <v>1037</v>
      </c>
      <c r="F25" s="59">
        <f>SUM(F21:F24)</f>
        <v>0</v>
      </c>
      <c r="G25" s="34"/>
      <c r="H25" s="59">
        <f>SUM(H21:H24)</f>
        <v>1037</v>
      </c>
    </row>
    <row r="26" spans="1:8">
      <c r="A26" s="1"/>
      <c r="D26" s="58"/>
      <c r="F26" s="58"/>
      <c r="G26" s="34"/>
      <c r="H26" s="58"/>
    </row>
    <row r="27" spans="1:8">
      <c r="A27" s="1">
        <v>13</v>
      </c>
      <c r="C27" t="s">
        <v>43</v>
      </c>
      <c r="D27" s="58"/>
      <c r="F27" s="58"/>
      <c r="G27" s="34"/>
      <c r="H27" s="58"/>
    </row>
    <row r="28" spans="1:8">
      <c r="A28" s="114">
        <v>14</v>
      </c>
      <c r="B28" s="112"/>
      <c r="C28" s="111" t="s">
        <v>233</v>
      </c>
      <c r="D28" s="113">
        <v>6253</v>
      </c>
      <c r="E28" s="114" t="str">
        <f>'Expense Adjustments'!A13</f>
        <v>W-1</v>
      </c>
      <c r="F28" s="122">
        <f>'Expense Adjustments'!E13</f>
        <v>-600</v>
      </c>
      <c r="G28" s="118">
        <v>1</v>
      </c>
      <c r="H28" s="122">
        <f>(D28+F28)*G28</f>
        <v>5653</v>
      </c>
    </row>
    <row r="29" spans="1:8">
      <c r="A29" s="1">
        <v>15</v>
      </c>
      <c r="C29" s="108" t="s">
        <v>258</v>
      </c>
      <c r="D29" s="68">
        <v>38</v>
      </c>
      <c r="F29" s="58">
        <v>0</v>
      </c>
      <c r="G29" s="34">
        <v>1</v>
      </c>
      <c r="H29" s="58">
        <f>(D29+F29)*G29</f>
        <v>38</v>
      </c>
    </row>
    <row r="30" spans="1:8">
      <c r="A30" s="1">
        <v>16</v>
      </c>
      <c r="C30" s="2" t="s">
        <v>232</v>
      </c>
      <c r="D30" s="68">
        <v>168</v>
      </c>
      <c r="F30" s="58">
        <v>0</v>
      </c>
      <c r="G30" s="34">
        <v>1</v>
      </c>
      <c r="H30" s="58">
        <f>(D30+F30)*G30</f>
        <v>168</v>
      </c>
    </row>
    <row r="31" spans="1:8">
      <c r="A31" s="1">
        <v>17</v>
      </c>
      <c r="C31" s="2" t="s">
        <v>234</v>
      </c>
      <c r="D31" s="68">
        <v>2331</v>
      </c>
      <c r="F31" s="58">
        <v>0</v>
      </c>
      <c r="G31" s="34">
        <v>1</v>
      </c>
      <c r="H31" s="58">
        <f>(D31+F31)*G31</f>
        <v>2331</v>
      </c>
    </row>
    <row r="32" spans="1:8">
      <c r="A32" s="1">
        <v>18</v>
      </c>
      <c r="C32" s="2" t="s">
        <v>44</v>
      </c>
      <c r="D32" s="68">
        <v>467</v>
      </c>
      <c r="F32" s="58">
        <v>0</v>
      </c>
      <c r="G32" s="34">
        <v>1</v>
      </c>
      <c r="H32" s="58">
        <f>(D32+F32)*G32</f>
        <v>467</v>
      </c>
    </row>
    <row r="33" spans="1:8">
      <c r="A33" s="1">
        <v>19</v>
      </c>
      <c r="C33" t="s">
        <v>45</v>
      </c>
      <c r="D33" s="59">
        <f>SUM(D28:D32)</f>
        <v>9257</v>
      </c>
      <c r="F33" s="59">
        <f>SUM(F28:F32)</f>
        <v>-600</v>
      </c>
      <c r="G33" s="34"/>
      <c r="H33" s="59">
        <f>SUM(H28:H32)</f>
        <v>8657</v>
      </c>
    </row>
    <row r="34" spans="1:8">
      <c r="A34" s="1"/>
      <c r="D34" s="58"/>
      <c r="F34" s="58"/>
      <c r="G34" s="34"/>
      <c r="H34" s="58"/>
    </row>
    <row r="35" spans="1:8">
      <c r="A35" s="1">
        <v>20</v>
      </c>
      <c r="C35" t="s">
        <v>46</v>
      </c>
      <c r="D35" s="58"/>
      <c r="F35" s="58"/>
      <c r="G35" s="34"/>
      <c r="H35" s="58"/>
    </row>
    <row r="36" spans="1:8">
      <c r="A36" s="114">
        <v>21</v>
      </c>
      <c r="B36" s="112"/>
      <c r="C36" s="111" t="s">
        <v>236</v>
      </c>
      <c r="D36" s="113">
        <v>24153</v>
      </c>
      <c r="E36" s="114" t="str">
        <f>'Expense Adjustments'!A19</f>
        <v>W-2</v>
      </c>
      <c r="F36" s="122">
        <f>'Expense Adjustments'!E19</f>
        <v>-12353</v>
      </c>
      <c r="G36" s="118">
        <v>1</v>
      </c>
      <c r="H36" s="122">
        <f t="shared" ref="H36:H54" si="0">(D36+F36)*G36</f>
        <v>11800</v>
      </c>
    </row>
    <row r="37" spans="1:8">
      <c r="A37" s="1">
        <v>22</v>
      </c>
      <c r="C37" s="108" t="s">
        <v>259</v>
      </c>
      <c r="D37" s="68">
        <v>1598</v>
      </c>
      <c r="E37" s="1"/>
      <c r="F37" s="58">
        <v>0</v>
      </c>
      <c r="G37" s="34">
        <v>1</v>
      </c>
      <c r="H37" s="58">
        <f t="shared" si="0"/>
        <v>1598</v>
      </c>
    </row>
    <row r="38" spans="1:8">
      <c r="A38" s="114">
        <v>23</v>
      </c>
      <c r="B38" s="112"/>
      <c r="C38" s="111" t="s">
        <v>237</v>
      </c>
      <c r="D38" s="113">
        <v>323</v>
      </c>
      <c r="E38" s="114" t="str">
        <f>'Expense Adjustments'!A25</f>
        <v>W-3</v>
      </c>
      <c r="F38" s="122">
        <f>'Expense Adjustments'!E25</f>
        <v>-81</v>
      </c>
      <c r="G38" s="118">
        <v>1</v>
      </c>
      <c r="H38" s="122">
        <f t="shared" si="0"/>
        <v>242</v>
      </c>
    </row>
    <row r="39" spans="1:8">
      <c r="A39" s="114">
        <v>24</v>
      </c>
      <c r="B39" s="112"/>
      <c r="C39" s="111" t="s">
        <v>238</v>
      </c>
      <c r="D39" s="113">
        <v>495</v>
      </c>
      <c r="E39" s="114" t="str">
        <f>'Expense Adjustments'!A31</f>
        <v>W-4</v>
      </c>
      <c r="F39" s="122">
        <f>'Expense Adjustments'!E31</f>
        <v>-102</v>
      </c>
      <c r="G39" s="118">
        <v>1</v>
      </c>
      <c r="H39" s="122">
        <f t="shared" si="0"/>
        <v>393</v>
      </c>
    </row>
    <row r="40" spans="1:8">
      <c r="A40" s="1">
        <v>25</v>
      </c>
      <c r="C40" s="2" t="s">
        <v>234</v>
      </c>
      <c r="D40" s="68">
        <v>90</v>
      </c>
      <c r="E40" s="1"/>
      <c r="F40" s="58">
        <v>0</v>
      </c>
      <c r="G40" s="34">
        <v>1</v>
      </c>
      <c r="H40" s="58">
        <f t="shared" si="0"/>
        <v>90</v>
      </c>
    </row>
    <row r="41" spans="1:8">
      <c r="A41" s="114">
        <v>26</v>
      </c>
      <c r="B41" s="112"/>
      <c r="C41" s="111" t="s">
        <v>239</v>
      </c>
      <c r="D41" s="113">
        <v>47</v>
      </c>
      <c r="E41" s="114" t="str">
        <f>'Expense Adjustments'!A37</f>
        <v>W-5</v>
      </c>
      <c r="F41" s="122">
        <f>'Expense Adjustments'!E37</f>
        <v>-11</v>
      </c>
      <c r="G41" s="118">
        <v>1</v>
      </c>
      <c r="H41" s="122">
        <f t="shared" si="0"/>
        <v>36</v>
      </c>
    </row>
    <row r="42" spans="1:8">
      <c r="A42" s="1">
        <v>27</v>
      </c>
      <c r="C42" s="2" t="s">
        <v>240</v>
      </c>
      <c r="D42" s="68">
        <v>132</v>
      </c>
      <c r="E42" s="1"/>
      <c r="F42" s="58">
        <v>0</v>
      </c>
      <c r="G42" s="34">
        <v>1</v>
      </c>
      <c r="H42" s="58">
        <f t="shared" si="0"/>
        <v>132</v>
      </c>
    </row>
    <row r="43" spans="1:8">
      <c r="A43" s="114">
        <v>28</v>
      </c>
      <c r="B43" s="112"/>
      <c r="C43" s="111" t="s">
        <v>241</v>
      </c>
      <c r="D43" s="113">
        <v>163</v>
      </c>
      <c r="E43" s="114" t="str">
        <f>'Expense Adjustments'!A43</f>
        <v>W-6</v>
      </c>
      <c r="F43" s="122">
        <f>'Expense Adjustments'!E43</f>
        <v>-41</v>
      </c>
      <c r="G43" s="118">
        <v>1</v>
      </c>
      <c r="H43" s="122">
        <f t="shared" si="0"/>
        <v>122</v>
      </c>
    </row>
    <row r="44" spans="1:8">
      <c r="A44" s="114">
        <v>29</v>
      </c>
      <c r="B44" s="112"/>
      <c r="C44" s="111" t="s">
        <v>242</v>
      </c>
      <c r="D44" s="113">
        <v>82</v>
      </c>
      <c r="E44" s="114" t="str">
        <f>'Expense Adjustments'!A49</f>
        <v>W-7</v>
      </c>
      <c r="F44" s="122">
        <f>'Expense Adjustments'!E49</f>
        <v>-20</v>
      </c>
      <c r="G44" s="118">
        <v>1</v>
      </c>
      <c r="H44" s="122">
        <f t="shared" si="0"/>
        <v>62</v>
      </c>
    </row>
    <row r="45" spans="1:8">
      <c r="A45" s="114">
        <v>30</v>
      </c>
      <c r="B45" s="112"/>
      <c r="C45" s="111" t="s">
        <v>243</v>
      </c>
      <c r="D45" s="113">
        <v>288</v>
      </c>
      <c r="E45" s="114" t="str">
        <f>'Expense Adjustments'!A55</f>
        <v>W-8</v>
      </c>
      <c r="F45" s="122">
        <f>'Expense Adjustments'!E55</f>
        <v>-72</v>
      </c>
      <c r="G45" s="118">
        <v>1</v>
      </c>
      <c r="H45" s="122">
        <f t="shared" si="0"/>
        <v>216</v>
      </c>
    </row>
    <row r="46" spans="1:8">
      <c r="A46" s="114">
        <v>31</v>
      </c>
      <c r="B46" s="112"/>
      <c r="C46" s="111" t="s">
        <v>244</v>
      </c>
      <c r="D46" s="113">
        <v>215</v>
      </c>
      <c r="E46" s="114" t="str">
        <f>'Expense Adjustments'!A61</f>
        <v>W-9</v>
      </c>
      <c r="F46" s="122">
        <f>'Expense Adjustments'!E61</f>
        <v>-54</v>
      </c>
      <c r="G46" s="118">
        <v>1</v>
      </c>
      <c r="H46" s="122">
        <f t="shared" si="0"/>
        <v>161</v>
      </c>
    </row>
    <row r="47" spans="1:8">
      <c r="A47" s="1">
        <v>32</v>
      </c>
      <c r="C47" s="2" t="s">
        <v>245</v>
      </c>
      <c r="D47" s="68">
        <v>5143</v>
      </c>
      <c r="E47" s="1"/>
      <c r="F47" s="58">
        <v>0</v>
      </c>
      <c r="G47" s="34">
        <v>1</v>
      </c>
      <c r="H47" s="58">
        <f t="shared" si="0"/>
        <v>5143</v>
      </c>
    </row>
    <row r="48" spans="1:8">
      <c r="A48" s="114">
        <v>33</v>
      </c>
      <c r="B48" s="112"/>
      <c r="C48" s="111" t="s">
        <v>246</v>
      </c>
      <c r="D48" s="113">
        <v>110</v>
      </c>
      <c r="E48" s="114" t="str">
        <f>'Expense Adjustments'!A67</f>
        <v>W-10</v>
      </c>
      <c r="F48" s="122">
        <f>'Expense Adjustments'!E67</f>
        <v>-28</v>
      </c>
      <c r="G48" s="118">
        <v>1</v>
      </c>
      <c r="H48" s="122">
        <f t="shared" si="0"/>
        <v>82</v>
      </c>
    </row>
    <row r="49" spans="1:8">
      <c r="A49" s="1">
        <v>34</v>
      </c>
      <c r="C49" s="2" t="s">
        <v>247</v>
      </c>
      <c r="D49" s="68">
        <v>6574</v>
      </c>
      <c r="E49" s="1"/>
      <c r="F49" s="58">
        <v>0</v>
      </c>
      <c r="G49" s="34">
        <v>1</v>
      </c>
      <c r="H49" s="58">
        <f t="shared" si="0"/>
        <v>6574</v>
      </c>
    </row>
    <row r="50" spans="1:8">
      <c r="A50" s="1">
        <v>35</v>
      </c>
      <c r="C50" s="108" t="s">
        <v>248</v>
      </c>
      <c r="D50" s="68">
        <v>0</v>
      </c>
      <c r="E50" s="1"/>
      <c r="F50" s="58">
        <v>0</v>
      </c>
      <c r="G50" s="34">
        <v>1</v>
      </c>
      <c r="H50" s="58">
        <f t="shared" si="0"/>
        <v>0</v>
      </c>
    </row>
    <row r="51" spans="1:8">
      <c r="A51" s="114">
        <v>36</v>
      </c>
      <c r="B51" s="112"/>
      <c r="C51" s="111" t="s">
        <v>249</v>
      </c>
      <c r="D51" s="113">
        <v>3898</v>
      </c>
      <c r="E51" s="114" t="str">
        <f>'Expense Adjustments'!A73</f>
        <v>W-11</v>
      </c>
      <c r="F51" s="122">
        <f>'Expense Adjustments'!E73</f>
        <v>-977</v>
      </c>
      <c r="G51" s="118">
        <v>1</v>
      </c>
      <c r="H51" s="122">
        <f t="shared" si="0"/>
        <v>2921</v>
      </c>
    </row>
    <row r="52" spans="1:8">
      <c r="A52" s="114">
        <v>37</v>
      </c>
      <c r="B52" s="112"/>
      <c r="C52" s="111" t="s">
        <v>250</v>
      </c>
      <c r="D52" s="113">
        <v>1070</v>
      </c>
      <c r="E52" s="114" t="str">
        <f>'Expense Adjustments'!A79</f>
        <v>W-12</v>
      </c>
      <c r="F52" s="122">
        <f>'Expense Adjustments'!E79</f>
        <v>-668</v>
      </c>
      <c r="G52" s="118">
        <v>1</v>
      </c>
      <c r="H52" s="122">
        <f t="shared" si="0"/>
        <v>402</v>
      </c>
    </row>
    <row r="53" spans="1:8">
      <c r="A53" s="114">
        <v>38</v>
      </c>
      <c r="B53" s="112"/>
      <c r="C53" s="111" t="s">
        <v>251</v>
      </c>
      <c r="D53" s="113">
        <v>2003</v>
      </c>
      <c r="E53" s="114" t="str">
        <f>'Expense Adjustments'!A85</f>
        <v>W-13</v>
      </c>
      <c r="F53" s="122">
        <f>'Expense Adjustments'!E85</f>
        <v>-153</v>
      </c>
      <c r="G53" s="118">
        <v>1</v>
      </c>
      <c r="H53" s="122">
        <f t="shared" si="0"/>
        <v>1850</v>
      </c>
    </row>
    <row r="54" spans="1:8">
      <c r="A54" s="114">
        <v>39</v>
      </c>
      <c r="B54" s="112"/>
      <c r="C54" s="111" t="s">
        <v>252</v>
      </c>
      <c r="D54" s="113">
        <v>6121</v>
      </c>
      <c r="E54" s="114" t="str">
        <f>'Expense Adjustments'!A91</f>
        <v>W-14</v>
      </c>
      <c r="F54" s="122">
        <f>'Expense Adjustments'!E91</f>
        <v>-1534</v>
      </c>
      <c r="G54" s="118">
        <v>1</v>
      </c>
      <c r="H54" s="122">
        <f t="shared" si="0"/>
        <v>4587</v>
      </c>
    </row>
    <row r="55" spans="1:8">
      <c r="A55" s="1">
        <v>40</v>
      </c>
      <c r="C55" t="s">
        <v>47</v>
      </c>
      <c r="D55" s="59">
        <f>SUM(D36:D54)</f>
        <v>52505</v>
      </c>
      <c r="E55" s="1"/>
      <c r="F55" s="59">
        <f>SUM(F36:F54)</f>
        <v>-16094</v>
      </c>
      <c r="G55" s="34"/>
      <c r="H55" s="59">
        <f>SUM(H36:H54)</f>
        <v>36411</v>
      </c>
    </row>
    <row r="56" spans="1:8">
      <c r="A56" s="1"/>
      <c r="D56" s="58"/>
      <c r="E56" s="1"/>
      <c r="F56" s="58"/>
      <c r="G56" s="34"/>
      <c r="H56" s="58"/>
    </row>
    <row r="57" spans="1:8">
      <c r="A57" s="1">
        <v>41</v>
      </c>
      <c r="C57" t="s">
        <v>48</v>
      </c>
      <c r="D57" s="58"/>
      <c r="E57" s="1"/>
      <c r="F57" s="58"/>
      <c r="G57" s="34"/>
      <c r="H57" s="58"/>
    </row>
    <row r="58" spans="1:8">
      <c r="A58" s="1">
        <v>42</v>
      </c>
      <c r="C58" s="2" t="s">
        <v>49</v>
      </c>
      <c r="D58" s="68">
        <v>200</v>
      </c>
      <c r="E58" s="1"/>
      <c r="F58" s="58">
        <v>0</v>
      </c>
      <c r="G58" s="34">
        <v>1</v>
      </c>
      <c r="H58" s="58">
        <f t="shared" ref="H58:H63" si="1">(D58+F58)*G58</f>
        <v>200</v>
      </c>
    </row>
    <row r="59" spans="1:8">
      <c r="A59" s="1">
        <v>43</v>
      </c>
      <c r="C59" s="2" t="s">
        <v>50</v>
      </c>
      <c r="D59" s="68">
        <v>722</v>
      </c>
      <c r="E59" s="1"/>
      <c r="F59" s="58">
        <v>0</v>
      </c>
      <c r="G59" s="34">
        <v>1</v>
      </c>
      <c r="H59" s="58">
        <f t="shared" si="1"/>
        <v>722</v>
      </c>
    </row>
    <row r="60" spans="1:8">
      <c r="A60" s="1">
        <v>44</v>
      </c>
      <c r="C60" s="108" t="s">
        <v>287</v>
      </c>
      <c r="D60" s="68">
        <v>13</v>
      </c>
      <c r="E60" s="1"/>
      <c r="F60" s="58">
        <v>0</v>
      </c>
      <c r="G60" s="34">
        <v>1</v>
      </c>
      <c r="H60" s="58">
        <f t="shared" si="1"/>
        <v>13</v>
      </c>
    </row>
    <row r="61" spans="1:8">
      <c r="A61" s="1">
        <v>45</v>
      </c>
      <c r="C61" s="2" t="s">
        <v>51</v>
      </c>
      <c r="D61" s="68">
        <v>0</v>
      </c>
      <c r="E61" s="1"/>
      <c r="F61" s="58">
        <v>0</v>
      </c>
      <c r="G61" s="34">
        <v>1</v>
      </c>
      <c r="H61" s="58">
        <f t="shared" si="1"/>
        <v>0</v>
      </c>
    </row>
    <row r="62" spans="1:8">
      <c r="A62" s="114">
        <v>46</v>
      </c>
      <c r="B62" s="112"/>
      <c r="C62" s="111" t="s">
        <v>52</v>
      </c>
      <c r="D62" s="113">
        <v>27314</v>
      </c>
      <c r="E62" s="114" t="str">
        <f>'Expense Adjustments'!A97</f>
        <v>W-15</v>
      </c>
      <c r="F62" s="122">
        <f>'Expense Adjustments'!E97</f>
        <v>-31</v>
      </c>
      <c r="G62" s="118">
        <v>1</v>
      </c>
      <c r="H62" s="122">
        <f t="shared" si="1"/>
        <v>27283</v>
      </c>
    </row>
    <row r="63" spans="1:8">
      <c r="A63" s="1">
        <v>47</v>
      </c>
      <c r="C63" s="2" t="s">
        <v>12</v>
      </c>
      <c r="D63" s="68">
        <v>-637</v>
      </c>
      <c r="E63" s="1"/>
      <c r="F63" s="58">
        <v>0</v>
      </c>
      <c r="G63" s="34">
        <v>1</v>
      </c>
      <c r="H63" s="58">
        <f t="shared" si="1"/>
        <v>-637</v>
      </c>
    </row>
    <row r="64" spans="1:8">
      <c r="A64" s="1">
        <v>48</v>
      </c>
      <c r="C64" t="s">
        <v>53</v>
      </c>
      <c r="D64" s="59">
        <f>SUM(D58:D63)</f>
        <v>27612</v>
      </c>
      <c r="E64" s="1"/>
      <c r="F64" s="59">
        <f>SUM(F58:F63)</f>
        <v>-31</v>
      </c>
      <c r="G64" s="34"/>
      <c r="H64" s="59">
        <f>SUM(H58:H63)</f>
        <v>27581</v>
      </c>
    </row>
    <row r="65" spans="1:8">
      <c r="A65" s="1"/>
      <c r="D65" s="58"/>
      <c r="E65" s="1"/>
      <c r="F65" s="58"/>
      <c r="G65" s="34"/>
      <c r="H65" s="58"/>
    </row>
    <row r="66" spans="1:8">
      <c r="A66" s="1">
        <v>49</v>
      </c>
      <c r="C66" t="s">
        <v>54</v>
      </c>
      <c r="D66" s="58"/>
      <c r="E66" s="1"/>
      <c r="F66" s="58"/>
      <c r="G66" s="34"/>
      <c r="H66" s="58"/>
    </row>
    <row r="67" spans="1:8">
      <c r="A67" s="114">
        <v>50</v>
      </c>
      <c r="B67" s="112"/>
      <c r="C67" s="111" t="s">
        <v>55</v>
      </c>
      <c r="D67" s="113">
        <v>16</v>
      </c>
      <c r="E67" s="114" t="str">
        <f>'Expense Adjustments'!A103</f>
        <v>W-16</v>
      </c>
      <c r="F67" s="122">
        <f>'Expense Adjustments'!E103</f>
        <v>148</v>
      </c>
      <c r="G67" s="118">
        <v>1</v>
      </c>
      <c r="H67" s="122">
        <f>(D67+F67)*G67</f>
        <v>164</v>
      </c>
    </row>
    <row r="68" spans="1:8">
      <c r="A68" s="114">
        <v>51</v>
      </c>
      <c r="B68" s="112"/>
      <c r="C68" s="111" t="s">
        <v>235</v>
      </c>
      <c r="D68" s="113">
        <v>2704</v>
      </c>
      <c r="E68" s="114" t="str">
        <f>'Expense Adjustments'!A109</f>
        <v>W-17</v>
      </c>
      <c r="F68" s="122">
        <f>'Expense Adjustments'!E109</f>
        <v>-1195</v>
      </c>
      <c r="G68" s="118">
        <v>1</v>
      </c>
      <c r="H68" s="122">
        <f>(D68+F68)*G68</f>
        <v>1509</v>
      </c>
    </row>
    <row r="69" spans="1:8">
      <c r="A69" s="1">
        <v>52</v>
      </c>
      <c r="C69" t="s">
        <v>56</v>
      </c>
      <c r="D69" s="59">
        <f>SUM(D67:D68)</f>
        <v>2720</v>
      </c>
      <c r="F69" s="59">
        <f>SUM(F67:F68)</f>
        <v>-1047</v>
      </c>
      <c r="G69" s="34"/>
      <c r="H69" s="59">
        <f>SUM(H67:H68)</f>
        <v>1673</v>
      </c>
    </row>
    <row r="70" spans="1:8">
      <c r="D70" s="58"/>
      <c r="F70" s="58"/>
      <c r="G70" s="52"/>
      <c r="H70" s="58"/>
    </row>
    <row r="71" spans="1:8" ht="15" thickBot="1">
      <c r="A71" s="37">
        <v>53</v>
      </c>
      <c r="B71" s="48"/>
      <c r="C71" s="48" t="s">
        <v>57</v>
      </c>
      <c r="D71" s="69">
        <f>D18+D25+D33+D55+D64+D69</f>
        <v>119536</v>
      </c>
      <c r="E71" s="48"/>
      <c r="F71" s="69">
        <f>F18+F25+F33+F55+F64+F69</f>
        <v>-17772</v>
      </c>
      <c r="G71" s="80"/>
      <c r="H71" s="69">
        <f>H18+H25+H33+H55+H64+H69</f>
        <v>101764</v>
      </c>
    </row>
    <row r="72" spans="1:8" ht="15" thickTop="1"/>
  </sheetData>
  <mergeCells count="5">
    <mergeCell ref="A2:H2"/>
    <mergeCell ref="A3:H3"/>
    <mergeCell ref="A4:H4"/>
    <mergeCell ref="A5:H5"/>
    <mergeCell ref="A6:H6"/>
  </mergeCells>
  <pageMargins left="0.2" right="0.2" top="0.25" bottom="0.25" header="0.3" footer="0.3"/>
  <pageSetup scale="73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>
  <sheetPr>
    <pageSetUpPr fitToPage="1"/>
  </sheetPr>
  <dimension ref="A2:E116"/>
  <sheetViews>
    <sheetView workbookViewId="0"/>
  </sheetViews>
  <sheetFormatPr defaultRowHeight="14.4"/>
  <cols>
    <col min="1" max="1" width="14.6640625" customWidth="1"/>
    <col min="2" max="2" width="43.6640625" customWidth="1"/>
    <col min="3" max="3" width="12.109375" customWidth="1"/>
    <col min="4" max="4" width="14.44140625" customWidth="1"/>
    <col min="5" max="5" width="14.109375" customWidth="1"/>
  </cols>
  <sheetData>
    <row r="2" spans="1:5">
      <c r="A2" s="128" t="str">
        <f>'Rate Design'!A2:F2</f>
        <v>Hillcrest Utility Operating Company, Inc.</v>
      </c>
      <c r="B2" s="128"/>
      <c r="C2" s="128"/>
      <c r="D2" s="128"/>
      <c r="E2" s="128"/>
    </row>
    <row r="3" spans="1:5">
      <c r="A3" s="128" t="str">
        <f>'Rate Design'!A3:F3</f>
        <v>Informal Rate Case</v>
      </c>
      <c r="B3" s="128"/>
      <c r="C3" s="128"/>
      <c r="D3" s="128"/>
      <c r="E3" s="128"/>
    </row>
    <row r="4" spans="1:5">
      <c r="A4" s="128" t="str">
        <f>'Rate Design'!A4:F4</f>
        <v>Case Number WR-2016-0064</v>
      </c>
      <c r="B4" s="128"/>
      <c r="C4" s="128"/>
      <c r="D4" s="128"/>
      <c r="E4" s="128"/>
    </row>
    <row r="5" spans="1:5">
      <c r="A5" s="128" t="str">
        <f>'Rate Design'!A5:F5</f>
        <v>Test Year Ending 7/31/2015, Update 10/31/2015</v>
      </c>
      <c r="B5" s="128"/>
      <c r="C5" s="128"/>
      <c r="D5" s="128"/>
      <c r="E5" s="128"/>
    </row>
    <row r="6" spans="1:5">
      <c r="A6" s="128" t="s">
        <v>208</v>
      </c>
      <c r="B6" s="128"/>
      <c r="C6" s="128"/>
      <c r="D6" s="128"/>
      <c r="E6" s="128"/>
    </row>
    <row r="9" spans="1:5">
      <c r="A9" s="12" t="s">
        <v>164</v>
      </c>
      <c r="B9" s="13"/>
      <c r="C9" s="13"/>
      <c r="D9" s="13"/>
      <c r="E9" s="38" t="s">
        <v>106</v>
      </c>
    </row>
    <row r="10" spans="1:5">
      <c r="A10" s="39" t="s">
        <v>108</v>
      </c>
      <c r="B10" s="21"/>
      <c r="C10" s="21" t="s">
        <v>159</v>
      </c>
      <c r="D10" s="21" t="s">
        <v>108</v>
      </c>
      <c r="E10" s="40" t="s">
        <v>108</v>
      </c>
    </row>
    <row r="11" spans="1:5">
      <c r="A11" s="16" t="s">
        <v>2</v>
      </c>
      <c r="B11" s="17" t="s">
        <v>179</v>
      </c>
      <c r="C11" s="17" t="s">
        <v>2</v>
      </c>
      <c r="D11" s="17" t="s">
        <v>6</v>
      </c>
      <c r="E11" s="41" t="s">
        <v>6</v>
      </c>
    </row>
    <row r="12" spans="1:5">
      <c r="A12" s="1"/>
    </row>
    <row r="13" spans="1:5">
      <c r="A13" s="37" t="s">
        <v>209</v>
      </c>
      <c r="B13" s="48" t="str">
        <f>Expenses!C28</f>
        <v>Billing &amp; Collections</v>
      </c>
      <c r="C13" s="48"/>
      <c r="D13" s="48"/>
      <c r="E13" s="49">
        <f>SUM(D14:D18)</f>
        <v>-600</v>
      </c>
    </row>
    <row r="14" spans="1:5">
      <c r="A14" s="1"/>
      <c r="D14" s="110"/>
    </row>
    <row r="15" spans="1:5">
      <c r="A15" s="1"/>
      <c r="B15" s="110" t="s">
        <v>279</v>
      </c>
      <c r="D15" s="46">
        <v>-600</v>
      </c>
    </row>
    <row r="16" spans="1:5">
      <c r="A16" s="1"/>
      <c r="B16" s="110"/>
      <c r="D16" s="46"/>
    </row>
    <row r="17" spans="1:5">
      <c r="A17" s="1"/>
      <c r="B17" s="110"/>
      <c r="D17" s="46">
        <v>0</v>
      </c>
    </row>
    <row r="19" spans="1:5">
      <c r="A19" s="37" t="s">
        <v>262</v>
      </c>
      <c r="B19" s="48" t="str">
        <f>Expenses!C36</f>
        <v>Administration &amp; General Salary - CSWR 14%</v>
      </c>
      <c r="C19" s="48"/>
      <c r="D19" s="48"/>
      <c r="E19" s="49">
        <f>SUM(D20:D24)</f>
        <v>-12353</v>
      </c>
    </row>
    <row r="20" spans="1:5">
      <c r="A20" s="1"/>
      <c r="D20" s="2"/>
    </row>
    <row r="21" spans="1:5">
      <c r="A21" s="1"/>
      <c r="B21" s="2" t="s">
        <v>257</v>
      </c>
      <c r="D21" s="46">
        <v>-12353</v>
      </c>
    </row>
    <row r="22" spans="1:5">
      <c r="A22" s="1"/>
      <c r="B22" s="2"/>
      <c r="D22" s="46"/>
    </row>
    <row r="23" spans="1:5">
      <c r="A23" s="1"/>
      <c r="B23" s="2"/>
      <c r="D23" s="46">
        <v>0</v>
      </c>
    </row>
    <row r="25" spans="1:5">
      <c r="A25" s="37" t="s">
        <v>263</v>
      </c>
      <c r="B25" s="48" t="str">
        <f>Expenses!C38</f>
        <v>Communication Services - CSWR 14%</v>
      </c>
      <c r="C25" s="48"/>
      <c r="D25" s="48"/>
      <c r="E25" s="49">
        <f>SUM(D26:D30)</f>
        <v>-81</v>
      </c>
    </row>
    <row r="26" spans="1:5">
      <c r="A26" s="1"/>
      <c r="D26" s="2"/>
    </row>
    <row r="27" spans="1:5">
      <c r="A27" s="1"/>
      <c r="B27" s="2" t="s">
        <v>257</v>
      </c>
      <c r="D27" s="46">
        <v>-81</v>
      </c>
    </row>
    <row r="28" spans="1:5">
      <c r="A28" s="1"/>
      <c r="B28" s="2"/>
      <c r="D28" s="46"/>
    </row>
    <row r="29" spans="1:5">
      <c r="A29" s="1"/>
      <c r="B29" s="2"/>
      <c r="D29" s="46">
        <v>0</v>
      </c>
    </row>
    <row r="31" spans="1:5">
      <c r="A31" s="37" t="s">
        <v>264</v>
      </c>
      <c r="B31" s="48" t="str">
        <f>Expenses!C39</f>
        <v>Office Supplies - CSWR 14%</v>
      </c>
      <c r="C31" s="48"/>
      <c r="D31" s="48"/>
      <c r="E31" s="49">
        <f>SUM(D32:D36)</f>
        <v>-102</v>
      </c>
    </row>
    <row r="32" spans="1:5">
      <c r="A32" s="1"/>
      <c r="D32" s="2"/>
    </row>
    <row r="33" spans="1:5">
      <c r="A33" s="1"/>
      <c r="B33" s="2" t="s">
        <v>257</v>
      </c>
      <c r="D33" s="46">
        <v>-102</v>
      </c>
    </row>
    <row r="34" spans="1:5">
      <c r="A34" s="1"/>
      <c r="B34" s="2"/>
      <c r="D34" s="46"/>
    </row>
    <row r="35" spans="1:5">
      <c r="A35" s="1"/>
      <c r="B35" s="2"/>
      <c r="D35" s="46">
        <v>0</v>
      </c>
    </row>
    <row r="37" spans="1:5">
      <c r="A37" s="37" t="s">
        <v>265</v>
      </c>
      <c r="B37" s="48" t="str">
        <f>Expenses!C41</f>
        <v>Legal Fees - CSWR 14%</v>
      </c>
      <c r="C37" s="48"/>
      <c r="D37" s="48"/>
      <c r="E37" s="49">
        <f>SUM(D38:D42)</f>
        <v>-11</v>
      </c>
    </row>
    <row r="38" spans="1:5">
      <c r="A38" s="1"/>
      <c r="D38" s="2"/>
    </row>
    <row r="39" spans="1:5">
      <c r="A39" s="1"/>
      <c r="B39" s="2" t="s">
        <v>257</v>
      </c>
      <c r="D39" s="46">
        <v>-11</v>
      </c>
    </row>
    <row r="40" spans="1:5">
      <c r="A40" s="1"/>
      <c r="B40" s="2"/>
      <c r="D40" s="46"/>
    </row>
    <row r="41" spans="1:5">
      <c r="A41" s="1"/>
      <c r="B41" s="2"/>
      <c r="D41" s="46">
        <v>0</v>
      </c>
    </row>
    <row r="43" spans="1:5">
      <c r="A43" s="37" t="s">
        <v>266</v>
      </c>
      <c r="B43" s="48" t="str">
        <f>Expenses!C43</f>
        <v>Accounting Fees - CSWR 14%</v>
      </c>
      <c r="C43" s="48"/>
      <c r="D43" s="48"/>
      <c r="E43" s="49">
        <f>SUM(D44:D48)</f>
        <v>-41</v>
      </c>
    </row>
    <row r="44" spans="1:5">
      <c r="A44" s="1"/>
      <c r="D44" s="2"/>
    </row>
    <row r="45" spans="1:5">
      <c r="A45" s="1"/>
      <c r="B45" s="2" t="s">
        <v>257</v>
      </c>
      <c r="D45" s="46">
        <v>-41</v>
      </c>
    </row>
    <row r="46" spans="1:5">
      <c r="A46" s="1"/>
      <c r="B46" s="2"/>
      <c r="D46" s="46"/>
    </row>
    <row r="47" spans="1:5">
      <c r="A47" s="1"/>
      <c r="B47" s="2"/>
      <c r="D47" s="46">
        <v>0</v>
      </c>
    </row>
    <row r="49" spans="1:5">
      <c r="A49" s="37" t="s">
        <v>267</v>
      </c>
      <c r="B49" s="48" t="str">
        <f>Expenses!C44</f>
        <v>Management Consultants - CSWR 14%</v>
      </c>
      <c r="C49" s="48"/>
      <c r="D49" s="48"/>
      <c r="E49" s="49">
        <f>SUM(D50:D54)</f>
        <v>-20</v>
      </c>
    </row>
    <row r="50" spans="1:5">
      <c r="A50" s="1"/>
      <c r="D50" s="2"/>
    </row>
    <row r="51" spans="1:5">
      <c r="A51" s="1"/>
      <c r="B51" s="2" t="s">
        <v>257</v>
      </c>
      <c r="D51" s="46">
        <v>-20</v>
      </c>
    </row>
    <row r="52" spans="1:5">
      <c r="A52" s="1"/>
      <c r="B52" s="2"/>
      <c r="D52" s="46"/>
    </row>
    <row r="53" spans="1:5">
      <c r="A53" s="1"/>
      <c r="B53" s="2"/>
      <c r="D53" s="46">
        <v>0</v>
      </c>
    </row>
    <row r="55" spans="1:5">
      <c r="A55" s="37" t="s">
        <v>268</v>
      </c>
      <c r="B55" s="48" t="str">
        <f>Expenses!C45</f>
        <v>Payroll Fees - CSWR 14%</v>
      </c>
      <c r="C55" s="48"/>
      <c r="D55" s="48"/>
      <c r="E55" s="49">
        <f>SUM(D56:D60)</f>
        <v>-72</v>
      </c>
    </row>
    <row r="56" spans="1:5">
      <c r="A56" s="1"/>
      <c r="D56" s="2"/>
    </row>
    <row r="57" spans="1:5">
      <c r="A57" s="1"/>
      <c r="B57" s="2" t="s">
        <v>257</v>
      </c>
      <c r="D57" s="46">
        <v>-72</v>
      </c>
    </row>
    <row r="58" spans="1:5">
      <c r="A58" s="1"/>
      <c r="B58" s="2"/>
      <c r="D58" s="46"/>
    </row>
    <row r="59" spans="1:5">
      <c r="A59" s="1"/>
      <c r="B59" s="2"/>
      <c r="D59" s="46">
        <v>0</v>
      </c>
    </row>
    <row r="61" spans="1:5">
      <c r="A61" s="37" t="s">
        <v>269</v>
      </c>
      <c r="B61" s="48" t="str">
        <f>Expenses!C46</f>
        <v>IT Services - CSWR 14%</v>
      </c>
      <c r="C61" s="48"/>
      <c r="D61" s="48"/>
      <c r="E61" s="49">
        <f>SUM(D62:D66)</f>
        <v>-54</v>
      </c>
    </row>
    <row r="62" spans="1:5">
      <c r="A62" s="1"/>
      <c r="D62" s="2"/>
    </row>
    <row r="63" spans="1:5">
      <c r="A63" s="1"/>
      <c r="B63" s="2" t="s">
        <v>257</v>
      </c>
      <c r="D63" s="46">
        <v>-54</v>
      </c>
    </row>
    <row r="64" spans="1:5">
      <c r="A64" s="1"/>
      <c r="B64" s="2"/>
      <c r="D64" s="46"/>
    </row>
    <row r="65" spans="1:5">
      <c r="A65" s="1"/>
      <c r="B65" s="2"/>
      <c r="D65" s="46">
        <v>0</v>
      </c>
    </row>
    <row r="67" spans="1:5">
      <c r="A67" s="37" t="s">
        <v>270</v>
      </c>
      <c r="B67" s="48" t="str">
        <f>Expenses!C48</f>
        <v>Property Ins - Workers Comp - CSWR 14%</v>
      </c>
      <c r="C67" s="48"/>
      <c r="D67" s="48"/>
      <c r="E67" s="49">
        <f>SUM(D68:D72)</f>
        <v>-28</v>
      </c>
    </row>
    <row r="68" spans="1:5">
      <c r="A68" s="1"/>
      <c r="D68" s="2"/>
    </row>
    <row r="69" spans="1:5">
      <c r="A69" s="1"/>
      <c r="B69" s="2" t="s">
        <v>257</v>
      </c>
      <c r="D69" s="46">
        <v>-28</v>
      </c>
    </row>
    <row r="70" spans="1:5">
      <c r="A70" s="1"/>
      <c r="B70" s="2"/>
      <c r="D70" s="46"/>
    </row>
    <row r="71" spans="1:5">
      <c r="A71" s="1"/>
      <c r="B71" s="2"/>
      <c r="D71" s="46">
        <v>0</v>
      </c>
    </row>
    <row r="73" spans="1:5">
      <c r="A73" s="37" t="s">
        <v>271</v>
      </c>
      <c r="B73" s="48" t="str">
        <f>Expenses!C51</f>
        <v>Emp Benefits - UHC - CSWR 14%</v>
      </c>
      <c r="C73" s="48"/>
      <c r="D73" s="48"/>
      <c r="E73" s="49">
        <f>SUM(D74:D78)</f>
        <v>-977</v>
      </c>
    </row>
    <row r="74" spans="1:5">
      <c r="A74" s="1"/>
      <c r="D74" s="2"/>
    </row>
    <row r="75" spans="1:5">
      <c r="A75" s="1"/>
      <c r="B75" s="2" t="s">
        <v>257</v>
      </c>
      <c r="D75" s="46">
        <v>-977</v>
      </c>
    </row>
    <row r="76" spans="1:5">
      <c r="A76" s="1"/>
      <c r="B76" s="2"/>
      <c r="D76" s="46"/>
    </row>
    <row r="77" spans="1:5">
      <c r="A77" s="1"/>
      <c r="B77" s="2"/>
      <c r="D77" s="46">
        <v>0</v>
      </c>
    </row>
    <row r="79" spans="1:5">
      <c r="A79" s="37" t="s">
        <v>272</v>
      </c>
      <c r="B79" s="48" t="str">
        <f>Expenses!C52</f>
        <v>Emp Benefits - 401k - CSWR 14%</v>
      </c>
      <c r="C79" s="48"/>
      <c r="D79" s="48"/>
      <c r="E79" s="49">
        <f>SUM(D80:D84)</f>
        <v>-668</v>
      </c>
    </row>
    <row r="80" spans="1:5">
      <c r="A80" s="1"/>
      <c r="D80" s="2"/>
    </row>
    <row r="81" spans="1:5">
      <c r="A81" s="1"/>
      <c r="B81" s="110" t="s">
        <v>275</v>
      </c>
      <c r="D81" s="46">
        <v>-668</v>
      </c>
    </row>
    <row r="82" spans="1:5">
      <c r="A82" s="1"/>
      <c r="B82" s="2"/>
      <c r="D82" s="46"/>
    </row>
    <row r="83" spans="1:5">
      <c r="A83" s="1"/>
      <c r="B83" s="2"/>
      <c r="D83" s="46">
        <v>0</v>
      </c>
    </row>
    <row r="85" spans="1:5">
      <c r="A85" s="37" t="s">
        <v>273</v>
      </c>
      <c r="B85" s="48" t="str">
        <f>Expenses!C53</f>
        <v>Emp Benefits - Life/STD/LTD - CSWR 14%</v>
      </c>
      <c r="C85" s="48"/>
      <c r="D85" s="48"/>
      <c r="E85" s="49">
        <f>SUM(D86:D90)</f>
        <v>-153</v>
      </c>
    </row>
    <row r="86" spans="1:5">
      <c r="A86" s="1"/>
      <c r="D86" s="2"/>
    </row>
    <row r="87" spans="1:5">
      <c r="A87" s="1"/>
      <c r="B87" s="2" t="s">
        <v>257</v>
      </c>
      <c r="D87" s="46">
        <v>-153</v>
      </c>
    </row>
    <row r="88" spans="1:5">
      <c r="A88" s="1"/>
      <c r="B88" s="2"/>
      <c r="D88" s="46"/>
    </row>
    <row r="89" spans="1:5">
      <c r="A89" s="1"/>
      <c r="B89" s="2"/>
      <c r="D89" s="46">
        <v>0</v>
      </c>
    </row>
    <row r="91" spans="1:5">
      <c r="A91" s="37" t="s">
        <v>274</v>
      </c>
      <c r="B91" s="48" t="str">
        <f>Expenses!C54</f>
        <v>Rent Expense - CSWR 14%</v>
      </c>
      <c r="C91" s="48"/>
      <c r="D91" s="48"/>
      <c r="E91" s="49">
        <f>SUM(D92:D96)</f>
        <v>-1534</v>
      </c>
    </row>
    <row r="92" spans="1:5">
      <c r="A92" s="1"/>
      <c r="D92" s="2"/>
    </row>
    <row r="93" spans="1:5">
      <c r="A93" s="1"/>
      <c r="B93" s="2" t="s">
        <v>257</v>
      </c>
      <c r="D93" s="46">
        <v>-1534</v>
      </c>
    </row>
    <row r="94" spans="1:5">
      <c r="A94" s="1"/>
      <c r="B94" s="2"/>
      <c r="D94" s="46"/>
    </row>
    <row r="95" spans="1:5">
      <c r="A95" s="1"/>
      <c r="B95" s="2"/>
      <c r="D95" s="46">
        <v>0</v>
      </c>
    </row>
    <row r="97" spans="1:5">
      <c r="A97" s="37" t="s">
        <v>278</v>
      </c>
      <c r="B97" s="48" t="str">
        <f>Expenses!C62</f>
        <v>Depreciation</v>
      </c>
      <c r="C97" s="48"/>
      <c r="D97" s="48"/>
      <c r="E97" s="49">
        <f>SUM(D98:D102)</f>
        <v>-31</v>
      </c>
    </row>
    <row r="98" spans="1:5">
      <c r="A98" s="1"/>
      <c r="D98" s="110"/>
    </row>
    <row r="99" spans="1:5">
      <c r="A99" s="1"/>
      <c r="B99" s="110" t="s">
        <v>286</v>
      </c>
      <c r="D99" s="46">
        <v>-31</v>
      </c>
    </row>
    <row r="100" spans="1:5">
      <c r="A100" s="1"/>
      <c r="B100" s="110"/>
      <c r="D100" s="46"/>
    </row>
    <row r="101" spans="1:5">
      <c r="A101" s="1"/>
      <c r="B101" s="110"/>
      <c r="D101" s="46">
        <v>0</v>
      </c>
    </row>
    <row r="103" spans="1:5">
      <c r="A103" s="37" t="s">
        <v>280</v>
      </c>
      <c r="B103" s="48" t="str">
        <f>Expenses!C67</f>
        <v>Real &amp; Personal Property Taxes</v>
      </c>
      <c r="C103" s="48"/>
      <c r="D103" s="48"/>
      <c r="E103" s="49">
        <f>SUM(D104:D108)</f>
        <v>148</v>
      </c>
    </row>
    <row r="104" spans="1:5">
      <c r="A104" s="1"/>
      <c r="D104" s="110"/>
    </row>
    <row r="105" spans="1:5">
      <c r="A105" s="1"/>
      <c r="B105" s="110" t="s">
        <v>277</v>
      </c>
      <c r="D105" s="46">
        <v>148</v>
      </c>
    </row>
    <row r="106" spans="1:5">
      <c r="A106" s="1"/>
      <c r="B106" s="110"/>
      <c r="D106" s="46"/>
    </row>
    <row r="107" spans="1:5">
      <c r="A107" s="1"/>
      <c r="B107" s="110"/>
      <c r="D107" s="46">
        <v>0</v>
      </c>
    </row>
    <row r="109" spans="1:5">
      <c r="A109" s="37" t="s">
        <v>285</v>
      </c>
      <c r="B109" s="48" t="str">
        <f>Expenses!C68</f>
        <v>Payroll Taxes - CSWR 14%</v>
      </c>
      <c r="C109" s="48"/>
      <c r="D109" s="48"/>
      <c r="E109" s="49">
        <f>SUM(D110:D114)</f>
        <v>-1195</v>
      </c>
    </row>
    <row r="110" spans="1:5">
      <c r="A110" s="1"/>
      <c r="D110" s="2"/>
    </row>
    <row r="111" spans="1:5">
      <c r="A111" s="1"/>
      <c r="B111" s="110" t="s">
        <v>276</v>
      </c>
      <c r="D111" s="46">
        <v>-1195</v>
      </c>
    </row>
    <row r="112" spans="1:5">
      <c r="A112" s="1"/>
      <c r="B112" s="2"/>
      <c r="D112" s="46"/>
    </row>
    <row r="113" spans="1:5">
      <c r="A113" s="1"/>
      <c r="B113" s="2"/>
      <c r="D113" s="46">
        <v>0</v>
      </c>
    </row>
    <row r="115" spans="1:5" ht="15" thickBot="1">
      <c r="A115" s="48"/>
      <c r="B115" s="48" t="s">
        <v>210</v>
      </c>
      <c r="C115" s="48"/>
      <c r="D115" s="48"/>
      <c r="E115" s="71">
        <f>SUM(E13:E114)</f>
        <v>-17772</v>
      </c>
    </row>
    <row r="116" spans="1:5" ht="15" thickTop="1"/>
  </sheetData>
  <mergeCells count="5">
    <mergeCell ref="A2:E2"/>
    <mergeCell ref="A3:E3"/>
    <mergeCell ref="A4:E4"/>
    <mergeCell ref="A5:E5"/>
    <mergeCell ref="A6:E6"/>
  </mergeCells>
  <pageMargins left="0.2" right="0.2" top="0.25" bottom="0.25" header="0.3" footer="0.3"/>
  <pageSetup scale="4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2:F96"/>
  <sheetViews>
    <sheetView topLeftCell="A67" workbookViewId="0"/>
  </sheetViews>
  <sheetFormatPr defaultRowHeight="12.9" customHeight="1"/>
  <cols>
    <col min="1" max="1" width="10" style="1" customWidth="1"/>
    <col min="2" max="2" width="39.6640625" customWidth="1"/>
    <col min="3" max="3" width="6.6640625" customWidth="1"/>
    <col min="4" max="4" width="15.109375" customWidth="1"/>
  </cols>
  <sheetData>
    <row r="2" spans="1:6" ht="12.9" customHeight="1">
      <c r="A2" s="127" t="s">
        <v>253</v>
      </c>
      <c r="B2" s="127"/>
      <c r="C2" s="127"/>
      <c r="D2" s="127"/>
      <c r="E2" s="127"/>
      <c r="F2" s="127"/>
    </row>
    <row r="3" spans="1:6" ht="12.9" customHeight="1">
      <c r="A3" s="127" t="s">
        <v>0</v>
      </c>
      <c r="B3" s="127"/>
      <c r="C3" s="127"/>
      <c r="D3" s="127"/>
      <c r="E3" s="127"/>
      <c r="F3" s="127"/>
    </row>
    <row r="4" spans="1:6" ht="12.9" customHeight="1">
      <c r="A4" s="127" t="s">
        <v>254</v>
      </c>
      <c r="B4" s="127"/>
      <c r="C4" s="127"/>
      <c r="D4" s="127"/>
      <c r="E4" s="127"/>
      <c r="F4" s="127"/>
    </row>
    <row r="5" spans="1:6" ht="12.9" customHeight="1">
      <c r="A5" s="127" t="s">
        <v>255</v>
      </c>
      <c r="B5" s="127"/>
      <c r="C5" s="127"/>
      <c r="D5" s="127"/>
      <c r="E5" s="127"/>
      <c r="F5" s="127"/>
    </row>
    <row r="6" spans="1:6" ht="12.9" customHeight="1">
      <c r="A6" s="127" t="s">
        <v>19</v>
      </c>
      <c r="B6" s="127"/>
      <c r="C6" s="127"/>
      <c r="D6" s="127"/>
      <c r="E6" s="127"/>
      <c r="F6" s="127"/>
    </row>
    <row r="9" spans="1:6" ht="12.9" customHeight="1">
      <c r="A9" s="12" t="s">
        <v>3</v>
      </c>
      <c r="B9" s="13"/>
      <c r="C9" s="13"/>
      <c r="D9" s="13" t="s">
        <v>21</v>
      </c>
      <c r="E9" s="14"/>
      <c r="F9" s="15"/>
    </row>
    <row r="10" spans="1:6" ht="12.9" customHeight="1">
      <c r="A10" s="16" t="s">
        <v>2</v>
      </c>
      <c r="B10" s="17" t="s">
        <v>20</v>
      </c>
      <c r="C10" s="17"/>
      <c r="D10" s="17" t="s">
        <v>22</v>
      </c>
      <c r="E10" s="18"/>
      <c r="F10" s="19"/>
    </row>
    <row r="11" spans="1:6" ht="12.9" customHeight="1">
      <c r="A11" s="22"/>
      <c r="B11" s="22"/>
      <c r="C11" s="22"/>
      <c r="D11" s="22"/>
      <c r="E11" s="23"/>
      <c r="F11" s="23"/>
    </row>
    <row r="12" spans="1:6" ht="12.9" customHeight="1">
      <c r="A12" s="1" t="s">
        <v>23</v>
      </c>
      <c r="B12" t="s">
        <v>27</v>
      </c>
      <c r="D12" s="58"/>
    </row>
    <row r="13" spans="1:6" ht="12.9" customHeight="1">
      <c r="A13" s="1" t="s">
        <v>24</v>
      </c>
      <c r="B13" t="str">
        <f>Revenue!C14</f>
        <v>Annualized Rate Revenues</v>
      </c>
      <c r="D13" s="58">
        <f>Revenue!H14</f>
        <v>32378</v>
      </c>
    </row>
    <row r="14" spans="1:6" ht="12.9" customHeight="1">
      <c r="A14" s="1" t="s">
        <v>25</v>
      </c>
      <c r="B14" t="str">
        <f>Revenue!C15</f>
        <v>Miscellaneous Revenues</v>
      </c>
      <c r="D14" s="58">
        <f>Revenue!H15</f>
        <v>15</v>
      </c>
    </row>
    <row r="15" spans="1:6" ht="12.9" customHeight="1">
      <c r="A15" s="1" t="s">
        <v>26</v>
      </c>
      <c r="B15" t="s">
        <v>30</v>
      </c>
      <c r="D15" s="59">
        <f>SUM(D13:D14)</f>
        <v>32393</v>
      </c>
    </row>
    <row r="18" spans="1:4" ht="12.9" customHeight="1">
      <c r="A18" s="1">
        <v>1</v>
      </c>
      <c r="B18" t="s">
        <v>31</v>
      </c>
    </row>
    <row r="19" spans="1:4" ht="12.9" customHeight="1">
      <c r="A19" s="1">
        <v>2</v>
      </c>
      <c r="B19" t="str">
        <f>Expenses!C14</f>
        <v>Management Salary</v>
      </c>
      <c r="D19" s="58">
        <f>Expenses!H14</f>
        <v>0</v>
      </c>
    </row>
    <row r="20" spans="1:4" ht="12.9" customHeight="1">
      <c r="A20" s="1">
        <v>3</v>
      </c>
      <c r="B20" t="str">
        <f>Expenses!C15</f>
        <v>Operators Salary/Contract Services</v>
      </c>
      <c r="D20" s="58">
        <f>Expenses!H15</f>
        <v>18479</v>
      </c>
    </row>
    <row r="21" spans="1:4" ht="12.9" customHeight="1">
      <c r="A21" s="1">
        <v>4</v>
      </c>
      <c r="B21" t="str">
        <f>Expenses!C16</f>
        <v>Electricity - Pumping</v>
      </c>
      <c r="D21" s="58">
        <f>Expenses!H16</f>
        <v>6129</v>
      </c>
    </row>
    <row r="22" spans="1:4" ht="12.9" customHeight="1">
      <c r="A22" s="1">
        <v>5</v>
      </c>
      <c r="B22" t="str">
        <f>Expenses!C17</f>
        <v>Chemicals</v>
      </c>
      <c r="D22" s="58">
        <f>Expenses!H17</f>
        <v>1797</v>
      </c>
    </row>
    <row r="23" spans="1:4" ht="12.9" customHeight="1">
      <c r="A23" s="1">
        <v>6</v>
      </c>
      <c r="B23" t="s">
        <v>36</v>
      </c>
      <c r="D23" s="59">
        <f>SUM(D19:D22)</f>
        <v>26405</v>
      </c>
    </row>
    <row r="25" spans="1:4" ht="12.9" customHeight="1">
      <c r="A25" s="1">
        <v>7</v>
      </c>
      <c r="B25" t="s">
        <v>37</v>
      </c>
    </row>
    <row r="26" spans="1:4" ht="12.9" customHeight="1">
      <c r="A26" s="1">
        <v>8</v>
      </c>
      <c r="B26" t="str">
        <f>Expenses!C21</f>
        <v>Main Break Repairs</v>
      </c>
      <c r="D26" s="58">
        <f>Expenses!H21</f>
        <v>0</v>
      </c>
    </row>
    <row r="27" spans="1:4" ht="12.9" customHeight="1">
      <c r="A27" s="1">
        <v>9</v>
      </c>
      <c r="B27" t="str">
        <f>Expenses!C22</f>
        <v>Mowing Expense</v>
      </c>
      <c r="D27" s="58">
        <f>Expenses!H22</f>
        <v>0</v>
      </c>
    </row>
    <row r="28" spans="1:4" ht="12.9" customHeight="1">
      <c r="A28" s="1">
        <v>10</v>
      </c>
      <c r="B28" t="str">
        <f>Expenses!C23</f>
        <v>Maintenance &amp; Repairs</v>
      </c>
      <c r="D28" s="58">
        <f>Expenses!H23</f>
        <v>1037</v>
      </c>
    </row>
    <row r="29" spans="1:4" ht="12.9" customHeight="1">
      <c r="A29" s="1">
        <v>11</v>
      </c>
      <c r="B29" t="str">
        <f>Expenses!C24</f>
        <v>Miscellaneous Expense</v>
      </c>
      <c r="D29" s="58">
        <f>Expenses!H24</f>
        <v>0</v>
      </c>
    </row>
    <row r="30" spans="1:4" ht="12.9" customHeight="1">
      <c r="A30" s="1">
        <v>12</v>
      </c>
      <c r="B30" t="s">
        <v>42</v>
      </c>
      <c r="D30" s="59">
        <f>SUM(D26:D29)</f>
        <v>1037</v>
      </c>
    </row>
    <row r="32" spans="1:4" ht="12.9" customHeight="1">
      <c r="A32" s="1">
        <v>13</v>
      </c>
      <c r="B32" t="s">
        <v>43</v>
      </c>
    </row>
    <row r="33" spans="1:4" ht="12.9" customHeight="1">
      <c r="A33" s="1">
        <v>14</v>
      </c>
      <c r="B33" t="str">
        <f>Expenses!C28</f>
        <v>Billing &amp; Collections</v>
      </c>
      <c r="D33" s="58">
        <f>Expenses!H28</f>
        <v>5653</v>
      </c>
    </row>
    <row r="34" spans="1:4" ht="12.9" customHeight="1">
      <c r="A34" s="1">
        <v>15</v>
      </c>
      <c r="B34" t="str">
        <f>Expenses!C29</f>
        <v>Web Pages</v>
      </c>
      <c r="D34" s="58">
        <f>Expenses!H29</f>
        <v>38</v>
      </c>
    </row>
    <row r="35" spans="1:4" ht="12.9" customHeight="1">
      <c r="A35" s="1">
        <v>16</v>
      </c>
      <c r="B35" t="str">
        <f>Expenses!C30</f>
        <v>Office Supplies &amp; Postage</v>
      </c>
      <c r="D35" s="58">
        <f>Expenses!H30</f>
        <v>168</v>
      </c>
    </row>
    <row r="36" spans="1:4" ht="12.9" customHeight="1">
      <c r="A36" s="1">
        <v>17</v>
      </c>
      <c r="B36" t="str">
        <f>Expenses!C31</f>
        <v>Bank Fees</v>
      </c>
      <c r="D36" s="58">
        <f>Expenses!H31</f>
        <v>2331</v>
      </c>
    </row>
    <row r="37" spans="1:4" ht="12.9" customHeight="1">
      <c r="A37" s="1">
        <v>18</v>
      </c>
      <c r="B37" t="str">
        <f>Expenses!C32</f>
        <v>Uncollectible Accounts</v>
      </c>
      <c r="D37" s="58">
        <f>Expenses!H32</f>
        <v>467</v>
      </c>
    </row>
    <row r="38" spans="1:4" ht="12.9" customHeight="1">
      <c r="A38" s="1">
        <v>19</v>
      </c>
      <c r="B38" t="s">
        <v>45</v>
      </c>
      <c r="D38" s="59">
        <f>SUM(D33:D37)</f>
        <v>8657</v>
      </c>
    </row>
    <row r="40" spans="1:4" ht="12.9" customHeight="1">
      <c r="A40" s="1">
        <v>20</v>
      </c>
      <c r="B40" t="s">
        <v>46</v>
      </c>
    </row>
    <row r="41" spans="1:4" ht="12.9" customHeight="1">
      <c r="A41" s="1">
        <v>21</v>
      </c>
      <c r="B41" t="str">
        <f>Expenses!C36</f>
        <v>Administration &amp; General Salary - CSWR 14%</v>
      </c>
      <c r="D41" s="58">
        <f>Expenses!H36</f>
        <v>11800</v>
      </c>
    </row>
    <row r="42" spans="1:4" ht="12.9" customHeight="1">
      <c r="A42" s="1">
        <v>22</v>
      </c>
      <c r="B42" t="str">
        <f>Expenses!C37</f>
        <v>Travel Expense</v>
      </c>
      <c r="D42" s="58">
        <f>Expenses!H37</f>
        <v>1598</v>
      </c>
    </row>
    <row r="43" spans="1:4" ht="12.9" customHeight="1">
      <c r="A43" s="1">
        <v>23</v>
      </c>
      <c r="B43" t="str">
        <f>Expenses!C38</f>
        <v>Communication Services - CSWR 14%</v>
      </c>
      <c r="D43" s="58">
        <f>Expenses!H38</f>
        <v>242</v>
      </c>
    </row>
    <row r="44" spans="1:4" ht="12.9" customHeight="1">
      <c r="A44" s="1">
        <v>24</v>
      </c>
      <c r="B44" t="str">
        <f>Expenses!C39</f>
        <v>Office Supplies - CSWR 14%</v>
      </c>
      <c r="D44" s="58">
        <f>Expenses!H39</f>
        <v>393</v>
      </c>
    </row>
    <row r="45" spans="1:4" ht="12.9" customHeight="1">
      <c r="A45" s="1">
        <v>25</v>
      </c>
      <c r="B45" t="str">
        <f>Expenses!C40</f>
        <v>Bank Fees</v>
      </c>
      <c r="D45" s="58">
        <f>Expenses!H40</f>
        <v>90</v>
      </c>
    </row>
    <row r="46" spans="1:4" ht="12.9" customHeight="1">
      <c r="A46" s="1">
        <v>26</v>
      </c>
      <c r="B46" t="str">
        <f>Expenses!C41</f>
        <v>Legal Fees - CSWR 14%</v>
      </c>
      <c r="D46" s="58">
        <f>Expenses!H41</f>
        <v>36</v>
      </c>
    </row>
    <row r="47" spans="1:4" ht="12.9" customHeight="1">
      <c r="A47" s="1">
        <v>27</v>
      </c>
      <c r="B47" t="str">
        <f>Expenses!C42</f>
        <v xml:space="preserve">Legal Fees  </v>
      </c>
      <c r="D47" s="58">
        <f>Expenses!H42</f>
        <v>132</v>
      </c>
    </row>
    <row r="48" spans="1:4" ht="12.9" customHeight="1">
      <c r="A48" s="1">
        <v>28</v>
      </c>
      <c r="B48" t="str">
        <f>Expenses!C43</f>
        <v>Accounting Fees - CSWR 14%</v>
      </c>
      <c r="D48" s="58">
        <f>Expenses!H43</f>
        <v>122</v>
      </c>
    </row>
    <row r="49" spans="1:4" ht="12.9" customHeight="1">
      <c r="A49" s="1">
        <v>29</v>
      </c>
      <c r="B49" t="str">
        <f>Expenses!C44</f>
        <v>Management Consultants - CSWR 14%</v>
      </c>
      <c r="D49" s="58">
        <f>Expenses!H44</f>
        <v>62</v>
      </c>
    </row>
    <row r="50" spans="1:4" ht="12.9" customHeight="1">
      <c r="A50" s="1">
        <v>30</v>
      </c>
      <c r="B50" t="str">
        <f>Expenses!C45</f>
        <v>Payroll Fees - CSWR 14%</v>
      </c>
      <c r="D50" s="58">
        <f>Expenses!H45</f>
        <v>216</v>
      </c>
    </row>
    <row r="51" spans="1:4" ht="12.9" customHeight="1">
      <c r="A51" s="1">
        <v>31</v>
      </c>
      <c r="B51" t="str">
        <f>Expenses!C46</f>
        <v>IT Services - CSWR 14%</v>
      </c>
      <c r="D51" s="58">
        <f>Expenses!H46</f>
        <v>161</v>
      </c>
    </row>
    <row r="52" spans="1:4" ht="12.9" customHeight="1">
      <c r="A52" s="1">
        <v>32</v>
      </c>
      <c r="B52" t="str">
        <f>Expenses!C47</f>
        <v>Property Ins - Environmental</v>
      </c>
      <c r="D52" s="58">
        <f>Expenses!H47</f>
        <v>5143</v>
      </c>
    </row>
    <row r="53" spans="1:4" ht="12.9" customHeight="1">
      <c r="A53" s="1">
        <v>33</v>
      </c>
      <c r="B53" t="str">
        <f>Expenses!C48</f>
        <v>Property Ins - Workers Comp - CSWR 14%</v>
      </c>
      <c r="D53" s="58">
        <f>Expenses!H48</f>
        <v>82</v>
      </c>
    </row>
    <row r="54" spans="1:4" ht="12.9" customHeight="1">
      <c r="A54" s="1">
        <v>34</v>
      </c>
      <c r="B54" t="str">
        <f>Expenses!C49</f>
        <v>Property Ins - Commercial</v>
      </c>
      <c r="D54" s="58">
        <f>Expenses!H49</f>
        <v>6574</v>
      </c>
    </row>
    <row r="55" spans="1:4" ht="12.9" customHeight="1">
      <c r="A55" s="1">
        <v>35</v>
      </c>
      <c r="B55" t="str">
        <f>Expenses!C50</f>
        <v>Emp Benefits - Keyman - CSWR 14%</v>
      </c>
      <c r="D55" s="58">
        <f>Expenses!H50</f>
        <v>0</v>
      </c>
    </row>
    <row r="56" spans="1:4" ht="12.9" customHeight="1">
      <c r="A56" s="1">
        <v>36</v>
      </c>
      <c r="B56" t="str">
        <f>Expenses!C51</f>
        <v>Emp Benefits - UHC - CSWR 14%</v>
      </c>
      <c r="D56" s="58">
        <f>Expenses!H51</f>
        <v>2921</v>
      </c>
    </row>
    <row r="57" spans="1:4" ht="12.9" customHeight="1">
      <c r="A57" s="1">
        <v>37</v>
      </c>
      <c r="B57" t="str">
        <f>Expenses!C52</f>
        <v>Emp Benefits - 401k - CSWR 14%</v>
      </c>
      <c r="D57" s="58">
        <f>Expenses!H52</f>
        <v>402</v>
      </c>
    </row>
    <row r="58" spans="1:4" ht="12.9" customHeight="1">
      <c r="A58" s="1">
        <v>38</v>
      </c>
      <c r="B58" t="str">
        <f>Expenses!C53</f>
        <v>Emp Benefits - Life/STD/LTD - CSWR 14%</v>
      </c>
      <c r="D58" s="58">
        <f>Expenses!H53</f>
        <v>1850</v>
      </c>
    </row>
    <row r="59" spans="1:4" ht="12.9" customHeight="1">
      <c r="A59" s="1">
        <v>39</v>
      </c>
      <c r="B59" t="str">
        <f>Expenses!C54</f>
        <v>Rent Expense - CSWR 14%</v>
      </c>
      <c r="D59" s="58">
        <f>Expenses!H54</f>
        <v>4587</v>
      </c>
    </row>
    <row r="60" spans="1:4" ht="12.9" customHeight="1">
      <c r="A60" s="1">
        <v>40</v>
      </c>
      <c r="B60" t="s">
        <v>47</v>
      </c>
      <c r="D60" s="59">
        <f>SUM(D41:D59)</f>
        <v>36411</v>
      </c>
    </row>
    <row r="62" spans="1:4" ht="12.9" customHeight="1">
      <c r="A62" s="1">
        <v>41</v>
      </c>
      <c r="B62" t="s">
        <v>48</v>
      </c>
    </row>
    <row r="63" spans="1:4" ht="12.9" customHeight="1">
      <c r="A63" s="1">
        <v>42</v>
      </c>
      <c r="B63" t="str">
        <f>Expenses!C58</f>
        <v>MO DNR Fees (Lab Fees)</v>
      </c>
      <c r="D63" s="58">
        <f>Expenses!H58</f>
        <v>200</v>
      </c>
    </row>
    <row r="64" spans="1:4" ht="12.9" customHeight="1">
      <c r="A64" s="1">
        <v>43</v>
      </c>
      <c r="B64" t="str">
        <f>Expenses!C59</f>
        <v>PSC Assessment</v>
      </c>
      <c r="D64" s="58">
        <f>Expenses!H59</f>
        <v>722</v>
      </c>
    </row>
    <row r="65" spans="1:4" ht="12.9" customHeight="1">
      <c r="A65" s="1">
        <v>44</v>
      </c>
      <c r="B65" t="str">
        <f>Expenses!C60</f>
        <v xml:space="preserve">SOS Fees </v>
      </c>
      <c r="D65" s="58">
        <f>Expenses!H60</f>
        <v>13</v>
      </c>
    </row>
    <row r="66" spans="1:4" ht="12.9" customHeight="1">
      <c r="A66" s="1">
        <v>45</v>
      </c>
      <c r="B66" t="str">
        <f>Expenses!C61</f>
        <v>Corporate Registration/Franchise Fees</v>
      </c>
      <c r="D66" s="58">
        <f>Expenses!H61</f>
        <v>0</v>
      </c>
    </row>
    <row r="67" spans="1:4" ht="12.9" customHeight="1">
      <c r="A67" s="1">
        <v>46</v>
      </c>
      <c r="B67" t="str">
        <f>Expenses!C62</f>
        <v>Depreciation</v>
      </c>
      <c r="D67" s="58">
        <f>Expenses!H62</f>
        <v>27283</v>
      </c>
    </row>
    <row r="68" spans="1:4" ht="12.9" customHeight="1">
      <c r="A68" s="1">
        <v>47</v>
      </c>
      <c r="B68" t="str">
        <f>Expenses!C63</f>
        <v>CIAC Depreciation</v>
      </c>
      <c r="D68" s="58">
        <f>Expenses!H63</f>
        <v>-637</v>
      </c>
    </row>
    <row r="69" spans="1:4" ht="12.9" customHeight="1">
      <c r="A69" s="1">
        <v>48</v>
      </c>
      <c r="B69" t="s">
        <v>53</v>
      </c>
      <c r="D69" s="59">
        <f>SUM(D63:D68)</f>
        <v>27581</v>
      </c>
    </row>
    <row r="71" spans="1:4" ht="12.9" customHeight="1">
      <c r="A71" s="1">
        <v>49</v>
      </c>
      <c r="B71" t="s">
        <v>54</v>
      </c>
    </row>
    <row r="72" spans="1:4" ht="12.9" customHeight="1">
      <c r="A72" s="1">
        <v>50</v>
      </c>
      <c r="B72" t="str">
        <f>Expenses!C67</f>
        <v>Real &amp; Personal Property Taxes</v>
      </c>
      <c r="D72" s="58">
        <f>Expenses!H67</f>
        <v>164</v>
      </c>
    </row>
    <row r="73" spans="1:4" ht="12.9" customHeight="1">
      <c r="A73" s="1">
        <v>51</v>
      </c>
      <c r="B73" t="str">
        <f>Expenses!C68</f>
        <v>Payroll Taxes - CSWR 14%</v>
      </c>
      <c r="D73" s="58">
        <f>Expenses!H68</f>
        <v>1509</v>
      </c>
    </row>
    <row r="74" spans="1:4" ht="12.9" customHeight="1">
      <c r="A74" s="1">
        <v>52</v>
      </c>
      <c r="B74" t="s">
        <v>56</v>
      </c>
      <c r="D74" s="59">
        <f>SUM(D72:D73)</f>
        <v>1673</v>
      </c>
    </row>
    <row r="76" spans="1:4" ht="12.9" customHeight="1">
      <c r="A76" s="1">
        <v>53</v>
      </c>
      <c r="B76" t="s">
        <v>57</v>
      </c>
      <c r="D76" s="58">
        <f>D23+D30+D38+D60+D69+D74</f>
        <v>101764</v>
      </c>
    </row>
    <row r="77" spans="1:4" ht="12.9" customHeight="1">
      <c r="D77" s="58"/>
    </row>
    <row r="78" spans="1:4" ht="12.9" customHeight="1">
      <c r="A78" s="1">
        <v>54</v>
      </c>
      <c r="B78" t="s">
        <v>58</v>
      </c>
      <c r="D78" s="58">
        <f>ROUND('PreTax Rate of Return'!$E$23*'Rate Base &amp; Return'!$D$26,0)</f>
        <v>35860</v>
      </c>
    </row>
    <row r="79" spans="1:4" ht="12.9" customHeight="1">
      <c r="D79" s="58"/>
    </row>
    <row r="80" spans="1:4" ht="12.9" customHeight="1">
      <c r="A80" s="1">
        <v>55</v>
      </c>
      <c r="B80" t="s">
        <v>59</v>
      </c>
      <c r="D80" s="58">
        <f>ROUND('PreTax Rate of Return'!$E$18*'Rate Base &amp; Return'!$D$26,0)</f>
        <v>17338</v>
      </c>
    </row>
    <row r="81" spans="1:4" ht="12.9" customHeight="1">
      <c r="D81" s="58"/>
    </row>
    <row r="82" spans="1:4" ht="12.9" customHeight="1">
      <c r="A82" s="1">
        <v>56</v>
      </c>
      <c r="B82" t="s">
        <v>60</v>
      </c>
      <c r="D82" s="58">
        <f ca="1">ROUND(('PreTax Rate of Return'!$E$21-'PreTax Rate of Return'!$E$18)*'Rate Base &amp; Return'!$D$26,0)</f>
        <v>4317</v>
      </c>
    </row>
    <row r="83" spans="1:4" ht="12.9" customHeight="1">
      <c r="D83" s="58"/>
    </row>
    <row r="84" spans="1:4" ht="12.9" customHeight="1">
      <c r="A84" s="1">
        <v>57</v>
      </c>
      <c r="B84" t="s">
        <v>61</v>
      </c>
      <c r="D84" s="59">
        <f ca="1">SUM(D78:D83)</f>
        <v>57515</v>
      </c>
    </row>
    <row r="85" spans="1:4" ht="12.9" customHeight="1">
      <c r="D85" s="58"/>
    </row>
    <row r="86" spans="1:4" ht="12.9" customHeight="1">
      <c r="A86" s="1">
        <v>58</v>
      </c>
      <c r="B86" t="s">
        <v>62</v>
      </c>
      <c r="D86" s="58">
        <f ca="1">D76+D84</f>
        <v>159279</v>
      </c>
    </row>
    <row r="87" spans="1:4" ht="12.9" customHeight="1">
      <c r="D87" s="58"/>
    </row>
    <row r="88" spans="1:4" ht="12.9" customHeight="1">
      <c r="A88" s="1">
        <v>59</v>
      </c>
      <c r="B88" t="s">
        <v>63</v>
      </c>
      <c r="D88" s="58">
        <f>D14</f>
        <v>15</v>
      </c>
    </row>
    <row r="89" spans="1:4" ht="12.9" customHeight="1">
      <c r="D89" s="59"/>
    </row>
    <row r="90" spans="1:4" ht="12.9" customHeight="1">
      <c r="A90" s="1">
        <v>60</v>
      </c>
      <c r="B90" t="s">
        <v>64</v>
      </c>
      <c r="D90" s="58">
        <f ca="1">D86-D88</f>
        <v>159264</v>
      </c>
    </row>
    <row r="91" spans="1:4" ht="12.9" customHeight="1">
      <c r="D91" s="59"/>
    </row>
    <row r="92" spans="1:4" ht="12.9" customHeight="1" thickBot="1">
      <c r="A92" s="1">
        <v>61</v>
      </c>
      <c r="B92" t="s">
        <v>65</v>
      </c>
      <c r="D92" s="79">
        <f ca="1">D90-D13</f>
        <v>126886</v>
      </c>
    </row>
    <row r="93" spans="1:4" ht="12.9" customHeight="1" thickTop="1">
      <c r="D93" s="58"/>
    </row>
    <row r="94" spans="1:4" ht="12.9" customHeight="1">
      <c r="A94" s="1">
        <v>62</v>
      </c>
      <c r="B94" t="s">
        <v>66</v>
      </c>
      <c r="D94" s="107">
        <f ca="1">IF($D$15&lt;&gt;0,ROUND($D$92/$D$15,4),0)</f>
        <v>3.9171</v>
      </c>
    </row>
    <row r="95" spans="1:4" ht="12.9" customHeight="1">
      <c r="D95" s="58"/>
    </row>
    <row r="96" spans="1:4" ht="12.9" customHeight="1">
      <c r="A96" s="1">
        <v>63</v>
      </c>
      <c r="B96" t="s">
        <v>67</v>
      </c>
      <c r="D96" s="68">
        <v>236016</v>
      </c>
    </row>
  </sheetData>
  <mergeCells count="5">
    <mergeCell ref="A2:F2"/>
    <mergeCell ref="A3:F3"/>
    <mergeCell ref="A4:F4"/>
    <mergeCell ref="A5:F5"/>
    <mergeCell ref="A6:F6"/>
  </mergeCells>
  <pageMargins left="0.2" right="0.2" top="0.25" bottom="0.25" header="0.3" footer="0.3"/>
  <pageSetup scale="6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2:F32"/>
  <sheetViews>
    <sheetView workbookViewId="0"/>
  </sheetViews>
  <sheetFormatPr defaultRowHeight="14.4"/>
  <cols>
    <col min="2" max="2" width="35.44140625" customWidth="1"/>
    <col min="3" max="3" width="5.6640625" customWidth="1"/>
    <col min="4" max="4" width="16.88671875" customWidth="1"/>
    <col min="5" max="5" width="3.33203125" customWidth="1"/>
    <col min="6" max="6" width="19" customWidth="1"/>
  </cols>
  <sheetData>
    <row r="2" spans="1:6">
      <c r="A2" s="128" t="str">
        <f>'Rate Design'!A2:F2</f>
        <v>Hillcrest Utility Operating Company, Inc.</v>
      </c>
      <c r="B2" s="128"/>
      <c r="C2" s="128"/>
      <c r="D2" s="128"/>
      <c r="E2" s="128"/>
      <c r="F2" s="128"/>
    </row>
    <row r="3" spans="1:6">
      <c r="A3" s="128" t="str">
        <f>'Rate Design'!A3:F3</f>
        <v>Informal Rate Case</v>
      </c>
      <c r="B3" s="128"/>
      <c r="C3" s="128"/>
      <c r="D3" s="128"/>
      <c r="E3" s="128"/>
      <c r="F3" s="128"/>
    </row>
    <row r="4" spans="1:6">
      <c r="A4" s="128" t="str">
        <f>'Rate Design'!A4:F4</f>
        <v>Case Number WR-2016-0064</v>
      </c>
      <c r="B4" s="128"/>
      <c r="C4" s="128"/>
      <c r="D4" s="128"/>
      <c r="E4" s="128"/>
      <c r="F4" s="128"/>
    </row>
    <row r="5" spans="1:6">
      <c r="A5" s="128" t="str">
        <f>'Rate Design'!A5:F5</f>
        <v>Test Year Ending 7/31/2015, Update 10/31/2015</v>
      </c>
      <c r="B5" s="128"/>
      <c r="C5" s="128"/>
      <c r="D5" s="128"/>
      <c r="E5" s="128"/>
      <c r="F5" s="128"/>
    </row>
    <row r="6" spans="1:6">
      <c r="A6" s="128" t="s">
        <v>1</v>
      </c>
      <c r="B6" s="128"/>
      <c r="C6" s="128"/>
      <c r="D6" s="128"/>
      <c r="E6" s="128"/>
      <c r="F6" s="128"/>
    </row>
    <row r="9" spans="1:6">
      <c r="A9" s="4" t="s">
        <v>3</v>
      </c>
      <c r="B9" s="5"/>
      <c r="C9" s="5"/>
      <c r="D9" s="5" t="s">
        <v>5</v>
      </c>
      <c r="E9" s="6"/>
      <c r="F9" s="7"/>
    </row>
    <row r="10" spans="1:6">
      <c r="A10" s="8" t="s">
        <v>2</v>
      </c>
      <c r="B10" s="9" t="s">
        <v>4</v>
      </c>
      <c r="C10" s="9"/>
      <c r="D10" s="9" t="s">
        <v>6</v>
      </c>
      <c r="E10" s="10"/>
      <c r="F10" s="11"/>
    </row>
    <row r="12" spans="1:6">
      <c r="A12" s="1">
        <v>1</v>
      </c>
      <c r="B12" t="s">
        <v>7</v>
      </c>
      <c r="D12" s="61">
        <f>Plant!H66</f>
        <v>703462</v>
      </c>
      <c r="F12" t="s">
        <v>17</v>
      </c>
    </row>
    <row r="13" spans="1:6">
      <c r="A13" s="1"/>
    </row>
    <row r="14" spans="1:6">
      <c r="A14" s="1">
        <v>2</v>
      </c>
      <c r="B14" t="s">
        <v>8</v>
      </c>
      <c r="D14" s="106">
        <f>'Depreciation Reserve'!I67</f>
        <v>141955</v>
      </c>
      <c r="F14" t="s">
        <v>18</v>
      </c>
    </row>
    <row r="15" spans="1:6">
      <c r="A15" s="1"/>
    </row>
    <row r="16" spans="1:6">
      <c r="A16" s="1">
        <v>3</v>
      </c>
      <c r="B16" t="s">
        <v>9</v>
      </c>
      <c r="D16" s="58">
        <f>D12-D14</f>
        <v>561507</v>
      </c>
    </row>
    <row r="17" spans="1:6">
      <c r="A17" s="1"/>
    </row>
    <row r="18" spans="1:6">
      <c r="A18" s="1">
        <v>4</v>
      </c>
      <c r="B18" t="s">
        <v>10</v>
      </c>
      <c r="D18" s="58"/>
    </row>
    <row r="19" spans="1:6">
      <c r="A19" s="1"/>
      <c r="D19" s="58"/>
    </row>
    <row r="20" spans="1:6">
      <c r="A20" s="1"/>
      <c r="B20" s="111" t="s">
        <v>228</v>
      </c>
      <c r="C20" s="112"/>
      <c r="D20" s="113">
        <v>58</v>
      </c>
    </row>
    <row r="21" spans="1:6">
      <c r="A21" s="1"/>
      <c r="D21" s="68"/>
    </row>
    <row r="22" spans="1:6">
      <c r="A22" s="1"/>
      <c r="B22" s="2" t="s">
        <v>11</v>
      </c>
      <c r="D22" s="68">
        <v>-35384</v>
      </c>
    </row>
    <row r="23" spans="1:6">
      <c r="A23" s="1"/>
      <c r="D23" s="68"/>
    </row>
    <row r="24" spans="1:6">
      <c r="A24" s="1"/>
      <c r="B24" s="2" t="s">
        <v>12</v>
      </c>
      <c r="D24" s="68">
        <v>12259</v>
      </c>
    </row>
    <row r="25" spans="1:6">
      <c r="A25" s="1"/>
      <c r="D25" s="58"/>
    </row>
    <row r="26" spans="1:6">
      <c r="A26" s="1">
        <v>5</v>
      </c>
      <c r="B26" t="s">
        <v>13</v>
      </c>
      <c r="D26" s="59">
        <f>SUM(D16:D25)</f>
        <v>538440</v>
      </c>
    </row>
    <row r="27" spans="1:6">
      <c r="A27" s="1"/>
    </row>
    <row r="28" spans="1:6">
      <c r="A28" s="1">
        <v>6</v>
      </c>
      <c r="B28" t="s">
        <v>14</v>
      </c>
    </row>
    <row r="29" spans="1:6">
      <c r="A29" s="1"/>
      <c r="B29" t="s">
        <v>15</v>
      </c>
      <c r="D29" s="24">
        <f ca="1">'PreTax Rate of Return'!E26</f>
        <v>0.10681843137254902</v>
      </c>
      <c r="F29" t="s">
        <v>227</v>
      </c>
    </row>
    <row r="30" spans="1:6">
      <c r="A30" s="1"/>
      <c r="D30" s="3"/>
    </row>
    <row r="31" spans="1:6" ht="15" thickBot="1">
      <c r="A31" s="1">
        <v>7</v>
      </c>
      <c r="B31" t="s">
        <v>16</v>
      </c>
      <c r="D31" s="79">
        <f ca="1">ROUND(D29*D26,0)</f>
        <v>57515</v>
      </c>
    </row>
    <row r="32" spans="1:6" ht="15" thickTop="1"/>
  </sheetData>
  <mergeCells count="5">
    <mergeCell ref="A2:F2"/>
    <mergeCell ref="A3:F3"/>
    <mergeCell ref="A4:F4"/>
    <mergeCell ref="A5:F5"/>
    <mergeCell ref="A6:F6"/>
  </mergeCells>
  <pageMargins left="0.7" right="0.7" top="0.75" bottom="0.75" header="0.3" footer="0.3"/>
  <pageSetup scale="9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2:Q31"/>
  <sheetViews>
    <sheetView workbookViewId="0"/>
  </sheetViews>
  <sheetFormatPr defaultRowHeight="14.4"/>
  <cols>
    <col min="1" max="1" width="5.44140625" customWidth="1"/>
    <col min="2" max="2" width="47.33203125" customWidth="1"/>
    <col min="4" max="4" width="4" customWidth="1"/>
    <col min="5" max="5" width="11.109375" customWidth="1"/>
    <col min="6" max="6" width="1.109375" customWidth="1"/>
    <col min="7" max="7" width="8.33203125" customWidth="1"/>
    <col min="9" max="9" width="5" customWidth="1"/>
    <col min="10" max="10" width="10.6640625" customWidth="1"/>
    <col min="11" max="11" width="15.33203125" bestFit="1" customWidth="1"/>
    <col min="12" max="12" width="4.44140625" customWidth="1"/>
    <col min="14" max="14" width="4.44140625" customWidth="1"/>
    <col min="16" max="16" width="4" customWidth="1"/>
  </cols>
  <sheetData>
    <row r="2" spans="1:17">
      <c r="A2" s="128" t="str">
        <f>'Rate Design'!A2:F2</f>
        <v>Hillcrest Utility Operating Company, Inc.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</row>
    <row r="3" spans="1:17">
      <c r="A3" s="128" t="str">
        <f>'Rate Design'!A3:F3</f>
        <v>Informal Rate Case</v>
      </c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  <c r="O3" s="128"/>
      <c r="P3" s="128"/>
      <c r="Q3" s="128"/>
    </row>
    <row r="4" spans="1:17">
      <c r="A4" s="128" t="str">
        <f>'Rate Design'!A4:F4</f>
        <v>Case Number WR-2016-0064</v>
      </c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28"/>
      <c r="O4" s="128"/>
      <c r="P4" s="128"/>
      <c r="Q4" s="128"/>
    </row>
    <row r="5" spans="1:17">
      <c r="A5" s="128" t="str">
        <f>'Rate Design'!A5:F5</f>
        <v>Test Year Ending 7/31/2015, Update 10/31/2015</v>
      </c>
      <c r="B5" s="128"/>
      <c r="C5" s="128"/>
      <c r="D5" s="128"/>
      <c r="E5" s="128"/>
      <c r="F5" s="128"/>
      <c r="G5" s="128"/>
      <c r="H5" s="128"/>
      <c r="I5" s="128"/>
      <c r="J5" s="128"/>
      <c r="K5" s="128"/>
      <c r="L5" s="128"/>
      <c r="M5" s="128"/>
      <c r="N5" s="128"/>
      <c r="O5" s="128"/>
      <c r="P5" s="128"/>
      <c r="Q5" s="128"/>
    </row>
    <row r="6" spans="1:17">
      <c r="A6" s="128" t="s">
        <v>68</v>
      </c>
      <c r="B6" s="128"/>
      <c r="C6" s="128"/>
      <c r="D6" s="128"/>
      <c r="E6" s="128"/>
      <c r="F6" s="128"/>
      <c r="G6" s="128"/>
      <c r="H6" s="128"/>
      <c r="I6" s="128"/>
      <c r="J6" s="128"/>
      <c r="K6" s="128"/>
      <c r="L6" s="128"/>
      <c r="M6" s="128"/>
      <c r="N6" s="128"/>
      <c r="O6" s="128"/>
      <c r="P6" s="128"/>
      <c r="Q6" s="128"/>
    </row>
    <row r="9" spans="1:17" ht="15" thickBot="1">
      <c r="A9" s="57"/>
      <c r="B9" s="57"/>
      <c r="C9" s="21" t="s">
        <v>218</v>
      </c>
      <c r="D9" s="21"/>
      <c r="E9" s="21" t="s">
        <v>219</v>
      </c>
      <c r="F9" s="57"/>
      <c r="G9" s="57" t="s">
        <v>226</v>
      </c>
      <c r="H9" s="57"/>
      <c r="I9" s="57"/>
      <c r="J9" s="57"/>
      <c r="K9" s="48"/>
      <c r="L9" s="48"/>
      <c r="M9" s="48"/>
      <c r="N9" s="48"/>
      <c r="O9" s="48"/>
      <c r="P9" s="48"/>
      <c r="Q9" s="48"/>
    </row>
    <row r="10" spans="1:17">
      <c r="A10" s="1">
        <v>1</v>
      </c>
      <c r="B10" t="s">
        <v>69</v>
      </c>
      <c r="C10" s="25">
        <v>6.25E-2</v>
      </c>
      <c r="E10" s="27">
        <f ca="1">(1-(E12*0.5))*C10</f>
        <v>5.8084772370486655E-2</v>
      </c>
      <c r="F10" s="27"/>
      <c r="G10" s="23" t="s">
        <v>220</v>
      </c>
      <c r="H10" s="23"/>
      <c r="I10" s="103"/>
      <c r="J10" s="129" t="s">
        <v>83</v>
      </c>
      <c r="K10" s="130"/>
      <c r="L10" s="84"/>
      <c r="M10" s="85"/>
      <c r="N10" s="85"/>
      <c r="O10" s="85" t="s">
        <v>6</v>
      </c>
      <c r="P10" s="85"/>
      <c r="Q10" s="86" t="s">
        <v>86</v>
      </c>
    </row>
    <row r="11" spans="1:17" ht="15" thickBot="1">
      <c r="A11" s="1"/>
      <c r="I11" s="63"/>
      <c r="J11" s="99" t="s">
        <v>81</v>
      </c>
      <c r="K11" s="100" t="s">
        <v>82</v>
      </c>
      <c r="L11" s="96"/>
      <c r="M11" s="100" t="s">
        <v>84</v>
      </c>
      <c r="N11" s="100"/>
      <c r="O11" s="100" t="s">
        <v>85</v>
      </c>
      <c r="P11" s="100"/>
      <c r="Q11" s="101" t="s">
        <v>87</v>
      </c>
    </row>
    <row r="12" spans="1:17">
      <c r="A12" s="1">
        <v>2</v>
      </c>
      <c r="B12" t="s">
        <v>70</v>
      </c>
      <c r="C12" s="27">
        <f ca="1">IF(Q18=0,Q19,Q18)</f>
        <v>0.15</v>
      </c>
      <c r="E12" s="28">
        <f ca="1">(1-E10)*C12</f>
        <v>0.14128728414442698</v>
      </c>
      <c r="F12" s="89"/>
      <c r="G12" t="s">
        <v>221</v>
      </c>
      <c r="I12" s="63"/>
      <c r="J12" s="87">
        <v>0</v>
      </c>
      <c r="K12" s="88">
        <v>50000</v>
      </c>
      <c r="L12" s="62"/>
      <c r="M12" s="89">
        <v>0.15</v>
      </c>
      <c r="N12" s="62"/>
      <c r="O12" s="61">
        <f ca="1">IF(ISERROR(O12),0,ROUND(IF($E$31&lt;=K12,$E$31,K12),0))</f>
        <v>20398</v>
      </c>
      <c r="P12" s="61"/>
      <c r="Q12" s="90">
        <f ca="1">ROUND(ROUND(M12,4)*O12,0)</f>
        <v>3060</v>
      </c>
    </row>
    <row r="13" spans="1:17">
      <c r="A13" s="1"/>
      <c r="I13" s="63"/>
      <c r="J13" s="87">
        <v>50001</v>
      </c>
      <c r="K13" s="88">
        <v>75000</v>
      </c>
      <c r="L13" s="62"/>
      <c r="M13" s="89">
        <v>0.25</v>
      </c>
      <c r="N13" s="62"/>
      <c r="O13" s="61">
        <f ca="1">IF(ISERROR(O13),0,ROUND(IF($E$31&lt;=J14,IF($E$31-O12&lt;0,0,$E$31-O12),IF($E$31&lt;=K13,$E$31-K12,K13-K12)),0))</f>
        <v>0</v>
      </c>
      <c r="P13" s="61"/>
      <c r="Q13" s="90">
        <f ca="1">ROUND(ROUND(M13,4)*O13,0)</f>
        <v>0</v>
      </c>
    </row>
    <row r="14" spans="1:17">
      <c r="A14" s="1">
        <v>3</v>
      </c>
      <c r="B14" t="s">
        <v>71</v>
      </c>
      <c r="E14" s="24">
        <f ca="1">SUM(E10:E12)</f>
        <v>0.19937205651491363</v>
      </c>
      <c r="F14" s="24"/>
      <c r="G14" t="s">
        <v>222</v>
      </c>
      <c r="I14" s="63"/>
      <c r="J14" s="87">
        <v>75001</v>
      </c>
      <c r="K14" s="88">
        <v>100000</v>
      </c>
      <c r="L14" s="62"/>
      <c r="M14" s="89">
        <v>0.34</v>
      </c>
      <c r="N14" s="62"/>
      <c r="O14" s="61">
        <f ca="1">IF(ISERROR(O14),0,ROUND(IF($E$31&lt;=J15,IF(E31-(O12+O13)&lt;0,0,E31-(O12+O13)),IF($E$31&lt;=K14,$E$31-O13,K14-K13)),0))</f>
        <v>0</v>
      </c>
      <c r="P14" s="61"/>
      <c r="Q14" s="90">
        <f ca="1">ROUND(ROUND(M14,4)*O14,0)</f>
        <v>0</v>
      </c>
    </row>
    <row r="15" spans="1:17">
      <c r="A15" s="1"/>
      <c r="I15" s="63"/>
      <c r="J15" s="87">
        <v>100001</v>
      </c>
      <c r="K15" s="88">
        <v>335000</v>
      </c>
      <c r="L15" s="62"/>
      <c r="M15" s="89">
        <v>0.39</v>
      </c>
      <c r="N15" s="62"/>
      <c r="O15" s="61">
        <f ca="1">IF(ISERROR(O15),0,ROUND(IF($E$31&lt;=J16,IF(E31-(O12+O13+O14)&lt;0,0,E31-(O12+O13+O14)),IF($E$31&lt;=K15,$E$31-O14,K15-K14)),0))</f>
        <v>0</v>
      </c>
      <c r="P15" s="61"/>
      <c r="Q15" s="90">
        <f ca="1">ROUND(ROUND(M15,4)*O15,0)</f>
        <v>0</v>
      </c>
    </row>
    <row r="16" spans="1:17">
      <c r="A16" s="1">
        <v>4</v>
      </c>
      <c r="B16" t="s">
        <v>72</v>
      </c>
      <c r="E16" s="29">
        <f ca="1">1/(1-E14)</f>
        <v>1.2490196078431373</v>
      </c>
      <c r="F16" s="29"/>
      <c r="G16" t="s">
        <v>223</v>
      </c>
      <c r="I16" s="63"/>
      <c r="J16" s="87">
        <v>335001</v>
      </c>
      <c r="K16" s="88">
        <v>9999999999</v>
      </c>
      <c r="L16" s="62"/>
      <c r="M16" s="89">
        <v>0.34</v>
      </c>
      <c r="N16" s="62"/>
      <c r="O16" s="61">
        <f ca="1">IF(ISERROR(O16),0,ROUND(IF($E$31&lt;=J16,IF(E31-(O12+O13+O14+O15)&lt;0,0,E31-(O12+O13+O14+O15)),IF($E$31&lt;=K16,$E$31-SUM(O12:O15),K16-K15)),0))</f>
        <v>0</v>
      </c>
      <c r="P16" s="61"/>
      <c r="Q16" s="90">
        <f ca="1">ROUND(ROUND(M16,4)*O16,0)</f>
        <v>0</v>
      </c>
    </row>
    <row r="17" spans="1:17">
      <c r="A17" s="1"/>
      <c r="I17" s="63"/>
      <c r="J17" s="91"/>
      <c r="K17" s="62"/>
      <c r="L17" s="62"/>
      <c r="M17" s="62"/>
      <c r="N17" s="62"/>
      <c r="O17" s="59">
        <f ca="1">SUM(O12:O16)</f>
        <v>20398</v>
      </c>
      <c r="P17" s="61"/>
      <c r="Q17" s="92">
        <f ca="1">SUM(Q12:Q16)</f>
        <v>3060</v>
      </c>
    </row>
    <row r="18" spans="1:17">
      <c r="A18" s="1">
        <v>5</v>
      </c>
      <c r="B18" t="s">
        <v>73</v>
      </c>
      <c r="E18" s="102">
        <f>IF('Capital Structure'!$J$8="N",('Capital Structure'!$J$14+'Capital Structure'!$J$16+'Capital Structure'!$J$18),'Capital Structure'!$J$14+'Capital Structure'!$J$16)</f>
        <v>3.2199999999999999E-2</v>
      </c>
      <c r="F18" s="104"/>
      <c r="G18" t="s">
        <v>79</v>
      </c>
      <c r="I18" s="63"/>
      <c r="J18" s="91"/>
      <c r="K18" s="62"/>
      <c r="L18" s="62"/>
      <c r="M18" s="62"/>
      <c r="N18" s="62"/>
      <c r="O18" s="93" t="s">
        <v>217</v>
      </c>
      <c r="P18" s="62"/>
      <c r="Q18" s="94"/>
    </row>
    <row r="19" spans="1:17" ht="15" thickBot="1">
      <c r="A19" s="1"/>
      <c r="B19" t="s">
        <v>74</v>
      </c>
      <c r="I19" s="63"/>
      <c r="J19" s="95"/>
      <c r="K19" s="96"/>
      <c r="L19" s="96"/>
      <c r="M19" s="96"/>
      <c r="N19" s="96"/>
      <c r="O19" s="97" t="s">
        <v>216</v>
      </c>
      <c r="P19" s="96"/>
      <c r="Q19" s="98">
        <f ca="1">IF(Q18&lt;&gt;0,"",IF(ISERROR($Q$17/$O$17),0,ROUND($Q$17/$O$17,4)))</f>
        <v>0.15</v>
      </c>
    </row>
    <row r="20" spans="1:17">
      <c r="A20" s="1"/>
      <c r="I20" s="63"/>
    </row>
    <row r="21" spans="1:17">
      <c r="A21" s="1">
        <v>6</v>
      </c>
      <c r="B21" t="s">
        <v>75</v>
      </c>
      <c r="E21" s="27">
        <f ca="1">E16*E18</f>
        <v>4.0218431372549018E-2</v>
      </c>
      <c r="F21" s="27"/>
      <c r="G21" t="s">
        <v>224</v>
      </c>
      <c r="I21" s="63"/>
    </row>
    <row r="22" spans="1:17">
      <c r="A22" s="1"/>
      <c r="I22" s="63"/>
    </row>
    <row r="23" spans="1:17">
      <c r="A23" s="1">
        <v>7</v>
      </c>
      <c r="B23" t="s">
        <v>76</v>
      </c>
      <c r="E23" s="102">
        <f>IF('Capital Structure'!$J$8="N",('Capital Structure'!$J$20+'Capital Structure'!$J$22+'Capital Structure'!$J$24),('Capital Structure'!$J$18+'Capital Structure'!$J$20+'Capital Structure'!$J$22+'Capital Structure'!$J$24))</f>
        <v>6.6600000000000006E-2</v>
      </c>
      <c r="F23" s="104"/>
      <c r="G23" t="s">
        <v>79</v>
      </c>
      <c r="I23" s="63"/>
    </row>
    <row r="24" spans="1:17">
      <c r="A24" s="1"/>
      <c r="B24" t="s">
        <v>77</v>
      </c>
      <c r="I24" s="63"/>
    </row>
    <row r="25" spans="1:17">
      <c r="A25" s="1"/>
      <c r="I25" s="63"/>
    </row>
    <row r="26" spans="1:17" ht="15" thickBot="1">
      <c r="A26" s="1">
        <v>8</v>
      </c>
      <c r="B26" t="s">
        <v>78</v>
      </c>
      <c r="E26" s="30">
        <f ca="1">E21+E23</f>
        <v>0.10681843137254902</v>
      </c>
      <c r="F26" s="105"/>
      <c r="G26" t="s">
        <v>225</v>
      </c>
      <c r="I26" s="63"/>
    </row>
    <row r="27" spans="1:17" ht="15" thickTop="1">
      <c r="G27" t="s">
        <v>80</v>
      </c>
      <c r="I27" s="63"/>
    </row>
    <row r="28" spans="1:17">
      <c r="I28" s="63"/>
    </row>
    <row r="29" spans="1:17">
      <c r="A29" s="1">
        <v>9</v>
      </c>
      <c r="B29" t="s">
        <v>213</v>
      </c>
      <c r="C29" s="83" t="s">
        <v>214</v>
      </c>
      <c r="I29" s="63"/>
    </row>
    <row r="30" spans="1:17">
      <c r="A30" s="1"/>
      <c r="I30" s="63"/>
    </row>
    <row r="31" spans="1:17">
      <c r="A31" s="1">
        <v>10</v>
      </c>
      <c r="B31" t="s">
        <v>212</v>
      </c>
      <c r="E31" s="58">
        <f ca="1">(IF(ISERROR(E31),0,IF($C$29="N",IF('Capital Structure'!$J$8="N",ROUND(('Capital Structure'!$J$14+'Capital Structure'!$J$16+'Capital Structure'!$J$18)*'Rate Base &amp; Return'!$D$26+$Q$17,0),ROUND(('Capital Structure'!$J$14+'Capital Structure'!$J$16)*'Rate Base &amp; Return'!$D$26+$Q$17,0)),0)))</f>
        <v>20398</v>
      </c>
      <c r="F31" s="58"/>
      <c r="I31" s="63"/>
    </row>
  </sheetData>
  <dataConsolidate/>
  <mergeCells count="6">
    <mergeCell ref="J10:K10"/>
    <mergeCell ref="A2:Q2"/>
    <mergeCell ref="A3:Q3"/>
    <mergeCell ref="A4:Q4"/>
    <mergeCell ref="A5:Q5"/>
    <mergeCell ref="A6:Q6"/>
  </mergeCells>
  <pageMargins left="0.2" right="0.2" top="0.25" bottom="0.25" header="0.3" footer="0.3"/>
  <pageSetup scale="8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2:J29"/>
  <sheetViews>
    <sheetView workbookViewId="0"/>
  </sheetViews>
  <sheetFormatPr defaultRowHeight="14.4"/>
  <cols>
    <col min="2" max="2" width="32.88671875" customWidth="1"/>
    <col min="3" max="3" width="3.6640625" customWidth="1"/>
    <col min="4" max="4" width="16.88671875" customWidth="1"/>
    <col min="5" max="5" width="3.88671875" customWidth="1"/>
    <col min="6" max="6" width="13.5546875" customWidth="1"/>
    <col min="7" max="7" width="4" customWidth="1"/>
    <col min="8" max="8" width="12" customWidth="1"/>
    <col min="9" max="9" width="3.88671875" customWidth="1"/>
    <col min="10" max="10" width="10.109375" customWidth="1"/>
  </cols>
  <sheetData>
    <row r="2" spans="1:10">
      <c r="A2" s="128" t="str">
        <f>'Rate Design'!A2:F2</f>
        <v>Hillcrest Utility Operating Company, Inc.</v>
      </c>
      <c r="B2" s="128"/>
      <c r="C2" s="128"/>
      <c r="D2" s="128"/>
      <c r="E2" s="128"/>
      <c r="F2" s="128"/>
      <c r="G2" s="128"/>
      <c r="H2" s="128"/>
      <c r="I2" s="128"/>
      <c r="J2" s="128"/>
    </row>
    <row r="3" spans="1:10">
      <c r="A3" s="128" t="str">
        <f>'Rate Design'!A3:F3</f>
        <v>Informal Rate Case</v>
      </c>
      <c r="B3" s="128"/>
      <c r="C3" s="128"/>
      <c r="D3" s="128"/>
      <c r="E3" s="128"/>
      <c r="F3" s="128"/>
      <c r="G3" s="128"/>
      <c r="H3" s="128"/>
      <c r="I3" s="128"/>
      <c r="J3" s="128"/>
    </row>
    <row r="4" spans="1:10">
      <c r="A4" s="128" t="str">
        <f>'Rate Design'!A4:F4</f>
        <v>Case Number WR-2016-0064</v>
      </c>
      <c r="B4" s="128"/>
      <c r="C4" s="128"/>
      <c r="D4" s="128"/>
      <c r="E4" s="128"/>
      <c r="F4" s="128"/>
      <c r="G4" s="128"/>
      <c r="H4" s="128"/>
      <c r="I4" s="128"/>
      <c r="J4" s="128"/>
    </row>
    <row r="5" spans="1:10">
      <c r="A5" s="128" t="str">
        <f>'Rate Design'!A5:F5</f>
        <v>Test Year Ending 7/31/2015, Update 10/31/2015</v>
      </c>
      <c r="B5" s="128"/>
      <c r="C5" s="128"/>
      <c r="D5" s="128"/>
      <c r="E5" s="128"/>
      <c r="F5" s="128"/>
      <c r="G5" s="128"/>
      <c r="H5" s="128"/>
      <c r="I5" s="128"/>
      <c r="J5" s="128"/>
    </row>
    <row r="6" spans="1:10">
      <c r="A6" s="128" t="s">
        <v>88</v>
      </c>
      <c r="B6" s="128"/>
      <c r="C6" s="128"/>
      <c r="D6" s="128"/>
      <c r="E6" s="128"/>
      <c r="F6" s="128"/>
      <c r="G6" s="128"/>
      <c r="H6" s="128"/>
      <c r="I6" s="128"/>
      <c r="J6" s="128"/>
    </row>
    <row r="8" spans="1:10">
      <c r="F8" t="s">
        <v>215</v>
      </c>
      <c r="J8" s="83" t="s">
        <v>214</v>
      </c>
    </row>
    <row r="9" spans="1:10">
      <c r="A9" s="12"/>
      <c r="B9" s="13"/>
      <c r="C9" s="13"/>
      <c r="D9" s="13"/>
      <c r="E9" s="13"/>
      <c r="F9" s="13" t="s">
        <v>89</v>
      </c>
      <c r="G9" s="13"/>
      <c r="H9" s="13"/>
      <c r="I9" s="13"/>
      <c r="J9" s="38"/>
    </row>
    <row r="10" spans="1:10">
      <c r="A10" s="39"/>
      <c r="B10" s="21"/>
      <c r="C10" s="21"/>
      <c r="D10" s="21"/>
      <c r="E10" s="21"/>
      <c r="F10" s="21" t="s">
        <v>90</v>
      </c>
      <c r="G10" s="21"/>
      <c r="H10" s="21" t="s">
        <v>93</v>
      </c>
      <c r="I10" s="21"/>
      <c r="J10" s="40" t="s">
        <v>95</v>
      </c>
    </row>
    <row r="11" spans="1:10">
      <c r="A11" s="39" t="s">
        <v>3</v>
      </c>
      <c r="B11" s="21"/>
      <c r="C11" s="21"/>
      <c r="D11" s="21" t="s">
        <v>5</v>
      </c>
      <c r="E11" s="21"/>
      <c r="F11" s="21" t="s">
        <v>91</v>
      </c>
      <c r="G11" s="21"/>
      <c r="H11" s="21" t="s">
        <v>94</v>
      </c>
      <c r="I11" s="21"/>
      <c r="J11" s="40" t="s">
        <v>94</v>
      </c>
    </row>
    <row r="12" spans="1:10">
      <c r="A12" s="16" t="s">
        <v>2</v>
      </c>
      <c r="B12" s="17" t="s">
        <v>20</v>
      </c>
      <c r="C12" s="17"/>
      <c r="D12" s="17" t="s">
        <v>6</v>
      </c>
      <c r="E12" s="17"/>
      <c r="F12" s="17" t="s">
        <v>92</v>
      </c>
      <c r="G12" s="17"/>
      <c r="H12" s="17" t="s">
        <v>91</v>
      </c>
      <c r="I12" s="17"/>
      <c r="J12" s="41" t="s">
        <v>91</v>
      </c>
    </row>
    <row r="14" spans="1:10">
      <c r="A14" s="1">
        <v>1</v>
      </c>
      <c r="B14" t="s">
        <v>96</v>
      </c>
      <c r="D14" s="33">
        <v>287165</v>
      </c>
      <c r="F14" s="27">
        <f>IF($D$26&lt;&gt;0,ROUND(+D14/$D$26,6),0)</f>
        <v>0.249999</v>
      </c>
      <c r="H14" s="34">
        <v>0.1288</v>
      </c>
      <c r="J14" s="35">
        <f>ROUND(H14*F14,5)</f>
        <v>3.2199999999999999E-2</v>
      </c>
    </row>
    <row r="15" spans="1:10">
      <c r="A15" s="1"/>
      <c r="D15" s="33"/>
      <c r="F15" s="27"/>
      <c r="H15" s="34"/>
      <c r="J15" s="35"/>
    </row>
    <row r="16" spans="1:10">
      <c r="A16" s="1">
        <v>2</v>
      </c>
      <c r="B16" s="2" t="s">
        <v>97</v>
      </c>
      <c r="D16" s="33">
        <v>0</v>
      </c>
      <c r="F16" s="27">
        <f>IF($D$26&lt;&gt;0,ROUND(+D16/$D$26,6),0)</f>
        <v>0</v>
      </c>
      <c r="H16" s="34">
        <v>0</v>
      </c>
      <c r="J16" s="35">
        <f t="shared" ref="J16:J24" si="0">ROUND(H16*F16,5)</f>
        <v>0</v>
      </c>
    </row>
    <row r="17" spans="1:10">
      <c r="A17" s="1"/>
      <c r="D17" s="33"/>
      <c r="F17" s="27"/>
      <c r="H17" s="34"/>
      <c r="J17" s="35"/>
    </row>
    <row r="18" spans="1:10">
      <c r="A18" s="1">
        <v>3</v>
      </c>
      <c r="B18" t="s">
        <v>98</v>
      </c>
      <c r="D18" s="33">
        <v>0</v>
      </c>
      <c r="F18" s="27">
        <f>IF($D$26&lt;&gt;0,ROUND(+D18/$D$26,6),0)</f>
        <v>0</v>
      </c>
      <c r="H18" s="34">
        <v>0</v>
      </c>
      <c r="J18" s="35">
        <f t="shared" si="0"/>
        <v>0</v>
      </c>
    </row>
    <row r="19" spans="1:10">
      <c r="A19" s="1"/>
      <c r="D19" s="33"/>
      <c r="F19" s="27"/>
      <c r="H19" s="34"/>
      <c r="J19" s="35"/>
    </row>
    <row r="20" spans="1:10">
      <c r="A20" s="1">
        <v>4</v>
      </c>
      <c r="B20" t="s">
        <v>99</v>
      </c>
      <c r="D20" s="33">
        <v>861498</v>
      </c>
      <c r="F20" s="27">
        <f>IF($D$26&lt;&gt;0,ROUND(+D20/$D$26,6),0)</f>
        <v>0.75000100000000003</v>
      </c>
      <c r="H20" s="34">
        <v>8.8800000000000004E-2</v>
      </c>
      <c r="J20" s="35">
        <f t="shared" si="0"/>
        <v>6.6600000000000006E-2</v>
      </c>
    </row>
    <row r="21" spans="1:10">
      <c r="A21" s="1"/>
      <c r="D21" s="33"/>
      <c r="F21" s="27"/>
      <c r="H21" s="34"/>
      <c r="J21" s="35"/>
    </row>
    <row r="22" spans="1:10">
      <c r="A22" s="1">
        <v>5</v>
      </c>
      <c r="B22" t="s">
        <v>100</v>
      </c>
      <c r="D22" s="33">
        <v>0</v>
      </c>
      <c r="F22" s="27">
        <f>IF($D$26&lt;&gt;0,ROUND(+D22/$D$26,6),0)</f>
        <v>0</v>
      </c>
      <c r="H22" s="34">
        <v>0</v>
      </c>
      <c r="J22" s="35">
        <f t="shared" si="0"/>
        <v>0</v>
      </c>
    </row>
    <row r="23" spans="1:10">
      <c r="A23" s="1"/>
      <c r="D23" s="33"/>
      <c r="F23" s="27"/>
      <c r="H23" s="34"/>
      <c r="J23" s="35"/>
    </row>
    <row r="24" spans="1:10">
      <c r="A24" s="1">
        <v>6</v>
      </c>
      <c r="B24" s="2" t="s">
        <v>101</v>
      </c>
      <c r="D24" s="33">
        <v>0</v>
      </c>
      <c r="F24" s="27">
        <f>IF($D$26&lt;&gt;0,ROUND(+D24/$D$26,6),0)</f>
        <v>0</v>
      </c>
      <c r="H24" s="34">
        <v>0</v>
      </c>
      <c r="J24" s="35">
        <f t="shared" si="0"/>
        <v>0</v>
      </c>
    </row>
    <row r="25" spans="1:10">
      <c r="A25" s="1"/>
      <c r="D25" s="2"/>
      <c r="F25" s="27"/>
      <c r="H25" s="34"/>
      <c r="J25" s="35"/>
    </row>
    <row r="26" spans="1:10" ht="15" thickBot="1">
      <c r="A26" s="1">
        <v>7</v>
      </c>
      <c r="B26" t="s">
        <v>102</v>
      </c>
      <c r="D26" s="31">
        <f>SUM(D14:D25)</f>
        <v>1148663</v>
      </c>
      <c r="F26" s="32">
        <f>SUM(F14:F25)</f>
        <v>1</v>
      </c>
      <c r="J26" s="36">
        <f>SUM(J14:J25)</f>
        <v>9.8799999999999999E-2</v>
      </c>
    </row>
    <row r="27" spans="1:10" ht="15" thickTop="1"/>
    <row r="29" spans="1:10">
      <c r="G29" t="s">
        <v>211</v>
      </c>
    </row>
  </sheetData>
  <mergeCells count="5">
    <mergeCell ref="A2:J2"/>
    <mergeCell ref="A3:J3"/>
    <mergeCell ref="A4:J4"/>
    <mergeCell ref="A5:J5"/>
    <mergeCell ref="A6:J6"/>
  </mergeCells>
  <pageMargins left="0.2" right="0.2" top="0.25" bottom="0.25" header="0.3" footer="0.3"/>
  <pageSetup scale="94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2:H67"/>
  <sheetViews>
    <sheetView workbookViewId="0"/>
  </sheetViews>
  <sheetFormatPr defaultRowHeight="14.4"/>
  <cols>
    <col min="1" max="1" width="9.44140625" style="1" customWidth="1"/>
    <col min="2" max="2" width="11" style="1" customWidth="1"/>
    <col min="3" max="3" width="36.88671875" bestFit="1" customWidth="1"/>
    <col min="4" max="4" width="11.44140625" customWidth="1"/>
    <col min="5" max="5" width="12.33203125" customWidth="1"/>
    <col min="6" max="6" width="14.6640625" customWidth="1"/>
    <col min="7" max="7" width="14.5546875" customWidth="1"/>
    <col min="8" max="8" width="13.44140625" customWidth="1"/>
  </cols>
  <sheetData>
    <row r="2" spans="1:8">
      <c r="A2" s="128" t="str">
        <f>'Rate Design'!A2:F2</f>
        <v>Hillcrest Utility Operating Company, Inc.</v>
      </c>
      <c r="B2" s="128"/>
      <c r="C2" s="128"/>
      <c r="D2" s="128"/>
      <c r="E2" s="128"/>
      <c r="F2" s="128"/>
      <c r="G2" s="128"/>
      <c r="H2" s="128"/>
    </row>
    <row r="3" spans="1:8">
      <c r="A3" s="128" t="str">
        <f>'Rate Design'!A3:F3</f>
        <v>Informal Rate Case</v>
      </c>
      <c r="B3" s="128"/>
      <c r="C3" s="128"/>
      <c r="D3" s="128"/>
      <c r="E3" s="128"/>
      <c r="F3" s="128"/>
      <c r="G3" s="128"/>
      <c r="H3" s="128"/>
    </row>
    <row r="4" spans="1:8">
      <c r="A4" s="128" t="str">
        <f>'Rate Design'!A4:F4</f>
        <v>Case Number WR-2016-0064</v>
      </c>
      <c r="B4" s="128"/>
      <c r="C4" s="128"/>
      <c r="D4" s="128"/>
      <c r="E4" s="128"/>
      <c r="F4" s="128"/>
      <c r="G4" s="128"/>
      <c r="H4" s="128"/>
    </row>
    <row r="5" spans="1:8">
      <c r="A5" s="128" t="str">
        <f>'Rate Design'!A5:F5</f>
        <v>Test Year Ending 7/31/2015, Update 10/31/2015</v>
      </c>
      <c r="B5" s="128"/>
      <c r="C5" s="128"/>
      <c r="D5" s="128"/>
      <c r="E5" s="128"/>
      <c r="F5" s="128"/>
      <c r="G5" s="128"/>
      <c r="H5" s="128"/>
    </row>
    <row r="6" spans="1:8">
      <c r="A6" s="128" t="s">
        <v>103</v>
      </c>
      <c r="B6" s="128"/>
      <c r="C6" s="128"/>
      <c r="D6" s="128"/>
      <c r="E6" s="128"/>
      <c r="F6" s="128"/>
      <c r="G6" s="128"/>
      <c r="H6" s="128"/>
    </row>
    <row r="9" spans="1:8">
      <c r="A9" s="12" t="s">
        <v>3</v>
      </c>
      <c r="B9" s="13"/>
      <c r="C9" s="13"/>
      <c r="D9" s="13" t="s">
        <v>106</v>
      </c>
      <c r="E9" s="13" t="s">
        <v>108</v>
      </c>
      <c r="F9" s="13"/>
      <c r="G9" s="13" t="s">
        <v>110</v>
      </c>
      <c r="H9" s="38" t="s">
        <v>112</v>
      </c>
    </row>
    <row r="10" spans="1:8">
      <c r="A10" s="16" t="s">
        <v>2</v>
      </c>
      <c r="B10" s="17" t="s">
        <v>104</v>
      </c>
      <c r="C10" s="17" t="s">
        <v>105</v>
      </c>
      <c r="D10" s="17" t="s">
        <v>107</v>
      </c>
      <c r="E10" s="17" t="s">
        <v>2</v>
      </c>
      <c r="F10" s="17" t="s">
        <v>109</v>
      </c>
      <c r="G10" s="17" t="s">
        <v>111</v>
      </c>
      <c r="H10" s="41" t="s">
        <v>110</v>
      </c>
    </row>
    <row r="12" spans="1:8">
      <c r="A12" s="1">
        <v>1</v>
      </c>
      <c r="B12" s="42"/>
      <c r="C12" t="s">
        <v>113</v>
      </c>
      <c r="D12" s="45"/>
    </row>
    <row r="13" spans="1:8">
      <c r="A13" s="1">
        <v>2</v>
      </c>
      <c r="B13" s="43">
        <v>301</v>
      </c>
      <c r="C13" s="2" t="s">
        <v>114</v>
      </c>
      <c r="D13" s="46">
        <v>0</v>
      </c>
      <c r="F13" s="45">
        <v>0</v>
      </c>
      <c r="G13" s="34">
        <v>1</v>
      </c>
      <c r="H13" s="45">
        <f>(D13+F13)*G13</f>
        <v>0</v>
      </c>
    </row>
    <row r="14" spans="1:8">
      <c r="A14" s="1">
        <v>3</v>
      </c>
      <c r="B14" s="43">
        <v>302</v>
      </c>
      <c r="C14" s="2" t="s">
        <v>115</v>
      </c>
      <c r="D14" s="46">
        <v>0</v>
      </c>
      <c r="F14" s="45">
        <v>0</v>
      </c>
      <c r="G14" s="34">
        <v>1</v>
      </c>
      <c r="H14" s="45">
        <f>(D14+F14)*G14</f>
        <v>0</v>
      </c>
    </row>
    <row r="15" spans="1:8">
      <c r="A15" s="1">
        <v>4</v>
      </c>
      <c r="B15" s="43">
        <v>303</v>
      </c>
      <c r="C15" s="2" t="s">
        <v>116</v>
      </c>
      <c r="D15" s="46">
        <v>0</v>
      </c>
      <c r="F15" s="45">
        <v>0</v>
      </c>
      <c r="G15" s="34">
        <v>1</v>
      </c>
      <c r="H15" s="45">
        <f>(D15+F15)*G15</f>
        <v>0</v>
      </c>
    </row>
    <row r="16" spans="1:8">
      <c r="A16" s="1">
        <v>5</v>
      </c>
      <c r="B16" s="42"/>
      <c r="C16" t="s">
        <v>117</v>
      </c>
      <c r="D16" s="47">
        <f>SUM(D13:D15)</f>
        <v>0</v>
      </c>
      <c r="F16" s="47">
        <f>SUM(F13:F15)</f>
        <v>0</v>
      </c>
      <c r="G16" s="34"/>
      <c r="H16" s="47">
        <f>SUM(H13:H15)</f>
        <v>0</v>
      </c>
    </row>
    <row r="17" spans="1:8">
      <c r="B17" s="42"/>
      <c r="D17" s="45"/>
      <c r="F17" s="45"/>
      <c r="G17" s="34"/>
      <c r="H17" s="45"/>
    </row>
    <row r="18" spans="1:8">
      <c r="A18" s="1">
        <v>6</v>
      </c>
      <c r="B18" s="42"/>
      <c r="C18" t="s">
        <v>118</v>
      </c>
      <c r="D18" s="45"/>
      <c r="F18" s="45"/>
      <c r="G18" s="34"/>
      <c r="H18" s="45"/>
    </row>
    <row r="19" spans="1:8">
      <c r="A19" s="1">
        <v>7</v>
      </c>
      <c r="B19" s="43">
        <v>310</v>
      </c>
      <c r="C19" s="2" t="s">
        <v>119</v>
      </c>
      <c r="D19" s="46">
        <v>0</v>
      </c>
      <c r="F19" s="45">
        <v>0</v>
      </c>
      <c r="G19" s="34">
        <v>1</v>
      </c>
      <c r="H19" s="45">
        <f>(D19+F19)*G19</f>
        <v>0</v>
      </c>
    </row>
    <row r="20" spans="1:8">
      <c r="A20" s="114">
        <v>8</v>
      </c>
      <c r="B20" s="115">
        <v>311</v>
      </c>
      <c r="C20" s="111" t="s">
        <v>120</v>
      </c>
      <c r="D20" s="116">
        <v>180293</v>
      </c>
      <c r="E20" s="114" t="str">
        <f>'Plant Adj'!A13</f>
        <v>P-1</v>
      </c>
      <c r="F20" s="117">
        <f>'Plant Adj'!E13</f>
        <v>724</v>
      </c>
      <c r="G20" s="118">
        <v>1</v>
      </c>
      <c r="H20" s="117">
        <f t="shared" ref="H20:H25" si="0">(D20+F20)*G20</f>
        <v>181017</v>
      </c>
    </row>
    <row r="21" spans="1:8">
      <c r="A21" s="1">
        <v>9</v>
      </c>
      <c r="B21" s="43">
        <v>312</v>
      </c>
      <c r="C21" s="2" t="s">
        <v>121</v>
      </c>
      <c r="D21" s="46">
        <v>0</v>
      </c>
      <c r="F21" s="45">
        <v>0</v>
      </c>
      <c r="G21" s="34">
        <v>1</v>
      </c>
      <c r="H21" s="45">
        <f t="shared" si="0"/>
        <v>0</v>
      </c>
    </row>
    <row r="22" spans="1:8">
      <c r="A22" s="1">
        <v>10</v>
      </c>
      <c r="B22" s="43">
        <v>313</v>
      </c>
      <c r="C22" s="2" t="s">
        <v>122</v>
      </c>
      <c r="D22" s="46">
        <v>0</v>
      </c>
      <c r="F22" s="45">
        <v>0</v>
      </c>
      <c r="G22" s="34">
        <v>1</v>
      </c>
      <c r="H22" s="45">
        <f t="shared" si="0"/>
        <v>0</v>
      </c>
    </row>
    <row r="23" spans="1:8">
      <c r="A23" s="1">
        <v>11</v>
      </c>
      <c r="B23" s="43">
        <v>314</v>
      </c>
      <c r="C23" s="2" t="s">
        <v>229</v>
      </c>
      <c r="D23" s="46">
        <v>9450</v>
      </c>
      <c r="F23" s="45">
        <v>0</v>
      </c>
      <c r="G23" s="34">
        <v>1</v>
      </c>
      <c r="H23" s="45">
        <f t="shared" si="0"/>
        <v>9450</v>
      </c>
    </row>
    <row r="24" spans="1:8">
      <c r="A24" s="1">
        <v>12</v>
      </c>
      <c r="B24" s="43">
        <v>315</v>
      </c>
      <c r="C24" s="2" t="s">
        <v>123</v>
      </c>
      <c r="D24" s="46">
        <v>0</v>
      </c>
      <c r="F24" s="45">
        <v>0</v>
      </c>
      <c r="G24" s="34">
        <v>1</v>
      </c>
      <c r="H24" s="45">
        <f t="shared" si="0"/>
        <v>0</v>
      </c>
    </row>
    <row r="25" spans="1:8">
      <c r="A25" s="1">
        <v>13</v>
      </c>
      <c r="B25" s="43">
        <v>316</v>
      </c>
      <c r="C25" s="2" t="s">
        <v>124</v>
      </c>
      <c r="D25" s="46">
        <v>1162</v>
      </c>
      <c r="F25" s="45">
        <v>0</v>
      </c>
      <c r="G25" s="34">
        <v>1</v>
      </c>
      <c r="H25" s="45">
        <f t="shared" si="0"/>
        <v>1162</v>
      </c>
    </row>
    <row r="26" spans="1:8">
      <c r="A26" s="1">
        <v>14</v>
      </c>
      <c r="B26" s="42"/>
      <c r="C26" t="s">
        <v>125</v>
      </c>
      <c r="D26" s="47">
        <f>SUM(D19:D25)</f>
        <v>190905</v>
      </c>
      <c r="F26" s="47">
        <f>SUM(F19:F25)</f>
        <v>724</v>
      </c>
      <c r="G26" s="34"/>
      <c r="H26" s="47">
        <f>SUM(H19:H25)</f>
        <v>191629</v>
      </c>
    </row>
    <row r="27" spans="1:8">
      <c r="B27" s="42"/>
      <c r="D27" s="45"/>
      <c r="F27" s="45"/>
      <c r="G27" s="34"/>
      <c r="H27" s="45"/>
    </row>
    <row r="28" spans="1:8">
      <c r="A28" s="1">
        <v>15</v>
      </c>
      <c r="B28" s="42"/>
      <c r="C28" s="44" t="s">
        <v>126</v>
      </c>
      <c r="D28" s="45"/>
      <c r="F28" s="45"/>
      <c r="G28" s="34"/>
      <c r="H28" s="45"/>
    </row>
    <row r="29" spans="1:8">
      <c r="A29" s="1">
        <v>16</v>
      </c>
      <c r="B29" s="43">
        <v>323</v>
      </c>
      <c r="C29" s="2" t="s">
        <v>230</v>
      </c>
      <c r="D29" s="46">
        <v>161331</v>
      </c>
      <c r="F29" s="45">
        <v>0</v>
      </c>
      <c r="G29" s="34">
        <v>1</v>
      </c>
      <c r="H29" s="45">
        <f>(D29+F29)*G29</f>
        <v>161331</v>
      </c>
    </row>
    <row r="30" spans="1:8">
      <c r="A30" s="1">
        <v>17</v>
      </c>
      <c r="B30" s="43">
        <v>325.10000000000002</v>
      </c>
      <c r="C30" s="2" t="s">
        <v>127</v>
      </c>
      <c r="D30" s="46">
        <v>40430</v>
      </c>
      <c r="F30" s="45">
        <v>0</v>
      </c>
      <c r="G30" s="34">
        <v>1</v>
      </c>
      <c r="H30" s="45">
        <f>(D30+F30)*G30</f>
        <v>40430</v>
      </c>
    </row>
    <row r="31" spans="1:8">
      <c r="A31" s="1">
        <v>18</v>
      </c>
      <c r="B31" s="43">
        <v>326</v>
      </c>
      <c r="C31" s="2" t="s">
        <v>128</v>
      </c>
      <c r="D31" s="46">
        <v>0</v>
      </c>
      <c r="F31" s="45">
        <v>0</v>
      </c>
      <c r="G31" s="34">
        <v>1</v>
      </c>
      <c r="H31" s="45">
        <f>(D31+F31)*G31</f>
        <v>0</v>
      </c>
    </row>
    <row r="32" spans="1:8">
      <c r="A32" s="1">
        <v>19</v>
      </c>
      <c r="B32" s="43">
        <v>328</v>
      </c>
      <c r="C32" s="2" t="s">
        <v>129</v>
      </c>
      <c r="D32" s="46">
        <v>0</v>
      </c>
      <c r="F32" s="45">
        <v>0</v>
      </c>
      <c r="G32" s="34">
        <v>1</v>
      </c>
      <c r="H32" s="45">
        <f>(D32+F32)*G32</f>
        <v>0</v>
      </c>
    </row>
    <row r="33" spans="1:8">
      <c r="A33" s="1">
        <v>20</v>
      </c>
      <c r="B33" s="42"/>
      <c r="C33" t="s">
        <v>130</v>
      </c>
      <c r="D33" s="47">
        <f>SUM(D29:D32)</f>
        <v>201761</v>
      </c>
      <c r="F33" s="47">
        <f>SUM(F29:F32)</f>
        <v>0</v>
      </c>
      <c r="G33" s="34"/>
      <c r="H33" s="47">
        <f>SUM(H29:H32)</f>
        <v>201761</v>
      </c>
    </row>
    <row r="34" spans="1:8">
      <c r="B34" s="42"/>
      <c r="D34" s="45"/>
      <c r="F34" s="45"/>
      <c r="G34" s="34"/>
      <c r="H34" s="45"/>
    </row>
    <row r="35" spans="1:8">
      <c r="A35" s="1">
        <v>21</v>
      </c>
      <c r="B35" s="42"/>
      <c r="C35" t="s">
        <v>131</v>
      </c>
      <c r="D35" s="45"/>
      <c r="F35" s="45"/>
      <c r="G35" s="34"/>
      <c r="H35" s="45"/>
    </row>
    <row r="36" spans="1:8">
      <c r="A36" s="1">
        <v>22</v>
      </c>
      <c r="B36" s="43">
        <v>330</v>
      </c>
      <c r="C36" s="2" t="s">
        <v>132</v>
      </c>
      <c r="D36" s="46">
        <v>0</v>
      </c>
      <c r="F36" s="45">
        <v>0</v>
      </c>
      <c r="G36" s="34">
        <v>1</v>
      </c>
      <c r="H36" s="45">
        <f>(D36+F36)*G36</f>
        <v>0</v>
      </c>
    </row>
    <row r="37" spans="1:8">
      <c r="A37" s="1">
        <v>23</v>
      </c>
      <c r="B37" s="43">
        <v>331</v>
      </c>
      <c r="C37" s="2" t="s">
        <v>133</v>
      </c>
      <c r="D37" s="46">
        <v>0</v>
      </c>
      <c r="F37" s="45">
        <v>0</v>
      </c>
      <c r="G37" s="34">
        <v>1</v>
      </c>
      <c r="H37" s="45">
        <f>(D37+F37)*G37</f>
        <v>0</v>
      </c>
    </row>
    <row r="38" spans="1:8">
      <c r="A38" s="1">
        <v>24</v>
      </c>
      <c r="B38" s="43">
        <v>332</v>
      </c>
      <c r="C38" s="2" t="s">
        <v>134</v>
      </c>
      <c r="D38" s="46">
        <v>12244</v>
      </c>
      <c r="F38" s="45">
        <v>0</v>
      </c>
      <c r="G38" s="34">
        <v>1</v>
      </c>
      <c r="H38" s="45">
        <f>(D38+F38)*G38</f>
        <v>12244</v>
      </c>
    </row>
    <row r="39" spans="1:8">
      <c r="A39" s="1">
        <v>25</v>
      </c>
      <c r="B39" s="42"/>
      <c r="C39" t="s">
        <v>135</v>
      </c>
      <c r="D39" s="47">
        <f>SUM(D36:D38)</f>
        <v>12244</v>
      </c>
      <c r="F39" s="47">
        <f>SUM(F36:F38)</f>
        <v>0</v>
      </c>
      <c r="G39" s="34"/>
      <c r="H39" s="47">
        <f>SUM(H36:H38)</f>
        <v>12244</v>
      </c>
    </row>
    <row r="40" spans="1:8">
      <c r="B40" s="42"/>
      <c r="D40" s="45"/>
      <c r="F40" s="45"/>
      <c r="G40" s="34"/>
      <c r="H40" s="45"/>
    </row>
    <row r="41" spans="1:8">
      <c r="A41" s="1">
        <v>26</v>
      </c>
      <c r="B41" s="42"/>
      <c r="C41" t="s">
        <v>136</v>
      </c>
      <c r="D41" s="45"/>
      <c r="F41" s="45"/>
      <c r="G41" s="34"/>
      <c r="H41" s="45"/>
    </row>
    <row r="42" spans="1:8">
      <c r="A42" s="1">
        <v>27</v>
      </c>
      <c r="B42" s="43">
        <v>340</v>
      </c>
      <c r="C42" s="2" t="s">
        <v>137</v>
      </c>
      <c r="D42" s="46">
        <v>0</v>
      </c>
      <c r="F42" s="45">
        <v>0</v>
      </c>
      <c r="G42" s="34">
        <v>1</v>
      </c>
      <c r="H42" s="45">
        <f>(D42+F42)*G42</f>
        <v>0</v>
      </c>
    </row>
    <row r="43" spans="1:8">
      <c r="A43" s="1">
        <v>28</v>
      </c>
      <c r="B43" s="43">
        <v>341</v>
      </c>
      <c r="C43" s="2" t="s">
        <v>138</v>
      </c>
      <c r="D43" s="46">
        <v>0</v>
      </c>
      <c r="F43" s="45">
        <v>0</v>
      </c>
      <c r="G43" s="34">
        <v>1</v>
      </c>
      <c r="H43" s="45">
        <f t="shared" ref="H43:H53" si="1">(D43+F43)*G43</f>
        <v>0</v>
      </c>
    </row>
    <row r="44" spans="1:8">
      <c r="A44" s="1">
        <v>29</v>
      </c>
      <c r="B44" s="43">
        <v>342</v>
      </c>
      <c r="C44" s="2" t="s">
        <v>139</v>
      </c>
      <c r="D44" s="46">
        <v>127295</v>
      </c>
      <c r="F44" s="45">
        <v>0</v>
      </c>
      <c r="G44" s="34">
        <v>1</v>
      </c>
      <c r="H44" s="45">
        <f t="shared" si="1"/>
        <v>127295</v>
      </c>
    </row>
    <row r="45" spans="1:8">
      <c r="A45" s="1">
        <v>30</v>
      </c>
      <c r="B45" s="43">
        <v>343</v>
      </c>
      <c r="C45" s="2" t="s">
        <v>142</v>
      </c>
      <c r="D45" s="46">
        <v>88593</v>
      </c>
      <c r="F45" s="45">
        <v>0</v>
      </c>
      <c r="G45" s="34">
        <v>1</v>
      </c>
      <c r="H45" s="45">
        <f t="shared" si="1"/>
        <v>88593</v>
      </c>
    </row>
    <row r="46" spans="1:8">
      <c r="A46" s="1">
        <v>31</v>
      </c>
      <c r="B46" s="43">
        <v>344</v>
      </c>
      <c r="C46" s="2" t="s">
        <v>140</v>
      </c>
      <c r="D46" s="46">
        <v>0</v>
      </c>
      <c r="F46" s="45">
        <v>0</v>
      </c>
      <c r="G46" s="34">
        <v>1</v>
      </c>
      <c r="H46" s="45">
        <f t="shared" si="1"/>
        <v>0</v>
      </c>
    </row>
    <row r="47" spans="1:8">
      <c r="A47" s="1">
        <v>32</v>
      </c>
      <c r="B47" s="43">
        <v>345</v>
      </c>
      <c r="C47" s="2" t="s">
        <v>141</v>
      </c>
      <c r="D47" s="46">
        <v>1335</v>
      </c>
      <c r="F47" s="45">
        <v>0</v>
      </c>
      <c r="G47" s="34">
        <v>1</v>
      </c>
      <c r="H47" s="45">
        <f t="shared" si="1"/>
        <v>1335</v>
      </c>
    </row>
    <row r="48" spans="1:8">
      <c r="A48" s="1">
        <v>33</v>
      </c>
      <c r="B48" s="43">
        <v>346</v>
      </c>
      <c r="C48" s="2" t="s">
        <v>143</v>
      </c>
      <c r="D48" s="46">
        <v>0</v>
      </c>
      <c r="F48" s="45">
        <v>0</v>
      </c>
      <c r="G48" s="34">
        <v>1</v>
      </c>
      <c r="H48" s="45">
        <f t="shared" si="1"/>
        <v>0</v>
      </c>
    </row>
    <row r="49" spans="1:8">
      <c r="A49" s="1">
        <v>34</v>
      </c>
      <c r="B49" s="43">
        <v>346</v>
      </c>
      <c r="C49" s="2" t="s">
        <v>144</v>
      </c>
      <c r="D49" s="46">
        <v>59004</v>
      </c>
      <c r="F49" s="45">
        <v>0</v>
      </c>
      <c r="G49" s="34">
        <v>1</v>
      </c>
      <c r="H49" s="45">
        <f t="shared" si="1"/>
        <v>59004</v>
      </c>
    </row>
    <row r="50" spans="1:8">
      <c r="A50" s="1">
        <v>35</v>
      </c>
      <c r="B50" s="43">
        <v>347</v>
      </c>
      <c r="C50" s="2" t="s">
        <v>145</v>
      </c>
      <c r="D50" s="46">
        <v>0</v>
      </c>
      <c r="F50" s="45">
        <v>0</v>
      </c>
      <c r="G50" s="34">
        <v>1</v>
      </c>
      <c r="H50" s="45">
        <f t="shared" si="1"/>
        <v>0</v>
      </c>
    </row>
    <row r="51" spans="1:8">
      <c r="A51" s="1">
        <v>36</v>
      </c>
      <c r="B51" s="43">
        <v>347</v>
      </c>
      <c r="C51" s="2" t="s">
        <v>146</v>
      </c>
      <c r="D51" s="46">
        <v>500</v>
      </c>
      <c r="F51" s="45">
        <v>0</v>
      </c>
      <c r="G51" s="34">
        <v>1</v>
      </c>
      <c r="H51" s="45">
        <f t="shared" si="1"/>
        <v>500</v>
      </c>
    </row>
    <row r="52" spans="1:8">
      <c r="A52" s="1">
        <v>37</v>
      </c>
      <c r="B52" s="43">
        <v>348</v>
      </c>
      <c r="C52" s="2" t="s">
        <v>147</v>
      </c>
      <c r="D52" s="46">
        <v>0</v>
      </c>
      <c r="F52" s="45">
        <v>0</v>
      </c>
      <c r="G52" s="34">
        <v>1</v>
      </c>
      <c r="H52" s="45">
        <f t="shared" si="1"/>
        <v>0</v>
      </c>
    </row>
    <row r="53" spans="1:8">
      <c r="A53" s="1">
        <v>38</v>
      </c>
      <c r="B53" s="43">
        <v>349</v>
      </c>
      <c r="C53" s="2" t="s">
        <v>148</v>
      </c>
      <c r="D53" s="46">
        <v>13420</v>
      </c>
      <c r="F53" s="45">
        <v>0</v>
      </c>
      <c r="G53" s="34">
        <v>1</v>
      </c>
      <c r="H53" s="45">
        <f t="shared" si="1"/>
        <v>13420</v>
      </c>
    </row>
    <row r="54" spans="1:8">
      <c r="A54" s="1">
        <v>39</v>
      </c>
      <c r="B54" s="43"/>
      <c r="C54" s="44" t="s">
        <v>149</v>
      </c>
      <c r="D54" s="47">
        <f>SUM(D42:D53)</f>
        <v>290147</v>
      </c>
      <c r="F54" s="47">
        <f>SUM(F42:F53)</f>
        <v>0</v>
      </c>
      <c r="G54" s="34"/>
      <c r="H54" s="47">
        <f>SUM(H42:H53)</f>
        <v>290147</v>
      </c>
    </row>
    <row r="55" spans="1:8">
      <c r="B55" s="43"/>
      <c r="D55" s="45"/>
      <c r="F55" s="45"/>
      <c r="G55" s="34"/>
      <c r="H55" s="45"/>
    </row>
    <row r="56" spans="1:8">
      <c r="A56" s="1">
        <v>40</v>
      </c>
      <c r="B56" s="43"/>
      <c r="C56" s="44" t="s">
        <v>150</v>
      </c>
      <c r="D56" s="45"/>
      <c r="F56" s="45"/>
      <c r="G56" s="34"/>
      <c r="H56" s="45"/>
    </row>
    <row r="57" spans="1:8">
      <c r="A57" s="1">
        <v>41</v>
      </c>
      <c r="B57" s="43">
        <v>370</v>
      </c>
      <c r="C57" s="2" t="s">
        <v>151</v>
      </c>
      <c r="D57" s="46">
        <v>0</v>
      </c>
      <c r="F57" s="45">
        <v>0</v>
      </c>
      <c r="G57" s="34">
        <v>1</v>
      </c>
      <c r="H57" s="45">
        <f>(D57+F57)*G57</f>
        <v>0</v>
      </c>
    </row>
    <row r="58" spans="1:8">
      <c r="A58" s="1">
        <v>42</v>
      </c>
      <c r="B58" s="43">
        <v>371</v>
      </c>
      <c r="C58" s="2" t="s">
        <v>152</v>
      </c>
      <c r="D58" s="46">
        <v>0</v>
      </c>
      <c r="F58" s="45">
        <v>0</v>
      </c>
      <c r="G58" s="34">
        <v>1</v>
      </c>
      <c r="H58" s="45">
        <f t="shared" ref="H58:H63" si="2">(D58+F58)*G58</f>
        <v>0</v>
      </c>
    </row>
    <row r="59" spans="1:8">
      <c r="A59" s="114">
        <v>43</v>
      </c>
      <c r="B59" s="115">
        <v>372</v>
      </c>
      <c r="C59" s="111" t="s">
        <v>231</v>
      </c>
      <c r="D59" s="116">
        <v>681</v>
      </c>
      <c r="E59" s="114" t="str">
        <f>'Plant Adj'!A19</f>
        <v>P-2</v>
      </c>
      <c r="F59" s="117">
        <f>'Plant Adj'!E19</f>
        <v>-171</v>
      </c>
      <c r="G59" s="118">
        <v>1</v>
      </c>
      <c r="H59" s="117">
        <f t="shared" si="2"/>
        <v>510</v>
      </c>
    </row>
    <row r="60" spans="1:8">
      <c r="A60" s="114">
        <v>44</v>
      </c>
      <c r="B60" s="115">
        <v>372.1</v>
      </c>
      <c r="C60" s="111" t="s">
        <v>256</v>
      </c>
      <c r="D60" s="116">
        <v>531</v>
      </c>
      <c r="E60" s="114" t="str">
        <f>'Plant Adj'!A25</f>
        <v>P-3</v>
      </c>
      <c r="F60" s="117">
        <f>'Plant Adj'!E25</f>
        <v>-283</v>
      </c>
      <c r="G60" s="118">
        <v>1</v>
      </c>
      <c r="H60" s="117">
        <f t="shared" si="2"/>
        <v>248</v>
      </c>
    </row>
    <row r="61" spans="1:8">
      <c r="A61" s="1">
        <v>45</v>
      </c>
      <c r="B61" s="43">
        <v>379</v>
      </c>
      <c r="C61" s="2" t="s">
        <v>153</v>
      </c>
      <c r="D61" s="46">
        <v>0</v>
      </c>
      <c r="F61" s="45">
        <v>0</v>
      </c>
      <c r="G61" s="34">
        <v>1</v>
      </c>
      <c r="H61" s="45">
        <f t="shared" si="2"/>
        <v>0</v>
      </c>
    </row>
    <row r="62" spans="1:8">
      <c r="A62" s="1">
        <v>46</v>
      </c>
      <c r="B62" s="43">
        <v>395</v>
      </c>
      <c r="C62" s="2" t="s">
        <v>154</v>
      </c>
      <c r="D62" s="46">
        <v>0</v>
      </c>
      <c r="F62" s="45">
        <v>0</v>
      </c>
      <c r="G62" s="34">
        <v>1</v>
      </c>
      <c r="H62" s="45">
        <f t="shared" si="2"/>
        <v>0</v>
      </c>
    </row>
    <row r="63" spans="1:8">
      <c r="A63" s="1">
        <v>47</v>
      </c>
      <c r="B63" s="43">
        <v>397</v>
      </c>
      <c r="C63" s="108" t="s">
        <v>284</v>
      </c>
      <c r="D63" s="46">
        <v>6923</v>
      </c>
      <c r="F63" s="45">
        <v>0</v>
      </c>
      <c r="G63" s="34">
        <v>1</v>
      </c>
      <c r="H63" s="109">
        <f t="shared" si="2"/>
        <v>6923</v>
      </c>
    </row>
    <row r="64" spans="1:8">
      <c r="A64" s="1">
        <v>48</v>
      </c>
      <c r="B64" s="43"/>
      <c r="C64" t="s">
        <v>155</v>
      </c>
      <c r="D64" s="47">
        <f>SUM(D57:D63)</f>
        <v>8135</v>
      </c>
      <c r="F64" s="47">
        <f>SUM(F57:F63)</f>
        <v>-454</v>
      </c>
      <c r="G64" s="26"/>
      <c r="H64" s="47">
        <f>SUM(H57:H63)</f>
        <v>7681</v>
      </c>
    </row>
    <row r="65" spans="1:8">
      <c r="B65" s="43"/>
      <c r="D65" s="45"/>
      <c r="F65" s="45"/>
      <c r="G65" s="26"/>
      <c r="H65" s="45"/>
    </row>
    <row r="66" spans="1:8" ht="15" thickBot="1">
      <c r="A66" s="37">
        <v>49</v>
      </c>
      <c r="B66" s="81"/>
      <c r="C66" s="48" t="s">
        <v>156</v>
      </c>
      <c r="D66" s="71">
        <f>D16+D26+D33+D39+D54+D64</f>
        <v>703192</v>
      </c>
      <c r="E66" s="48"/>
      <c r="F66" s="71">
        <f>F16+F26+F33+F39+F54+F64</f>
        <v>270</v>
      </c>
      <c r="G66" s="82"/>
      <c r="H66" s="71">
        <f>H16+H26+H33+H39+H54+H64</f>
        <v>703462</v>
      </c>
    </row>
    <row r="67" spans="1:8" ht="15" thickTop="1"/>
  </sheetData>
  <mergeCells count="5">
    <mergeCell ref="A2:H2"/>
    <mergeCell ref="A3:H3"/>
    <mergeCell ref="A4:H4"/>
    <mergeCell ref="A5:H5"/>
    <mergeCell ref="A6:H6"/>
  </mergeCells>
  <pageMargins left="0.2" right="0.2" top="0.25" bottom="0.25" header="0.3" footer="0.3"/>
  <pageSetup scale="79" orientation="portrait" r:id="rId1"/>
  <ignoredErrors>
    <ignoredError sqref="B16:B18 B26:B28 B33:B35 B39:B41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>
  <dimension ref="A2:E32"/>
  <sheetViews>
    <sheetView workbookViewId="0"/>
  </sheetViews>
  <sheetFormatPr defaultRowHeight="14.4"/>
  <cols>
    <col min="1" max="1" width="11.88671875" style="1" customWidth="1"/>
    <col min="2" max="2" width="47.5546875" customWidth="1"/>
    <col min="3" max="3" width="11.109375" customWidth="1"/>
    <col min="4" max="5" width="13.6640625" customWidth="1"/>
  </cols>
  <sheetData>
    <row r="2" spans="1:5">
      <c r="A2" s="128" t="str">
        <f>'Rate Design'!A2:F2</f>
        <v>Hillcrest Utility Operating Company, Inc.</v>
      </c>
      <c r="B2" s="128"/>
      <c r="C2" s="128"/>
      <c r="D2" s="128"/>
      <c r="E2" s="128"/>
    </row>
    <row r="3" spans="1:5">
      <c r="A3" s="128" t="str">
        <f>'Rate Design'!A3:F3</f>
        <v>Informal Rate Case</v>
      </c>
      <c r="B3" s="128"/>
      <c r="C3" s="128"/>
      <c r="D3" s="128"/>
      <c r="E3" s="128"/>
    </row>
    <row r="4" spans="1:5">
      <c r="A4" s="128" t="str">
        <f>'Rate Design'!A4:F4</f>
        <v>Case Number WR-2016-0064</v>
      </c>
      <c r="B4" s="128"/>
      <c r="C4" s="128"/>
      <c r="D4" s="128"/>
      <c r="E4" s="128"/>
    </row>
    <row r="5" spans="1:5">
      <c r="A5" s="128" t="str">
        <f>'Rate Design'!A5:F5</f>
        <v>Test Year Ending 7/31/2015, Update 10/31/2015</v>
      </c>
      <c r="B5" s="128"/>
      <c r="C5" s="128"/>
      <c r="D5" s="128"/>
      <c r="E5" s="128"/>
    </row>
    <row r="6" spans="1:5">
      <c r="A6" s="128" t="s">
        <v>157</v>
      </c>
      <c r="B6" s="128"/>
      <c r="C6" s="128"/>
      <c r="D6" s="128"/>
      <c r="E6" s="128"/>
    </row>
    <row r="9" spans="1:5">
      <c r="A9" s="12" t="s">
        <v>107</v>
      </c>
      <c r="B9" s="13"/>
      <c r="C9" s="13"/>
      <c r="D9" s="13"/>
      <c r="E9" s="38"/>
    </row>
    <row r="10" spans="1:5">
      <c r="A10" s="39" t="s">
        <v>108</v>
      </c>
      <c r="B10" s="21"/>
      <c r="C10" s="21" t="s">
        <v>159</v>
      </c>
      <c r="D10" s="21" t="s">
        <v>108</v>
      </c>
      <c r="E10" s="40" t="s">
        <v>106</v>
      </c>
    </row>
    <row r="11" spans="1:5">
      <c r="A11" s="16" t="s">
        <v>2</v>
      </c>
      <c r="B11" s="17" t="s">
        <v>158</v>
      </c>
      <c r="C11" s="17" t="s">
        <v>2</v>
      </c>
      <c r="D11" s="17" t="s">
        <v>6</v>
      </c>
      <c r="E11" s="41" t="s">
        <v>108</v>
      </c>
    </row>
    <row r="13" spans="1:5">
      <c r="A13" s="37" t="s">
        <v>160</v>
      </c>
      <c r="B13" s="48" t="str">
        <f>Plant!C20</f>
        <v>Structures &amp; Improvements - SSP</v>
      </c>
      <c r="C13" s="48"/>
      <c r="D13" s="48"/>
      <c r="E13" s="49">
        <f>SUM(D14:D18)</f>
        <v>724</v>
      </c>
    </row>
    <row r="14" spans="1:5">
      <c r="D14" s="110"/>
    </row>
    <row r="15" spans="1:5">
      <c r="B15" s="110" t="s">
        <v>282</v>
      </c>
      <c r="D15" s="46">
        <v>-428</v>
      </c>
    </row>
    <row r="16" spans="1:5">
      <c r="B16" s="110"/>
      <c r="D16" s="46"/>
    </row>
    <row r="17" spans="1:5">
      <c r="B17" s="110" t="s">
        <v>288</v>
      </c>
      <c r="D17" s="46">
        <v>1152</v>
      </c>
    </row>
    <row r="18" spans="1:5">
      <c r="D18" s="110"/>
    </row>
    <row r="19" spans="1:5">
      <c r="A19" s="37" t="s">
        <v>261</v>
      </c>
      <c r="B19" s="48" t="str">
        <f>Plant!C59</f>
        <v>Office Furniture &amp; Equipment - CSWR 14%</v>
      </c>
      <c r="C19" s="48"/>
      <c r="D19" s="48"/>
      <c r="E19" s="49">
        <f>SUM(D20:D24)</f>
        <v>-171</v>
      </c>
    </row>
    <row r="20" spans="1:5">
      <c r="D20" s="2"/>
    </row>
    <row r="21" spans="1:5">
      <c r="B21" s="2" t="s">
        <v>260</v>
      </c>
      <c r="D21" s="46">
        <v>-171</v>
      </c>
    </row>
    <row r="22" spans="1:5">
      <c r="B22" s="2"/>
      <c r="D22" s="46"/>
    </row>
    <row r="23" spans="1:5">
      <c r="B23" s="2"/>
      <c r="D23" s="46">
        <v>0</v>
      </c>
    </row>
    <row r="24" spans="1:5">
      <c r="D24" s="2"/>
    </row>
    <row r="25" spans="1:5">
      <c r="A25" s="37" t="s">
        <v>281</v>
      </c>
      <c r="B25" s="48" t="str">
        <f>Plant!C60</f>
        <v>Office Computer Equipment - CSWR 14%</v>
      </c>
      <c r="C25" s="48"/>
      <c r="D25" s="48"/>
      <c r="E25" s="49">
        <f>SUM(D26:D30)</f>
        <v>-283</v>
      </c>
    </row>
    <row r="26" spans="1:5">
      <c r="D26" s="2"/>
    </row>
    <row r="27" spans="1:5">
      <c r="B27" s="2" t="s">
        <v>260</v>
      </c>
      <c r="D27" s="46">
        <v>-283</v>
      </c>
    </row>
    <row r="28" spans="1:5">
      <c r="B28" s="2"/>
      <c r="D28" s="46"/>
    </row>
    <row r="29" spans="1:5">
      <c r="B29" s="2"/>
      <c r="D29" s="46">
        <v>0</v>
      </c>
    </row>
    <row r="30" spans="1:5">
      <c r="D30" s="2"/>
    </row>
    <row r="31" spans="1:5" ht="15" thickBot="1">
      <c r="A31" s="37"/>
      <c r="B31" s="48" t="s">
        <v>182</v>
      </c>
      <c r="C31" s="48"/>
      <c r="D31" s="48"/>
      <c r="E31" s="71">
        <f>SUM(E13:E30)</f>
        <v>270</v>
      </c>
    </row>
    <row r="32" spans="1:5" ht="15" thickTop="1"/>
  </sheetData>
  <mergeCells count="5">
    <mergeCell ref="A2:E2"/>
    <mergeCell ref="A3:E3"/>
    <mergeCell ref="A4:E4"/>
    <mergeCell ref="A5:E5"/>
    <mergeCell ref="A6:E6"/>
  </mergeCells>
  <pageMargins left="0.2" right="0.2" top="0.25" bottom="0.2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2:F67"/>
  <sheetViews>
    <sheetView workbookViewId="0"/>
  </sheetViews>
  <sheetFormatPr defaultRowHeight="14.4"/>
  <cols>
    <col min="1" max="1" width="9.109375" style="1"/>
    <col min="2" max="2" width="11.88671875" customWidth="1"/>
    <col min="3" max="3" width="38.44140625" customWidth="1"/>
    <col min="4" max="4" width="14.6640625" customWidth="1"/>
    <col min="5" max="5" width="13.88671875" customWidth="1"/>
    <col min="6" max="6" width="14.109375" customWidth="1"/>
  </cols>
  <sheetData>
    <row r="2" spans="1:6">
      <c r="A2" s="128" t="str">
        <f>'Rate Design'!A2:F2</f>
        <v>Hillcrest Utility Operating Company, Inc.</v>
      </c>
      <c r="B2" s="128"/>
      <c r="C2" s="128"/>
      <c r="D2" s="128"/>
      <c r="E2" s="128"/>
      <c r="F2" s="128"/>
    </row>
    <row r="3" spans="1:6">
      <c r="A3" s="128" t="str">
        <f>'Rate Design'!A3:F3</f>
        <v>Informal Rate Case</v>
      </c>
      <c r="B3" s="128"/>
      <c r="C3" s="128"/>
      <c r="D3" s="128"/>
      <c r="E3" s="128"/>
      <c r="F3" s="128"/>
    </row>
    <row r="4" spans="1:6">
      <c r="A4" s="128" t="str">
        <f>'Rate Design'!A4:F4</f>
        <v>Case Number WR-2016-0064</v>
      </c>
      <c r="B4" s="128"/>
      <c r="C4" s="128"/>
      <c r="D4" s="128"/>
      <c r="E4" s="128"/>
      <c r="F4" s="128"/>
    </row>
    <row r="5" spans="1:6">
      <c r="A5" s="128" t="str">
        <f>'Rate Design'!A5:F5</f>
        <v>Test Year Ending 7/31/2015, Update 10/31/2015</v>
      </c>
      <c r="B5" s="128"/>
      <c r="C5" s="128"/>
      <c r="D5" s="128"/>
      <c r="E5" s="128"/>
      <c r="F5" s="128"/>
    </row>
    <row r="6" spans="1:6">
      <c r="A6" s="128" t="s">
        <v>161</v>
      </c>
      <c r="B6" s="128"/>
      <c r="C6" s="128"/>
      <c r="D6" s="128"/>
      <c r="E6" s="128"/>
      <c r="F6" s="128"/>
    </row>
    <row r="9" spans="1:6">
      <c r="A9" s="12" t="s">
        <v>3</v>
      </c>
      <c r="B9" s="13" t="s">
        <v>159</v>
      </c>
      <c r="C9" s="13"/>
      <c r="D9" s="13" t="s">
        <v>112</v>
      </c>
      <c r="E9" s="13" t="s">
        <v>52</v>
      </c>
      <c r="F9" s="38" t="s">
        <v>52</v>
      </c>
    </row>
    <row r="10" spans="1:6">
      <c r="A10" s="16" t="s">
        <v>2</v>
      </c>
      <c r="B10" s="17" t="s">
        <v>2</v>
      </c>
      <c r="C10" s="17" t="s">
        <v>162</v>
      </c>
      <c r="D10" s="17" t="s">
        <v>110</v>
      </c>
      <c r="E10" s="17" t="s">
        <v>163</v>
      </c>
      <c r="F10" s="41" t="s">
        <v>164</v>
      </c>
    </row>
    <row r="12" spans="1:6">
      <c r="A12" s="51">
        <v>1</v>
      </c>
      <c r="B12" s="50"/>
      <c r="C12" s="44" t="s">
        <v>113</v>
      </c>
      <c r="E12" s="53"/>
    </row>
    <row r="13" spans="1:6">
      <c r="A13" s="51">
        <v>2</v>
      </c>
      <c r="B13" s="50">
        <f>Plant!B13</f>
        <v>301</v>
      </c>
      <c r="C13" s="44" t="str">
        <f>Plant!C13</f>
        <v>Organization</v>
      </c>
      <c r="D13" s="58">
        <f>Plant!H13</f>
        <v>0</v>
      </c>
      <c r="E13" s="65">
        <v>0</v>
      </c>
      <c r="F13" s="58">
        <f>D13*E13</f>
        <v>0</v>
      </c>
    </row>
    <row r="14" spans="1:6">
      <c r="A14" s="51">
        <v>3</v>
      </c>
      <c r="B14" s="50">
        <f>Plant!B14</f>
        <v>302</v>
      </c>
      <c r="C14" s="44" t="str">
        <f>Plant!C14</f>
        <v>Franchises</v>
      </c>
      <c r="D14" s="58">
        <f>Plant!H14</f>
        <v>0</v>
      </c>
      <c r="E14" s="65">
        <v>0</v>
      </c>
      <c r="F14" s="58">
        <f>D14*E14</f>
        <v>0</v>
      </c>
    </row>
    <row r="15" spans="1:6">
      <c r="A15" s="51">
        <v>4</v>
      </c>
      <c r="B15" s="50">
        <f>Plant!B15</f>
        <v>303</v>
      </c>
      <c r="C15" s="44" t="str">
        <f>Plant!C15</f>
        <v>Miscellaneous Intangible Plant</v>
      </c>
      <c r="D15" s="58">
        <f>Plant!H15</f>
        <v>0</v>
      </c>
      <c r="E15" s="65">
        <v>0</v>
      </c>
      <c r="F15" s="58">
        <f>D15*E15</f>
        <v>0</v>
      </c>
    </row>
    <row r="16" spans="1:6">
      <c r="A16" s="51">
        <v>5</v>
      </c>
      <c r="B16" s="50"/>
      <c r="C16" s="44" t="s">
        <v>117</v>
      </c>
      <c r="D16" s="59">
        <f>SUM(D13:D15)</f>
        <v>0</v>
      </c>
      <c r="E16" s="65"/>
      <c r="F16" s="59">
        <f>SUM(F13:F15)</f>
        <v>0</v>
      </c>
    </row>
    <row r="17" spans="1:6">
      <c r="A17" s="51"/>
      <c r="B17" s="50"/>
      <c r="C17" s="44"/>
      <c r="E17" s="65"/>
      <c r="F17" s="58"/>
    </row>
    <row r="18" spans="1:6">
      <c r="A18" s="51">
        <v>6</v>
      </c>
      <c r="B18" s="50"/>
      <c r="C18" s="44" t="s">
        <v>118</v>
      </c>
      <c r="E18" s="65"/>
      <c r="F18" s="58"/>
    </row>
    <row r="19" spans="1:6">
      <c r="A19" s="51">
        <v>7</v>
      </c>
      <c r="B19" s="50">
        <f>Plant!B19</f>
        <v>310</v>
      </c>
      <c r="C19" s="44" t="str">
        <f>Plant!C19</f>
        <v>Land &amp; Land Rights - SSP</v>
      </c>
      <c r="D19" s="58">
        <f>Plant!H19</f>
        <v>0</v>
      </c>
      <c r="E19" s="65">
        <v>0</v>
      </c>
      <c r="F19" s="58">
        <f>D19*E19</f>
        <v>0</v>
      </c>
    </row>
    <row r="20" spans="1:6">
      <c r="A20" s="119">
        <v>8</v>
      </c>
      <c r="B20" s="120">
        <f>Plant!B20</f>
        <v>311</v>
      </c>
      <c r="C20" s="121" t="str">
        <f>Plant!C20</f>
        <v>Structures &amp; Improvements - SSP</v>
      </c>
      <c r="D20" s="122">
        <f>Plant!H20</f>
        <v>181017</v>
      </c>
      <c r="E20" s="123">
        <v>2.5000000000000001E-2</v>
      </c>
      <c r="F20" s="122">
        <f t="shared" ref="F20:F25" si="0">D20*E20</f>
        <v>4525.4250000000002</v>
      </c>
    </row>
    <row r="21" spans="1:6">
      <c r="A21" s="51">
        <v>9</v>
      </c>
      <c r="B21" s="50">
        <f>Plant!B21</f>
        <v>312</v>
      </c>
      <c r="C21" s="44" t="str">
        <f>Plant!C21</f>
        <v>Collections &amp; Impounding Reservoirs</v>
      </c>
      <c r="D21" s="58">
        <f>Plant!H21</f>
        <v>0</v>
      </c>
      <c r="E21" s="65">
        <v>0</v>
      </c>
      <c r="F21" s="58">
        <f t="shared" si="0"/>
        <v>0</v>
      </c>
    </row>
    <row r="22" spans="1:6">
      <c r="A22" s="51">
        <v>10</v>
      </c>
      <c r="B22" s="50">
        <f>Plant!B22</f>
        <v>313</v>
      </c>
      <c r="C22" s="44" t="str">
        <f>Plant!C22</f>
        <v>Lake, River, &amp; Other Intakes</v>
      </c>
      <c r="D22" s="58">
        <f>Plant!H22</f>
        <v>0</v>
      </c>
      <c r="E22" s="65">
        <v>0</v>
      </c>
      <c r="F22" s="58">
        <f t="shared" si="0"/>
        <v>0</v>
      </c>
    </row>
    <row r="23" spans="1:6">
      <c r="A23" s="51">
        <v>11</v>
      </c>
      <c r="B23" s="50">
        <f>Plant!B23</f>
        <v>314</v>
      </c>
      <c r="C23" s="44" t="str">
        <f>Plant!C23</f>
        <v>Wells &amp; Springs</v>
      </c>
      <c r="D23" s="58">
        <f>Plant!H23</f>
        <v>9450</v>
      </c>
      <c r="E23" s="65">
        <v>0.02</v>
      </c>
      <c r="F23" s="58">
        <f t="shared" si="0"/>
        <v>189</v>
      </c>
    </row>
    <row r="24" spans="1:6">
      <c r="A24" s="51">
        <v>12</v>
      </c>
      <c r="B24" s="50">
        <f>Plant!B24</f>
        <v>315</v>
      </c>
      <c r="C24" s="44" t="str">
        <f>Plant!C24</f>
        <v xml:space="preserve">Infiltration Galleries &amp; Tunnels </v>
      </c>
      <c r="D24" s="58">
        <f>Plant!H24</f>
        <v>0</v>
      </c>
      <c r="E24" s="65">
        <v>0</v>
      </c>
      <c r="F24" s="58">
        <f t="shared" si="0"/>
        <v>0</v>
      </c>
    </row>
    <row r="25" spans="1:6">
      <c r="A25" s="51">
        <v>13</v>
      </c>
      <c r="B25" s="50">
        <f>Plant!B25</f>
        <v>316</v>
      </c>
      <c r="C25" s="44" t="str">
        <f>Plant!C25</f>
        <v>Supply Mains</v>
      </c>
      <c r="D25" s="58">
        <f>Plant!H25</f>
        <v>1162</v>
      </c>
      <c r="E25" s="65">
        <v>0.02</v>
      </c>
      <c r="F25" s="58">
        <f t="shared" si="0"/>
        <v>23.240000000000002</v>
      </c>
    </row>
    <row r="26" spans="1:6">
      <c r="A26" s="51">
        <v>14</v>
      </c>
      <c r="B26" s="50"/>
      <c r="C26" s="44" t="s">
        <v>125</v>
      </c>
      <c r="D26" s="59">
        <f>SUM(D19:D25)</f>
        <v>191629</v>
      </c>
      <c r="E26" s="65"/>
      <c r="F26" s="59">
        <f>SUM(F19:F25)</f>
        <v>4737.665</v>
      </c>
    </row>
    <row r="27" spans="1:6">
      <c r="A27" s="51"/>
      <c r="B27" s="50"/>
      <c r="C27" s="44"/>
      <c r="E27" s="65"/>
      <c r="F27" s="58"/>
    </row>
    <row r="28" spans="1:6">
      <c r="A28" s="51">
        <v>15</v>
      </c>
      <c r="B28" s="50"/>
      <c r="C28" s="44" t="s">
        <v>126</v>
      </c>
      <c r="E28" s="65"/>
      <c r="F28" s="58"/>
    </row>
    <row r="29" spans="1:6">
      <c r="A29" s="51">
        <v>16</v>
      </c>
      <c r="B29" s="50">
        <f>Plant!B29</f>
        <v>323</v>
      </c>
      <c r="C29" s="44" t="str">
        <f>Plant!C29</f>
        <v>Other Power Production Equipment</v>
      </c>
      <c r="D29" s="58">
        <f>Plant!H29</f>
        <v>161331</v>
      </c>
      <c r="E29" s="65">
        <v>0.04</v>
      </c>
      <c r="F29" s="58">
        <f>D29*E29</f>
        <v>6453.24</v>
      </c>
    </row>
    <row r="30" spans="1:6">
      <c r="A30" s="51">
        <v>17</v>
      </c>
      <c r="B30" s="50">
        <f>Plant!B30</f>
        <v>325.10000000000002</v>
      </c>
      <c r="C30" s="44" t="str">
        <f>Plant!C30</f>
        <v>Electric Pumping Equipment</v>
      </c>
      <c r="D30" s="58">
        <f>Plant!H30</f>
        <v>40430</v>
      </c>
      <c r="E30" s="65">
        <v>0.1</v>
      </c>
      <c r="F30" s="58">
        <f>D30*E30</f>
        <v>4043</v>
      </c>
    </row>
    <row r="31" spans="1:6">
      <c r="A31" s="51">
        <v>18</v>
      </c>
      <c r="B31" s="50">
        <f>Plant!B31</f>
        <v>326</v>
      </c>
      <c r="C31" s="44" t="str">
        <f>Plant!C31</f>
        <v>Diesel Pumping Equipment</v>
      </c>
      <c r="D31" s="58">
        <f>Plant!H31</f>
        <v>0</v>
      </c>
      <c r="E31" s="65">
        <v>0</v>
      </c>
      <c r="F31" s="58">
        <f>D31*E31</f>
        <v>0</v>
      </c>
    </row>
    <row r="32" spans="1:6">
      <c r="A32" s="51">
        <v>19</v>
      </c>
      <c r="B32" s="50">
        <f>Plant!B32</f>
        <v>328</v>
      </c>
      <c r="C32" s="44" t="str">
        <f>Plant!C32</f>
        <v>Other Pumping Equipment</v>
      </c>
      <c r="D32" s="58">
        <f>Plant!H32</f>
        <v>0</v>
      </c>
      <c r="E32" s="65">
        <v>0</v>
      </c>
      <c r="F32" s="58">
        <f>D32*E32</f>
        <v>0</v>
      </c>
    </row>
    <row r="33" spans="1:6">
      <c r="A33" s="51">
        <v>20</v>
      </c>
      <c r="B33" s="50"/>
      <c r="C33" s="44" t="s">
        <v>130</v>
      </c>
      <c r="D33" s="59">
        <f>SUM(D29:D32)</f>
        <v>201761</v>
      </c>
      <c r="E33" s="65"/>
      <c r="F33" s="59">
        <f>SUM(F29:F32)</f>
        <v>10496.24</v>
      </c>
    </row>
    <row r="34" spans="1:6">
      <c r="A34" s="51"/>
      <c r="B34" s="50"/>
      <c r="C34" s="44"/>
      <c r="E34" s="65"/>
      <c r="F34" s="58"/>
    </row>
    <row r="35" spans="1:6">
      <c r="A35" s="51">
        <v>21</v>
      </c>
      <c r="B35" s="50"/>
      <c r="C35" s="44" t="s">
        <v>131</v>
      </c>
      <c r="E35" s="65"/>
      <c r="F35" s="58"/>
    </row>
    <row r="36" spans="1:6">
      <c r="A36" s="51">
        <v>22</v>
      </c>
      <c r="B36" s="50">
        <f>Plant!B36</f>
        <v>330</v>
      </c>
      <c r="C36" s="44" t="str">
        <f>Plant!C36</f>
        <v>Land &amp; Land Rights - WTP</v>
      </c>
      <c r="D36" s="58">
        <f>Plant!H36</f>
        <v>0</v>
      </c>
      <c r="E36" s="65">
        <v>0</v>
      </c>
      <c r="F36" s="58">
        <f>D36*E36</f>
        <v>0</v>
      </c>
    </row>
    <row r="37" spans="1:6">
      <c r="A37" s="51">
        <v>23</v>
      </c>
      <c r="B37" s="50">
        <f>Plant!B37</f>
        <v>331</v>
      </c>
      <c r="C37" s="44" t="str">
        <f>Plant!C37</f>
        <v>Structures &amp; Improvements - WTP</v>
      </c>
      <c r="D37" s="58">
        <f>Plant!H37</f>
        <v>0</v>
      </c>
      <c r="E37" s="65">
        <v>0</v>
      </c>
      <c r="F37" s="58">
        <f>D37*E37</f>
        <v>0</v>
      </c>
    </row>
    <row r="38" spans="1:6">
      <c r="A38" s="51">
        <v>24</v>
      </c>
      <c r="B38" s="50">
        <f>Plant!B38</f>
        <v>332</v>
      </c>
      <c r="C38" s="44" t="str">
        <f>Plant!C38</f>
        <v>Water Treament Equipment</v>
      </c>
      <c r="D38" s="58">
        <f>Plant!H38</f>
        <v>12244</v>
      </c>
      <c r="E38" s="65">
        <v>2.9000000000000001E-2</v>
      </c>
      <c r="F38" s="58">
        <f>D38*E38</f>
        <v>355.07600000000002</v>
      </c>
    </row>
    <row r="39" spans="1:6">
      <c r="A39" s="51">
        <v>25</v>
      </c>
      <c r="B39" s="50"/>
      <c r="C39" s="44" t="s">
        <v>135</v>
      </c>
      <c r="D39" s="59">
        <f>SUM(D36:D38)</f>
        <v>12244</v>
      </c>
      <c r="E39" s="65"/>
      <c r="F39" s="59">
        <f>SUM(F36:F38)</f>
        <v>355.07600000000002</v>
      </c>
    </row>
    <row r="40" spans="1:6">
      <c r="A40" s="51"/>
      <c r="B40" s="50"/>
      <c r="C40" s="44"/>
      <c r="E40" s="65"/>
      <c r="F40" s="58"/>
    </row>
    <row r="41" spans="1:6">
      <c r="A41" s="51">
        <v>26</v>
      </c>
      <c r="B41" s="50"/>
      <c r="C41" s="44" t="s">
        <v>136</v>
      </c>
      <c r="E41" s="65"/>
      <c r="F41" s="58"/>
    </row>
    <row r="42" spans="1:6">
      <c r="A42" s="51">
        <v>27</v>
      </c>
      <c r="B42" s="50">
        <f>Plant!B42</f>
        <v>340</v>
      </c>
      <c r="C42" s="44" t="str">
        <f>Plant!C42</f>
        <v>Land &amp; Land Rights - T&amp;D</v>
      </c>
      <c r="D42" s="58">
        <f>Plant!H42</f>
        <v>0</v>
      </c>
      <c r="E42" s="65">
        <v>0</v>
      </c>
      <c r="F42" s="58">
        <f>D42*E42</f>
        <v>0</v>
      </c>
    </row>
    <row r="43" spans="1:6">
      <c r="A43" s="51">
        <v>28</v>
      </c>
      <c r="B43" s="50">
        <f>Plant!B43</f>
        <v>341</v>
      </c>
      <c r="C43" s="44" t="str">
        <f>Plant!C43</f>
        <v>Structures &amp; Improvements - T&amp;D</v>
      </c>
      <c r="D43" s="58">
        <f>Plant!H43</f>
        <v>0</v>
      </c>
      <c r="E43" s="65">
        <v>0</v>
      </c>
      <c r="F43" s="58">
        <f t="shared" ref="F43:F53" si="1">D43*E43</f>
        <v>0</v>
      </c>
    </row>
    <row r="44" spans="1:6">
      <c r="A44" s="51">
        <v>29</v>
      </c>
      <c r="B44" s="50">
        <f>Plant!B44</f>
        <v>342</v>
      </c>
      <c r="C44" s="44" t="str">
        <f>Plant!C44</f>
        <v>Distribution Reservoirs &amp; Standpipes</v>
      </c>
      <c r="D44" s="58">
        <f>Plant!H44</f>
        <v>127295</v>
      </c>
      <c r="E44" s="65">
        <v>2.5000000000000001E-2</v>
      </c>
      <c r="F44" s="58">
        <f t="shared" si="1"/>
        <v>3182.375</v>
      </c>
    </row>
    <row r="45" spans="1:6">
      <c r="A45" s="51">
        <v>30</v>
      </c>
      <c r="B45" s="50">
        <f>Plant!B45</f>
        <v>343</v>
      </c>
      <c r="C45" s="44" t="str">
        <f>Plant!C45</f>
        <v>Transmission &amp; Distribution Mains</v>
      </c>
      <c r="D45" s="58">
        <f>Plant!H45</f>
        <v>88593</v>
      </c>
      <c r="E45" s="65">
        <v>0.02</v>
      </c>
      <c r="F45" s="58">
        <f t="shared" si="1"/>
        <v>1771.8600000000001</v>
      </c>
    </row>
    <row r="46" spans="1:6">
      <c r="A46" s="51">
        <v>31</v>
      </c>
      <c r="B46" s="50">
        <f>Plant!B46</f>
        <v>344</v>
      </c>
      <c r="C46" s="44" t="str">
        <f>Plant!C46</f>
        <v>Fire Mains</v>
      </c>
      <c r="D46" s="58">
        <f>Plant!H46</f>
        <v>0</v>
      </c>
      <c r="E46" s="65">
        <v>0</v>
      </c>
      <c r="F46" s="58">
        <f t="shared" si="1"/>
        <v>0</v>
      </c>
    </row>
    <row r="47" spans="1:6">
      <c r="A47" s="51">
        <v>32</v>
      </c>
      <c r="B47" s="50">
        <f>Plant!B47</f>
        <v>345</v>
      </c>
      <c r="C47" s="44" t="str">
        <f>Plant!C47</f>
        <v>Services</v>
      </c>
      <c r="D47" s="58">
        <f>Plant!H47</f>
        <v>1335</v>
      </c>
      <c r="E47" s="65">
        <v>2.5000000000000001E-2</v>
      </c>
      <c r="F47" s="58">
        <f t="shared" si="1"/>
        <v>33.375</v>
      </c>
    </row>
    <row r="48" spans="1:6">
      <c r="A48" s="51">
        <v>33</v>
      </c>
      <c r="B48" s="50">
        <f>Plant!B48</f>
        <v>346</v>
      </c>
      <c r="C48" s="44" t="str">
        <f>Plant!C48</f>
        <v>Meters - Bronze Chamber</v>
      </c>
      <c r="D48" s="58">
        <f>Plant!H48</f>
        <v>0</v>
      </c>
      <c r="E48" s="65">
        <v>0</v>
      </c>
      <c r="F48" s="58">
        <f t="shared" si="1"/>
        <v>0</v>
      </c>
    </row>
    <row r="49" spans="1:6">
      <c r="A49" s="51">
        <v>34</v>
      </c>
      <c r="B49" s="50">
        <f>Plant!B49</f>
        <v>346</v>
      </c>
      <c r="C49" s="44" t="str">
        <f>Plant!C49</f>
        <v>Meters - Plastic Chamber</v>
      </c>
      <c r="D49" s="58">
        <f>Plant!H49</f>
        <v>59004</v>
      </c>
      <c r="E49" s="65">
        <v>0.1</v>
      </c>
      <c r="F49" s="58">
        <f t="shared" si="1"/>
        <v>5900.4000000000005</v>
      </c>
    </row>
    <row r="50" spans="1:6">
      <c r="A50" s="51">
        <v>35</v>
      </c>
      <c r="B50" s="50">
        <f>Plant!B50</f>
        <v>347</v>
      </c>
      <c r="C50" s="44" t="str">
        <f>Plant!C50</f>
        <v>Meter Installations - Bronze</v>
      </c>
      <c r="D50" s="58">
        <f>Plant!H50</f>
        <v>0</v>
      </c>
      <c r="E50" s="65">
        <v>0</v>
      </c>
      <c r="F50" s="58">
        <f t="shared" si="1"/>
        <v>0</v>
      </c>
    </row>
    <row r="51" spans="1:6">
      <c r="A51" s="51">
        <v>36</v>
      </c>
      <c r="B51" s="50">
        <f>Plant!B51</f>
        <v>347</v>
      </c>
      <c r="C51" s="44" t="str">
        <f>Plant!C51</f>
        <v>Meter Installations - Plastic</v>
      </c>
      <c r="D51" s="58">
        <f>Plant!H51</f>
        <v>500</v>
      </c>
      <c r="E51" s="65">
        <v>2.5000000000000001E-2</v>
      </c>
      <c r="F51" s="58">
        <f t="shared" si="1"/>
        <v>12.5</v>
      </c>
    </row>
    <row r="52" spans="1:6">
      <c r="A52" s="51">
        <v>37</v>
      </c>
      <c r="B52" s="50">
        <f>Plant!B52</f>
        <v>348</v>
      </c>
      <c r="C52" s="44" t="str">
        <f>Plant!C52</f>
        <v>Other Transmission &amp; Distribution Plant</v>
      </c>
      <c r="D52" s="58">
        <f>Plant!H52</f>
        <v>0</v>
      </c>
      <c r="E52" s="65">
        <v>0</v>
      </c>
      <c r="F52" s="58">
        <f t="shared" si="1"/>
        <v>0</v>
      </c>
    </row>
    <row r="53" spans="1:6">
      <c r="A53" s="51">
        <v>38</v>
      </c>
      <c r="B53" s="50">
        <f>Plant!B53</f>
        <v>349</v>
      </c>
      <c r="C53" s="44" t="str">
        <f>Plant!C53</f>
        <v>Hydrants</v>
      </c>
      <c r="D53" s="58">
        <f>Plant!H53</f>
        <v>13420</v>
      </c>
      <c r="E53" s="65">
        <v>0.02</v>
      </c>
      <c r="F53" s="58">
        <f t="shared" si="1"/>
        <v>268.39999999999998</v>
      </c>
    </row>
    <row r="54" spans="1:6">
      <c r="A54" s="51">
        <v>39</v>
      </c>
      <c r="B54" s="50"/>
      <c r="C54" s="44" t="s">
        <v>149</v>
      </c>
      <c r="D54" s="59">
        <f>SUM(D42:D53)</f>
        <v>290147</v>
      </c>
      <c r="E54" s="65"/>
      <c r="F54" s="59">
        <f>SUM(F42:F53)</f>
        <v>11168.910000000002</v>
      </c>
    </row>
    <row r="55" spans="1:6">
      <c r="A55" s="51"/>
      <c r="B55" s="50"/>
      <c r="C55" s="44"/>
      <c r="E55" s="65"/>
      <c r="F55" s="58"/>
    </row>
    <row r="56" spans="1:6">
      <c r="A56" s="51">
        <v>40</v>
      </c>
      <c r="B56" s="50"/>
      <c r="C56" s="44" t="s">
        <v>150</v>
      </c>
      <c r="E56" s="65"/>
      <c r="F56" s="58"/>
    </row>
    <row r="57" spans="1:6">
      <c r="A57" s="51">
        <v>41</v>
      </c>
      <c r="B57" s="50">
        <f>Plant!B57</f>
        <v>370</v>
      </c>
      <c r="C57" s="44" t="str">
        <f>Plant!C57</f>
        <v>Land &amp; Land Rights - GP</v>
      </c>
      <c r="D57" s="58">
        <f>Plant!H57</f>
        <v>0</v>
      </c>
      <c r="E57" s="65">
        <v>0</v>
      </c>
      <c r="F57" s="58">
        <f>D57*E57</f>
        <v>0</v>
      </c>
    </row>
    <row r="58" spans="1:6">
      <c r="A58" s="51">
        <v>42</v>
      </c>
      <c r="B58" s="50">
        <f>Plant!B58</f>
        <v>371</v>
      </c>
      <c r="C58" s="44" t="str">
        <f>Plant!C58</f>
        <v>Structures &amp; Improvements - GP</v>
      </c>
      <c r="D58" s="58">
        <f>Plant!H58</f>
        <v>0</v>
      </c>
      <c r="E58" s="65">
        <v>0</v>
      </c>
      <c r="F58" s="58">
        <f t="shared" ref="F58:F63" si="2">D58*E58</f>
        <v>0</v>
      </c>
    </row>
    <row r="59" spans="1:6">
      <c r="A59" s="119">
        <v>43</v>
      </c>
      <c r="B59" s="120">
        <f>Plant!B59</f>
        <v>372</v>
      </c>
      <c r="C59" s="121" t="str">
        <f>Plant!C59</f>
        <v>Office Furniture &amp; Equipment - CSWR 14%</v>
      </c>
      <c r="D59" s="122">
        <f>Plant!H59</f>
        <v>510</v>
      </c>
      <c r="E59" s="123">
        <v>0.05</v>
      </c>
      <c r="F59" s="122">
        <f t="shared" si="2"/>
        <v>25.5</v>
      </c>
    </row>
    <row r="60" spans="1:6">
      <c r="A60" s="119">
        <v>44</v>
      </c>
      <c r="B60" s="120">
        <f>Plant!B60</f>
        <v>372.1</v>
      </c>
      <c r="C60" s="121" t="str">
        <f>Plant!C60</f>
        <v>Office Computer Equipment - CSWR 14%</v>
      </c>
      <c r="D60" s="122">
        <f>Plant!H60</f>
        <v>248</v>
      </c>
      <c r="E60" s="123">
        <v>0.14299999999999999</v>
      </c>
      <c r="F60" s="122">
        <f t="shared" si="2"/>
        <v>35.463999999999999</v>
      </c>
    </row>
    <row r="61" spans="1:6">
      <c r="A61" s="51">
        <v>45</v>
      </c>
      <c r="B61" s="50">
        <f>Plant!B61</f>
        <v>379</v>
      </c>
      <c r="C61" s="44" t="str">
        <f>Plant!C61</f>
        <v>Other General Equipment 1</v>
      </c>
      <c r="D61" s="58">
        <f>Plant!H61</f>
        <v>0</v>
      </c>
      <c r="E61" s="65">
        <v>0</v>
      </c>
      <c r="F61" s="58">
        <f t="shared" si="2"/>
        <v>0</v>
      </c>
    </row>
    <row r="62" spans="1:6">
      <c r="A62" s="51">
        <v>46</v>
      </c>
      <c r="B62" s="50">
        <f>Plant!B62</f>
        <v>395</v>
      </c>
      <c r="C62" s="44" t="str">
        <f>Plant!C62</f>
        <v>Laboratory Equipment</v>
      </c>
      <c r="D62" s="58">
        <f>Plant!H62</f>
        <v>0</v>
      </c>
      <c r="E62" s="65">
        <v>0</v>
      </c>
      <c r="F62" s="58">
        <f t="shared" si="2"/>
        <v>0</v>
      </c>
    </row>
    <row r="63" spans="1:6">
      <c r="A63" s="51">
        <v>47</v>
      </c>
      <c r="B63" s="50">
        <f>Plant!B63</f>
        <v>397</v>
      </c>
      <c r="C63" s="44" t="str">
        <f>Plant!C63</f>
        <v>Communication Equipment</v>
      </c>
      <c r="D63" s="58">
        <f>Plant!H63</f>
        <v>6923</v>
      </c>
      <c r="E63" s="65">
        <v>6.7000000000000004E-2</v>
      </c>
      <c r="F63" s="58">
        <f t="shared" si="2"/>
        <v>463.84100000000001</v>
      </c>
    </row>
    <row r="64" spans="1:6">
      <c r="A64" s="51">
        <v>48</v>
      </c>
      <c r="B64" s="50"/>
      <c r="C64" s="44" t="s">
        <v>155</v>
      </c>
      <c r="D64" s="59">
        <f>SUM(D57:D63)</f>
        <v>7681</v>
      </c>
      <c r="E64" s="53"/>
      <c r="F64" s="59">
        <f>SUM(F57:F63)</f>
        <v>524.80500000000006</v>
      </c>
    </row>
    <row r="65" spans="1:6">
      <c r="F65" s="58"/>
    </row>
    <row r="66" spans="1:6" ht="15" thickBot="1">
      <c r="A66" s="21">
        <v>49</v>
      </c>
      <c r="B66" s="57"/>
      <c r="C66" s="57" t="s">
        <v>165</v>
      </c>
      <c r="D66" s="69">
        <f>D16+D26+D33+D39+D54+D64</f>
        <v>703462</v>
      </c>
      <c r="E66" s="57"/>
      <c r="F66" s="69">
        <f>F16+F26+F33+F39+F54+F64</f>
        <v>27282.696000000004</v>
      </c>
    </row>
    <row r="67" spans="1:6" ht="15" thickTop="1"/>
  </sheetData>
  <mergeCells count="5">
    <mergeCell ref="A2:F2"/>
    <mergeCell ref="A3:F3"/>
    <mergeCell ref="A4:F4"/>
    <mergeCell ref="A5:F5"/>
    <mergeCell ref="A6:F6"/>
  </mergeCells>
  <pageMargins left="0.2" right="0.2" top="0.25" bottom="0.25" header="0.3" footer="0.3"/>
  <pageSetup scale="7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2:I68"/>
  <sheetViews>
    <sheetView workbookViewId="0"/>
  </sheetViews>
  <sheetFormatPr defaultRowHeight="14.4"/>
  <cols>
    <col min="1" max="1" width="10.88671875" style="1" customWidth="1"/>
    <col min="2" max="2" width="10.44140625" customWidth="1"/>
    <col min="3" max="3" width="36" customWidth="1"/>
    <col min="4" max="4" width="15.6640625" customWidth="1"/>
    <col min="5" max="5" width="1.88671875" customWidth="1"/>
    <col min="6" max="6" width="13.109375" customWidth="1"/>
    <col min="7" max="7" width="12" customWidth="1"/>
    <col min="8" max="8" width="13.109375" customWidth="1"/>
    <col min="9" max="9" width="12.88671875" customWidth="1"/>
  </cols>
  <sheetData>
    <row r="2" spans="1:9">
      <c r="A2" s="128" t="str">
        <f>'Rate Design'!A2:F2</f>
        <v>Hillcrest Utility Operating Company, Inc.</v>
      </c>
      <c r="B2" s="128"/>
      <c r="C2" s="128"/>
      <c r="D2" s="128"/>
      <c r="E2" s="128"/>
      <c r="F2" s="128"/>
      <c r="G2" s="128"/>
      <c r="H2" s="128"/>
      <c r="I2" s="128"/>
    </row>
    <row r="3" spans="1:9">
      <c r="A3" s="128" t="str">
        <f>'Rate Design'!A3:F3</f>
        <v>Informal Rate Case</v>
      </c>
      <c r="B3" s="128"/>
      <c r="C3" s="128"/>
      <c r="D3" s="128"/>
      <c r="E3" s="128"/>
      <c r="F3" s="128"/>
      <c r="G3" s="128"/>
      <c r="H3" s="128"/>
      <c r="I3" s="128"/>
    </row>
    <row r="4" spans="1:9">
      <c r="A4" s="128" t="str">
        <f>'Rate Design'!A4:F4</f>
        <v>Case Number WR-2016-0064</v>
      </c>
      <c r="B4" s="128"/>
      <c r="C4" s="128"/>
      <c r="D4" s="128"/>
      <c r="E4" s="128"/>
      <c r="F4" s="128"/>
      <c r="G4" s="128"/>
      <c r="H4" s="128"/>
      <c r="I4" s="128"/>
    </row>
    <row r="5" spans="1:9">
      <c r="A5" s="128" t="str">
        <f>'Rate Design'!A5:F5</f>
        <v>Test Year Ending 7/31/2015, Update 10/31/2015</v>
      </c>
      <c r="B5" s="128"/>
      <c r="C5" s="128"/>
      <c r="D5" s="128"/>
      <c r="E5" s="128"/>
      <c r="F5" s="128"/>
      <c r="G5" s="128"/>
      <c r="H5" s="128"/>
      <c r="I5" s="128"/>
    </row>
    <row r="6" spans="1:9">
      <c r="A6" s="128" t="s">
        <v>166</v>
      </c>
      <c r="B6" s="128"/>
      <c r="C6" s="128"/>
      <c r="D6" s="128"/>
      <c r="E6" s="128"/>
      <c r="F6" s="128"/>
      <c r="G6" s="128"/>
      <c r="H6" s="128"/>
      <c r="I6" s="128"/>
    </row>
    <row r="7" spans="1:9">
      <c r="A7" s="20"/>
      <c r="B7" s="20"/>
      <c r="C7" s="20"/>
      <c r="D7" s="20"/>
      <c r="E7" s="20"/>
      <c r="F7" s="20"/>
      <c r="G7" s="20"/>
      <c r="H7" s="20"/>
      <c r="I7" s="20"/>
    </row>
    <row r="9" spans="1:9">
      <c r="A9" s="12"/>
      <c r="B9" s="13"/>
      <c r="C9" s="13"/>
      <c r="D9" s="13"/>
      <c r="E9" s="13"/>
      <c r="F9" s="13"/>
      <c r="G9" s="13"/>
      <c r="H9" s="13"/>
      <c r="I9" s="38"/>
    </row>
    <row r="10" spans="1:9">
      <c r="A10" s="39" t="s">
        <v>3</v>
      </c>
      <c r="B10" s="21" t="s">
        <v>159</v>
      </c>
      <c r="C10" s="21"/>
      <c r="D10" s="21" t="s">
        <v>106</v>
      </c>
      <c r="E10" s="21"/>
      <c r="F10" s="21" t="s">
        <v>108</v>
      </c>
      <c r="G10" s="21"/>
      <c r="H10" s="21" t="s">
        <v>110</v>
      </c>
      <c r="I10" s="40" t="s">
        <v>112</v>
      </c>
    </row>
    <row r="11" spans="1:9">
      <c r="A11" s="16" t="s">
        <v>2</v>
      </c>
      <c r="B11" s="17" t="s">
        <v>2</v>
      </c>
      <c r="C11" s="17" t="s">
        <v>162</v>
      </c>
      <c r="D11" s="55" t="s">
        <v>169</v>
      </c>
      <c r="E11" s="55"/>
      <c r="F11" s="17" t="s">
        <v>2</v>
      </c>
      <c r="G11" s="17" t="s">
        <v>109</v>
      </c>
      <c r="H11" s="17" t="s">
        <v>111</v>
      </c>
      <c r="I11" s="41" t="s">
        <v>110</v>
      </c>
    </row>
    <row r="13" spans="1:9">
      <c r="A13" s="51">
        <v>1</v>
      </c>
      <c r="B13" s="50"/>
      <c r="C13" s="44" t="s">
        <v>113</v>
      </c>
      <c r="D13" s="45"/>
      <c r="E13" s="60"/>
      <c r="G13" s="53"/>
    </row>
    <row r="14" spans="1:9">
      <c r="A14" s="51">
        <v>2</v>
      </c>
      <c r="B14" s="50">
        <f>Plant!B13</f>
        <v>301</v>
      </c>
      <c r="C14" s="44" t="str">
        <f>Plant!C13</f>
        <v>Organization</v>
      </c>
      <c r="D14" s="68">
        <v>0</v>
      </c>
      <c r="E14" s="61"/>
      <c r="F14" s="62"/>
      <c r="G14" s="58">
        <v>0</v>
      </c>
      <c r="H14" s="65">
        <v>1</v>
      </c>
      <c r="I14" s="58">
        <f>(D14+G14)*H14</f>
        <v>0</v>
      </c>
    </row>
    <row r="15" spans="1:9">
      <c r="A15" s="51">
        <v>3</v>
      </c>
      <c r="B15" s="50">
        <f>Plant!B14</f>
        <v>302</v>
      </c>
      <c r="C15" s="44" t="str">
        <f>Plant!C14</f>
        <v>Franchises</v>
      </c>
      <c r="D15" s="68">
        <v>0</v>
      </c>
      <c r="E15" s="61"/>
      <c r="F15" s="62"/>
      <c r="G15" s="58">
        <v>0</v>
      </c>
      <c r="H15" s="65">
        <v>1</v>
      </c>
      <c r="I15" s="58">
        <f>(D15+G15)*H15</f>
        <v>0</v>
      </c>
    </row>
    <row r="16" spans="1:9">
      <c r="A16" s="51">
        <v>4</v>
      </c>
      <c r="B16" s="50">
        <f>Plant!B15</f>
        <v>303</v>
      </c>
      <c r="C16" s="44" t="str">
        <f>Plant!C15</f>
        <v>Miscellaneous Intangible Plant</v>
      </c>
      <c r="D16" s="68">
        <v>0</v>
      </c>
      <c r="E16" s="61"/>
      <c r="F16" s="62"/>
      <c r="G16" s="58">
        <v>0</v>
      </c>
      <c r="H16" s="65">
        <v>1</v>
      </c>
      <c r="I16" s="58">
        <f>(D16+G16)*H16</f>
        <v>0</v>
      </c>
    </row>
    <row r="17" spans="1:9">
      <c r="A17" s="51">
        <v>5</v>
      </c>
      <c r="B17" s="50"/>
      <c r="C17" s="44" t="s">
        <v>117</v>
      </c>
      <c r="D17" s="59">
        <f>SUM(D14:D16)</f>
        <v>0</v>
      </c>
      <c r="E17" s="61"/>
      <c r="F17" s="62"/>
      <c r="G17" s="59">
        <f>SUM(G14:G16)</f>
        <v>0</v>
      </c>
      <c r="H17" s="65"/>
      <c r="I17" s="59">
        <f>SUM(I14:I16)</f>
        <v>0</v>
      </c>
    </row>
    <row r="18" spans="1:9">
      <c r="A18" s="51"/>
      <c r="B18" s="50"/>
      <c r="C18" s="44"/>
      <c r="D18" s="58"/>
      <c r="E18" s="61"/>
      <c r="F18" s="62"/>
      <c r="H18" s="65"/>
      <c r="I18" s="58"/>
    </row>
    <row r="19" spans="1:9">
      <c r="A19" s="51">
        <v>6</v>
      </c>
      <c r="B19" s="50"/>
      <c r="C19" s="44" t="s">
        <v>118</v>
      </c>
      <c r="D19" s="58"/>
      <c r="E19" s="61"/>
      <c r="F19" s="62"/>
      <c r="H19" s="65"/>
      <c r="I19" s="58"/>
    </row>
    <row r="20" spans="1:9">
      <c r="A20" s="51">
        <v>7</v>
      </c>
      <c r="B20" s="50">
        <f>Plant!B19</f>
        <v>310</v>
      </c>
      <c r="C20" s="44" t="str">
        <f>Plant!C19</f>
        <v>Land &amp; Land Rights - SSP</v>
      </c>
      <c r="D20" s="68">
        <v>0</v>
      </c>
      <c r="E20" s="61"/>
      <c r="F20" s="62"/>
      <c r="G20" s="58">
        <v>0</v>
      </c>
      <c r="H20" s="65">
        <v>1</v>
      </c>
      <c r="I20" s="58">
        <f>(D20+G20)*H20</f>
        <v>0</v>
      </c>
    </row>
    <row r="21" spans="1:9">
      <c r="A21" s="119">
        <v>8</v>
      </c>
      <c r="B21" s="120">
        <f>Plant!B20</f>
        <v>311</v>
      </c>
      <c r="C21" s="121" t="str">
        <f>Plant!C20</f>
        <v>Structures &amp; Improvements - SSP</v>
      </c>
      <c r="D21" s="113">
        <v>17147</v>
      </c>
      <c r="E21" s="124"/>
      <c r="F21" s="126" t="str">
        <f>'Reserve Adjustments'!A13</f>
        <v>R-1</v>
      </c>
      <c r="G21" s="122">
        <f>'Reserve Adjustments'!E13</f>
        <v>7</v>
      </c>
      <c r="H21" s="123">
        <v>1</v>
      </c>
      <c r="I21" s="122">
        <f t="shared" ref="I21:I26" si="0">(D21+G21)*H21</f>
        <v>17154</v>
      </c>
    </row>
    <row r="22" spans="1:9">
      <c r="A22" s="51">
        <v>9</v>
      </c>
      <c r="B22" s="50">
        <f>Plant!B21</f>
        <v>312</v>
      </c>
      <c r="C22" s="44" t="str">
        <f>Plant!C21</f>
        <v>Collections &amp; Impounding Reservoirs</v>
      </c>
      <c r="D22" s="68">
        <v>0</v>
      </c>
      <c r="E22" s="61"/>
      <c r="F22" s="62"/>
      <c r="G22" s="58">
        <v>0</v>
      </c>
      <c r="H22" s="65">
        <v>1</v>
      </c>
      <c r="I22" s="58">
        <f t="shared" si="0"/>
        <v>0</v>
      </c>
    </row>
    <row r="23" spans="1:9">
      <c r="A23" s="51">
        <v>10</v>
      </c>
      <c r="B23" s="50">
        <f>Plant!B22</f>
        <v>313</v>
      </c>
      <c r="C23" s="44" t="str">
        <f>Plant!C22</f>
        <v>Lake, River, &amp; Other Intakes</v>
      </c>
      <c r="D23" s="68">
        <v>0</v>
      </c>
      <c r="E23" s="61"/>
      <c r="F23" s="62"/>
      <c r="G23" s="58">
        <v>0</v>
      </c>
      <c r="H23" s="65">
        <v>1</v>
      </c>
      <c r="I23" s="58">
        <f t="shared" si="0"/>
        <v>0</v>
      </c>
    </row>
    <row r="24" spans="1:9">
      <c r="A24" s="51">
        <v>11</v>
      </c>
      <c r="B24" s="50">
        <f>Plant!B23</f>
        <v>314</v>
      </c>
      <c r="C24" s="44" t="str">
        <f>Plant!C23</f>
        <v>Wells &amp; Springs</v>
      </c>
      <c r="D24" s="68">
        <v>8694</v>
      </c>
      <c r="E24" s="61"/>
      <c r="F24" s="62"/>
      <c r="G24" s="58">
        <v>0</v>
      </c>
      <c r="H24" s="65">
        <v>1</v>
      </c>
      <c r="I24" s="58">
        <f t="shared" si="0"/>
        <v>8694</v>
      </c>
    </row>
    <row r="25" spans="1:9">
      <c r="A25" s="51">
        <v>12</v>
      </c>
      <c r="B25" s="50">
        <f>Plant!B24</f>
        <v>315</v>
      </c>
      <c r="C25" s="44" t="str">
        <f>Plant!C24</f>
        <v xml:space="preserve">Infiltration Galleries &amp; Tunnels </v>
      </c>
      <c r="D25" s="68">
        <v>0</v>
      </c>
      <c r="E25" s="61"/>
      <c r="F25" s="62"/>
      <c r="G25" s="58">
        <v>0</v>
      </c>
      <c r="H25" s="65">
        <v>1</v>
      </c>
      <c r="I25" s="58">
        <f t="shared" si="0"/>
        <v>0</v>
      </c>
    </row>
    <row r="26" spans="1:9">
      <c r="A26" s="51">
        <v>13</v>
      </c>
      <c r="B26" s="50">
        <f>Plant!B25</f>
        <v>316</v>
      </c>
      <c r="C26" s="44" t="str">
        <f>Plant!C25</f>
        <v>Supply Mains</v>
      </c>
      <c r="D26" s="68">
        <v>1111</v>
      </c>
      <c r="E26" s="61"/>
      <c r="F26" s="62"/>
      <c r="G26" s="58">
        <v>0</v>
      </c>
      <c r="H26" s="65">
        <v>1</v>
      </c>
      <c r="I26" s="58">
        <f t="shared" si="0"/>
        <v>1111</v>
      </c>
    </row>
    <row r="27" spans="1:9">
      <c r="A27" s="51">
        <v>14</v>
      </c>
      <c r="B27" s="50"/>
      <c r="C27" s="44" t="s">
        <v>125</v>
      </c>
      <c r="D27" s="59">
        <f>SUM(D20:D26)</f>
        <v>26952</v>
      </c>
      <c r="E27" s="61"/>
      <c r="F27" s="62"/>
      <c r="G27" s="59">
        <f>SUM(G20:G26)</f>
        <v>7</v>
      </c>
      <c r="H27" s="65"/>
      <c r="I27" s="59">
        <f>SUM(I20:I26)</f>
        <v>26959</v>
      </c>
    </row>
    <row r="28" spans="1:9">
      <c r="A28" s="51"/>
      <c r="B28" s="50"/>
      <c r="C28" s="44"/>
      <c r="D28" s="58"/>
      <c r="E28" s="61"/>
      <c r="F28" s="62"/>
      <c r="H28" s="65"/>
      <c r="I28" s="58"/>
    </row>
    <row r="29" spans="1:9">
      <c r="A29" s="51">
        <v>15</v>
      </c>
      <c r="B29" s="50"/>
      <c r="C29" s="44" t="s">
        <v>126</v>
      </c>
      <c r="D29" s="58"/>
      <c r="E29" s="61"/>
      <c r="F29" s="62"/>
      <c r="H29" s="65"/>
      <c r="I29" s="58"/>
    </row>
    <row r="30" spans="1:9">
      <c r="A30" s="51">
        <v>16</v>
      </c>
      <c r="B30" s="50">
        <f>Plant!B29</f>
        <v>323</v>
      </c>
      <c r="C30" s="44" t="str">
        <f>Plant!C29</f>
        <v>Other Power Production Equipment</v>
      </c>
      <c r="D30" s="68">
        <v>3361</v>
      </c>
      <c r="E30" s="61"/>
      <c r="F30" s="62"/>
      <c r="G30" s="58">
        <v>0</v>
      </c>
      <c r="H30" s="65">
        <v>1</v>
      </c>
      <c r="I30" s="58">
        <f>(D30+G30)*H30</f>
        <v>3361</v>
      </c>
    </row>
    <row r="31" spans="1:9">
      <c r="A31" s="51">
        <v>17</v>
      </c>
      <c r="B31" s="50">
        <f>Plant!B30</f>
        <v>325.10000000000002</v>
      </c>
      <c r="C31" s="44" t="str">
        <f>Plant!C30</f>
        <v>Electric Pumping Equipment</v>
      </c>
      <c r="D31" s="68">
        <v>12214</v>
      </c>
      <c r="E31" s="61"/>
      <c r="F31" s="62"/>
      <c r="G31" s="58">
        <v>0</v>
      </c>
      <c r="H31" s="65">
        <v>1</v>
      </c>
      <c r="I31" s="58">
        <f>(D31+G31)*H31</f>
        <v>12214</v>
      </c>
    </row>
    <row r="32" spans="1:9">
      <c r="A32" s="51">
        <v>18</v>
      </c>
      <c r="B32" s="50">
        <f>Plant!B31</f>
        <v>326</v>
      </c>
      <c r="C32" s="44" t="str">
        <f>Plant!C31</f>
        <v>Diesel Pumping Equipment</v>
      </c>
      <c r="D32" s="68">
        <v>0</v>
      </c>
      <c r="E32" s="61"/>
      <c r="F32" s="62"/>
      <c r="G32" s="58">
        <v>0</v>
      </c>
      <c r="H32" s="65">
        <v>1</v>
      </c>
      <c r="I32" s="58">
        <f>(D32+G32)*H32</f>
        <v>0</v>
      </c>
    </row>
    <row r="33" spans="1:9">
      <c r="A33" s="51">
        <v>19</v>
      </c>
      <c r="B33" s="50">
        <f>Plant!B32</f>
        <v>328</v>
      </c>
      <c r="C33" s="44" t="str">
        <f>Plant!C32</f>
        <v>Other Pumping Equipment</v>
      </c>
      <c r="D33" s="68">
        <v>0</v>
      </c>
      <c r="E33" s="61"/>
      <c r="F33" s="62"/>
      <c r="G33" s="58">
        <v>0</v>
      </c>
      <c r="H33" s="65">
        <v>1</v>
      </c>
      <c r="I33" s="58">
        <f>(D33+G33)*H33</f>
        <v>0</v>
      </c>
    </row>
    <row r="34" spans="1:9">
      <c r="A34" s="51">
        <v>20</v>
      </c>
      <c r="B34" s="50"/>
      <c r="C34" s="44" t="s">
        <v>130</v>
      </c>
      <c r="D34" s="59">
        <f>SUM(D30:D33)</f>
        <v>15575</v>
      </c>
      <c r="E34" s="61"/>
      <c r="F34" s="62"/>
      <c r="G34" s="59">
        <f>SUM(G30:G33)</f>
        <v>0</v>
      </c>
      <c r="H34" s="65"/>
      <c r="I34" s="59">
        <f>SUM(I30:I33)</f>
        <v>15575</v>
      </c>
    </row>
    <row r="35" spans="1:9">
      <c r="A35" s="51"/>
      <c r="B35" s="50"/>
      <c r="C35" s="44"/>
      <c r="D35" s="58"/>
      <c r="E35" s="61"/>
      <c r="F35" s="62"/>
      <c r="H35" s="65"/>
      <c r="I35" s="58"/>
    </row>
    <row r="36" spans="1:9">
      <c r="A36" s="51">
        <v>21</v>
      </c>
      <c r="B36" s="50"/>
      <c r="C36" s="44" t="s">
        <v>131</v>
      </c>
      <c r="D36" s="58"/>
      <c r="E36" s="61"/>
      <c r="F36" s="62"/>
      <c r="H36" s="65"/>
      <c r="I36" s="58"/>
    </row>
    <row r="37" spans="1:9">
      <c r="A37" s="51">
        <v>22</v>
      </c>
      <c r="B37" s="50">
        <f>Plant!B36</f>
        <v>330</v>
      </c>
      <c r="C37" s="44" t="str">
        <f>Plant!C36</f>
        <v>Land &amp; Land Rights - WTP</v>
      </c>
      <c r="D37" s="68">
        <v>0</v>
      </c>
      <c r="E37" s="61"/>
      <c r="F37" s="62"/>
      <c r="G37" s="58">
        <v>0</v>
      </c>
      <c r="H37" s="65">
        <v>1</v>
      </c>
      <c r="I37" s="58">
        <f>(D37+G37)*H37</f>
        <v>0</v>
      </c>
    </row>
    <row r="38" spans="1:9">
      <c r="A38" s="51">
        <v>23</v>
      </c>
      <c r="B38" s="50">
        <f>Plant!B37</f>
        <v>331</v>
      </c>
      <c r="C38" s="44" t="str">
        <f>Plant!C37</f>
        <v>Structures &amp; Improvements - WTP</v>
      </c>
      <c r="D38" s="68">
        <v>0</v>
      </c>
      <c r="E38" s="61"/>
      <c r="F38" s="62"/>
      <c r="G38" s="58">
        <v>0</v>
      </c>
      <c r="H38" s="65">
        <v>1</v>
      </c>
      <c r="I38" s="58">
        <f>(D38+G38)*H38</f>
        <v>0</v>
      </c>
    </row>
    <row r="39" spans="1:9">
      <c r="A39" s="51">
        <v>24</v>
      </c>
      <c r="B39" s="50">
        <f>Plant!B38</f>
        <v>332</v>
      </c>
      <c r="C39" s="44" t="str">
        <f>Plant!C38</f>
        <v>Water Treament Equipment</v>
      </c>
      <c r="D39" s="68">
        <v>148</v>
      </c>
      <c r="E39" s="61"/>
      <c r="F39" s="62"/>
      <c r="G39" s="58">
        <v>0</v>
      </c>
      <c r="H39" s="65">
        <v>1</v>
      </c>
      <c r="I39" s="58">
        <f>(D39+G39)*H39</f>
        <v>148</v>
      </c>
    </row>
    <row r="40" spans="1:9">
      <c r="A40" s="51">
        <v>25</v>
      </c>
      <c r="B40" s="50"/>
      <c r="C40" s="44" t="s">
        <v>135</v>
      </c>
      <c r="D40" s="59">
        <f>SUM(D37:D39)</f>
        <v>148</v>
      </c>
      <c r="E40" s="61"/>
      <c r="F40" s="62"/>
      <c r="G40" s="59">
        <f>SUM(G37:G39)</f>
        <v>0</v>
      </c>
      <c r="H40" s="65"/>
      <c r="I40" s="59">
        <f>SUM(I37:I39)</f>
        <v>148</v>
      </c>
    </row>
    <row r="41" spans="1:9">
      <c r="A41" s="51"/>
      <c r="B41" s="50"/>
      <c r="C41" s="44"/>
      <c r="D41" s="58"/>
      <c r="E41" s="61"/>
      <c r="F41" s="62"/>
      <c r="H41" s="65"/>
      <c r="I41" s="58"/>
    </row>
    <row r="42" spans="1:9">
      <c r="A42" s="51">
        <v>26</v>
      </c>
      <c r="B42" s="50"/>
      <c r="C42" s="44" t="s">
        <v>136</v>
      </c>
      <c r="D42" s="58"/>
      <c r="E42" s="61"/>
      <c r="F42" s="62"/>
      <c r="H42" s="65"/>
      <c r="I42" s="58"/>
    </row>
    <row r="43" spans="1:9">
      <c r="A43" s="51">
        <v>27</v>
      </c>
      <c r="B43" s="50">
        <f>Plant!B42</f>
        <v>340</v>
      </c>
      <c r="C43" s="44" t="str">
        <f>Plant!C42</f>
        <v>Land &amp; Land Rights - T&amp;D</v>
      </c>
      <c r="D43" s="68">
        <v>0</v>
      </c>
      <c r="E43" s="61"/>
      <c r="F43" s="62"/>
      <c r="G43" s="58">
        <v>0</v>
      </c>
      <c r="H43" s="65">
        <v>1</v>
      </c>
      <c r="I43" s="58">
        <f>(D43+G43)*H43</f>
        <v>0</v>
      </c>
    </row>
    <row r="44" spans="1:9">
      <c r="A44" s="51">
        <v>28</v>
      </c>
      <c r="B44" s="50">
        <f>Plant!B43</f>
        <v>341</v>
      </c>
      <c r="C44" s="44" t="str">
        <f>Plant!C43</f>
        <v>Structures &amp; Improvements - T&amp;D</v>
      </c>
      <c r="D44" s="68">
        <v>0</v>
      </c>
      <c r="E44" s="61"/>
      <c r="F44" s="62"/>
      <c r="G44" s="58">
        <v>0</v>
      </c>
      <c r="H44" s="65">
        <v>1</v>
      </c>
      <c r="I44" s="58">
        <f t="shared" ref="I44:I54" si="1">(D44+G44)*H44</f>
        <v>0</v>
      </c>
    </row>
    <row r="45" spans="1:9">
      <c r="A45" s="51">
        <v>29</v>
      </c>
      <c r="B45" s="50">
        <f>Plant!B44</f>
        <v>342</v>
      </c>
      <c r="C45" s="44" t="str">
        <f>Plant!C44</f>
        <v>Distribution Reservoirs &amp; Standpipes</v>
      </c>
      <c r="D45" s="68">
        <v>4660</v>
      </c>
      <c r="E45" s="61"/>
      <c r="F45" s="62"/>
      <c r="G45" s="58">
        <v>0</v>
      </c>
      <c r="H45" s="65">
        <v>1</v>
      </c>
      <c r="I45" s="58">
        <f t="shared" si="1"/>
        <v>4660</v>
      </c>
    </row>
    <row r="46" spans="1:9">
      <c r="A46" s="51">
        <v>30</v>
      </c>
      <c r="B46" s="50">
        <f>Plant!B45</f>
        <v>343</v>
      </c>
      <c r="C46" s="44" t="str">
        <f>Plant!C45</f>
        <v>Transmission &amp; Distribution Mains</v>
      </c>
      <c r="D46" s="68">
        <v>46789</v>
      </c>
      <c r="E46" s="61"/>
      <c r="F46" s="62"/>
      <c r="G46" s="58">
        <v>0</v>
      </c>
      <c r="H46" s="65">
        <v>1</v>
      </c>
      <c r="I46" s="58">
        <f t="shared" si="1"/>
        <v>46789</v>
      </c>
    </row>
    <row r="47" spans="1:9">
      <c r="A47" s="51">
        <v>31</v>
      </c>
      <c r="B47" s="50">
        <f>Plant!B46</f>
        <v>344</v>
      </c>
      <c r="C47" s="44" t="str">
        <f>Plant!C46</f>
        <v>Fire Mains</v>
      </c>
      <c r="D47" s="68">
        <v>0</v>
      </c>
      <c r="E47" s="61"/>
      <c r="F47" s="62"/>
      <c r="G47" s="58">
        <v>0</v>
      </c>
      <c r="H47" s="65">
        <v>1</v>
      </c>
      <c r="I47" s="58">
        <f t="shared" si="1"/>
        <v>0</v>
      </c>
    </row>
    <row r="48" spans="1:9">
      <c r="A48" s="51">
        <v>32</v>
      </c>
      <c r="B48" s="50">
        <f>Plant!B47</f>
        <v>345</v>
      </c>
      <c r="C48" s="44" t="str">
        <f>Plant!C47</f>
        <v>Services</v>
      </c>
      <c r="D48" s="68">
        <v>1152</v>
      </c>
      <c r="E48" s="61"/>
      <c r="F48" s="62"/>
      <c r="G48" s="58">
        <v>0</v>
      </c>
      <c r="H48" s="65">
        <v>1</v>
      </c>
      <c r="I48" s="58">
        <f t="shared" si="1"/>
        <v>1152</v>
      </c>
    </row>
    <row r="49" spans="1:9">
      <c r="A49" s="51">
        <v>33</v>
      </c>
      <c r="B49" s="50">
        <f>Plant!B48</f>
        <v>346</v>
      </c>
      <c r="C49" s="44" t="str">
        <f>Plant!C48</f>
        <v>Meters - Bronze Chamber</v>
      </c>
      <c r="D49" s="68">
        <v>0</v>
      </c>
      <c r="E49" s="61"/>
      <c r="F49" s="62"/>
      <c r="G49" s="58">
        <v>0</v>
      </c>
      <c r="H49" s="65">
        <v>1</v>
      </c>
      <c r="I49" s="58">
        <f t="shared" si="1"/>
        <v>0</v>
      </c>
    </row>
    <row r="50" spans="1:9">
      <c r="A50" s="51">
        <v>34</v>
      </c>
      <c r="B50" s="50">
        <f>Plant!B49</f>
        <v>346</v>
      </c>
      <c r="C50" s="44" t="str">
        <f>Plant!C49</f>
        <v>Meters - Plastic Chamber</v>
      </c>
      <c r="D50" s="68">
        <v>40379</v>
      </c>
      <c r="E50" s="61"/>
      <c r="F50" s="62"/>
      <c r="G50" s="58">
        <v>0</v>
      </c>
      <c r="H50" s="65">
        <v>1</v>
      </c>
      <c r="I50" s="58">
        <f t="shared" si="1"/>
        <v>40379</v>
      </c>
    </row>
    <row r="51" spans="1:9">
      <c r="A51" s="51">
        <v>35</v>
      </c>
      <c r="B51" s="50">
        <f>Plant!B50</f>
        <v>347</v>
      </c>
      <c r="C51" s="44" t="str">
        <f>Plant!C50</f>
        <v>Meter Installations - Bronze</v>
      </c>
      <c r="D51" s="68">
        <v>0</v>
      </c>
      <c r="E51" s="61"/>
      <c r="F51" s="62"/>
      <c r="G51" s="58">
        <v>0</v>
      </c>
      <c r="H51" s="65">
        <v>1</v>
      </c>
      <c r="I51" s="58">
        <f t="shared" si="1"/>
        <v>0</v>
      </c>
    </row>
    <row r="52" spans="1:9">
      <c r="A52" s="51">
        <v>36</v>
      </c>
      <c r="B52" s="50">
        <f>Plant!B51</f>
        <v>347</v>
      </c>
      <c r="C52" s="44" t="str">
        <f>Plant!C51</f>
        <v>Meter Installations - Plastic</v>
      </c>
      <c r="D52" s="68">
        <v>404</v>
      </c>
      <c r="E52" s="61"/>
      <c r="F52" s="62"/>
      <c r="G52" s="58">
        <v>0</v>
      </c>
      <c r="H52" s="65">
        <v>1</v>
      </c>
      <c r="I52" s="58">
        <f t="shared" si="1"/>
        <v>404</v>
      </c>
    </row>
    <row r="53" spans="1:9">
      <c r="A53" s="51">
        <v>37</v>
      </c>
      <c r="B53" s="50">
        <f>Plant!B52</f>
        <v>348</v>
      </c>
      <c r="C53" s="44" t="str">
        <f>Plant!C52</f>
        <v>Other Transmission &amp; Distribution Plant</v>
      </c>
      <c r="D53" s="68">
        <v>0</v>
      </c>
      <c r="E53" s="61"/>
      <c r="F53" s="62"/>
      <c r="G53" s="58">
        <v>0</v>
      </c>
      <c r="H53" s="65">
        <v>1</v>
      </c>
      <c r="I53" s="58">
        <f t="shared" si="1"/>
        <v>0</v>
      </c>
    </row>
    <row r="54" spans="1:9">
      <c r="A54" s="51">
        <v>38</v>
      </c>
      <c r="B54" s="50">
        <f>Plant!B53</f>
        <v>349</v>
      </c>
      <c r="C54" s="44" t="str">
        <f>Plant!C53</f>
        <v>Hydrants</v>
      </c>
      <c r="D54" s="68">
        <v>5634</v>
      </c>
      <c r="E54" s="61"/>
      <c r="F54" s="62"/>
      <c r="G54" s="58">
        <v>0</v>
      </c>
      <c r="H54" s="65">
        <v>1</v>
      </c>
      <c r="I54" s="58">
        <f t="shared" si="1"/>
        <v>5634</v>
      </c>
    </row>
    <row r="55" spans="1:9">
      <c r="A55" s="51">
        <v>39</v>
      </c>
      <c r="B55" s="50"/>
      <c r="C55" s="44" t="s">
        <v>149</v>
      </c>
      <c r="D55" s="59">
        <f>SUM(D43:D54)</f>
        <v>99018</v>
      </c>
      <c r="E55" s="61"/>
      <c r="F55" s="62"/>
      <c r="G55" s="59">
        <f>SUM(G43:G54)</f>
        <v>0</v>
      </c>
      <c r="H55" s="65"/>
      <c r="I55" s="59">
        <f>SUM(I43:I54)</f>
        <v>99018</v>
      </c>
    </row>
    <row r="56" spans="1:9">
      <c r="A56" s="51"/>
      <c r="B56" s="50"/>
      <c r="C56" s="44"/>
      <c r="D56" s="58"/>
      <c r="E56" s="61"/>
      <c r="F56" s="62"/>
      <c r="H56" s="65"/>
      <c r="I56" s="58"/>
    </row>
    <row r="57" spans="1:9">
      <c r="A57" s="51">
        <v>40</v>
      </c>
      <c r="B57" s="50"/>
      <c r="C57" s="44" t="s">
        <v>150</v>
      </c>
      <c r="D57" s="58"/>
      <c r="E57" s="61"/>
      <c r="F57" s="62"/>
      <c r="H57" s="65"/>
      <c r="I57" s="58"/>
    </row>
    <row r="58" spans="1:9">
      <c r="A58" s="51">
        <v>41</v>
      </c>
      <c r="B58" s="50">
        <f>Plant!B57</f>
        <v>370</v>
      </c>
      <c r="C58" s="44" t="str">
        <f>Plant!C57</f>
        <v>Land &amp; Land Rights - GP</v>
      </c>
      <c r="D58" s="68">
        <v>0</v>
      </c>
      <c r="E58" s="61"/>
      <c r="F58" s="62"/>
      <c r="G58" s="58">
        <v>0</v>
      </c>
      <c r="H58" s="65">
        <v>1</v>
      </c>
      <c r="I58" s="58">
        <f>(D58+G58)*H58</f>
        <v>0</v>
      </c>
    </row>
    <row r="59" spans="1:9">
      <c r="A59" s="51">
        <v>42</v>
      </c>
      <c r="B59" s="50">
        <f>Plant!B58</f>
        <v>371</v>
      </c>
      <c r="C59" s="44" t="str">
        <f>Plant!C58</f>
        <v>Structures &amp; Improvements - GP</v>
      </c>
      <c r="D59" s="68">
        <v>0</v>
      </c>
      <c r="E59" s="61"/>
      <c r="F59" s="62"/>
      <c r="G59" s="58">
        <v>0</v>
      </c>
      <c r="H59" s="65">
        <v>1</v>
      </c>
      <c r="I59" s="58">
        <f t="shared" ref="I59:I64" si="2">(D59+G59)*H59</f>
        <v>0</v>
      </c>
    </row>
    <row r="60" spans="1:9">
      <c r="A60" s="119">
        <v>43</v>
      </c>
      <c r="B60" s="120">
        <f>Plant!B59</f>
        <v>372</v>
      </c>
      <c r="C60" s="121" t="str">
        <f>Plant!C59</f>
        <v>Office Furniture &amp; Equipment - CSWR 14%</v>
      </c>
      <c r="D60" s="113">
        <v>18</v>
      </c>
      <c r="E60" s="124"/>
      <c r="F60" s="125"/>
      <c r="G60" s="122">
        <v>0</v>
      </c>
      <c r="H60" s="123">
        <v>1</v>
      </c>
      <c r="I60" s="122">
        <f t="shared" si="2"/>
        <v>18</v>
      </c>
    </row>
    <row r="61" spans="1:9">
      <c r="A61" s="119">
        <v>44</v>
      </c>
      <c r="B61" s="120">
        <f>Plant!B60</f>
        <v>372.1</v>
      </c>
      <c r="C61" s="121" t="str">
        <f>Plant!C60</f>
        <v>Office Computer Equipment - CSWR 14%</v>
      </c>
      <c r="D61" s="113">
        <v>44</v>
      </c>
      <c r="E61" s="124"/>
      <c r="F61" s="125"/>
      <c r="G61" s="122">
        <v>0</v>
      </c>
      <c r="H61" s="123">
        <v>1</v>
      </c>
      <c r="I61" s="122">
        <f t="shared" si="2"/>
        <v>44</v>
      </c>
    </row>
    <row r="62" spans="1:9">
      <c r="A62" s="51">
        <v>45</v>
      </c>
      <c r="B62" s="50">
        <f>Plant!B61</f>
        <v>379</v>
      </c>
      <c r="C62" s="44" t="str">
        <f>Plant!C61</f>
        <v>Other General Equipment 1</v>
      </c>
      <c r="D62" s="68">
        <v>0</v>
      </c>
      <c r="E62" s="61"/>
      <c r="F62" s="62"/>
      <c r="G62" s="58">
        <v>0</v>
      </c>
      <c r="H62" s="65">
        <v>1</v>
      </c>
      <c r="I62" s="58">
        <f t="shared" si="2"/>
        <v>0</v>
      </c>
    </row>
    <row r="63" spans="1:9">
      <c r="A63" s="51">
        <v>46</v>
      </c>
      <c r="B63" s="50">
        <f>Plant!B62</f>
        <v>395</v>
      </c>
      <c r="C63" s="44" t="str">
        <f>Plant!C62</f>
        <v>Laboratory Equipment</v>
      </c>
      <c r="D63" s="68">
        <v>0</v>
      </c>
      <c r="E63" s="61"/>
      <c r="F63" s="62"/>
      <c r="G63" s="58">
        <v>0</v>
      </c>
      <c r="H63" s="65">
        <v>1</v>
      </c>
      <c r="I63" s="58">
        <f t="shared" si="2"/>
        <v>0</v>
      </c>
    </row>
    <row r="64" spans="1:9">
      <c r="A64" s="51">
        <v>47</v>
      </c>
      <c r="B64" s="50">
        <f>Plant!B63</f>
        <v>397</v>
      </c>
      <c r="C64" s="44" t="str">
        <f>Plant!C63</f>
        <v>Communication Equipment</v>
      </c>
      <c r="D64" s="68">
        <v>193</v>
      </c>
      <c r="E64" s="61"/>
      <c r="F64" s="62"/>
      <c r="G64" s="58">
        <v>0</v>
      </c>
      <c r="H64" s="66">
        <v>1</v>
      </c>
      <c r="I64" s="58">
        <f t="shared" si="2"/>
        <v>193</v>
      </c>
    </row>
    <row r="65" spans="1:9">
      <c r="A65" s="51">
        <v>48</v>
      </c>
      <c r="B65" s="50"/>
      <c r="C65" s="44" t="s">
        <v>155</v>
      </c>
      <c r="D65" s="59">
        <f>SUM(D58:D64)</f>
        <v>255</v>
      </c>
      <c r="E65" s="61"/>
      <c r="F65" s="62"/>
      <c r="G65" s="59">
        <f>SUM(G58:G64)</f>
        <v>0</v>
      </c>
      <c r="H65" s="67"/>
      <c r="I65" s="59">
        <f>SUM(I58:I64)</f>
        <v>255</v>
      </c>
    </row>
    <row r="66" spans="1:9">
      <c r="H66" s="2"/>
    </row>
    <row r="67" spans="1:9" ht="15" thickBot="1">
      <c r="A67" s="21">
        <v>49</v>
      </c>
      <c r="B67" s="48"/>
      <c r="C67" s="57" t="s">
        <v>167</v>
      </c>
      <c r="D67" s="69">
        <f>D17+D27+D34+D40+D55+D65</f>
        <v>141948</v>
      </c>
      <c r="E67" s="64"/>
      <c r="F67" s="64"/>
      <c r="G67" s="69">
        <f>G17+G27+G34+G40+G55+G65</f>
        <v>7</v>
      </c>
      <c r="H67" s="64"/>
      <c r="I67" s="69">
        <f>I17+I27+I34+I40+I55+I65</f>
        <v>141955</v>
      </c>
    </row>
    <row r="68" spans="1:9" ht="15" thickTop="1"/>
  </sheetData>
  <mergeCells count="5">
    <mergeCell ref="A2:I2"/>
    <mergeCell ref="A3:I3"/>
    <mergeCell ref="A4:I4"/>
    <mergeCell ref="A5:I5"/>
    <mergeCell ref="A6:I6"/>
  </mergeCells>
  <pageMargins left="0.2" right="0.2" top="0.25" bottom="0.25" header="0.3" footer="0.3"/>
  <pageSetup scale="7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Title Page</vt:lpstr>
      <vt:lpstr>Rate Design</vt:lpstr>
      <vt:lpstr>Rate Base &amp; Return</vt:lpstr>
      <vt:lpstr>PreTax Rate of Return</vt:lpstr>
      <vt:lpstr>Capital Structure</vt:lpstr>
      <vt:lpstr>Plant</vt:lpstr>
      <vt:lpstr>Plant Adj</vt:lpstr>
      <vt:lpstr>Depreciation Expense</vt:lpstr>
      <vt:lpstr>Depreciation Reserve</vt:lpstr>
      <vt:lpstr>Reserve Adjustments</vt:lpstr>
      <vt:lpstr>Revenue</vt:lpstr>
      <vt:lpstr>Revenue Adj</vt:lpstr>
      <vt:lpstr>Rate Revenue Feeder</vt:lpstr>
      <vt:lpstr>Misc Revenue Feeder</vt:lpstr>
      <vt:lpstr>Expenses</vt:lpstr>
      <vt:lpstr>Expense Adjustments</vt:lpstr>
    </vt:vector>
  </TitlesOfParts>
  <Company>MO DED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keri.roth</dc:creator>
  <cp:lastModifiedBy>jere.buckman</cp:lastModifiedBy>
  <cp:lastPrinted>2016-05-11T16:34:48Z</cp:lastPrinted>
  <dcterms:created xsi:type="dcterms:W3CDTF">2014-05-22T20:13:47Z</dcterms:created>
  <dcterms:modified xsi:type="dcterms:W3CDTF">2016-05-11T16:34:53Z</dcterms:modified>
</cp:coreProperties>
</file>